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75" yWindow="180" windowWidth="12240" windowHeight="8985"/>
  </bookViews>
  <sheets>
    <sheet name="Rekapitulace" sheetId="31" r:id="rId1"/>
    <sheet name="Odbor celkem" sheetId="20" r:id="rId2"/>
    <sheet name="01 " sheetId="52" r:id="rId3"/>
    <sheet name="02" sheetId="162" r:id="rId4"/>
    <sheet name="03" sheetId="54" r:id="rId5"/>
    <sheet name="04" sheetId="5" r:id="rId6"/>
    <sheet name="05" sheetId="4" r:id="rId7"/>
    <sheet name="06" sheetId="11" r:id="rId8"/>
    <sheet name="07" sheetId="10" r:id="rId9"/>
    <sheet name="08" sheetId="9" r:id="rId10"/>
    <sheet name="OPOK" sheetId="25" state="hidden" r:id="rId11"/>
    <sheet name="SROP" sheetId="27" state="hidden" r:id="rId12"/>
    <sheet name="List1" sheetId="28" state="hidden" r:id="rId13"/>
    <sheet name="09" sheetId="8" r:id="rId14"/>
    <sheet name="10" sheetId="7" r:id="rId15"/>
    <sheet name="10 - PO" sheetId="17" r:id="rId16"/>
    <sheet name="10 - soukr.šk." sheetId="18" r:id="rId17"/>
    <sheet name="11" sheetId="13" r:id="rId18"/>
    <sheet name="12" sheetId="12" r:id="rId19"/>
    <sheet name="13 " sheetId="55" r:id="rId20"/>
    <sheet name="14" sheetId="15" r:id="rId21"/>
    <sheet name="15" sheetId="23" r:id="rId22"/>
    <sheet name="16" sheetId="26" r:id="rId23"/>
    <sheet name="17" sheetId="24" r:id="rId24"/>
    <sheet name="17-st. akce" sheetId="21" state="hidden" r:id="rId25"/>
    <sheet name="18" sheetId="190" r:id="rId26"/>
    <sheet name="30" sheetId="216" r:id="rId27"/>
    <sheet name="32 " sheetId="217" r:id="rId28"/>
    <sheet name="37 " sheetId="107" state="hidden" r:id="rId29"/>
    <sheet name="38" sheetId="108" state="hidden" r:id="rId30"/>
    <sheet name="39 " sheetId="109" state="hidden" r:id="rId31"/>
    <sheet name="41 " sheetId="111" state="hidden" r:id="rId32"/>
    <sheet name="42 " sheetId="112" state="hidden" r:id="rId33"/>
    <sheet name="47 " sheetId="113" state="hidden" r:id="rId34"/>
    <sheet name="48 " sheetId="114" state="hidden" r:id="rId35"/>
    <sheet name="49 " sheetId="115" state="hidden" r:id="rId36"/>
    <sheet name="36" sheetId="215" state="hidden" r:id="rId37"/>
    <sheet name="37" sheetId="193" state="hidden" r:id="rId38"/>
    <sheet name="50" sheetId="218" r:id="rId39"/>
    <sheet name=" 52 " sheetId="219" r:id="rId40"/>
    <sheet name="56" sheetId="220" r:id="rId41"/>
    <sheet name="57 " sheetId="221" r:id="rId42"/>
    <sheet name="58  " sheetId="222" r:id="rId43"/>
    <sheet name="59 " sheetId="223" r:id="rId44"/>
    <sheet name="60 " sheetId="224" r:id="rId45"/>
    <sheet name="61  " sheetId="225" r:id="rId46"/>
    <sheet name="62" sheetId="226" r:id="rId47"/>
    <sheet name="63" sheetId="227" r:id="rId48"/>
    <sheet name="64 " sheetId="228" r:id="rId49"/>
    <sheet name="66  " sheetId="229" r:id="rId50"/>
    <sheet name="67 " sheetId="230" r:id="rId51"/>
    <sheet name="68 " sheetId="231" r:id="rId52"/>
    <sheet name="69 " sheetId="232" r:id="rId53"/>
    <sheet name="71" sheetId="233" r:id="rId54"/>
    <sheet name="72" sheetId="234" r:id="rId55"/>
    <sheet name="73  " sheetId="235" r:id="rId56"/>
    <sheet name="74 " sheetId="236" r:id="rId57"/>
    <sheet name="75" sheetId="237" r:id="rId58"/>
    <sheet name="46" sheetId="49" state="hidden" r:id="rId59"/>
    <sheet name="F - 99" sheetId="51" r:id="rId60"/>
    <sheet name="F -199 " sheetId="97" r:id="rId61"/>
    <sheet name="199" sheetId="29" state="hidden" r:id="rId62"/>
    <sheet name="99" sheetId="30" state="hidden" r:id="rId63"/>
    <sheet name="List2" sheetId="161" r:id="rId64"/>
  </sheets>
  <definedNames>
    <definedName name="_xlnm.Print_Titles" localSheetId="56">'74 '!$95:$96</definedName>
    <definedName name="_xlnm.Print_Titles" localSheetId="57">'75'!$1193:$1194</definedName>
    <definedName name="_xlnm.Print_Area" localSheetId="39">' 52 '!$A$1:$H$640</definedName>
    <definedName name="_xlnm.Print_Area" localSheetId="2">'01 '!$A$1:$H$61</definedName>
    <definedName name="_xlnm.Print_Area" localSheetId="3">'02'!$A$1:$H$172</definedName>
    <definedName name="_xlnm.Print_Area" localSheetId="4">'03'!$A$1:$H$163</definedName>
    <definedName name="_xlnm.Print_Area" localSheetId="5">'04'!$A$1:$H$45</definedName>
    <definedName name="_xlnm.Print_Area" localSheetId="6">'05'!$A$1:$H$23</definedName>
    <definedName name="_xlnm.Print_Area" localSheetId="7">'06'!$A$1:$H$43</definedName>
    <definedName name="_xlnm.Print_Area" localSheetId="8">'07'!$A$1:$H$51</definedName>
    <definedName name="_xlnm.Print_Area" localSheetId="9">'08'!$A$1:$H$97</definedName>
    <definedName name="_xlnm.Print_Area" localSheetId="13">'09'!$A$1:$H$128</definedName>
    <definedName name="_xlnm.Print_Area" localSheetId="14">'10'!$A$1:$H$324</definedName>
    <definedName name="_xlnm.Print_Area" localSheetId="15">'10 - PO'!$A$1:$I$2871</definedName>
    <definedName name="_xlnm.Print_Area" localSheetId="16">'10 - soukr.šk.'!$A$1:$I$461</definedName>
    <definedName name="_xlnm.Print_Area" localSheetId="17">'11'!$A$1:$H$657</definedName>
    <definedName name="_xlnm.Print_Area" localSheetId="18">'12'!$A$1:$H$124</definedName>
    <definedName name="_xlnm.Print_Area" localSheetId="19">'13 '!$A$1:$H$302</definedName>
    <definedName name="_xlnm.Print_Area" localSheetId="20">'14'!$A$1:$H$172</definedName>
    <definedName name="_xlnm.Print_Area" localSheetId="21">'15'!$A$1:$H$15</definedName>
    <definedName name="_xlnm.Print_Area" localSheetId="22">'16'!$A$1:$H$15</definedName>
    <definedName name="_xlnm.Print_Area" localSheetId="23">'17'!$A$1:$H$128</definedName>
    <definedName name="_xlnm.Print_Area" localSheetId="24">'17-st. akce'!$A$1:$I$1228</definedName>
    <definedName name="_xlnm.Print_Area" localSheetId="25">'18'!$A$1:$H$98</definedName>
    <definedName name="_xlnm.Print_Area" localSheetId="61">'199'!$A$1:$H$67</definedName>
    <definedName name="_xlnm.Print_Area" localSheetId="26">'30'!$A$1:$H$28</definedName>
    <definedName name="_xlnm.Print_Area" localSheetId="27">'32 '!$A$1:$H$26</definedName>
    <definedName name="_xlnm.Print_Area" localSheetId="36">'36'!$A$1:$H$22</definedName>
    <definedName name="_xlnm.Print_Area" localSheetId="37">'37'!$A$1:$H$21</definedName>
    <definedName name="_xlnm.Print_Area" localSheetId="28">'37 '!$A$1:$H$22</definedName>
    <definedName name="_xlnm.Print_Area" localSheetId="29">'38'!$A$1:$H$25</definedName>
    <definedName name="_xlnm.Print_Area" localSheetId="30">'39 '!$A$1:$H$25</definedName>
    <definedName name="_xlnm.Print_Area" localSheetId="31">'41 '!$A$1:$H$25</definedName>
    <definedName name="_xlnm.Print_Area" localSheetId="32">'42 '!$A$1:$H$25</definedName>
    <definedName name="_xlnm.Print_Area" localSheetId="33">'47 '!$A$1:$H$28</definedName>
    <definedName name="_xlnm.Print_Area" localSheetId="34">'48 '!$A$1:$H$25</definedName>
    <definedName name="_xlnm.Print_Area" localSheetId="35">'49 '!$A$1:$H$22</definedName>
    <definedName name="_xlnm.Print_Area" localSheetId="38">'50'!$A$1:$H$362</definedName>
    <definedName name="_xlnm.Print_Area" localSheetId="40">'56'!$A$1:$H$416</definedName>
    <definedName name="_xlnm.Print_Area" localSheetId="41">'57 '!$A$1:$H$240</definedName>
    <definedName name="_xlnm.Print_Area" localSheetId="42">'58  '!$A$1:$H$230</definedName>
    <definedName name="_xlnm.Print_Area" localSheetId="43">'59 '!$A$1:$H$608</definedName>
    <definedName name="_xlnm.Print_Area" localSheetId="44">'60 '!$A$1:$H$120</definedName>
    <definedName name="_xlnm.Print_Area" localSheetId="45">'61  '!$A$1:$H$56</definedName>
    <definedName name="_xlnm.Print_Area" localSheetId="46">'62'!$A$1:$H$56</definedName>
    <definedName name="_xlnm.Print_Area" localSheetId="47">'63'!$A$1:$H$149</definedName>
    <definedName name="_xlnm.Print_Area" localSheetId="48">'64 '!$A$1:$H$277</definedName>
    <definedName name="_xlnm.Print_Area" localSheetId="49">'66  '!$A$1:$H$466</definedName>
    <definedName name="_xlnm.Print_Area" localSheetId="50">'67 '!$A$1:$H$126</definedName>
    <definedName name="_xlnm.Print_Area" localSheetId="51">'68 '!$A$1:$H$104</definedName>
    <definedName name="_xlnm.Print_Area" localSheetId="52">'69 '!$A$1:$H$73</definedName>
    <definedName name="_xlnm.Print_Area" localSheetId="53">'71'!$A$1:$H$41</definedName>
    <definedName name="_xlnm.Print_Area" localSheetId="54">'72'!$A$1:$H$92</definedName>
    <definedName name="_xlnm.Print_Area" localSheetId="55">'73  '!$A$1:$H$67</definedName>
    <definedName name="_xlnm.Print_Area" localSheetId="56">'74 '!$A$1:$H$194</definedName>
    <definedName name="_xlnm.Print_Area" localSheetId="57">'75'!$A$1:$H$1258</definedName>
    <definedName name="_xlnm.Print_Area" localSheetId="62">'99'!$A$1:$H$54</definedName>
    <definedName name="_xlnm.Print_Area" localSheetId="59">'F - 99'!$A$1:$H$50</definedName>
    <definedName name="_xlnm.Print_Area" localSheetId="60">'F -199 '!$A$1:$H$36</definedName>
    <definedName name="_xlnm.Print_Area" localSheetId="1">'Odbor celkem'!$A$1:$F$283</definedName>
    <definedName name="_xlnm.Print_Area" localSheetId="10">OPOK!$A$1:$I$45</definedName>
    <definedName name="_xlnm.Print_Area" localSheetId="0">Rekapitulace!$A$1:$F$37</definedName>
    <definedName name="_xlnm.Print_Area" localSheetId="11">SROP!$A$1:$H$47</definedName>
  </definedNames>
  <calcPr calcId="145621"/>
</workbook>
</file>

<file path=xl/calcChain.xml><?xml version="1.0" encoding="utf-8"?>
<calcChain xmlns="http://schemas.openxmlformats.org/spreadsheetml/2006/main">
  <c r="L70" i="20" l="1"/>
  <c r="L72" i="20"/>
  <c r="L71" i="20"/>
  <c r="G121" i="12" l="1"/>
  <c r="G103" i="12"/>
  <c r="F103" i="12"/>
  <c r="G98" i="12"/>
  <c r="F98" i="12"/>
  <c r="G101" i="12"/>
  <c r="F101" i="12"/>
  <c r="M53" i="20" l="1"/>
  <c r="H74" i="9"/>
  <c r="F33" i="11" l="1"/>
  <c r="H23" i="4"/>
  <c r="I26" i="20"/>
  <c r="H38" i="5"/>
  <c r="H40" i="5"/>
  <c r="F941" i="17" l="1"/>
  <c r="W2853" i="17"/>
  <c r="V2853" i="17"/>
  <c r="H2411" i="17"/>
  <c r="G2411" i="17"/>
  <c r="H2404" i="17"/>
  <c r="G2404" i="17"/>
  <c r="H2393" i="17"/>
  <c r="H459" i="17"/>
  <c r="F2873" i="17"/>
  <c r="F2870" i="17"/>
  <c r="Q478" i="18"/>
  <c r="P478" i="18"/>
  <c r="G2870" i="17"/>
  <c r="S2870" i="17" s="1"/>
  <c r="F2862" i="17"/>
  <c r="R2870" i="17" s="1"/>
  <c r="H2870" i="17"/>
  <c r="H2848" i="17"/>
  <c r="G2848" i="17"/>
  <c r="F2848" i="17"/>
  <c r="I2851" i="17"/>
  <c r="H2834" i="17"/>
  <c r="G2834" i="17"/>
  <c r="I2837" i="17"/>
  <c r="I2835" i="17"/>
  <c r="H2831" i="17"/>
  <c r="G2831" i="17"/>
  <c r="H2823" i="17"/>
  <c r="G2823" i="17"/>
  <c r="I2824" i="17"/>
  <c r="H2819" i="17"/>
  <c r="G2819" i="17"/>
  <c r="F2819" i="17"/>
  <c r="I2822" i="17"/>
  <c r="H2807" i="17"/>
  <c r="G2807" i="17"/>
  <c r="I2810" i="17"/>
  <c r="I2808" i="17"/>
  <c r="H2795" i="17"/>
  <c r="G2795" i="17"/>
  <c r="I2798" i="17"/>
  <c r="I2796" i="17"/>
  <c r="U2787" i="17"/>
  <c r="H2787" i="17"/>
  <c r="G2787" i="17"/>
  <c r="V2787" i="17" s="1"/>
  <c r="I2786" i="17"/>
  <c r="I2785" i="17"/>
  <c r="H2779" i="17"/>
  <c r="G2779" i="17"/>
  <c r="I2782" i="17"/>
  <c r="I2780" i="17"/>
  <c r="H2776" i="17"/>
  <c r="G2776" i="17"/>
  <c r="H2762" i="17"/>
  <c r="G2762" i="17"/>
  <c r="I2765" i="17"/>
  <c r="I2763" i="17"/>
  <c r="H2749" i="17"/>
  <c r="G2749" i="17"/>
  <c r="I2752" i="17"/>
  <c r="I2750" i="17"/>
  <c r="H2735" i="17"/>
  <c r="G2735" i="17"/>
  <c r="I2739" i="17"/>
  <c r="I2738" i="17"/>
  <c r="I2736" i="17"/>
  <c r="H2721" i="17"/>
  <c r="G2721" i="17"/>
  <c r="I2724" i="17"/>
  <c r="I2722" i="17"/>
  <c r="H2707" i="17"/>
  <c r="G2707" i="17"/>
  <c r="I2710" i="17"/>
  <c r="I2708" i="17"/>
  <c r="H2703" i="17"/>
  <c r="G2703" i="17"/>
  <c r="F2703" i="17"/>
  <c r="I2705" i="17"/>
  <c r="H2690" i="17"/>
  <c r="G2690" i="17"/>
  <c r="I2693" i="17"/>
  <c r="I2691" i="17"/>
  <c r="H2675" i="17"/>
  <c r="G2675" i="17"/>
  <c r="I2676" i="17"/>
  <c r="I2678" i="17"/>
  <c r="H2671" i="17"/>
  <c r="H2681" i="17" s="1"/>
  <c r="G2671" i="17"/>
  <c r="F2671" i="17"/>
  <c r="I2679" i="17"/>
  <c r="H2659" i="17"/>
  <c r="G2659" i="17"/>
  <c r="I2662" i="17"/>
  <c r="H2644" i="17"/>
  <c r="G2644" i="17"/>
  <c r="I2647" i="17"/>
  <c r="H2621" i="17"/>
  <c r="G2621" i="17"/>
  <c r="G2616" i="17"/>
  <c r="U2634" i="17"/>
  <c r="H2634" i="17"/>
  <c r="G2634" i="17"/>
  <c r="V2634" i="17" s="1"/>
  <c r="I2633" i="17"/>
  <c r="I2632" i="17"/>
  <c r="I2624" i="17"/>
  <c r="H2616" i="17"/>
  <c r="F2616" i="17"/>
  <c r="I2625" i="17"/>
  <c r="I2609" i="17"/>
  <c r="I2610" i="17"/>
  <c r="H2604" i="17"/>
  <c r="G2604" i="17"/>
  <c r="I2607" i="17"/>
  <c r="H2590" i="17"/>
  <c r="G2590" i="17"/>
  <c r="I2593" i="17"/>
  <c r="H2575" i="17"/>
  <c r="G2575" i="17"/>
  <c r="I2578" i="17"/>
  <c r="H2560" i="17"/>
  <c r="G2560" i="17"/>
  <c r="I2563" i="17"/>
  <c r="H2557" i="17"/>
  <c r="G2557" i="17"/>
  <c r="F2557" i="17"/>
  <c r="G2681" i="17" l="1"/>
  <c r="I2787" i="17"/>
  <c r="W2787" i="17"/>
  <c r="G2631" i="17"/>
  <c r="I2634" i="17"/>
  <c r="W2634" i="17"/>
  <c r="H2546" i="17"/>
  <c r="G2546" i="17"/>
  <c r="I2549" i="17"/>
  <c r="H2534" i="17"/>
  <c r="G2534" i="17"/>
  <c r="I2537" i="17"/>
  <c r="H2520" i="17"/>
  <c r="G2520" i="17"/>
  <c r="I2523" i="17"/>
  <c r="I2546" i="17" l="1"/>
  <c r="H2506" i="17"/>
  <c r="G2506" i="17"/>
  <c r="I2509" i="17"/>
  <c r="I2510" i="17"/>
  <c r="H2492" i="17"/>
  <c r="G2492" i="17"/>
  <c r="I2495" i="17"/>
  <c r="H2489" i="17"/>
  <c r="G2489" i="17"/>
  <c r="F2489" i="17"/>
  <c r="I2496" i="17"/>
  <c r="H2476" i="17"/>
  <c r="G2476" i="17"/>
  <c r="I2479" i="17"/>
  <c r="H2464" i="17"/>
  <c r="G2464" i="17"/>
  <c r="F2461" i="17"/>
  <c r="I2467" i="17"/>
  <c r="H2447" i="17"/>
  <c r="G2447" i="17"/>
  <c r="I2450" i="17"/>
  <c r="H2433" i="17"/>
  <c r="G2433" i="17"/>
  <c r="I2436" i="17"/>
  <c r="H2419" i="17"/>
  <c r="G2419" i="17"/>
  <c r="I2423" i="17"/>
  <c r="I2422" i="17"/>
  <c r="I2409" i="17"/>
  <c r="I2410" i="17"/>
  <c r="I2407" i="17"/>
  <c r="G2393" i="17"/>
  <c r="I2396" i="17"/>
  <c r="I2384" i="17"/>
  <c r="H2370" i="17"/>
  <c r="G2370" i="17"/>
  <c r="I2371" i="17"/>
  <c r="H2366" i="17"/>
  <c r="G2366" i="17"/>
  <c r="F2366" i="17"/>
  <c r="H2339" i="17"/>
  <c r="G2339" i="17"/>
  <c r="I2343" i="17"/>
  <c r="I2340" i="17"/>
  <c r="H2334" i="17"/>
  <c r="G2334" i="17"/>
  <c r="I2337" i="17"/>
  <c r="H2303" i="17"/>
  <c r="G2303" i="17"/>
  <c r="I2307" i="17"/>
  <c r="I2304" i="17"/>
  <c r="H2273" i="17"/>
  <c r="G2273" i="17"/>
  <c r="I2274" i="17"/>
  <c r="H2270" i="17"/>
  <c r="G2270" i="17"/>
  <c r="H2262" i="17"/>
  <c r="G2262" i="17"/>
  <c r="I2268" i="17"/>
  <c r="I2263" i="17"/>
  <c r="H2248" i="17"/>
  <c r="G2248" i="17"/>
  <c r="I2254" i="17"/>
  <c r="I2253" i="17"/>
  <c r="I2251" i="17"/>
  <c r="H2229" i="17"/>
  <c r="G2229" i="17"/>
  <c r="I2230" i="17"/>
  <c r="H2226" i="17"/>
  <c r="G2226" i="17"/>
  <c r="F2226" i="17"/>
  <c r="H2221" i="17"/>
  <c r="G2221" i="17"/>
  <c r="F2221" i="17"/>
  <c r="I2215" i="17"/>
  <c r="U2216" i="17"/>
  <c r="H2216" i="17"/>
  <c r="G2216" i="17"/>
  <c r="V2216" i="17" s="1"/>
  <c r="I2214" i="17"/>
  <c r="G2194" i="17"/>
  <c r="H2194" i="17"/>
  <c r="I2197" i="17"/>
  <c r="H2189" i="17"/>
  <c r="G2189" i="17"/>
  <c r="I2191" i="17"/>
  <c r="H2165" i="17"/>
  <c r="G2165" i="17"/>
  <c r="I2169" i="17"/>
  <c r="I2166" i="17"/>
  <c r="H2161" i="17"/>
  <c r="G2161" i="17"/>
  <c r="F2161" i="17"/>
  <c r="H2143" i="17"/>
  <c r="G2143" i="17"/>
  <c r="I2147" i="17"/>
  <c r="I2144" i="17"/>
  <c r="H2106" i="17"/>
  <c r="G2106" i="17"/>
  <c r="I2110" i="17"/>
  <c r="I2107" i="17"/>
  <c r="H2101" i="17"/>
  <c r="G2101" i="17"/>
  <c r="F2101" i="17"/>
  <c r="I2104" i="17"/>
  <c r="I2216" i="17" l="1"/>
  <c r="W2216" i="17"/>
  <c r="H2076" i="17"/>
  <c r="G2076" i="17"/>
  <c r="I2080" i="17"/>
  <c r="I2077" i="17"/>
  <c r="F2071" i="17" l="1"/>
  <c r="H2071" i="17"/>
  <c r="G2071" i="17"/>
  <c r="I2074" i="17"/>
  <c r="H2066" i="17"/>
  <c r="G2066" i="17"/>
  <c r="I2070" i="17"/>
  <c r="I2067" i="17"/>
  <c r="H2052" i="17"/>
  <c r="G2052" i="17"/>
  <c r="F2052" i="17"/>
  <c r="I2054" i="17"/>
  <c r="H2046" i="17"/>
  <c r="G2046" i="17"/>
  <c r="I2050" i="17"/>
  <c r="I2047" i="17"/>
  <c r="H2038" i="17"/>
  <c r="G2038" i="17"/>
  <c r="F2038" i="17"/>
  <c r="H2019" i="17"/>
  <c r="G2019" i="17"/>
  <c r="I2023" i="17"/>
  <c r="I2022" i="17"/>
  <c r="H2015" i="17"/>
  <c r="G2015" i="17"/>
  <c r="F2015" i="17"/>
  <c r="H1981" i="17"/>
  <c r="G1981" i="17"/>
  <c r="I1983" i="17"/>
  <c r="I1988" i="17"/>
  <c r="I1982" i="17"/>
  <c r="H1977" i="17"/>
  <c r="G1977" i="17"/>
  <c r="F1977" i="17"/>
  <c r="H1945" i="17" l="1"/>
  <c r="G1945" i="17"/>
  <c r="I1952" i="17"/>
  <c r="I1949" i="17"/>
  <c r="H1942" i="17"/>
  <c r="G1942" i="17"/>
  <c r="F1942" i="17"/>
  <c r="I1946" i="17"/>
  <c r="H1923" i="17"/>
  <c r="G1923" i="17"/>
  <c r="I1927" i="17"/>
  <c r="I1924" i="17"/>
  <c r="H1918" i="17"/>
  <c r="G1918" i="17"/>
  <c r="G1935" i="17" s="1"/>
  <c r="H1895" i="17"/>
  <c r="G1895" i="17"/>
  <c r="I1898" i="17"/>
  <c r="H1891" i="17"/>
  <c r="G1891" i="17"/>
  <c r="F1891" i="17"/>
  <c r="H1867" i="17"/>
  <c r="G1867" i="17"/>
  <c r="I1873" i="17"/>
  <c r="H1864" i="17"/>
  <c r="G1864" i="17"/>
  <c r="F1864" i="17"/>
  <c r="I1855" i="17"/>
  <c r="H1839" i="17"/>
  <c r="G1839" i="17"/>
  <c r="I1843" i="17"/>
  <c r="I1840" i="17"/>
  <c r="G1834" i="17"/>
  <c r="I1825" i="17"/>
  <c r="I1826" i="17"/>
  <c r="I1823" i="17"/>
  <c r="I1824" i="17"/>
  <c r="H1802" i="17"/>
  <c r="G1802" i="17"/>
  <c r="I1804" i="17"/>
  <c r="I1809" i="17"/>
  <c r="I1803" i="17"/>
  <c r="I1763" i="17"/>
  <c r="G1782" i="17"/>
  <c r="H1777" i="17"/>
  <c r="G1777" i="17"/>
  <c r="F1777" i="17"/>
  <c r="H1769" i="17"/>
  <c r="G1769" i="17"/>
  <c r="I1773" i="17"/>
  <c r="I1770" i="17"/>
  <c r="H1765" i="17"/>
  <c r="G1765" i="17"/>
  <c r="F1765" i="17"/>
  <c r="H1747" i="17"/>
  <c r="G1747" i="17"/>
  <c r="F1747" i="17"/>
  <c r="I1749" i="17"/>
  <c r="H1741" i="17"/>
  <c r="G1741" i="17"/>
  <c r="I1745" i="17"/>
  <c r="I1742" i="17"/>
  <c r="H1738" i="17"/>
  <c r="G1738" i="17"/>
  <c r="F1738" i="17"/>
  <c r="I1729" i="17"/>
  <c r="H1724" i="17"/>
  <c r="G1724" i="17"/>
  <c r="I1730" i="17"/>
  <c r="I1727" i="17"/>
  <c r="H1721" i="17"/>
  <c r="G1721" i="17"/>
  <c r="G1731" i="17" s="1"/>
  <c r="F1721" i="17"/>
  <c r="H1709" i="17"/>
  <c r="G1709" i="17"/>
  <c r="I1713" i="17"/>
  <c r="H1706" i="17"/>
  <c r="G1706" i="17"/>
  <c r="F1706" i="17"/>
  <c r="I1710" i="17"/>
  <c r="I1698" i="17"/>
  <c r="I1699" i="17"/>
  <c r="H1676" i="17"/>
  <c r="G1676" i="17"/>
  <c r="I1680" i="17"/>
  <c r="H1673" i="17"/>
  <c r="G1673" i="17"/>
  <c r="F1673" i="17"/>
  <c r="I1677" i="17"/>
  <c r="H1731" i="17" l="1"/>
  <c r="H1935" i="17"/>
  <c r="F1756" i="17"/>
  <c r="G1857" i="17"/>
  <c r="G1787" i="17"/>
  <c r="H1756" i="17"/>
  <c r="G1756" i="17"/>
  <c r="H1661" i="17"/>
  <c r="G1661" i="17"/>
  <c r="I1665" i="17"/>
  <c r="H1658" i="17"/>
  <c r="G1658" i="17"/>
  <c r="F1658" i="17"/>
  <c r="I1662" i="17"/>
  <c r="H1637" i="17"/>
  <c r="G1637" i="17"/>
  <c r="I1640" i="17"/>
  <c r="H1622" i="17"/>
  <c r="G1622" i="17"/>
  <c r="I1623" i="17"/>
  <c r="I1626" i="17"/>
  <c r="H1619" i="17"/>
  <c r="H1628" i="17" s="1"/>
  <c r="G1619" i="17"/>
  <c r="F1619" i="17"/>
  <c r="F1628" i="17" s="1"/>
  <c r="H1601" i="17"/>
  <c r="G1601" i="17"/>
  <c r="I1605" i="17"/>
  <c r="I1602" i="17"/>
  <c r="I1606" i="17"/>
  <c r="H1579" i="17"/>
  <c r="G1579" i="17"/>
  <c r="I1583" i="17"/>
  <c r="H1576" i="17"/>
  <c r="G1576" i="17"/>
  <c r="F1576" i="17"/>
  <c r="I1580" i="17"/>
  <c r="H1549" i="17"/>
  <c r="G1549" i="17"/>
  <c r="H1539" i="17"/>
  <c r="G1539" i="17"/>
  <c r="I1543" i="17"/>
  <c r="I1540" i="17"/>
  <c r="H1514" i="17"/>
  <c r="G1514" i="17"/>
  <c r="I1526" i="17"/>
  <c r="I1527" i="17"/>
  <c r="I1524" i="17"/>
  <c r="I1525" i="17"/>
  <c r="H1519" i="17"/>
  <c r="G1519" i="17"/>
  <c r="I1522" i="17"/>
  <c r="I1517" i="17"/>
  <c r="H1511" i="17"/>
  <c r="G1511" i="17"/>
  <c r="I1512" i="17"/>
  <c r="I1500" i="17"/>
  <c r="I1501" i="17"/>
  <c r="H1495" i="17"/>
  <c r="G1495" i="17"/>
  <c r="H1490" i="17"/>
  <c r="G1490" i="17"/>
  <c r="F1490" i="17"/>
  <c r="H1483" i="17"/>
  <c r="G1483" i="17"/>
  <c r="I1486" i="17"/>
  <c r="F1479" i="17"/>
  <c r="H1479" i="17"/>
  <c r="G1479" i="17"/>
  <c r="I1472" i="17"/>
  <c r="I1473" i="17"/>
  <c r="H1467" i="17"/>
  <c r="G1467" i="17"/>
  <c r="I1470" i="17"/>
  <c r="G1628" i="17" l="1"/>
  <c r="G1530" i="17"/>
  <c r="H1530" i="17"/>
  <c r="H1504" i="17"/>
  <c r="G1504" i="17"/>
  <c r="H1438" i="17"/>
  <c r="G1438" i="17"/>
  <c r="I1443" i="17"/>
  <c r="I1440" i="17"/>
  <c r="I1439" i="17"/>
  <c r="H1398" i="17"/>
  <c r="G1398" i="17"/>
  <c r="I1410" i="17"/>
  <c r="I1403" i="17"/>
  <c r="H1394" i="17"/>
  <c r="G1394" i="17"/>
  <c r="G1424" i="17" s="1"/>
  <c r="F1394" i="17"/>
  <c r="I1402" i="17"/>
  <c r="I1399" i="17"/>
  <c r="I1396" i="17"/>
  <c r="H1366" i="17"/>
  <c r="G1366" i="17"/>
  <c r="G1370" i="17"/>
  <c r="H1370" i="17"/>
  <c r="I1373" i="17"/>
  <c r="I1369" i="17"/>
  <c r="H1341" i="17"/>
  <c r="G1341" i="17"/>
  <c r="I1350" i="17"/>
  <c r="I1349" i="17"/>
  <c r="I1347" i="17"/>
  <c r="H1338" i="17"/>
  <c r="G1338" i="17"/>
  <c r="F1338" i="17"/>
  <c r="I1342" i="17"/>
  <c r="H1331" i="17"/>
  <c r="G1331" i="17"/>
  <c r="I1333" i="17"/>
  <c r="H1328" i="17"/>
  <c r="G1328" i="17"/>
  <c r="F1328" i="17"/>
  <c r="I1332" i="17"/>
  <c r="H1291" i="17"/>
  <c r="G1291" i="17"/>
  <c r="I1302" i="17"/>
  <c r="I1294" i="17"/>
  <c r="I1292" i="17"/>
  <c r="H1288" i="17"/>
  <c r="G1288" i="17"/>
  <c r="F1288" i="17"/>
  <c r="I1299" i="17"/>
  <c r="I1296" i="17"/>
  <c r="G1274" i="17"/>
  <c r="H1274" i="17"/>
  <c r="I1278" i="17"/>
  <c r="I1277" i="17"/>
  <c r="H1267" i="17"/>
  <c r="G1267" i="17"/>
  <c r="I1268" i="17"/>
  <c r="H1424" i="17" l="1"/>
  <c r="H1250" i="17"/>
  <c r="G1250" i="17"/>
  <c r="I1253" i="17"/>
  <c r="I1251" i="17"/>
  <c r="H1247" i="17"/>
  <c r="G1247" i="17"/>
  <c r="H1232" i="17"/>
  <c r="G1232" i="17"/>
  <c r="I1236" i="17"/>
  <c r="I1234" i="17"/>
  <c r="I1233" i="17"/>
  <c r="G1197" i="17" l="1"/>
  <c r="H1197" i="17"/>
  <c r="I1202" i="17"/>
  <c r="I1200" i="17"/>
  <c r="I1199" i="17"/>
  <c r="I1198" i="17"/>
  <c r="H1194" i="17"/>
  <c r="G1194" i="17"/>
  <c r="F1194" i="17"/>
  <c r="H1181" i="17"/>
  <c r="G1181" i="17"/>
  <c r="H1176" i="17"/>
  <c r="G1176" i="17"/>
  <c r="H1164" i="17"/>
  <c r="G1164" i="17"/>
  <c r="I1168" i="17"/>
  <c r="I1166" i="17"/>
  <c r="I1165" i="17"/>
  <c r="H1159" i="17"/>
  <c r="G1159" i="17"/>
  <c r="H1155" i="17"/>
  <c r="G1155" i="17"/>
  <c r="H1152" i="17"/>
  <c r="G1152" i="17"/>
  <c r="F1152" i="17"/>
  <c r="I1142" i="17" l="1"/>
  <c r="I1143" i="17"/>
  <c r="H1139" i="17"/>
  <c r="G1139" i="17"/>
  <c r="I1140" i="17"/>
  <c r="H1127" i="17"/>
  <c r="G1127" i="17"/>
  <c r="I1133" i="17"/>
  <c r="I1131" i="17"/>
  <c r="H1123" i="17"/>
  <c r="G1123" i="17"/>
  <c r="I1128" i="17"/>
  <c r="I1126" i="17"/>
  <c r="H1099" i="17"/>
  <c r="G1099" i="17"/>
  <c r="I1102" i="17"/>
  <c r="I1100" i="17"/>
  <c r="U1088" i="17"/>
  <c r="H1088" i="17"/>
  <c r="G1088" i="17"/>
  <c r="V1088" i="17" s="1"/>
  <c r="I1087" i="17"/>
  <c r="I1086" i="17"/>
  <c r="H1070" i="17"/>
  <c r="G1070" i="17"/>
  <c r="F1070" i="17"/>
  <c r="H1064" i="17"/>
  <c r="G1064" i="17"/>
  <c r="I1068" i="17"/>
  <c r="I1066" i="17"/>
  <c r="I1065" i="17"/>
  <c r="H1059" i="17"/>
  <c r="G1059" i="17"/>
  <c r="F1059" i="17"/>
  <c r="I1062" i="17"/>
  <c r="H1056" i="17"/>
  <c r="G1056" i="17"/>
  <c r="H1052" i="17"/>
  <c r="G1052" i="17"/>
  <c r="I1055" i="17"/>
  <c r="F1052" i="17"/>
  <c r="I1057" i="17"/>
  <c r="H1026" i="17"/>
  <c r="G1026" i="17"/>
  <c r="I1030" i="17"/>
  <c r="I1029" i="17"/>
  <c r="I1027" i="17"/>
  <c r="H1018" i="17"/>
  <c r="G1018" i="17"/>
  <c r="I1020" i="17"/>
  <c r="H1015" i="17"/>
  <c r="G1015" i="17"/>
  <c r="I1019" i="17"/>
  <c r="H1002" i="17"/>
  <c r="G1002" i="17"/>
  <c r="I1006" i="17"/>
  <c r="I1004" i="17"/>
  <c r="H997" i="17"/>
  <c r="G997" i="17"/>
  <c r="F997" i="17"/>
  <c r="I1001" i="17"/>
  <c r="I1003" i="17"/>
  <c r="I999" i="17"/>
  <c r="I980" i="17"/>
  <c r="I981" i="17"/>
  <c r="H968" i="17"/>
  <c r="G968" i="17"/>
  <c r="I974" i="17"/>
  <c r="I972" i="17"/>
  <c r="I970" i="17"/>
  <c r="H965" i="17"/>
  <c r="G965" i="17"/>
  <c r="F965" i="17"/>
  <c r="I969" i="17"/>
  <c r="I958" i="17"/>
  <c r="H949" i="17"/>
  <c r="G949" i="17"/>
  <c r="I954" i="17"/>
  <c r="I952" i="17"/>
  <c r="I951" i="17"/>
  <c r="I950" i="17"/>
  <c r="I937" i="17"/>
  <c r="H928" i="17"/>
  <c r="G928" i="17"/>
  <c r="I933" i="17"/>
  <c r="I931" i="17"/>
  <c r="I930" i="17"/>
  <c r="H925" i="17"/>
  <c r="G925" i="17"/>
  <c r="G941" i="17" s="1"/>
  <c r="H915" i="17"/>
  <c r="G915" i="17"/>
  <c r="G898" i="17"/>
  <c r="H898" i="17"/>
  <c r="I903" i="17"/>
  <c r="I901" i="17"/>
  <c r="I900" i="17"/>
  <c r="H895" i="17"/>
  <c r="G895" i="17"/>
  <c r="F895" i="17"/>
  <c r="I899" i="17"/>
  <c r="G1008" i="17" l="1"/>
  <c r="I1088" i="17"/>
  <c r="W1088" i="17"/>
  <c r="H1008" i="17"/>
  <c r="H941" i="17"/>
  <c r="H880" i="17"/>
  <c r="G880" i="17"/>
  <c r="H877" i="17"/>
  <c r="G877" i="17"/>
  <c r="I886" i="17"/>
  <c r="I884" i="17"/>
  <c r="I883" i="17"/>
  <c r="I887" i="17"/>
  <c r="I881" i="17"/>
  <c r="I882" i="17"/>
  <c r="H863" i="17"/>
  <c r="G863" i="17"/>
  <c r="I868" i="17"/>
  <c r="I866" i="17"/>
  <c r="I865" i="17"/>
  <c r="H859" i="17"/>
  <c r="G859" i="17"/>
  <c r="I864" i="17"/>
  <c r="I861" i="17"/>
  <c r="G841" i="17"/>
  <c r="H841" i="17"/>
  <c r="I846" i="17"/>
  <c r="I844" i="17"/>
  <c r="I843" i="17"/>
  <c r="H838" i="17"/>
  <c r="G838" i="17"/>
  <c r="F838" i="17"/>
  <c r="I842" i="17"/>
  <c r="I829" i="17"/>
  <c r="I830" i="17"/>
  <c r="H820" i="17"/>
  <c r="G820" i="17"/>
  <c r="I825" i="17"/>
  <c r="I823" i="17"/>
  <c r="I822" i="17"/>
  <c r="H817" i="17"/>
  <c r="G817" i="17"/>
  <c r="I821" i="17"/>
  <c r="H801" i="17"/>
  <c r="I809" i="17"/>
  <c r="I808" i="17"/>
  <c r="G801" i="17"/>
  <c r="I806" i="17"/>
  <c r="I804" i="17"/>
  <c r="I803" i="17"/>
  <c r="H798" i="17"/>
  <c r="G798" i="17"/>
  <c r="F798" i="17"/>
  <c r="I802" i="17"/>
  <c r="H872" i="17" l="1"/>
  <c r="G872" i="17"/>
  <c r="G831" i="17"/>
  <c r="H831" i="17"/>
  <c r="H810" i="17"/>
  <c r="G810" i="17"/>
  <c r="H789" i="17"/>
  <c r="G789" i="17"/>
  <c r="H781" i="17"/>
  <c r="G781" i="17"/>
  <c r="I786" i="17"/>
  <c r="I784" i="17"/>
  <c r="I783" i="17"/>
  <c r="H778" i="17"/>
  <c r="G778" i="17"/>
  <c r="F778" i="17"/>
  <c r="I782" i="17"/>
  <c r="G758" i="17"/>
  <c r="H758" i="17"/>
  <c r="H768" i="17"/>
  <c r="G768" i="17"/>
  <c r="I763" i="17"/>
  <c r="H788" i="17" l="1"/>
  <c r="G788" i="17"/>
  <c r="I761" i="17"/>
  <c r="I760" i="17"/>
  <c r="G754" i="17"/>
  <c r="G771" i="17" s="1"/>
  <c r="H754" i="17"/>
  <c r="F754" i="17"/>
  <c r="I759" i="17"/>
  <c r="H744" i="17"/>
  <c r="G744" i="17"/>
  <c r="I745" i="17"/>
  <c r="H726" i="17"/>
  <c r="G726" i="17"/>
  <c r="I732" i="17"/>
  <c r="I730" i="17"/>
  <c r="H710" i="17"/>
  <c r="G710" i="17"/>
  <c r="F710" i="17"/>
  <c r="I711" i="17"/>
  <c r="H696" i="17"/>
  <c r="G696" i="17"/>
  <c r="I705" i="17"/>
  <c r="I729" i="17"/>
  <c r="H722" i="17"/>
  <c r="G722" i="17"/>
  <c r="F722" i="17"/>
  <c r="I728" i="17"/>
  <c r="I727" i="17"/>
  <c r="I724" i="17"/>
  <c r="I704" i="17"/>
  <c r="I702" i="17"/>
  <c r="I699" i="17"/>
  <c r="I698" i="17"/>
  <c r="I697" i="17"/>
  <c r="I691" i="17"/>
  <c r="H673" i="17"/>
  <c r="G673" i="17"/>
  <c r="I678" i="17"/>
  <c r="I676" i="17"/>
  <c r="I675" i="17"/>
  <c r="G668" i="17"/>
  <c r="F668" i="17"/>
  <c r="F682" i="17" s="1"/>
  <c r="I672" i="17"/>
  <c r="I674" i="17"/>
  <c r="H649" i="17"/>
  <c r="G649" i="17"/>
  <c r="I654" i="17"/>
  <c r="I653" i="17"/>
  <c r="I651" i="17"/>
  <c r="I650" i="17"/>
  <c r="H646" i="17"/>
  <c r="G646" i="17"/>
  <c r="I655" i="17"/>
  <c r="H634" i="17"/>
  <c r="G634" i="17"/>
  <c r="I637" i="17"/>
  <c r="I635" i="17"/>
  <c r="H614" i="17"/>
  <c r="G614" i="17"/>
  <c r="I615" i="17"/>
  <c r="I616" i="17"/>
  <c r="H607" i="17"/>
  <c r="G607" i="17"/>
  <c r="I608" i="17"/>
  <c r="I606" i="17"/>
  <c r="I605" i="17"/>
  <c r="G682" i="17" l="1"/>
  <c r="H791" i="17"/>
  <c r="G791" i="17"/>
  <c r="V791" i="17" s="1"/>
  <c r="F791" i="17"/>
  <c r="U791" i="17" s="1"/>
  <c r="I790" i="17"/>
  <c r="I789" i="17"/>
  <c r="H747" i="17"/>
  <c r="G747" i="17"/>
  <c r="V747" i="17" s="1"/>
  <c r="F747" i="17"/>
  <c r="U747" i="17" s="1"/>
  <c r="I746" i="17"/>
  <c r="I744" i="17"/>
  <c r="H579" i="17"/>
  <c r="G579" i="17"/>
  <c r="I580" i="17"/>
  <c r="H572" i="17"/>
  <c r="G572" i="17"/>
  <c r="I575" i="17"/>
  <c r="I573" i="17"/>
  <c r="G569" i="17"/>
  <c r="H565" i="17"/>
  <c r="G565" i="17"/>
  <c r="I566" i="17"/>
  <c r="H541" i="17"/>
  <c r="G541" i="17"/>
  <c r="I542" i="17"/>
  <c r="H529" i="17"/>
  <c r="G529" i="17"/>
  <c r="I539" i="17"/>
  <c r="I536" i="17"/>
  <c r="I535" i="17"/>
  <c r="I533" i="17"/>
  <c r="I532" i="17"/>
  <c r="I530" i="17"/>
  <c r="I520" i="17"/>
  <c r="I519" i="17"/>
  <c r="H510" i="17"/>
  <c r="H521" i="17" s="1"/>
  <c r="G510" i="17"/>
  <c r="G521" i="17" s="1"/>
  <c r="I513" i="17"/>
  <c r="I511" i="17"/>
  <c r="H486" i="17"/>
  <c r="G486" i="17"/>
  <c r="I491" i="17"/>
  <c r="G478" i="17"/>
  <c r="I489" i="17"/>
  <c r="I487" i="17"/>
  <c r="I467" i="17"/>
  <c r="I466" i="17"/>
  <c r="H468" i="17"/>
  <c r="G459" i="17"/>
  <c r="G468" i="17" s="1"/>
  <c r="I462" i="17"/>
  <c r="I460" i="17"/>
  <c r="H446" i="17"/>
  <c r="G446" i="17"/>
  <c r="I449" i="17"/>
  <c r="I447" i="17"/>
  <c r="H418" i="17"/>
  <c r="G418" i="17"/>
  <c r="I421" i="17"/>
  <c r="I419" i="17"/>
  <c r="H393" i="17"/>
  <c r="G393" i="17"/>
  <c r="F406" i="17"/>
  <c r="U406" i="17" s="1"/>
  <c r="I404" i="17"/>
  <c r="H403" i="17"/>
  <c r="H406" i="17" s="1"/>
  <c r="G403" i="17"/>
  <c r="G406" i="17" s="1"/>
  <c r="V406" i="17" s="1"/>
  <c r="I396" i="17"/>
  <c r="I394" i="17"/>
  <c r="G599" i="17" l="1"/>
  <c r="I747" i="17"/>
  <c r="I791" i="17"/>
  <c r="W791" i="17"/>
  <c r="W747" i="17"/>
  <c r="W406" i="17"/>
  <c r="I406" i="17"/>
  <c r="I403" i="17"/>
  <c r="H379" i="17"/>
  <c r="G379" i="17"/>
  <c r="I382" i="17"/>
  <c r="I380" i="17"/>
  <c r="H362" i="17"/>
  <c r="G362" i="17"/>
  <c r="I365" i="17"/>
  <c r="I363" i="17"/>
  <c r="H330" i="17"/>
  <c r="G330" i="17"/>
  <c r="I331" i="17"/>
  <c r="I334" i="17"/>
  <c r="I332" i="17"/>
  <c r="H313" i="17"/>
  <c r="G313" i="17"/>
  <c r="I316" i="17"/>
  <c r="I314" i="17"/>
  <c r="F302" i="17"/>
  <c r="H297" i="17"/>
  <c r="H302" i="17" s="1"/>
  <c r="G297" i="17"/>
  <c r="G302" i="17" s="1"/>
  <c r="I300" i="17"/>
  <c r="I298" i="17"/>
  <c r="H284" i="17"/>
  <c r="G284" i="17"/>
  <c r="I287" i="17"/>
  <c r="I285" i="17"/>
  <c r="G281" i="17"/>
  <c r="H278" i="17"/>
  <c r="G278" i="17"/>
  <c r="I279" i="17"/>
  <c r="I265" i="17"/>
  <c r="I266" i="17"/>
  <c r="I263" i="17"/>
  <c r="I264" i="17"/>
  <c r="H257" i="17"/>
  <c r="G257" i="17"/>
  <c r="I258" i="17"/>
  <c r="H253" i="17"/>
  <c r="G253" i="17"/>
  <c r="I254" i="17"/>
  <c r="H224" i="17"/>
  <c r="G224" i="17"/>
  <c r="H227" i="17"/>
  <c r="G227" i="17"/>
  <c r="I230" i="17"/>
  <c r="I228" i="17"/>
  <c r="H220" i="17"/>
  <c r="G220" i="17"/>
  <c r="I221" i="17"/>
  <c r="H213" i="17"/>
  <c r="G213" i="17"/>
  <c r="I214" i="17"/>
  <c r="G289" i="17" l="1"/>
  <c r="H190" i="17"/>
  <c r="G190" i="17"/>
  <c r="I194" i="17"/>
  <c r="I192" i="17"/>
  <c r="I191" i="17"/>
  <c r="H160" i="17"/>
  <c r="G160" i="17"/>
  <c r="I161" i="17"/>
  <c r="I159" i="17"/>
  <c r="I158" i="17"/>
  <c r="H153" i="17"/>
  <c r="G153" i="17"/>
  <c r="I156" i="17"/>
  <c r="I154" i="17"/>
  <c r="H142" i="17" l="1"/>
  <c r="G142" i="17"/>
  <c r="I143" i="17"/>
  <c r="I128" i="17"/>
  <c r="I129" i="17"/>
  <c r="H116" i="17"/>
  <c r="G116" i="17"/>
  <c r="I120" i="17"/>
  <c r="I118" i="17"/>
  <c r="I117" i="17"/>
  <c r="H113" i="17"/>
  <c r="G113" i="17"/>
  <c r="F113" i="17"/>
  <c r="F145" i="17" s="1"/>
  <c r="G109" i="17"/>
  <c r="H109" i="17"/>
  <c r="I110" i="17"/>
  <c r="H145" i="17" l="1"/>
  <c r="G145" i="17"/>
  <c r="H80" i="17"/>
  <c r="G80" i="17"/>
  <c r="I81" i="17"/>
  <c r="I84" i="17"/>
  <c r="I82" i="17"/>
  <c r="H53" i="17"/>
  <c r="G53" i="17"/>
  <c r="I56" i="17"/>
  <c r="I54" i="17"/>
  <c r="H37" i="17"/>
  <c r="G37" i="17"/>
  <c r="I40" i="17"/>
  <c r="I38" i="17"/>
  <c r="H12" i="17"/>
  <c r="G12" i="17"/>
  <c r="H22" i="17"/>
  <c r="G22" i="17"/>
  <c r="I23" i="17"/>
  <c r="H15" i="17"/>
  <c r="G15" i="17"/>
  <c r="I20" i="17"/>
  <c r="I18" i="17"/>
  <c r="I17" i="17"/>
  <c r="I16" i="17"/>
  <c r="I13" i="17"/>
  <c r="L463" i="18"/>
  <c r="K463" i="18"/>
  <c r="J463" i="18"/>
  <c r="G27" i="17" l="1"/>
  <c r="H27" i="17"/>
  <c r="M278" i="20"/>
  <c r="T246" i="20" l="1"/>
  <c r="I278" i="20"/>
  <c r="M281" i="20"/>
  <c r="M280" i="20"/>
  <c r="M277" i="20"/>
  <c r="K80" i="20"/>
  <c r="D10" i="20"/>
  <c r="L289" i="20"/>
  <c r="L288" i="20"/>
  <c r="M289" i="20"/>
  <c r="M288" i="20"/>
  <c r="T234" i="20" l="1"/>
  <c r="K281" i="20" l="1"/>
  <c r="K280" i="20"/>
  <c r="I293" i="20"/>
  <c r="I288" i="20"/>
  <c r="I289" i="20"/>
  <c r="H288" i="20"/>
  <c r="I287" i="20"/>
  <c r="I279" i="20" l="1"/>
  <c r="M276" i="20"/>
  <c r="T280" i="20"/>
  <c r="T229" i="20"/>
  <c r="T171" i="20"/>
  <c r="M246" i="20"/>
  <c r="T270" i="20"/>
  <c r="T113" i="20"/>
  <c r="I297" i="20"/>
  <c r="H297" i="20"/>
  <c r="I296" i="20"/>
  <c r="R278" i="20"/>
  <c r="T276" i="20"/>
  <c r="S276" i="20"/>
  <c r="R276" i="20"/>
  <c r="T275" i="20"/>
  <c r="S275" i="20"/>
  <c r="R275" i="20"/>
  <c r="L273" i="20"/>
  <c r="S246" i="20"/>
  <c r="R246" i="20"/>
  <c r="S245" i="20"/>
  <c r="R245" i="20"/>
  <c r="R227" i="20"/>
  <c r="T235" i="20"/>
  <c r="S235" i="20"/>
  <c r="R235" i="20"/>
  <c r="S234" i="20"/>
  <c r="R234" i="20"/>
  <c r="K241" i="20"/>
  <c r="D151" i="20" l="1"/>
  <c r="G151" i="20"/>
  <c r="H151" i="20"/>
  <c r="I151" i="20"/>
  <c r="C154" i="20"/>
  <c r="C155" i="20"/>
  <c r="C151" i="20" s="1"/>
  <c r="D155" i="20"/>
  <c r="E155" i="20"/>
  <c r="E151" i="20" s="1"/>
  <c r="C156" i="20"/>
  <c r="D156" i="20"/>
  <c r="E156" i="20"/>
  <c r="C157" i="20"/>
  <c r="G157" i="20"/>
  <c r="H157" i="20"/>
  <c r="I157" i="20"/>
  <c r="C160" i="20"/>
  <c r="C161" i="20"/>
  <c r="D161" i="20"/>
  <c r="D157" i="20" s="1"/>
  <c r="E161" i="20"/>
  <c r="C162" i="20"/>
  <c r="D162" i="20"/>
  <c r="E162" i="20"/>
  <c r="E157" i="20" s="1"/>
  <c r="K132" i="20"/>
  <c r="G296" i="55"/>
  <c r="F296" i="55"/>
  <c r="M111" i="20"/>
  <c r="M115" i="20"/>
  <c r="M114" i="20"/>
  <c r="M113" i="20"/>
  <c r="M112" i="20"/>
  <c r="L112" i="20"/>
  <c r="K112" i="20"/>
  <c r="L111" i="20"/>
  <c r="L272" i="20" s="1"/>
  <c r="K111" i="20"/>
  <c r="I20" i="20"/>
  <c r="M57" i="20"/>
  <c r="L57" i="20"/>
  <c r="K57" i="20"/>
  <c r="G7" i="20"/>
  <c r="K54" i="20"/>
  <c r="K53" i="20"/>
  <c r="G159" i="54"/>
  <c r="I52" i="20"/>
  <c r="L114" i="20"/>
  <c r="K114" i="20"/>
  <c r="L113" i="20"/>
  <c r="K113" i="20"/>
  <c r="M56" i="20"/>
  <c r="L56" i="20"/>
  <c r="M55" i="20"/>
  <c r="L55" i="20"/>
  <c r="M54" i="20"/>
  <c r="L54" i="20"/>
  <c r="L53" i="20"/>
  <c r="I271" i="20"/>
  <c r="H271" i="20"/>
  <c r="I270" i="20"/>
  <c r="H270" i="20"/>
  <c r="I269" i="20"/>
  <c r="H269" i="20"/>
  <c r="G271" i="20"/>
  <c r="G270" i="20"/>
  <c r="G269" i="20"/>
  <c r="E271" i="20"/>
  <c r="D271" i="20"/>
  <c r="E270" i="20"/>
  <c r="D270" i="20"/>
  <c r="C271" i="20"/>
  <c r="C270" i="20"/>
  <c r="G1255" i="237"/>
  <c r="F1255" i="237"/>
  <c r="E1255" i="237"/>
  <c r="G1254" i="237"/>
  <c r="F1254" i="237"/>
  <c r="E1254" i="237"/>
  <c r="E1253" i="237"/>
  <c r="C269" i="20" s="1"/>
  <c r="R233" i="20" s="1"/>
  <c r="L1252" i="237"/>
  <c r="K1252" i="237"/>
  <c r="J1252" i="237"/>
  <c r="E1252" i="237"/>
  <c r="E1257" i="237" s="1"/>
  <c r="G1248" i="237"/>
  <c r="F1248" i="237"/>
  <c r="E1248" i="237"/>
  <c r="E1237" i="237"/>
  <c r="H1236" i="237"/>
  <c r="H1235" i="237"/>
  <c r="H1234" i="237"/>
  <c r="H1233" i="237"/>
  <c r="H1232" i="237"/>
  <c r="H1231" i="237"/>
  <c r="H1230" i="237"/>
  <c r="F1230" i="237"/>
  <c r="F1229" i="237"/>
  <c r="H1228" i="237"/>
  <c r="H1227" i="237"/>
  <c r="H1226" i="237"/>
  <c r="H1225" i="237"/>
  <c r="H1222" i="237"/>
  <c r="H1221" i="237"/>
  <c r="F1220" i="237"/>
  <c r="H1218" i="237"/>
  <c r="H1217" i="237"/>
  <c r="H1216" i="237"/>
  <c r="H1215" i="237"/>
  <c r="H1214" i="237"/>
  <c r="H1213" i="237"/>
  <c r="H1212" i="237"/>
  <c r="H1210" i="237"/>
  <c r="H1209" i="237"/>
  <c r="H1208" i="237"/>
  <c r="H1207" i="237"/>
  <c r="G1206" i="237"/>
  <c r="H1206" i="237" s="1"/>
  <c r="F1206" i="237"/>
  <c r="G1205" i="237"/>
  <c r="F1205" i="237"/>
  <c r="H1205" i="237" s="1"/>
  <c r="H1204" i="237"/>
  <c r="G1202" i="237"/>
  <c r="F1202" i="237"/>
  <c r="H1202" i="237" s="1"/>
  <c r="H1201" i="237"/>
  <c r="G1201" i="237"/>
  <c r="F1201" i="237"/>
  <c r="G1200" i="237"/>
  <c r="H1200" i="237" s="1"/>
  <c r="F1200" i="237"/>
  <c r="G1199" i="237"/>
  <c r="H1199" i="237" s="1"/>
  <c r="F1199" i="237"/>
  <c r="H1198" i="237"/>
  <c r="H1197" i="237"/>
  <c r="G1196" i="237"/>
  <c r="H1196" i="237" s="1"/>
  <c r="F1196" i="237"/>
  <c r="G1195" i="237"/>
  <c r="F1195" i="237"/>
  <c r="F1237" i="237" s="1"/>
  <c r="E1189" i="237"/>
  <c r="H1188" i="237"/>
  <c r="H1187" i="237"/>
  <c r="H1186" i="237"/>
  <c r="H1185" i="237"/>
  <c r="H1184" i="237"/>
  <c r="H1183" i="237"/>
  <c r="H1182" i="237"/>
  <c r="H1180" i="237"/>
  <c r="H1179" i="237"/>
  <c r="H1178" i="237"/>
  <c r="H1177" i="237"/>
  <c r="H1176" i="237"/>
  <c r="H1175" i="237"/>
  <c r="H1174" i="237"/>
  <c r="G1173" i="237"/>
  <c r="H1173" i="237" s="1"/>
  <c r="F1173" i="237"/>
  <c r="G1172" i="237"/>
  <c r="F1172" i="237"/>
  <c r="F1189" i="237" s="1"/>
  <c r="E1166" i="237"/>
  <c r="H1165" i="237"/>
  <c r="H1164" i="237"/>
  <c r="H1163" i="237"/>
  <c r="H1162" i="237"/>
  <c r="H1161" i="237"/>
  <c r="H1160" i="237"/>
  <c r="H1159" i="237"/>
  <c r="H1157" i="237"/>
  <c r="H1156" i="237"/>
  <c r="H1155" i="237"/>
  <c r="H1154" i="237"/>
  <c r="H1153" i="237"/>
  <c r="H1152" i="237"/>
  <c r="H1151" i="237"/>
  <c r="G1150" i="237"/>
  <c r="H1150" i="237" s="1"/>
  <c r="F1150" i="237"/>
  <c r="G1149" i="237"/>
  <c r="G1166" i="237" s="1"/>
  <c r="H1166" i="237" s="1"/>
  <c r="F1149" i="237"/>
  <c r="F1166" i="237" s="1"/>
  <c r="E1143" i="237"/>
  <c r="H1142" i="237"/>
  <c r="H1141" i="237"/>
  <c r="H1140" i="237"/>
  <c r="H1139" i="237"/>
  <c r="H1138" i="237"/>
  <c r="H1137" i="237"/>
  <c r="H1136" i="237"/>
  <c r="H1134" i="237"/>
  <c r="H1133" i="237"/>
  <c r="H1132" i="237"/>
  <c r="H1131" i="237"/>
  <c r="H1130" i="237"/>
  <c r="H1129" i="237"/>
  <c r="H1128" i="237"/>
  <c r="G1127" i="237"/>
  <c r="H1127" i="237" s="1"/>
  <c r="F1127" i="237"/>
  <c r="G1126" i="237"/>
  <c r="G1143" i="237" s="1"/>
  <c r="F1126" i="237"/>
  <c r="F1143" i="237" s="1"/>
  <c r="E1120" i="237"/>
  <c r="H1119" i="237"/>
  <c r="H1118" i="237"/>
  <c r="H1117" i="237"/>
  <c r="H1116" i="237"/>
  <c r="H1115" i="237"/>
  <c r="H1114" i="237"/>
  <c r="H1113" i="237"/>
  <c r="H1111" i="237"/>
  <c r="H1110" i="237"/>
  <c r="H1109" i="237"/>
  <c r="H1108" i="237"/>
  <c r="H1107" i="237"/>
  <c r="H1106" i="237"/>
  <c r="H1105" i="237"/>
  <c r="G1104" i="237"/>
  <c r="H1104" i="237" s="1"/>
  <c r="F1104" i="237"/>
  <c r="G1103" i="237"/>
  <c r="F1103" i="237"/>
  <c r="F1120" i="237" s="1"/>
  <c r="E1097" i="237"/>
  <c r="H1096" i="237"/>
  <c r="H1095" i="237"/>
  <c r="H1094" i="237"/>
  <c r="H1093" i="237"/>
  <c r="H1092" i="237"/>
  <c r="H1091" i="237"/>
  <c r="H1090" i="237"/>
  <c r="H1088" i="237"/>
  <c r="H1087" i="237"/>
  <c r="H1086" i="237"/>
  <c r="H1085" i="237"/>
  <c r="H1084" i="237"/>
  <c r="H1083" i="237"/>
  <c r="H1082" i="237"/>
  <c r="G1081" i="237"/>
  <c r="H1081" i="237" s="1"/>
  <c r="F1081" i="237"/>
  <c r="G1080" i="237"/>
  <c r="F1080" i="237"/>
  <c r="F1097" i="237" s="1"/>
  <c r="F1074" i="237"/>
  <c r="E1074" i="237"/>
  <c r="H1073" i="237"/>
  <c r="H1072" i="237"/>
  <c r="H1071" i="237"/>
  <c r="H1070" i="237"/>
  <c r="H1069" i="237"/>
  <c r="H1068" i="237"/>
  <c r="H1067" i="237"/>
  <c r="H1065" i="237"/>
  <c r="H1064" i="237"/>
  <c r="H1063" i="237"/>
  <c r="H1062" i="237"/>
  <c r="H1061" i="237"/>
  <c r="H1060" i="237"/>
  <c r="H1059" i="237"/>
  <c r="G1058" i="237"/>
  <c r="H1058" i="237" s="1"/>
  <c r="F1058" i="237"/>
  <c r="H1057" i="237"/>
  <c r="H1056" i="237"/>
  <c r="H1055" i="237"/>
  <c r="H1054" i="237"/>
  <c r="H1053" i="237"/>
  <c r="H1051" i="237"/>
  <c r="H1050" i="237"/>
  <c r="H1049" i="237"/>
  <c r="H1048" i="237"/>
  <c r="H1047" i="237"/>
  <c r="H1046" i="237"/>
  <c r="G1046" i="237"/>
  <c r="G1074" i="237" s="1"/>
  <c r="H1074" i="237" s="1"/>
  <c r="F1046" i="237"/>
  <c r="H1045" i="237"/>
  <c r="H1044" i="237"/>
  <c r="F1038" i="237"/>
  <c r="E1038" i="237"/>
  <c r="H1037" i="237"/>
  <c r="H1036" i="237"/>
  <c r="H1035" i="237"/>
  <c r="H1034" i="237"/>
  <c r="H1033" i="237"/>
  <c r="H1032" i="237"/>
  <c r="H1031" i="237"/>
  <c r="H1029" i="237"/>
  <c r="H1028" i="237"/>
  <c r="H1027" i="237"/>
  <c r="H1026" i="237"/>
  <c r="H1025" i="237"/>
  <c r="H1024" i="237"/>
  <c r="H1023" i="237"/>
  <c r="G1022" i="237"/>
  <c r="H1022" i="237" s="1"/>
  <c r="F1022" i="237"/>
  <c r="H1021" i="237"/>
  <c r="H1020" i="237"/>
  <c r="H1019" i="237"/>
  <c r="H1018" i="237"/>
  <c r="H1017" i="237"/>
  <c r="H1015" i="237"/>
  <c r="H1014" i="237"/>
  <c r="H1013" i="237"/>
  <c r="H1012" i="237"/>
  <c r="H1011" i="237"/>
  <c r="H1010" i="237"/>
  <c r="G1010" i="237"/>
  <c r="F1010" i="237"/>
  <c r="H1009" i="237"/>
  <c r="H1008" i="237"/>
  <c r="F1002" i="237"/>
  <c r="E1002" i="237"/>
  <c r="H1001" i="237"/>
  <c r="H1000" i="237"/>
  <c r="H999" i="237"/>
  <c r="H998" i="237"/>
  <c r="H997" i="237"/>
  <c r="H996" i="237"/>
  <c r="H995" i="237"/>
  <c r="H993" i="237"/>
  <c r="H992" i="237"/>
  <c r="H991" i="237"/>
  <c r="H990" i="237"/>
  <c r="H989" i="237"/>
  <c r="H988" i="237"/>
  <c r="H987" i="237"/>
  <c r="G986" i="237"/>
  <c r="H986" i="237" s="1"/>
  <c r="F986" i="237"/>
  <c r="H985" i="237"/>
  <c r="H984" i="237"/>
  <c r="H983" i="237"/>
  <c r="H982" i="237"/>
  <c r="H981" i="237"/>
  <c r="H979" i="237"/>
  <c r="H978" i="237"/>
  <c r="H977" i="237"/>
  <c r="H976" i="237"/>
  <c r="H975" i="237"/>
  <c r="H974" i="237"/>
  <c r="G974" i="237"/>
  <c r="G1002" i="237" s="1"/>
  <c r="H1002" i="237" s="1"/>
  <c r="F974" i="237"/>
  <c r="H973" i="237"/>
  <c r="H972" i="237"/>
  <c r="F966" i="237"/>
  <c r="E966" i="237"/>
  <c r="H965" i="237"/>
  <c r="H964" i="237"/>
  <c r="H963" i="237"/>
  <c r="H962" i="237"/>
  <c r="H961" i="237"/>
  <c r="H960" i="237"/>
  <c r="H959" i="237"/>
  <c r="H957" i="237"/>
  <c r="H956" i="237"/>
  <c r="H955" i="237"/>
  <c r="H954" i="237"/>
  <c r="H953" i="237"/>
  <c r="H952" i="237"/>
  <c r="H951" i="237"/>
  <c r="G950" i="237"/>
  <c r="H950" i="237" s="1"/>
  <c r="F950" i="237"/>
  <c r="H949" i="237"/>
  <c r="H948" i="237"/>
  <c r="H947" i="237"/>
  <c r="H946" i="237"/>
  <c r="H945" i="237"/>
  <c r="H943" i="237"/>
  <c r="H942" i="237"/>
  <c r="H941" i="237"/>
  <c r="H940" i="237"/>
  <c r="H939" i="237"/>
  <c r="H938" i="237"/>
  <c r="G938" i="237"/>
  <c r="G966" i="237" s="1"/>
  <c r="H966" i="237" s="1"/>
  <c r="F938" i="237"/>
  <c r="H937" i="237"/>
  <c r="H936" i="237"/>
  <c r="G930" i="237"/>
  <c r="F930" i="237"/>
  <c r="H930" i="237" s="1"/>
  <c r="E930" i="237"/>
  <c r="H929" i="237"/>
  <c r="H928" i="237"/>
  <c r="H927" i="237"/>
  <c r="H926" i="237"/>
  <c r="H925" i="237"/>
  <c r="H924" i="237"/>
  <c r="H923" i="237"/>
  <c r="H921" i="237"/>
  <c r="H920" i="237"/>
  <c r="H919" i="237"/>
  <c r="H918" i="237"/>
  <c r="H917" i="237"/>
  <c r="H916" i="237"/>
  <c r="H915" i="237"/>
  <c r="H914" i="237"/>
  <c r="H913" i="237"/>
  <c r="H912" i="237"/>
  <c r="H911" i="237"/>
  <c r="H910" i="237"/>
  <c r="H909" i="237"/>
  <c r="H907" i="237"/>
  <c r="H906" i="237"/>
  <c r="H905" i="237"/>
  <c r="H904" i="237"/>
  <c r="H903" i="237"/>
  <c r="H901" i="237"/>
  <c r="H900" i="237"/>
  <c r="E894" i="237"/>
  <c r="H893" i="237"/>
  <c r="H892" i="237"/>
  <c r="H891" i="237"/>
  <c r="H890" i="237"/>
  <c r="H889" i="237"/>
  <c r="H888" i="237"/>
  <c r="H887" i="237"/>
  <c r="H885" i="237"/>
  <c r="H884" i="237"/>
  <c r="H883" i="237"/>
  <c r="H882" i="237"/>
  <c r="H881" i="237"/>
  <c r="H880" i="237"/>
  <c r="H879" i="237"/>
  <c r="G878" i="237"/>
  <c r="F878" i="237"/>
  <c r="H877" i="237"/>
  <c r="H876" i="237"/>
  <c r="H875" i="237"/>
  <c r="H874" i="237"/>
  <c r="H873" i="237"/>
  <c r="H871" i="237"/>
  <c r="H870" i="237"/>
  <c r="H869" i="237"/>
  <c r="H868" i="237"/>
  <c r="H867" i="237"/>
  <c r="G866" i="237"/>
  <c r="F866" i="237"/>
  <c r="F894" i="237" s="1"/>
  <c r="H865" i="237"/>
  <c r="H864" i="237"/>
  <c r="E858" i="237"/>
  <c r="H857" i="237"/>
  <c r="H856" i="237"/>
  <c r="H855" i="237"/>
  <c r="H854" i="237"/>
  <c r="H853" i="237"/>
  <c r="H852" i="237"/>
  <c r="H851" i="237"/>
  <c r="H849" i="237"/>
  <c r="H848" i="237"/>
  <c r="H847" i="237"/>
  <c r="H846" i="237"/>
  <c r="H845" i="237"/>
  <c r="H844" i="237"/>
  <c r="H843" i="237"/>
  <c r="G842" i="237"/>
  <c r="F842" i="237"/>
  <c r="H841" i="237"/>
  <c r="H840" i="237"/>
  <c r="H839" i="237"/>
  <c r="H838" i="237"/>
  <c r="H837" i="237"/>
  <c r="H835" i="237"/>
  <c r="H834" i="237"/>
  <c r="H833" i="237"/>
  <c r="H832" i="237"/>
  <c r="H831" i="237"/>
  <c r="G830" i="237"/>
  <c r="F830" i="237"/>
  <c r="F858" i="237" s="1"/>
  <c r="H829" i="237"/>
  <c r="H828" i="237"/>
  <c r="E822" i="237"/>
  <c r="H821" i="237"/>
  <c r="H820" i="237"/>
  <c r="H819" i="237"/>
  <c r="H818" i="237"/>
  <c r="H817" i="237"/>
  <c r="H816" i="237"/>
  <c r="H815" i="237"/>
  <c r="H813" i="237"/>
  <c r="H812" i="237"/>
  <c r="H811" i="237"/>
  <c r="H810" i="237"/>
  <c r="H809" i="237"/>
  <c r="H808" i="237"/>
  <c r="H807" i="237"/>
  <c r="G806" i="237"/>
  <c r="F806" i="237"/>
  <c r="H805" i="237"/>
  <c r="H804" i="237"/>
  <c r="H803" i="237"/>
  <c r="H802" i="237"/>
  <c r="H801" i="237"/>
  <c r="H799" i="237"/>
  <c r="H798" i="237"/>
  <c r="H797" i="237"/>
  <c r="H796" i="237"/>
  <c r="H795" i="237"/>
  <c r="G794" i="237"/>
  <c r="F794" i="237"/>
  <c r="F822" i="237" s="1"/>
  <c r="H793" i="237"/>
  <c r="H792" i="237"/>
  <c r="E786" i="237"/>
  <c r="H785" i="237"/>
  <c r="H784" i="237"/>
  <c r="H783" i="237"/>
  <c r="H782" i="237"/>
  <c r="H781" i="237"/>
  <c r="H780" i="237"/>
  <c r="H779" i="237"/>
  <c r="H777" i="237"/>
  <c r="H776" i="237"/>
  <c r="H775" i="237"/>
  <c r="H774" i="237"/>
  <c r="H773" i="237"/>
  <c r="H772" i="237"/>
  <c r="H771" i="237"/>
  <c r="G770" i="237"/>
  <c r="F770" i="237"/>
  <c r="H769" i="237"/>
  <c r="H768" i="237"/>
  <c r="H767" i="237"/>
  <c r="H766" i="237"/>
  <c r="H765" i="237"/>
  <c r="H763" i="237"/>
  <c r="H762" i="237"/>
  <c r="H761" i="237"/>
  <c r="H760" i="237"/>
  <c r="H759" i="237"/>
  <c r="G758" i="237"/>
  <c r="F758" i="237"/>
  <c r="F786" i="237" s="1"/>
  <c r="H757" i="237"/>
  <c r="H756" i="237"/>
  <c r="E750" i="237"/>
  <c r="H749" i="237"/>
  <c r="H748" i="237"/>
  <c r="H747" i="237"/>
  <c r="H746" i="237"/>
  <c r="H745" i="237"/>
  <c r="H744" i="237"/>
  <c r="H743" i="237"/>
  <c r="H741" i="237"/>
  <c r="H740" i="237"/>
  <c r="H739" i="237"/>
  <c r="H738" i="237"/>
  <c r="H737" i="237"/>
  <c r="H736" i="237"/>
  <c r="H735" i="237"/>
  <c r="G734" i="237"/>
  <c r="F734" i="237"/>
  <c r="H733" i="237"/>
  <c r="H732" i="237"/>
  <c r="H731" i="237"/>
  <c r="H730" i="237"/>
  <c r="H729" i="237"/>
  <c r="H727" i="237"/>
  <c r="H726" i="237"/>
  <c r="H725" i="237"/>
  <c r="H724" i="237"/>
  <c r="H723" i="237"/>
  <c r="G722" i="237"/>
  <c r="F722" i="237"/>
  <c r="F750" i="237" s="1"/>
  <c r="H721" i="237"/>
  <c r="H720" i="237"/>
  <c r="E714" i="237"/>
  <c r="H713" i="237"/>
  <c r="H712" i="237"/>
  <c r="H711" i="237"/>
  <c r="H710" i="237"/>
  <c r="H709" i="237"/>
  <c r="H708" i="237"/>
  <c r="H707" i="237"/>
  <c r="H705" i="237"/>
  <c r="H704" i="237"/>
  <c r="H703" i="237"/>
  <c r="H702" i="237"/>
  <c r="H701" i="237"/>
  <c r="H700" i="237"/>
  <c r="H699" i="237"/>
  <c r="G698" i="237"/>
  <c r="F698" i="237"/>
  <c r="H697" i="237"/>
  <c r="H696" i="237"/>
  <c r="H695" i="237"/>
  <c r="H694" i="237"/>
  <c r="H693" i="237"/>
  <c r="H691" i="237"/>
  <c r="H690" i="237"/>
  <c r="H689" i="237"/>
  <c r="H688" i="237"/>
  <c r="H687" i="237"/>
  <c r="G686" i="237"/>
  <c r="F686" i="237"/>
  <c r="F714" i="237" s="1"/>
  <c r="H685" i="237"/>
  <c r="H684" i="237"/>
  <c r="E678" i="237"/>
  <c r="H677" i="237"/>
  <c r="H676" i="237"/>
  <c r="H675" i="237"/>
  <c r="H674" i="237"/>
  <c r="H673" i="237"/>
  <c r="H672" i="237"/>
  <c r="H671" i="237"/>
  <c r="H669" i="237"/>
  <c r="H668" i="237"/>
  <c r="H667" i="237"/>
  <c r="H666" i="237"/>
  <c r="H665" i="237"/>
  <c r="H664" i="237"/>
  <c r="H663" i="237"/>
  <c r="G662" i="237"/>
  <c r="F662" i="237"/>
  <c r="H661" i="237"/>
  <c r="H660" i="237"/>
  <c r="H659" i="237"/>
  <c r="H658" i="237"/>
  <c r="H657" i="237"/>
  <c r="H655" i="237"/>
  <c r="H654" i="237"/>
  <c r="H653" i="237"/>
  <c r="H652" i="237"/>
  <c r="H651" i="237"/>
  <c r="G650" i="237"/>
  <c r="F650" i="237"/>
  <c r="F678" i="237" s="1"/>
  <c r="H649" i="237"/>
  <c r="H648" i="237"/>
  <c r="E642" i="237"/>
  <c r="H641" i="237"/>
  <c r="H640" i="237"/>
  <c r="H639" i="237"/>
  <c r="H638" i="237"/>
  <c r="H637" i="237"/>
  <c r="H636" i="237"/>
  <c r="H635" i="237"/>
  <c r="H633" i="237"/>
  <c r="H632" i="237"/>
  <c r="H631" i="237"/>
  <c r="H630" i="237"/>
  <c r="H629" i="237"/>
  <c r="H628" i="237"/>
  <c r="H627" i="237"/>
  <c r="G626" i="237"/>
  <c r="F626" i="237"/>
  <c r="H625" i="237"/>
  <c r="H624" i="237"/>
  <c r="H623" i="237"/>
  <c r="H622" i="237"/>
  <c r="H621" i="237"/>
  <c r="H619" i="237"/>
  <c r="H618" i="237"/>
  <c r="H617" i="237"/>
  <c r="H616" i="237"/>
  <c r="H615" i="237"/>
  <c r="G614" i="237"/>
  <c r="F614" i="237"/>
  <c r="F642" i="237" s="1"/>
  <c r="H613" i="237"/>
  <c r="H612" i="237"/>
  <c r="E606" i="237"/>
  <c r="H605" i="237"/>
  <c r="H604" i="237"/>
  <c r="H603" i="237"/>
  <c r="H602" i="237"/>
  <c r="H601" i="237"/>
  <c r="H600" i="237"/>
  <c r="H599" i="237"/>
  <c r="H597" i="237"/>
  <c r="H596" i="237"/>
  <c r="H595" i="237"/>
  <c r="H594" i="237"/>
  <c r="H593" i="237"/>
  <c r="H592" i="237"/>
  <c r="H591" i="237"/>
  <c r="G590" i="237"/>
  <c r="F590" i="237"/>
  <c r="H589" i="237"/>
  <c r="H588" i="237"/>
  <c r="H587" i="237"/>
  <c r="H586" i="237"/>
  <c r="H585" i="237"/>
  <c r="H583" i="237"/>
  <c r="H582" i="237"/>
  <c r="H581" i="237"/>
  <c r="H580" i="237"/>
  <c r="H579" i="237"/>
  <c r="G578" i="237"/>
  <c r="F578" i="237"/>
  <c r="F606" i="237" s="1"/>
  <c r="H577" i="237"/>
  <c r="H576" i="237"/>
  <c r="E570" i="237"/>
  <c r="H569" i="237"/>
  <c r="H568" i="237"/>
  <c r="H567" i="237"/>
  <c r="H566" i="237"/>
  <c r="H565" i="237"/>
  <c r="H564" i="237"/>
  <c r="H563" i="237"/>
  <c r="H561" i="237"/>
  <c r="H560" i="237"/>
  <c r="H559" i="237"/>
  <c r="H558" i="237"/>
  <c r="H557" i="237"/>
  <c r="H556" i="237"/>
  <c r="H555" i="237"/>
  <c r="G554" i="237"/>
  <c r="F554" i="237"/>
  <c r="H553" i="237"/>
  <c r="H552" i="237"/>
  <c r="H551" i="237"/>
  <c r="H550" i="237"/>
  <c r="H549" i="237"/>
  <c r="H547" i="237"/>
  <c r="H546" i="237"/>
  <c r="H545" i="237"/>
  <c r="H544" i="237"/>
  <c r="H543" i="237"/>
  <c r="G542" i="237"/>
  <c r="F542" i="237"/>
  <c r="F570" i="237" s="1"/>
  <c r="H541" i="237"/>
  <c r="H540" i="237"/>
  <c r="E534" i="237"/>
  <c r="H533" i="237"/>
  <c r="H532" i="237"/>
  <c r="H531" i="237"/>
  <c r="H530" i="237"/>
  <c r="H529" i="237"/>
  <c r="H528" i="237"/>
  <c r="H527" i="237"/>
  <c r="H525" i="237"/>
  <c r="H524" i="237"/>
  <c r="H523" i="237"/>
  <c r="H522" i="237"/>
  <c r="H521" i="237"/>
  <c r="H520" i="237"/>
  <c r="H519" i="237"/>
  <c r="G518" i="237"/>
  <c r="F518" i="237"/>
  <c r="H517" i="237"/>
  <c r="H516" i="237"/>
  <c r="H515" i="237"/>
  <c r="H514" i="237"/>
  <c r="H513" i="237"/>
  <c r="H511" i="237"/>
  <c r="H510" i="237"/>
  <c r="H509" i="237"/>
  <c r="H508" i="237"/>
  <c r="H507" i="237"/>
  <c r="G506" i="237"/>
  <c r="F506" i="237"/>
  <c r="F534" i="237" s="1"/>
  <c r="H505" i="237"/>
  <c r="H504" i="237"/>
  <c r="E498" i="237"/>
  <c r="H497" i="237"/>
  <c r="H496" i="237"/>
  <c r="H495" i="237"/>
  <c r="H494" i="237"/>
  <c r="H493" i="237"/>
  <c r="H492" i="237"/>
  <c r="H491" i="237"/>
  <c r="H489" i="237"/>
  <c r="H488" i="237"/>
  <c r="H487" i="237"/>
  <c r="H486" i="237"/>
  <c r="H485" i="237"/>
  <c r="H484" i="237"/>
  <c r="H483" i="237"/>
  <c r="G482" i="237"/>
  <c r="F482" i="237"/>
  <c r="H481" i="237"/>
  <c r="H480" i="237"/>
  <c r="H479" i="237"/>
  <c r="H478" i="237"/>
  <c r="H477" i="237"/>
  <c r="H475" i="237"/>
  <c r="H474" i="237"/>
  <c r="H473" i="237"/>
  <c r="H472" i="237"/>
  <c r="H471" i="237"/>
  <c r="G470" i="237"/>
  <c r="F470" i="237"/>
  <c r="F498" i="237" s="1"/>
  <c r="H469" i="237"/>
  <c r="H468" i="237"/>
  <c r="E462" i="237"/>
  <c r="H461" i="237"/>
  <c r="H460" i="237"/>
  <c r="H459" i="237"/>
  <c r="H458" i="237"/>
  <c r="H457" i="237"/>
  <c r="H456" i="237"/>
  <c r="H455" i="237"/>
  <c r="H453" i="237"/>
  <c r="H452" i="237"/>
  <c r="H451" i="237"/>
  <c r="H450" i="237"/>
  <c r="H449" i="237"/>
  <c r="H448" i="237"/>
  <c r="H447" i="237"/>
  <c r="G446" i="237"/>
  <c r="F446" i="237"/>
  <c r="H445" i="237"/>
  <c r="H444" i="237"/>
  <c r="H443" i="237"/>
  <c r="H442" i="237"/>
  <c r="H441" i="237"/>
  <c r="H439" i="237"/>
  <c r="H438" i="237"/>
  <c r="H437" i="237"/>
  <c r="H436" i="237"/>
  <c r="H435" i="237"/>
  <c r="G434" i="237"/>
  <c r="F434" i="237"/>
  <c r="F462" i="237" s="1"/>
  <c r="H433" i="237"/>
  <c r="H432" i="237"/>
  <c r="E426" i="237"/>
  <c r="H425" i="237"/>
  <c r="H424" i="237"/>
  <c r="H423" i="237"/>
  <c r="H422" i="237"/>
  <c r="H421" i="237"/>
  <c r="H420" i="237"/>
  <c r="H419" i="237"/>
  <c r="H417" i="237"/>
  <c r="H416" i="237"/>
  <c r="H415" i="237"/>
  <c r="H414" i="237"/>
  <c r="H413" i="237"/>
  <c r="H412" i="237"/>
  <c r="H411" i="237"/>
  <c r="G410" i="237"/>
  <c r="F410" i="237"/>
  <c r="H409" i="237"/>
  <c r="H408" i="237"/>
  <c r="H407" i="237"/>
  <c r="H406" i="237"/>
  <c r="H405" i="237"/>
  <c r="H403" i="237"/>
  <c r="H402" i="237"/>
  <c r="H401" i="237"/>
  <c r="H400" i="237"/>
  <c r="H399" i="237"/>
  <c r="G398" i="237"/>
  <c r="F398" i="237"/>
  <c r="F426" i="237" s="1"/>
  <c r="H397" i="237"/>
  <c r="H396" i="237"/>
  <c r="E390" i="237"/>
  <c r="H389" i="237"/>
  <c r="H388" i="237"/>
  <c r="H387" i="237"/>
  <c r="H386" i="237"/>
  <c r="H385" i="237"/>
  <c r="H384" i="237"/>
  <c r="H383" i="237"/>
  <c r="H381" i="237"/>
  <c r="H380" i="237"/>
  <c r="H379" i="237"/>
  <c r="H378" i="237"/>
  <c r="H377" i="237"/>
  <c r="H376" i="237"/>
  <c r="H375" i="237"/>
  <c r="G374" i="237"/>
  <c r="F374" i="237"/>
  <c r="H373" i="237"/>
  <c r="H372" i="237"/>
  <c r="H371" i="237"/>
  <c r="H370" i="237"/>
  <c r="H369" i="237"/>
  <c r="H367" i="237"/>
  <c r="H366" i="237"/>
  <c r="H365" i="237"/>
  <c r="H364" i="237"/>
  <c r="H363" i="237"/>
  <c r="G362" i="237"/>
  <c r="F362" i="237"/>
  <c r="F390" i="237" s="1"/>
  <c r="H361" i="237"/>
  <c r="H360" i="237"/>
  <c r="E354" i="237"/>
  <c r="H353" i="237"/>
  <c r="H352" i="237"/>
  <c r="H351" i="237"/>
  <c r="H350" i="237"/>
  <c r="H349" i="237"/>
  <c r="H348" i="237"/>
  <c r="H347" i="237"/>
  <c r="H345" i="237"/>
  <c r="H344" i="237"/>
  <c r="H343" i="237"/>
  <c r="H342" i="237"/>
  <c r="H341" i="237"/>
  <c r="H340" i="237"/>
  <c r="H339" i="237"/>
  <c r="G338" i="237"/>
  <c r="F338" i="237"/>
  <c r="H337" i="237"/>
  <c r="H336" i="237"/>
  <c r="H335" i="237"/>
  <c r="H334" i="237"/>
  <c r="H333" i="237"/>
  <c r="H331" i="237"/>
  <c r="H330" i="237"/>
  <c r="H329" i="237"/>
  <c r="H328" i="237"/>
  <c r="H327" i="237"/>
  <c r="G326" i="237"/>
  <c r="F326" i="237"/>
  <c r="F354" i="237" s="1"/>
  <c r="H325" i="237"/>
  <c r="H324" i="237"/>
  <c r="E318" i="237"/>
  <c r="H317" i="237"/>
  <c r="H316" i="237"/>
  <c r="H315" i="237"/>
  <c r="H314" i="237"/>
  <c r="H313" i="237"/>
  <c r="H312" i="237"/>
  <c r="H311" i="237"/>
  <c r="H309" i="237"/>
  <c r="H308" i="237"/>
  <c r="H307" i="237"/>
  <c r="H306" i="237"/>
  <c r="H305" i="237"/>
  <c r="H304" i="237"/>
  <c r="H303" i="237"/>
  <c r="G302" i="237"/>
  <c r="F302" i="237"/>
  <c r="H301" i="237"/>
  <c r="H300" i="237"/>
  <c r="H299" i="237"/>
  <c r="H298" i="237"/>
  <c r="H297" i="237"/>
  <c r="H295" i="237"/>
  <c r="H294" i="237"/>
  <c r="H293" i="237"/>
  <c r="H292" i="237"/>
  <c r="H291" i="237"/>
  <c r="G290" i="237"/>
  <c r="F290" i="237"/>
  <c r="F318" i="237" s="1"/>
  <c r="H289" i="237"/>
  <c r="H288" i="237"/>
  <c r="E282" i="237"/>
  <c r="H281" i="237"/>
  <c r="H280" i="237"/>
  <c r="H279" i="237"/>
  <c r="H278" i="237"/>
  <c r="H277" i="237"/>
  <c r="H276" i="237"/>
  <c r="H275" i="237"/>
  <c r="H273" i="237"/>
  <c r="H272" i="237"/>
  <c r="H271" i="237"/>
  <c r="H270" i="237"/>
  <c r="H269" i="237"/>
  <c r="H268" i="237"/>
  <c r="H267" i="237"/>
  <c r="G266" i="237"/>
  <c r="F266" i="237"/>
  <c r="H265" i="237"/>
  <c r="H264" i="237"/>
  <c r="H263" i="237"/>
  <c r="H262" i="237"/>
  <c r="H261" i="237"/>
  <c r="H259" i="237"/>
  <c r="H258" i="237"/>
  <c r="H257" i="237"/>
  <c r="H256" i="237"/>
  <c r="H255" i="237"/>
  <c r="G254" i="237"/>
  <c r="F254" i="237"/>
  <c r="F282" i="237" s="1"/>
  <c r="H253" i="237"/>
  <c r="H252" i="237"/>
  <c r="E246" i="237"/>
  <c r="H245" i="237"/>
  <c r="H244" i="237"/>
  <c r="H243" i="237"/>
  <c r="H242" i="237"/>
  <c r="H241" i="237"/>
  <c r="H240" i="237"/>
  <c r="H239" i="237"/>
  <c r="H237" i="237"/>
  <c r="H236" i="237"/>
  <c r="H235" i="237"/>
  <c r="H234" i="237"/>
  <c r="H233" i="237"/>
  <c r="H232" i="237"/>
  <c r="H231" i="237"/>
  <c r="G230" i="237"/>
  <c r="F230" i="237"/>
  <c r="H229" i="237"/>
  <c r="H228" i="237"/>
  <c r="H227" i="237"/>
  <c r="H226" i="237"/>
  <c r="H225" i="237"/>
  <c r="H223" i="237"/>
  <c r="H222" i="237"/>
  <c r="H221" i="237"/>
  <c r="H220" i="237"/>
  <c r="H219" i="237"/>
  <c r="G218" i="237"/>
  <c r="F218" i="237"/>
  <c r="F246" i="237" s="1"/>
  <c r="H217" i="237"/>
  <c r="H216" i="237"/>
  <c r="E210" i="237"/>
  <c r="H209" i="237"/>
  <c r="H208" i="237"/>
  <c r="H207" i="237"/>
  <c r="H206" i="237"/>
  <c r="H205" i="237"/>
  <c r="H204" i="237"/>
  <c r="H203" i="237"/>
  <c r="H201" i="237"/>
  <c r="H200" i="237"/>
  <c r="H199" i="237"/>
  <c r="H198" i="237"/>
  <c r="H197" i="237"/>
  <c r="H196" i="237"/>
  <c r="H195" i="237"/>
  <c r="G194" i="237"/>
  <c r="F194" i="237"/>
  <c r="H193" i="237"/>
  <c r="H192" i="237"/>
  <c r="H191" i="237"/>
  <c r="H190" i="237"/>
  <c r="H189" i="237"/>
  <c r="H187" i="237"/>
  <c r="H186" i="237"/>
  <c r="H185" i="237"/>
  <c r="H184" i="237"/>
  <c r="H183" i="237"/>
  <c r="G182" i="237"/>
  <c r="F182" i="237"/>
  <c r="F210" i="237" s="1"/>
  <c r="H181" i="237"/>
  <c r="H180" i="237"/>
  <c r="E174" i="237"/>
  <c r="H173" i="237"/>
  <c r="H172" i="237"/>
  <c r="H171" i="237"/>
  <c r="H170" i="237"/>
  <c r="H169" i="237"/>
  <c r="H168" i="237"/>
  <c r="H167" i="237"/>
  <c r="H165" i="237"/>
  <c r="H164" i="237"/>
  <c r="H163" i="237"/>
  <c r="H162" i="237"/>
  <c r="H161" i="237"/>
  <c r="H160" i="237"/>
  <c r="H159" i="237"/>
  <c r="G158" i="237"/>
  <c r="F158" i="237"/>
  <c r="H157" i="237"/>
  <c r="H156" i="237"/>
  <c r="H155" i="237"/>
  <c r="H154" i="237"/>
  <c r="H153" i="237"/>
  <c r="H151" i="237"/>
  <c r="H150" i="237"/>
  <c r="H149" i="237"/>
  <c r="H148" i="237"/>
  <c r="H147" i="237"/>
  <c r="G146" i="237"/>
  <c r="F146" i="237"/>
  <c r="F174" i="237" s="1"/>
  <c r="H145" i="237"/>
  <c r="H144" i="237"/>
  <c r="G138" i="237"/>
  <c r="E138" i="237"/>
  <c r="H137" i="237"/>
  <c r="H136" i="237"/>
  <c r="H135" i="237"/>
  <c r="H134" i="237"/>
  <c r="H133" i="237"/>
  <c r="H132" i="237"/>
  <c r="H131" i="237"/>
  <c r="H129" i="237"/>
  <c r="H128" i="237"/>
  <c r="H127" i="237"/>
  <c r="H126" i="237"/>
  <c r="H125" i="237"/>
  <c r="H124" i="237"/>
  <c r="H123" i="237"/>
  <c r="G122" i="237"/>
  <c r="H122" i="237" s="1"/>
  <c r="F122" i="237"/>
  <c r="H121" i="237"/>
  <c r="H120" i="237"/>
  <c r="H119" i="237"/>
  <c r="H118" i="237"/>
  <c r="H117" i="237"/>
  <c r="H115" i="237"/>
  <c r="H114" i="237"/>
  <c r="H113" i="237"/>
  <c r="H112" i="237"/>
  <c r="H111" i="237"/>
  <c r="G110" i="237"/>
  <c r="F110" i="237"/>
  <c r="F138" i="237" s="1"/>
  <c r="H109" i="237"/>
  <c r="H108" i="237"/>
  <c r="G102" i="237"/>
  <c r="E102" i="237"/>
  <c r="H101" i="237"/>
  <c r="H100" i="237"/>
  <c r="G99" i="237"/>
  <c r="H99" i="237" s="1"/>
  <c r="F99" i="237"/>
  <c r="H98" i="237"/>
  <c r="H97" i="237"/>
  <c r="H96" i="237"/>
  <c r="H95" i="237"/>
  <c r="H94" i="237"/>
  <c r="H92" i="237"/>
  <c r="H91" i="237"/>
  <c r="H90" i="237"/>
  <c r="H89" i="237"/>
  <c r="H88" i="237"/>
  <c r="G87" i="237"/>
  <c r="F87" i="237"/>
  <c r="F102" i="237" s="1"/>
  <c r="H86" i="237"/>
  <c r="H85" i="237"/>
  <c r="G79" i="237"/>
  <c r="F79" i="237"/>
  <c r="E79" i="237"/>
  <c r="H78" i="237"/>
  <c r="H77" i="237"/>
  <c r="H76" i="237"/>
  <c r="H75" i="237"/>
  <c r="H74" i="237"/>
  <c r="H73" i="237"/>
  <c r="H72" i="237"/>
  <c r="H70" i="237"/>
  <c r="H69" i="237"/>
  <c r="H68" i="237"/>
  <c r="H67" i="237"/>
  <c r="H66" i="237"/>
  <c r="H65" i="237"/>
  <c r="H64" i="237"/>
  <c r="H63" i="237"/>
  <c r="G63" i="237"/>
  <c r="F63" i="237"/>
  <c r="H62" i="237"/>
  <c r="H61" i="237"/>
  <c r="H60" i="237"/>
  <c r="H59" i="237"/>
  <c r="H58" i="237"/>
  <c r="H56" i="237"/>
  <c r="H55" i="237"/>
  <c r="H54" i="237"/>
  <c r="H53" i="237"/>
  <c r="H52" i="237"/>
  <c r="G51" i="237"/>
  <c r="F51" i="237"/>
  <c r="H51" i="237" s="1"/>
  <c r="H50" i="237"/>
  <c r="H49" i="237"/>
  <c r="F43" i="237"/>
  <c r="E43" i="237"/>
  <c r="H42" i="237"/>
  <c r="H41" i="237"/>
  <c r="H40" i="237"/>
  <c r="H39" i="237"/>
  <c r="H38" i="237"/>
  <c r="H37" i="237"/>
  <c r="H36" i="237"/>
  <c r="H34" i="237"/>
  <c r="H33" i="237"/>
  <c r="H32" i="237"/>
  <c r="H31" i="237"/>
  <c r="H30" i="237"/>
  <c r="H29" i="237"/>
  <c r="H28" i="237"/>
  <c r="G27" i="237"/>
  <c r="F27" i="237"/>
  <c r="H26" i="237"/>
  <c r="H25" i="237"/>
  <c r="H24" i="237"/>
  <c r="H23" i="237"/>
  <c r="H22" i="237"/>
  <c r="H20" i="237"/>
  <c r="H19" i="237"/>
  <c r="H18" i="237"/>
  <c r="H17" i="237"/>
  <c r="H16" i="237"/>
  <c r="H15" i="237"/>
  <c r="G15" i="237"/>
  <c r="G43" i="237" s="1"/>
  <c r="F15" i="237"/>
  <c r="H14" i="237"/>
  <c r="H13" i="237"/>
  <c r="H1143" i="237" l="1"/>
  <c r="G1237" i="237"/>
  <c r="H1237" i="237" s="1"/>
  <c r="G1120" i="237"/>
  <c r="H1120" i="237" s="1"/>
  <c r="H1195" i="237"/>
  <c r="F1253" i="237"/>
  <c r="H87" i="237"/>
  <c r="H102" i="237"/>
  <c r="H110" i="237"/>
  <c r="G174" i="237"/>
  <c r="H174" i="237" s="1"/>
  <c r="H146" i="237"/>
  <c r="H158" i="237"/>
  <c r="G210" i="237"/>
  <c r="H210" i="237" s="1"/>
  <c r="H182" i="237"/>
  <c r="H194" i="237"/>
  <c r="G246" i="237"/>
  <c r="H246" i="237" s="1"/>
  <c r="H218" i="237"/>
  <c r="H230" i="237"/>
  <c r="G282" i="237"/>
  <c r="H282" i="237" s="1"/>
  <c r="H254" i="237"/>
  <c r="H266" i="237"/>
  <c r="G318" i="237"/>
  <c r="H318" i="237" s="1"/>
  <c r="H290" i="237"/>
  <c r="H302" i="237"/>
  <c r="G354" i="237"/>
  <c r="H354" i="237" s="1"/>
  <c r="H326" i="237"/>
  <c r="H338" i="237"/>
  <c r="G390" i="237"/>
  <c r="H390" i="237" s="1"/>
  <c r="H362" i="237"/>
  <c r="H374" i="237"/>
  <c r="G426" i="237"/>
  <c r="H426" i="237" s="1"/>
  <c r="H398" i="237"/>
  <c r="H410" i="237"/>
  <c r="G462" i="237"/>
  <c r="H462" i="237" s="1"/>
  <c r="H434" i="237"/>
  <c r="H446" i="237"/>
  <c r="G498" i="237"/>
  <c r="H498" i="237" s="1"/>
  <c r="H470" i="237"/>
  <c r="H482" i="237"/>
  <c r="G534" i="237"/>
  <c r="H534" i="237" s="1"/>
  <c r="H506" i="237"/>
  <c r="H518" i="237"/>
  <c r="G570" i="237"/>
  <c r="H570" i="237" s="1"/>
  <c r="H542" i="237"/>
  <c r="H554" i="237"/>
  <c r="G606" i="237"/>
  <c r="H606" i="237" s="1"/>
  <c r="H578" i="237"/>
  <c r="H590" i="237"/>
  <c r="G642" i="237"/>
  <c r="H642" i="237" s="1"/>
  <c r="H614" i="237"/>
  <c r="H626" i="237"/>
  <c r="G678" i="237"/>
  <c r="H678" i="237" s="1"/>
  <c r="H650" i="237"/>
  <c r="H662" i="237"/>
  <c r="G714" i="237"/>
  <c r="H714" i="237" s="1"/>
  <c r="H686" i="237"/>
  <c r="H698" i="237"/>
  <c r="G750" i="237"/>
  <c r="H750" i="237" s="1"/>
  <c r="H722" i="237"/>
  <c r="H734" i="237"/>
  <c r="G786" i="237"/>
  <c r="H786" i="237" s="1"/>
  <c r="H758" i="237"/>
  <c r="H770" i="237"/>
  <c r="G822" i="237"/>
  <c r="H822" i="237" s="1"/>
  <c r="H794" i="237"/>
  <c r="H806" i="237"/>
  <c r="G858" i="237"/>
  <c r="H858" i="237" s="1"/>
  <c r="H830" i="237"/>
  <c r="H842" i="237"/>
  <c r="G894" i="237"/>
  <c r="H894" i="237" s="1"/>
  <c r="H866" i="237"/>
  <c r="H878" i="237"/>
  <c r="G1038" i="237"/>
  <c r="H1038" i="237" s="1"/>
  <c r="G1097" i="237"/>
  <c r="H1097" i="237" s="1"/>
  <c r="G1189" i="237"/>
  <c r="H1189" i="237" s="1"/>
  <c r="G1253" i="237"/>
  <c r="H27" i="237"/>
  <c r="H1080" i="237"/>
  <c r="H1103" i="237"/>
  <c r="H1126" i="237"/>
  <c r="H1149" i="237"/>
  <c r="H1172" i="237"/>
  <c r="G1252" i="237" l="1"/>
  <c r="G1257" i="237" s="1"/>
  <c r="E269" i="20"/>
  <c r="T233" i="20" s="1"/>
  <c r="F1252" i="237"/>
  <c r="F1257" i="237" s="1"/>
  <c r="H1257" i="237" s="1"/>
  <c r="D269" i="20"/>
  <c r="S233" i="20" s="1"/>
  <c r="I336" i="18" l="1"/>
  <c r="H282" i="18" l="1"/>
  <c r="G282" i="18"/>
  <c r="H273" i="18"/>
  <c r="G273" i="18"/>
  <c r="F282" i="18"/>
  <c r="I281" i="18"/>
  <c r="F273" i="18"/>
  <c r="I272" i="18"/>
  <c r="I282" i="18" l="1"/>
  <c r="I278" i="18"/>
  <c r="I273" i="18"/>
  <c r="I269" i="18"/>
  <c r="H243" i="18"/>
  <c r="G243" i="18"/>
  <c r="I246" i="18"/>
  <c r="I245" i="18"/>
  <c r="I244" i="18"/>
  <c r="H207" i="18"/>
  <c r="G207" i="18"/>
  <c r="I208" i="18"/>
  <c r="H204" i="18"/>
  <c r="G204" i="18"/>
  <c r="I206" i="18"/>
  <c r="I196" i="18"/>
  <c r="I195" i="18"/>
  <c r="H177" i="18"/>
  <c r="G177" i="18"/>
  <c r="I178" i="18"/>
  <c r="G163" i="18"/>
  <c r="G160" i="18"/>
  <c r="H140" i="18"/>
  <c r="G140" i="18"/>
  <c r="I142" i="18"/>
  <c r="I141" i="18"/>
  <c r="I130" i="18"/>
  <c r="I129" i="18"/>
  <c r="H120" i="18"/>
  <c r="G120" i="18"/>
  <c r="I121" i="18"/>
  <c r="H109" i="18" l="1"/>
  <c r="G109" i="18"/>
  <c r="G61" i="18"/>
  <c r="I265" i="20" l="1"/>
  <c r="H265" i="20"/>
  <c r="I264" i="20"/>
  <c r="H264" i="20"/>
  <c r="I263" i="20"/>
  <c r="H263" i="20"/>
  <c r="G265" i="20"/>
  <c r="G264" i="20"/>
  <c r="G263" i="20"/>
  <c r="E265" i="20"/>
  <c r="D265" i="20"/>
  <c r="E264" i="20"/>
  <c r="D264" i="20"/>
  <c r="E263" i="20"/>
  <c r="D263" i="20"/>
  <c r="C265" i="20"/>
  <c r="C264" i="20"/>
  <c r="C263" i="20"/>
  <c r="I260" i="20"/>
  <c r="H260" i="20"/>
  <c r="I259" i="20"/>
  <c r="H259" i="20"/>
  <c r="I258" i="20"/>
  <c r="H258" i="20"/>
  <c r="G260" i="20"/>
  <c r="G259" i="20"/>
  <c r="G258" i="20"/>
  <c r="E260" i="20"/>
  <c r="D260" i="20"/>
  <c r="E259" i="20"/>
  <c r="D259" i="20"/>
  <c r="E258" i="20"/>
  <c r="D258" i="20"/>
  <c r="C260" i="20"/>
  <c r="C259" i="20"/>
  <c r="C258" i="20"/>
  <c r="I255" i="20"/>
  <c r="H255" i="20"/>
  <c r="I254" i="20"/>
  <c r="H254" i="20"/>
  <c r="I253" i="20"/>
  <c r="H253" i="20"/>
  <c r="G255" i="20"/>
  <c r="G254" i="20"/>
  <c r="G253" i="20"/>
  <c r="E255" i="20"/>
  <c r="D255" i="20"/>
  <c r="E254" i="20"/>
  <c r="D254" i="20"/>
  <c r="C255" i="20"/>
  <c r="C254" i="20"/>
  <c r="E253" i="20"/>
  <c r="D253" i="20"/>
  <c r="C253" i="20"/>
  <c r="I250" i="20"/>
  <c r="H250" i="20"/>
  <c r="I249" i="20"/>
  <c r="H249" i="20"/>
  <c r="I248" i="20"/>
  <c r="H248" i="20"/>
  <c r="G250" i="20"/>
  <c r="G249" i="20"/>
  <c r="G248" i="20"/>
  <c r="E250" i="20"/>
  <c r="D250" i="20"/>
  <c r="E249" i="20"/>
  <c r="D249" i="20"/>
  <c r="E248" i="20"/>
  <c r="D248" i="20"/>
  <c r="C250" i="20"/>
  <c r="C249" i="20"/>
  <c r="C248" i="20"/>
  <c r="I241" i="20"/>
  <c r="H241" i="20"/>
  <c r="I240" i="20"/>
  <c r="H240" i="20"/>
  <c r="I239" i="20"/>
  <c r="H239" i="20"/>
  <c r="G241" i="20"/>
  <c r="G240" i="20"/>
  <c r="G239" i="20"/>
  <c r="E241" i="20"/>
  <c r="D241" i="20"/>
  <c r="E240" i="20"/>
  <c r="D240" i="20"/>
  <c r="E239" i="20"/>
  <c r="D239" i="20"/>
  <c r="C241" i="20"/>
  <c r="C240" i="20"/>
  <c r="C239" i="20"/>
  <c r="I236" i="20"/>
  <c r="H236" i="20"/>
  <c r="I235" i="20"/>
  <c r="H235" i="20"/>
  <c r="I234" i="20"/>
  <c r="H234" i="20"/>
  <c r="G236" i="20"/>
  <c r="G235" i="20"/>
  <c r="G234" i="20"/>
  <c r="E236" i="20"/>
  <c r="D236" i="20"/>
  <c r="E235" i="20"/>
  <c r="D235" i="20"/>
  <c r="E234" i="20"/>
  <c r="D234" i="20"/>
  <c r="C236" i="20"/>
  <c r="C235" i="20"/>
  <c r="C234" i="20"/>
  <c r="I230" i="20"/>
  <c r="H230" i="20"/>
  <c r="I229" i="20"/>
  <c r="H229" i="20"/>
  <c r="I228" i="20"/>
  <c r="H228" i="20"/>
  <c r="G230" i="20"/>
  <c r="G229" i="20"/>
  <c r="G228" i="20"/>
  <c r="E230" i="20"/>
  <c r="D230" i="20"/>
  <c r="E229" i="20"/>
  <c r="D229" i="20"/>
  <c r="E228" i="20"/>
  <c r="D228" i="20"/>
  <c r="C230" i="20"/>
  <c r="C229" i="20"/>
  <c r="C228" i="20"/>
  <c r="F193" i="236"/>
  <c r="G191" i="236"/>
  <c r="F191" i="236"/>
  <c r="E191" i="236"/>
  <c r="E190" i="236"/>
  <c r="G189" i="236"/>
  <c r="G188" i="236" s="1"/>
  <c r="G193" i="236" s="1"/>
  <c r="H193" i="236" s="1"/>
  <c r="F189" i="236"/>
  <c r="E189" i="236"/>
  <c r="L188" i="236"/>
  <c r="K188" i="236"/>
  <c r="J188" i="236"/>
  <c r="F188" i="236"/>
  <c r="E188" i="236"/>
  <c r="E193" i="236" s="1"/>
  <c r="G184" i="236"/>
  <c r="H184" i="236" s="1"/>
  <c r="F184" i="236"/>
  <c r="E184" i="236"/>
  <c r="H183" i="236"/>
  <c r="H182" i="236"/>
  <c r="G175" i="236"/>
  <c r="H175" i="236" s="1"/>
  <c r="F175" i="236"/>
  <c r="E175" i="236"/>
  <c r="H174" i="236"/>
  <c r="H173" i="236"/>
  <c r="H172" i="236"/>
  <c r="H170" i="236"/>
  <c r="H169" i="236"/>
  <c r="H163" i="236"/>
  <c r="G163" i="236"/>
  <c r="F163" i="236"/>
  <c r="E163" i="236"/>
  <c r="H161" i="236"/>
  <c r="H160" i="236"/>
  <c r="H159" i="236"/>
  <c r="H158" i="236"/>
  <c r="H157" i="236"/>
  <c r="H156" i="236"/>
  <c r="H155" i="236"/>
  <c r="H154" i="236"/>
  <c r="H153" i="236"/>
  <c r="H152" i="236"/>
  <c r="H151" i="236"/>
  <c r="H150" i="236"/>
  <c r="H149" i="236"/>
  <c r="H148" i="236"/>
  <c r="H147" i="236"/>
  <c r="H146" i="236"/>
  <c r="H144" i="236"/>
  <c r="H143" i="236"/>
  <c r="H142" i="236"/>
  <c r="H141" i="236"/>
  <c r="H140" i="236"/>
  <c r="H139" i="236"/>
  <c r="H138" i="236"/>
  <c r="H137" i="236"/>
  <c r="H136" i="236"/>
  <c r="G130" i="236"/>
  <c r="H130" i="236" s="1"/>
  <c r="F130" i="236"/>
  <c r="E130" i="236"/>
  <c r="H128" i="236"/>
  <c r="H127" i="236"/>
  <c r="H126" i="236"/>
  <c r="H125" i="236"/>
  <c r="H124" i="236"/>
  <c r="H123" i="236"/>
  <c r="H122" i="236"/>
  <c r="H121" i="236"/>
  <c r="H120" i="236"/>
  <c r="H119" i="236"/>
  <c r="H118" i="236"/>
  <c r="H117" i="236"/>
  <c r="H116" i="236"/>
  <c r="H115" i="236"/>
  <c r="H114" i="236"/>
  <c r="H113" i="236"/>
  <c r="H112" i="236"/>
  <c r="H111" i="236"/>
  <c r="H110" i="236"/>
  <c r="H109" i="236"/>
  <c r="H108" i="236"/>
  <c r="H107" i="236"/>
  <c r="H106" i="236"/>
  <c r="H104" i="236"/>
  <c r="H103" i="236"/>
  <c r="H102" i="236"/>
  <c r="H101" i="236"/>
  <c r="H100" i="236"/>
  <c r="H99" i="236"/>
  <c r="H98" i="236"/>
  <c r="H97" i="236"/>
  <c r="H91" i="236"/>
  <c r="G91" i="236"/>
  <c r="F91" i="236"/>
  <c r="E91" i="236"/>
  <c r="H90" i="236"/>
  <c r="H89" i="236"/>
  <c r="H88" i="236"/>
  <c r="H87" i="236"/>
  <c r="H86" i="236"/>
  <c r="H85" i="236"/>
  <c r="H84" i="236"/>
  <c r="H82" i="236"/>
  <c r="H81" i="236"/>
  <c r="H80" i="236"/>
  <c r="H79" i="236"/>
  <c r="H78" i="236"/>
  <c r="H77" i="236"/>
  <c r="H76" i="236"/>
  <c r="H74" i="236"/>
  <c r="H73" i="236"/>
  <c r="H72" i="236"/>
  <c r="H71" i="236"/>
  <c r="H70" i="236"/>
  <c r="H69" i="236"/>
  <c r="H68" i="236"/>
  <c r="H67" i="236"/>
  <c r="H66" i="236"/>
  <c r="H65" i="236"/>
  <c r="H64" i="236"/>
  <c r="H62" i="236"/>
  <c r="H61" i="236"/>
  <c r="G55" i="236"/>
  <c r="H55" i="236" s="1"/>
  <c r="F55" i="236"/>
  <c r="E55" i="236"/>
  <c r="H54" i="236"/>
  <c r="H53" i="236"/>
  <c r="H52" i="236"/>
  <c r="H51" i="236"/>
  <c r="H50" i="236"/>
  <c r="H49" i="236"/>
  <c r="H48" i="236"/>
  <c r="H47" i="236"/>
  <c r="H46" i="236"/>
  <c r="H45" i="236"/>
  <c r="H44" i="236"/>
  <c r="H43" i="236"/>
  <c r="H42" i="236"/>
  <c r="H41" i="236"/>
  <c r="H40" i="236"/>
  <c r="H39" i="236"/>
  <c r="H38" i="236"/>
  <c r="H37" i="236"/>
  <c r="H36" i="236"/>
  <c r="H35" i="236"/>
  <c r="H34" i="236"/>
  <c r="H33" i="236"/>
  <c r="H32" i="236"/>
  <c r="H31" i="236"/>
  <c r="H30" i="236"/>
  <c r="H29" i="236"/>
  <c r="H28" i="236"/>
  <c r="H27" i="236"/>
  <c r="H26" i="236"/>
  <c r="H25" i="236"/>
  <c r="G18" i="236"/>
  <c r="F18" i="236"/>
  <c r="E18" i="236"/>
  <c r="H13" i="236"/>
  <c r="H12" i="236"/>
  <c r="D181" i="235"/>
  <c r="G59" i="235"/>
  <c r="G57" i="235"/>
  <c r="F57" i="235"/>
  <c r="E57" i="235"/>
  <c r="G55" i="235"/>
  <c r="F55" i="235"/>
  <c r="H55" i="235" s="1"/>
  <c r="E55" i="235"/>
  <c r="L54" i="235"/>
  <c r="K54" i="235"/>
  <c r="J54" i="235"/>
  <c r="G54" i="235"/>
  <c r="E54" i="235"/>
  <c r="E59" i="235" s="1"/>
  <c r="G48" i="235"/>
  <c r="H48" i="235" s="1"/>
  <c r="F48" i="235"/>
  <c r="E48" i="235"/>
  <c r="H45" i="235"/>
  <c r="H43" i="235"/>
  <c r="H42" i="235"/>
  <c r="H41" i="235"/>
  <c r="H40" i="235"/>
  <c r="H38" i="235"/>
  <c r="H37" i="235"/>
  <c r="H36" i="235"/>
  <c r="H35" i="235"/>
  <c r="H34" i="235"/>
  <c r="H33" i="235"/>
  <c r="H32" i="235"/>
  <c r="H31" i="235"/>
  <c r="H30" i="235"/>
  <c r="H29" i="235"/>
  <c r="H28" i="235"/>
  <c r="H27" i="235"/>
  <c r="H26" i="235"/>
  <c r="H25" i="235"/>
  <c r="H24" i="235"/>
  <c r="H23" i="235"/>
  <c r="H22" i="235"/>
  <c r="H19" i="235"/>
  <c r="H17" i="235"/>
  <c r="H16" i="235"/>
  <c r="H14" i="235"/>
  <c r="H13" i="235"/>
  <c r="H12" i="235"/>
  <c r="D193" i="234"/>
  <c r="G69" i="234"/>
  <c r="G68" i="234"/>
  <c r="F68" i="234"/>
  <c r="E68" i="234"/>
  <c r="G67" i="234"/>
  <c r="F67" i="234"/>
  <c r="H67" i="234" s="1"/>
  <c r="E67" i="234"/>
  <c r="L66" i="234"/>
  <c r="K66" i="234"/>
  <c r="J66" i="234"/>
  <c r="G66" i="234"/>
  <c r="E66" i="234"/>
  <c r="E71" i="234" s="1"/>
  <c r="G62" i="234"/>
  <c r="H62" i="234" s="1"/>
  <c r="F62" i="234"/>
  <c r="E62" i="234"/>
  <c r="H59" i="234"/>
  <c r="H57" i="234"/>
  <c r="H56" i="234"/>
  <c r="H55" i="234"/>
  <c r="H54" i="234"/>
  <c r="H52" i="234"/>
  <c r="H51" i="234"/>
  <c r="H49" i="234"/>
  <c r="H48" i="234"/>
  <c r="H46" i="234"/>
  <c r="H45" i="234"/>
  <c r="H43" i="234"/>
  <c r="H42" i="234"/>
  <c r="H40" i="234"/>
  <c r="H39" i="234"/>
  <c r="H37" i="234"/>
  <c r="H36" i="234"/>
  <c r="H33" i="234"/>
  <c r="H31" i="234"/>
  <c r="H30" i="234"/>
  <c r="H28" i="234"/>
  <c r="H27" i="234"/>
  <c r="H26" i="234"/>
  <c r="H25" i="234"/>
  <c r="H23" i="234"/>
  <c r="H22" i="234"/>
  <c r="H20" i="234"/>
  <c r="H19" i="234"/>
  <c r="H17" i="234"/>
  <c r="H16" i="234"/>
  <c r="H15" i="234"/>
  <c r="H14" i="234"/>
  <c r="H12" i="234"/>
  <c r="G38" i="233"/>
  <c r="G36" i="233"/>
  <c r="H36" i="233" s="1"/>
  <c r="F36" i="233"/>
  <c r="E36" i="233"/>
  <c r="E35" i="233" s="1"/>
  <c r="E40" i="233" s="1"/>
  <c r="L35" i="233"/>
  <c r="K35" i="233"/>
  <c r="J35" i="233"/>
  <c r="F35" i="233"/>
  <c r="F40" i="233" s="1"/>
  <c r="G29" i="233"/>
  <c r="F29" i="233"/>
  <c r="H29" i="233" s="1"/>
  <c r="E29" i="233"/>
  <c r="H27" i="233"/>
  <c r="H26" i="233"/>
  <c r="H25" i="233"/>
  <c r="H24" i="233"/>
  <c r="H23" i="233"/>
  <c r="H22" i="233"/>
  <c r="H21" i="233"/>
  <c r="H20" i="233"/>
  <c r="H19" i="233"/>
  <c r="H18" i="233"/>
  <c r="H17" i="233"/>
  <c r="H16" i="233"/>
  <c r="H15" i="233"/>
  <c r="H14" i="233"/>
  <c r="H13" i="233"/>
  <c r="H12" i="233"/>
  <c r="H11" i="233"/>
  <c r="H10" i="233"/>
  <c r="G70" i="232"/>
  <c r="F70" i="232"/>
  <c r="E70" i="232"/>
  <c r="G69" i="232"/>
  <c r="F69" i="232"/>
  <c r="E69" i="232"/>
  <c r="G68" i="232"/>
  <c r="H68" i="232" s="1"/>
  <c r="F68" i="232"/>
  <c r="F67" i="232" s="1"/>
  <c r="F72" i="232" s="1"/>
  <c r="E68" i="232"/>
  <c r="E67" i="232" s="1"/>
  <c r="E72" i="232" s="1"/>
  <c r="L67" i="232"/>
  <c r="K67" i="232"/>
  <c r="J67" i="232"/>
  <c r="G67" i="232"/>
  <c r="G72" i="232" s="1"/>
  <c r="G64" i="232"/>
  <c r="F64" i="232"/>
  <c r="E64" i="232"/>
  <c r="H62" i="232"/>
  <c r="H61" i="232"/>
  <c r="H60" i="232"/>
  <c r="H59" i="232"/>
  <c r="H58" i="232"/>
  <c r="H57" i="232"/>
  <c r="H56" i="232"/>
  <c r="H55" i="232"/>
  <c r="H54" i="232"/>
  <c r="H53" i="232"/>
  <c r="H52" i="232"/>
  <c r="H51" i="232"/>
  <c r="H50" i="232"/>
  <c r="H49" i="232"/>
  <c r="H48" i="232"/>
  <c r="H46" i="232"/>
  <c r="H45" i="232"/>
  <c r="H44" i="232"/>
  <c r="H43" i="232"/>
  <c r="H42" i="232"/>
  <c r="H41" i="232"/>
  <c r="H40" i="232"/>
  <c r="H39" i="232"/>
  <c r="G33" i="232"/>
  <c r="H33" i="232" s="1"/>
  <c r="F33" i="232"/>
  <c r="E33" i="232"/>
  <c r="H31" i="232"/>
  <c r="H30" i="232"/>
  <c r="H29" i="232"/>
  <c r="H28" i="232"/>
  <c r="H27" i="232"/>
  <c r="H26" i="232"/>
  <c r="H25" i="232"/>
  <c r="H23" i="232"/>
  <c r="H22" i="232"/>
  <c r="H21" i="232"/>
  <c r="H19" i="232"/>
  <c r="H18" i="232"/>
  <c r="H17" i="232"/>
  <c r="H16" i="232"/>
  <c r="H15" i="232"/>
  <c r="H14" i="232"/>
  <c r="H13" i="232"/>
  <c r="H12" i="232"/>
  <c r="G103" i="231"/>
  <c r="G101" i="231"/>
  <c r="F101" i="231"/>
  <c r="E101" i="231"/>
  <c r="G100" i="231"/>
  <c r="F100" i="231"/>
  <c r="H100" i="231" s="1"/>
  <c r="E100" i="231"/>
  <c r="G99" i="231"/>
  <c r="F99" i="231"/>
  <c r="H99" i="231" s="1"/>
  <c r="E99" i="231"/>
  <c r="L98" i="231"/>
  <c r="K98" i="231"/>
  <c r="J98" i="231"/>
  <c r="G98" i="231"/>
  <c r="E98" i="231"/>
  <c r="E103" i="231" s="1"/>
  <c r="G90" i="231"/>
  <c r="H90" i="231" s="1"/>
  <c r="F90" i="231"/>
  <c r="E90" i="231"/>
  <c r="H89" i="231"/>
  <c r="H88" i="231"/>
  <c r="H87" i="231"/>
  <c r="H86" i="231"/>
  <c r="G80" i="231"/>
  <c r="H80" i="231" s="1"/>
  <c r="F80" i="231"/>
  <c r="E80" i="231"/>
  <c r="H79" i="231"/>
  <c r="H78" i="231"/>
  <c r="H77" i="231"/>
  <c r="H76" i="231"/>
  <c r="G70" i="231"/>
  <c r="H70" i="231" s="1"/>
  <c r="F70" i="231"/>
  <c r="E70" i="231"/>
  <c r="H69" i="231"/>
  <c r="H68" i="231"/>
  <c r="H67" i="231"/>
  <c r="H66" i="231"/>
  <c r="G60" i="231"/>
  <c r="H60" i="231" s="1"/>
  <c r="F60" i="231"/>
  <c r="E60" i="231"/>
  <c r="H59" i="231"/>
  <c r="H58" i="231"/>
  <c r="H57" i="231"/>
  <c r="H56" i="231"/>
  <c r="G50" i="231"/>
  <c r="H50" i="231" s="1"/>
  <c r="F50" i="231"/>
  <c r="E50" i="231"/>
  <c r="H49" i="231"/>
  <c r="H48" i="231"/>
  <c r="H47" i="231"/>
  <c r="H46" i="231"/>
  <c r="G40" i="231"/>
  <c r="H40" i="231" s="1"/>
  <c r="F40" i="231"/>
  <c r="E40" i="231"/>
  <c r="H39" i="231"/>
  <c r="H38" i="231"/>
  <c r="H37" i="231"/>
  <c r="H36" i="231"/>
  <c r="G30" i="231"/>
  <c r="H30" i="231" s="1"/>
  <c r="F30" i="231"/>
  <c r="E30" i="231"/>
  <c r="H28" i="231"/>
  <c r="H27" i="231"/>
  <c r="H26" i="231"/>
  <c r="H25" i="231"/>
  <c r="H24" i="231"/>
  <c r="H23" i="231"/>
  <c r="H22" i="231"/>
  <c r="H21" i="231"/>
  <c r="H20" i="231"/>
  <c r="H19" i="231"/>
  <c r="H18" i="231"/>
  <c r="H17" i="231"/>
  <c r="H16" i="231"/>
  <c r="H15" i="231"/>
  <c r="H14" i="231"/>
  <c r="H13" i="231"/>
  <c r="H12" i="231"/>
  <c r="H11" i="231"/>
  <c r="H10" i="231"/>
  <c r="G124" i="230"/>
  <c r="F124" i="230"/>
  <c r="E124" i="230"/>
  <c r="G123" i="230"/>
  <c r="H123" i="230" s="1"/>
  <c r="F123" i="230"/>
  <c r="E123" i="230"/>
  <c r="G122" i="230"/>
  <c r="H122" i="230" s="1"/>
  <c r="F122" i="230"/>
  <c r="E122" i="230"/>
  <c r="E121" i="230" s="1"/>
  <c r="E126" i="230" s="1"/>
  <c r="M121" i="230"/>
  <c r="L121" i="230"/>
  <c r="K121" i="230"/>
  <c r="F121" i="230"/>
  <c r="F126" i="230" s="1"/>
  <c r="G114" i="230"/>
  <c r="F114" i="230"/>
  <c r="H114" i="230" s="1"/>
  <c r="E114" i="230"/>
  <c r="H113" i="230"/>
  <c r="H112" i="230"/>
  <c r="H111" i="230"/>
  <c r="G105" i="230"/>
  <c r="H105" i="230" s="1"/>
  <c r="F105" i="230"/>
  <c r="E105" i="230"/>
  <c r="H104" i="230"/>
  <c r="H103" i="230"/>
  <c r="H102" i="230"/>
  <c r="H96" i="230"/>
  <c r="G96" i="230"/>
  <c r="F96" i="230"/>
  <c r="E96" i="230"/>
  <c r="H95" i="230"/>
  <c r="H94" i="230"/>
  <c r="H93" i="230"/>
  <c r="G87" i="230"/>
  <c r="H87" i="230" s="1"/>
  <c r="F87" i="230"/>
  <c r="E87" i="230"/>
  <c r="H86" i="230"/>
  <c r="H85" i="230"/>
  <c r="H84" i="230"/>
  <c r="G78" i="230"/>
  <c r="F78" i="230"/>
  <c r="H78" i="230" s="1"/>
  <c r="E78" i="230"/>
  <c r="H77" i="230"/>
  <c r="H76" i="230"/>
  <c r="H75" i="230"/>
  <c r="H74" i="230"/>
  <c r="G68" i="230"/>
  <c r="F68" i="230"/>
  <c r="H68" i="230" s="1"/>
  <c r="E68" i="230"/>
  <c r="H67" i="230"/>
  <c r="H66" i="230"/>
  <c r="H65" i="230"/>
  <c r="H64" i="230"/>
  <c r="G58" i="230"/>
  <c r="F58" i="230"/>
  <c r="H58" i="230" s="1"/>
  <c r="E58" i="230"/>
  <c r="H57" i="230"/>
  <c r="H56" i="230"/>
  <c r="H55" i="230"/>
  <c r="H54" i="230"/>
  <c r="G48" i="230"/>
  <c r="F48" i="230"/>
  <c r="H48" i="230" s="1"/>
  <c r="E48" i="230"/>
  <c r="H47" i="230"/>
  <c r="H46" i="230"/>
  <c r="H45" i="230"/>
  <c r="H44" i="230"/>
  <c r="G38" i="230"/>
  <c r="F38" i="230"/>
  <c r="H38" i="230" s="1"/>
  <c r="E38" i="230"/>
  <c r="H37" i="230"/>
  <c r="H36" i="230"/>
  <c r="H35" i="230"/>
  <c r="H34" i="230"/>
  <c r="G28" i="230"/>
  <c r="F28" i="230"/>
  <c r="H28" i="230" s="1"/>
  <c r="E28" i="230"/>
  <c r="H26" i="230"/>
  <c r="H25" i="230"/>
  <c r="H24" i="230"/>
  <c r="H23" i="230"/>
  <c r="H22" i="230"/>
  <c r="H21" i="230"/>
  <c r="H20" i="230"/>
  <c r="H19" i="230"/>
  <c r="H18" i="230"/>
  <c r="H17" i="230"/>
  <c r="H16" i="230"/>
  <c r="H15" i="230"/>
  <c r="H14" i="230"/>
  <c r="H13" i="230"/>
  <c r="H12" i="230"/>
  <c r="H11" i="230"/>
  <c r="H10" i="230"/>
  <c r="H98" i="231" l="1"/>
  <c r="G121" i="230"/>
  <c r="F98" i="231"/>
  <c r="F103" i="231" s="1"/>
  <c r="H103" i="231" s="1"/>
  <c r="G35" i="233"/>
  <c r="F66" i="234"/>
  <c r="F71" i="234" s="1"/>
  <c r="G71" i="234"/>
  <c r="F54" i="235"/>
  <c r="F59" i="235" s="1"/>
  <c r="H59" i="235" s="1"/>
  <c r="H35" i="233" l="1"/>
  <c r="G40" i="233"/>
  <c r="H40" i="233" s="1"/>
  <c r="H71" i="234"/>
  <c r="G126" i="230"/>
  <c r="H126" i="230" s="1"/>
  <c r="H121" i="230"/>
  <c r="H54" i="235"/>
  <c r="H66" i="234"/>
  <c r="I225" i="20" l="1"/>
  <c r="H225" i="20"/>
  <c r="I224" i="20"/>
  <c r="H224" i="20"/>
  <c r="I223" i="20"/>
  <c r="H223" i="20"/>
  <c r="G225" i="20"/>
  <c r="G224" i="20"/>
  <c r="G223" i="20"/>
  <c r="E225" i="20"/>
  <c r="D225" i="20"/>
  <c r="E224" i="20"/>
  <c r="D224" i="20"/>
  <c r="C225" i="20"/>
  <c r="C224" i="20"/>
  <c r="E223" i="20"/>
  <c r="D223" i="20"/>
  <c r="C223" i="20"/>
  <c r="I220" i="20"/>
  <c r="H220" i="20"/>
  <c r="I219" i="20"/>
  <c r="H219" i="20"/>
  <c r="I218" i="20"/>
  <c r="H218" i="20"/>
  <c r="G220" i="20"/>
  <c r="G219" i="20"/>
  <c r="G218" i="20"/>
  <c r="E220" i="20"/>
  <c r="D220" i="20"/>
  <c r="E219" i="20"/>
  <c r="D219" i="20"/>
  <c r="E218" i="20"/>
  <c r="D218" i="20"/>
  <c r="C220" i="20"/>
  <c r="C219" i="20"/>
  <c r="C218" i="20"/>
  <c r="I215" i="20"/>
  <c r="H215" i="20"/>
  <c r="I214" i="20"/>
  <c r="H214" i="20"/>
  <c r="G215" i="20"/>
  <c r="G214" i="20"/>
  <c r="I213" i="20"/>
  <c r="H213" i="20"/>
  <c r="G213" i="20"/>
  <c r="E215" i="20"/>
  <c r="D215" i="20"/>
  <c r="E214" i="20"/>
  <c r="D214" i="20"/>
  <c r="E213" i="20"/>
  <c r="D213" i="20"/>
  <c r="C215" i="20"/>
  <c r="C214" i="20"/>
  <c r="C213" i="20"/>
  <c r="I210" i="20"/>
  <c r="I209" i="20"/>
  <c r="I208" i="20"/>
  <c r="H210" i="20"/>
  <c r="H209" i="20"/>
  <c r="H208" i="20"/>
  <c r="G210" i="20"/>
  <c r="G209" i="20"/>
  <c r="G208" i="20"/>
  <c r="I207" i="20" l="1"/>
  <c r="G207" i="20"/>
  <c r="H207" i="20"/>
  <c r="E210" i="20"/>
  <c r="D210" i="20"/>
  <c r="E209" i="20"/>
  <c r="D209" i="20"/>
  <c r="D208" i="20"/>
  <c r="C210" i="20"/>
  <c r="C209" i="20"/>
  <c r="E208" i="20"/>
  <c r="C208" i="20"/>
  <c r="I205" i="20"/>
  <c r="H205" i="20"/>
  <c r="I204" i="20"/>
  <c r="H204" i="20"/>
  <c r="I203" i="20"/>
  <c r="H203" i="20"/>
  <c r="G205" i="20"/>
  <c r="G204" i="20"/>
  <c r="G203" i="20"/>
  <c r="E205" i="20"/>
  <c r="D205" i="20"/>
  <c r="E204" i="20"/>
  <c r="D204" i="20"/>
  <c r="C205" i="20"/>
  <c r="C204" i="20"/>
  <c r="E203" i="20"/>
  <c r="D203" i="20"/>
  <c r="C203" i="20"/>
  <c r="C207" i="20" l="1"/>
  <c r="E207" i="20"/>
  <c r="D207" i="20"/>
  <c r="I200" i="20"/>
  <c r="H200" i="20"/>
  <c r="I199" i="20"/>
  <c r="H199" i="20"/>
  <c r="I198" i="20"/>
  <c r="H198" i="20"/>
  <c r="G200" i="20"/>
  <c r="G199" i="20"/>
  <c r="G198" i="20"/>
  <c r="E200" i="20"/>
  <c r="D200" i="20"/>
  <c r="E199" i="20"/>
  <c r="D199" i="20"/>
  <c r="C200" i="20"/>
  <c r="C199" i="20"/>
  <c r="E198" i="20"/>
  <c r="D198" i="20"/>
  <c r="C198" i="20"/>
  <c r="I195" i="20"/>
  <c r="H195" i="20"/>
  <c r="I194" i="20"/>
  <c r="H194" i="20"/>
  <c r="G195" i="20"/>
  <c r="G194" i="20"/>
  <c r="I193" i="20"/>
  <c r="H193" i="20"/>
  <c r="G193" i="20"/>
  <c r="E195" i="20"/>
  <c r="D195" i="20"/>
  <c r="E194" i="20"/>
  <c r="D194" i="20"/>
  <c r="C195" i="20"/>
  <c r="C194" i="20"/>
  <c r="E193" i="20"/>
  <c r="D193" i="20"/>
  <c r="C193" i="20"/>
  <c r="I191" i="20"/>
  <c r="H191" i="20"/>
  <c r="I190" i="20"/>
  <c r="H190" i="20"/>
  <c r="G191" i="20"/>
  <c r="G190" i="20"/>
  <c r="I189" i="20"/>
  <c r="H189" i="20"/>
  <c r="G189" i="20"/>
  <c r="E191" i="20"/>
  <c r="D191" i="20"/>
  <c r="E190" i="20"/>
  <c r="D190" i="20"/>
  <c r="C191" i="20"/>
  <c r="C190" i="20"/>
  <c r="E189" i="20"/>
  <c r="D189" i="20"/>
  <c r="C189" i="20"/>
  <c r="I182" i="20"/>
  <c r="I183" i="20"/>
  <c r="H182" i="20"/>
  <c r="H183" i="20"/>
  <c r="G183" i="20"/>
  <c r="G182" i="20"/>
  <c r="I181" i="20"/>
  <c r="H181" i="20"/>
  <c r="G181" i="20"/>
  <c r="E183" i="20"/>
  <c r="D183" i="20"/>
  <c r="E182" i="20"/>
  <c r="D182" i="20"/>
  <c r="C183" i="20"/>
  <c r="C182" i="20"/>
  <c r="E181" i="20"/>
  <c r="D181" i="20"/>
  <c r="C181" i="20"/>
  <c r="I177" i="20"/>
  <c r="H177" i="20"/>
  <c r="I176" i="20"/>
  <c r="H176" i="20"/>
  <c r="I175" i="20"/>
  <c r="H175" i="20"/>
  <c r="G177" i="20"/>
  <c r="G176" i="20"/>
  <c r="G175" i="20"/>
  <c r="E177" i="20"/>
  <c r="D177" i="20"/>
  <c r="E176" i="20"/>
  <c r="D176" i="20"/>
  <c r="E175" i="20"/>
  <c r="D175" i="20"/>
  <c r="C177" i="20"/>
  <c r="C176" i="20"/>
  <c r="C175" i="20"/>
  <c r="I172" i="20"/>
  <c r="H172" i="20"/>
  <c r="L246" i="20" s="1"/>
  <c r="L276" i="20" s="1"/>
  <c r="I171" i="20"/>
  <c r="H171" i="20"/>
  <c r="I170" i="20"/>
  <c r="M241" i="20" s="1"/>
  <c r="H170" i="20"/>
  <c r="L241" i="20" s="1"/>
  <c r="G172" i="20"/>
  <c r="G171" i="20"/>
  <c r="K245" i="20" s="1"/>
  <c r="G170" i="20"/>
  <c r="K272" i="20" s="1"/>
  <c r="E172" i="20"/>
  <c r="D172" i="20"/>
  <c r="C172" i="20"/>
  <c r="E170" i="20"/>
  <c r="D170" i="20"/>
  <c r="D171" i="20"/>
  <c r="C171" i="20"/>
  <c r="C170" i="20"/>
  <c r="I166" i="20"/>
  <c r="I167" i="20"/>
  <c r="E167" i="20"/>
  <c r="D167" i="20"/>
  <c r="E166" i="20"/>
  <c r="D166" i="20"/>
  <c r="E165" i="20"/>
  <c r="D165" i="20"/>
  <c r="C167" i="20"/>
  <c r="C166" i="20"/>
  <c r="C165" i="20"/>
  <c r="E150" i="20"/>
  <c r="D150" i="20"/>
  <c r="E148" i="20"/>
  <c r="E149" i="20"/>
  <c r="D149" i="20"/>
  <c r="D148" i="20"/>
  <c r="C150" i="20"/>
  <c r="C149" i="20"/>
  <c r="C148" i="20"/>
  <c r="E146" i="20"/>
  <c r="D146" i="20"/>
  <c r="E145" i="20"/>
  <c r="D145" i="20"/>
  <c r="C146" i="20"/>
  <c r="C145" i="20"/>
  <c r="L23" i="216"/>
  <c r="G463" i="229"/>
  <c r="F463" i="229"/>
  <c r="E463" i="229"/>
  <c r="G462" i="229"/>
  <c r="H462" i="229" s="1"/>
  <c r="F462" i="229"/>
  <c r="E462" i="229"/>
  <c r="G461" i="229"/>
  <c r="F461" i="229"/>
  <c r="E461" i="229"/>
  <c r="L460" i="229"/>
  <c r="K460" i="229"/>
  <c r="J460" i="229"/>
  <c r="F460" i="229"/>
  <c r="F465" i="229" s="1"/>
  <c r="E460" i="229"/>
  <c r="E465" i="229" s="1"/>
  <c r="G455" i="229"/>
  <c r="H455" i="229" s="1"/>
  <c r="F455" i="229"/>
  <c r="E455" i="229"/>
  <c r="H454" i="229"/>
  <c r="H453" i="229"/>
  <c r="H452" i="229"/>
  <c r="H451" i="229"/>
  <c r="G445" i="229"/>
  <c r="F445" i="229"/>
  <c r="E445" i="229"/>
  <c r="H444" i="229"/>
  <c r="H443" i="229"/>
  <c r="H442" i="229"/>
  <c r="H441" i="229"/>
  <c r="G435" i="229"/>
  <c r="F435" i="229"/>
  <c r="E435" i="229"/>
  <c r="H434" i="229"/>
  <c r="H433" i="229"/>
  <c r="H432" i="229"/>
  <c r="H431" i="229"/>
  <c r="G425" i="229"/>
  <c r="F425" i="229"/>
  <c r="E425" i="229"/>
  <c r="H424" i="229"/>
  <c r="H423" i="229"/>
  <c r="H422" i="229"/>
  <c r="H421" i="229"/>
  <c r="G415" i="229"/>
  <c r="H415" i="229" s="1"/>
  <c r="F415" i="229"/>
  <c r="E415" i="229"/>
  <c r="H414" i="229"/>
  <c r="H413" i="229"/>
  <c r="H412" i="229"/>
  <c r="H411" i="229"/>
  <c r="G405" i="229"/>
  <c r="F405" i="229"/>
  <c r="E405" i="229"/>
  <c r="H404" i="229"/>
  <c r="H403" i="229"/>
  <c r="H402" i="229"/>
  <c r="H401" i="229"/>
  <c r="G395" i="229"/>
  <c r="F395" i="229"/>
  <c r="E395" i="229"/>
  <c r="H394" i="229"/>
  <c r="H393" i="229"/>
  <c r="H392" i="229"/>
  <c r="H391" i="229"/>
  <c r="G385" i="229"/>
  <c r="F385" i="229"/>
  <c r="E385" i="229"/>
  <c r="H384" i="229"/>
  <c r="H383" i="229"/>
  <c r="H382" i="229"/>
  <c r="H381" i="229"/>
  <c r="G375" i="229"/>
  <c r="H375" i="229" s="1"/>
  <c r="F375" i="229"/>
  <c r="E375" i="229"/>
  <c r="H374" i="229"/>
  <c r="H373" i="229"/>
  <c r="H372" i="229"/>
  <c r="H371" i="229"/>
  <c r="G365" i="229"/>
  <c r="F365" i="229"/>
  <c r="E365" i="229"/>
  <c r="H364" i="229"/>
  <c r="H363" i="229"/>
  <c r="H362" i="229"/>
  <c r="H361" i="229"/>
  <c r="G355" i="229"/>
  <c r="F355" i="229"/>
  <c r="E355" i="229"/>
  <c r="H354" i="229"/>
  <c r="H353" i="229"/>
  <c r="H352" i="229"/>
  <c r="H351" i="229"/>
  <c r="G345" i="229"/>
  <c r="F345" i="229"/>
  <c r="E345" i="229"/>
  <c r="H344" i="229"/>
  <c r="H343" i="229"/>
  <c r="H342" i="229"/>
  <c r="H341" i="229"/>
  <c r="G335" i="229"/>
  <c r="H335" i="229" s="1"/>
  <c r="F335" i="229"/>
  <c r="E335" i="229"/>
  <c r="H334" i="229"/>
  <c r="H333" i="229"/>
  <c r="H332" i="229"/>
  <c r="H331" i="229"/>
  <c r="G325" i="229"/>
  <c r="F325" i="229"/>
  <c r="E325" i="229"/>
  <c r="H324" i="229"/>
  <c r="H323" i="229"/>
  <c r="H322" i="229"/>
  <c r="H321" i="229"/>
  <c r="G315" i="229"/>
  <c r="F315" i="229"/>
  <c r="E315" i="229"/>
  <c r="H314" i="229"/>
  <c r="H313" i="229"/>
  <c r="H312" i="229"/>
  <c r="H311" i="229"/>
  <c r="G305" i="229"/>
  <c r="F305" i="229"/>
  <c r="E305" i="229"/>
  <c r="H304" i="229"/>
  <c r="H303" i="229"/>
  <c r="H302" i="229"/>
  <c r="H301" i="229"/>
  <c r="G295" i="229"/>
  <c r="H295" i="229" s="1"/>
  <c r="F295" i="229"/>
  <c r="E295" i="229"/>
  <c r="H294" i="229"/>
  <c r="H293" i="229"/>
  <c r="H292" i="229"/>
  <c r="H291" i="229"/>
  <c r="G285" i="229"/>
  <c r="F285" i="229"/>
  <c r="E285" i="229"/>
  <c r="H284" i="229"/>
  <c r="H283" i="229"/>
  <c r="H282" i="229"/>
  <c r="H281" i="229"/>
  <c r="G275" i="229"/>
  <c r="F275" i="229"/>
  <c r="E275" i="229"/>
  <c r="H274" i="229"/>
  <c r="H273" i="229"/>
  <c r="H272" i="229"/>
  <c r="H271" i="229"/>
  <c r="G265" i="229"/>
  <c r="F265" i="229"/>
  <c r="E265" i="229"/>
  <c r="H264" i="229"/>
  <c r="H263" i="229"/>
  <c r="H262" i="229"/>
  <c r="H261" i="229"/>
  <c r="G255" i="229"/>
  <c r="H255" i="229" s="1"/>
  <c r="F255" i="229"/>
  <c r="E255" i="229"/>
  <c r="H254" i="229"/>
  <c r="H253" i="229"/>
  <c r="H252" i="229"/>
  <c r="H251" i="229"/>
  <c r="G245" i="229"/>
  <c r="F245" i="229"/>
  <c r="E245" i="229"/>
  <c r="H244" i="229"/>
  <c r="H243" i="229"/>
  <c r="H242" i="229"/>
  <c r="H241" i="229"/>
  <c r="G235" i="229"/>
  <c r="F235" i="229"/>
  <c r="E235" i="229"/>
  <c r="H234" i="229"/>
  <c r="H233" i="229"/>
  <c r="H232" i="229"/>
  <c r="H231" i="229"/>
  <c r="G225" i="229"/>
  <c r="F225" i="229"/>
  <c r="E225" i="229"/>
  <c r="H224" i="229"/>
  <c r="H223" i="229"/>
  <c r="H222" i="229"/>
  <c r="H221" i="229"/>
  <c r="G213" i="229"/>
  <c r="H213" i="229" s="1"/>
  <c r="F213" i="229"/>
  <c r="E213" i="229"/>
  <c r="H212" i="229"/>
  <c r="H211" i="229"/>
  <c r="H210" i="229"/>
  <c r="H209" i="229"/>
  <c r="G203" i="229"/>
  <c r="F203" i="229"/>
  <c r="E203" i="229"/>
  <c r="H202" i="229"/>
  <c r="H201" i="229"/>
  <c r="H200" i="229"/>
  <c r="H199" i="229"/>
  <c r="G192" i="229"/>
  <c r="F192" i="229"/>
  <c r="E192" i="229"/>
  <c r="H191" i="229"/>
  <c r="H190" i="229"/>
  <c r="H189" i="229"/>
  <c r="H188" i="229"/>
  <c r="G182" i="229"/>
  <c r="F182" i="229"/>
  <c r="E182" i="229"/>
  <c r="H181" i="229"/>
  <c r="H180" i="229"/>
  <c r="H179" i="229"/>
  <c r="H178" i="229"/>
  <c r="G171" i="229"/>
  <c r="H171" i="229" s="1"/>
  <c r="F171" i="229"/>
  <c r="E171" i="229"/>
  <c r="H170" i="229"/>
  <c r="H169" i="229"/>
  <c r="H168" i="229"/>
  <c r="H167" i="229"/>
  <c r="G161" i="229"/>
  <c r="F161" i="229"/>
  <c r="E161" i="229"/>
  <c r="H160" i="229"/>
  <c r="H159" i="229"/>
  <c r="H158" i="229"/>
  <c r="H157" i="229"/>
  <c r="G151" i="229"/>
  <c r="F151" i="229"/>
  <c r="E151" i="229"/>
  <c r="H150" i="229"/>
  <c r="H149" i="229"/>
  <c r="H148" i="229"/>
  <c r="H147" i="229"/>
  <c r="G141" i="229"/>
  <c r="F141" i="229"/>
  <c r="E141" i="229"/>
  <c r="H140" i="229"/>
  <c r="H139" i="229"/>
  <c r="H138" i="229"/>
  <c r="H137" i="229"/>
  <c r="G131" i="229"/>
  <c r="H131" i="229" s="1"/>
  <c r="F131" i="229"/>
  <c r="E131" i="229"/>
  <c r="H130" i="229"/>
  <c r="H129" i="229"/>
  <c r="H128" i="229"/>
  <c r="H127" i="229"/>
  <c r="G121" i="229"/>
  <c r="F121" i="229"/>
  <c r="E121" i="229"/>
  <c r="H120" i="229"/>
  <c r="H119" i="229"/>
  <c r="H118" i="229"/>
  <c r="H117" i="229"/>
  <c r="G111" i="229"/>
  <c r="F111" i="229"/>
  <c r="E111" i="229"/>
  <c r="H110" i="229"/>
  <c r="H109" i="229"/>
  <c r="H108" i="229"/>
  <c r="H107" i="229"/>
  <c r="G101" i="229"/>
  <c r="F101" i="229"/>
  <c r="E101" i="229"/>
  <c r="H100" i="229"/>
  <c r="H99" i="229"/>
  <c r="H98" i="229"/>
  <c r="H97" i="229"/>
  <c r="G91" i="229"/>
  <c r="H91" i="229" s="1"/>
  <c r="F91" i="229"/>
  <c r="E91" i="229"/>
  <c r="H90" i="229"/>
  <c r="H89" i="229"/>
  <c r="H88" i="229"/>
  <c r="H87" i="229"/>
  <c r="G81" i="229"/>
  <c r="F81" i="229"/>
  <c r="E81" i="229"/>
  <c r="H80" i="229"/>
  <c r="H79" i="229"/>
  <c r="H78" i="229"/>
  <c r="H77" i="229"/>
  <c r="G71" i="229"/>
  <c r="F71" i="229"/>
  <c r="E71" i="229"/>
  <c r="H70" i="229"/>
  <c r="H69" i="229"/>
  <c r="H68" i="229"/>
  <c r="H67" i="229"/>
  <c r="G61" i="229"/>
  <c r="F61" i="229"/>
  <c r="E61" i="229"/>
  <c r="H60" i="229"/>
  <c r="H59" i="229"/>
  <c r="H58" i="229"/>
  <c r="H57" i="229"/>
  <c r="G51" i="229"/>
  <c r="H51" i="229" s="1"/>
  <c r="F51" i="229"/>
  <c r="E51" i="229"/>
  <c r="H50" i="229"/>
  <c r="H49" i="229"/>
  <c r="H48" i="229"/>
  <c r="H47" i="229"/>
  <c r="G41" i="229"/>
  <c r="F41" i="229"/>
  <c r="E41" i="229"/>
  <c r="H40" i="229"/>
  <c r="H39" i="229"/>
  <c r="H38" i="229"/>
  <c r="H37" i="229"/>
  <c r="G30" i="229"/>
  <c r="F30" i="229"/>
  <c r="E30" i="229"/>
  <c r="K29" i="229"/>
  <c r="J29" i="229"/>
  <c r="H27" i="229"/>
  <c r="H26" i="229"/>
  <c r="H25" i="229"/>
  <c r="H24" i="229"/>
  <c r="H23" i="229"/>
  <c r="H22" i="229"/>
  <c r="H21" i="229"/>
  <c r="H20" i="229"/>
  <c r="H19" i="229"/>
  <c r="H18" i="229"/>
  <c r="H17" i="229"/>
  <c r="H16" i="229"/>
  <c r="H15" i="229"/>
  <c r="H14" i="229"/>
  <c r="H13" i="229"/>
  <c r="H12" i="229"/>
  <c r="H11" i="229"/>
  <c r="H10" i="229"/>
  <c r="D398" i="228"/>
  <c r="G274" i="228"/>
  <c r="F274" i="228"/>
  <c r="E274" i="228"/>
  <c r="G272" i="228"/>
  <c r="F272" i="228"/>
  <c r="E272" i="228"/>
  <c r="L271" i="228"/>
  <c r="K271" i="228"/>
  <c r="J271" i="228"/>
  <c r="E271" i="228"/>
  <c r="E276" i="228" s="1"/>
  <c r="G264" i="228"/>
  <c r="F264" i="228"/>
  <c r="E264" i="228"/>
  <c r="H261" i="228"/>
  <c r="H260" i="228"/>
  <c r="H259" i="228"/>
  <c r="H258" i="228"/>
  <c r="H256" i="228"/>
  <c r="H255" i="228"/>
  <c r="H254" i="228"/>
  <c r="H253" i="228"/>
  <c r="H252" i="228"/>
  <c r="H251" i="228"/>
  <c r="H250" i="228"/>
  <c r="H249" i="228"/>
  <c r="H248" i="228"/>
  <c r="H247" i="228"/>
  <c r="H246" i="228"/>
  <c r="H245" i="228"/>
  <c r="H244" i="228"/>
  <c r="H243" i="228"/>
  <c r="H242" i="228"/>
  <c r="H241" i="228"/>
  <c r="H240" i="228"/>
  <c r="G231" i="228"/>
  <c r="F231" i="228"/>
  <c r="H231" i="228" s="1"/>
  <c r="E231" i="228"/>
  <c r="H229" i="228"/>
  <c r="H228" i="228"/>
  <c r="H227" i="228"/>
  <c r="H226" i="228"/>
  <c r="H225" i="228"/>
  <c r="H224" i="228"/>
  <c r="H223" i="228"/>
  <c r="H221" i="228"/>
  <c r="H220" i="228"/>
  <c r="H219" i="228"/>
  <c r="H218" i="228"/>
  <c r="H217" i="228"/>
  <c r="H216" i="228"/>
  <c r="H215" i="228"/>
  <c r="H214" i="228"/>
  <c r="H213" i="228"/>
  <c r="H212" i="228"/>
  <c r="H211" i="228"/>
  <c r="H210" i="228"/>
  <c r="H209" i="228"/>
  <c r="H208" i="228"/>
  <c r="H207" i="228"/>
  <c r="H206" i="228"/>
  <c r="H205" i="228"/>
  <c r="G199" i="228"/>
  <c r="F199" i="228"/>
  <c r="H199" i="228" s="1"/>
  <c r="E199" i="228"/>
  <c r="H197" i="228"/>
  <c r="H196" i="228"/>
  <c r="H195" i="228"/>
  <c r="H194" i="228"/>
  <c r="H193" i="228"/>
  <c r="H192" i="228"/>
  <c r="H191" i="228"/>
  <c r="H189" i="228"/>
  <c r="H188" i="228"/>
  <c r="H187" i="228"/>
  <c r="H186" i="228"/>
  <c r="H185" i="228"/>
  <c r="H184" i="228"/>
  <c r="H183" i="228"/>
  <c r="H182" i="228"/>
  <c r="H181" i="228"/>
  <c r="H180" i="228"/>
  <c r="H179" i="228"/>
  <c r="H178" i="228"/>
  <c r="H177" i="228"/>
  <c r="H176" i="228"/>
  <c r="H175" i="228"/>
  <c r="H174" i="228"/>
  <c r="H173" i="228"/>
  <c r="G167" i="228"/>
  <c r="F167" i="228"/>
  <c r="E167" i="228"/>
  <c r="H164" i="228"/>
  <c r="H163" i="228"/>
  <c r="H162" i="228"/>
  <c r="H161" i="228"/>
  <c r="H159" i="228"/>
  <c r="H158" i="228"/>
  <c r="H157" i="228"/>
  <c r="H156" i="228"/>
  <c r="H155" i="228"/>
  <c r="H154" i="228"/>
  <c r="H153" i="228"/>
  <c r="H152" i="228"/>
  <c r="H151" i="228"/>
  <c r="H150" i="228"/>
  <c r="H149" i="228"/>
  <c r="H148" i="228"/>
  <c r="H147" i="228"/>
  <c r="H146" i="228"/>
  <c r="H145" i="228"/>
  <c r="H144" i="228"/>
  <c r="H143" i="228"/>
  <c r="G137" i="228"/>
  <c r="F137" i="228"/>
  <c r="H137" i="228" s="1"/>
  <c r="E137" i="228"/>
  <c r="H135" i="228"/>
  <c r="H134" i="228"/>
  <c r="H133" i="228"/>
  <c r="H132" i="228"/>
  <c r="H131" i="228"/>
  <c r="H130" i="228"/>
  <c r="H129" i="228"/>
  <c r="H128" i="228"/>
  <c r="H126" i="228"/>
  <c r="H125" i="228"/>
  <c r="H124" i="228"/>
  <c r="H123" i="228"/>
  <c r="H122" i="228"/>
  <c r="H121" i="228"/>
  <c r="H120" i="228"/>
  <c r="H119" i="228"/>
  <c r="H118" i="228"/>
  <c r="H117" i="228"/>
  <c r="H116" i="228"/>
  <c r="H115" i="228"/>
  <c r="H114" i="228"/>
  <c r="H113" i="228"/>
  <c r="H112" i="228"/>
  <c r="H111" i="228"/>
  <c r="H110" i="228"/>
  <c r="G104" i="228"/>
  <c r="F104" i="228"/>
  <c r="E104" i="228"/>
  <c r="H102" i="228"/>
  <c r="H101" i="228"/>
  <c r="H99" i="228"/>
  <c r="H98" i="228"/>
  <c r="H97" i="228"/>
  <c r="H96" i="228"/>
  <c r="H95" i="228"/>
  <c r="H94" i="228"/>
  <c r="H93" i="228"/>
  <c r="H92" i="228"/>
  <c r="H89" i="228"/>
  <c r="H88" i="228"/>
  <c r="H87" i="228"/>
  <c r="H86" i="228"/>
  <c r="H85" i="228"/>
  <c r="H84" i="228"/>
  <c r="H83" i="228"/>
  <c r="H82" i="228"/>
  <c r="H81" i="228"/>
  <c r="H80" i="228"/>
  <c r="H79" i="228"/>
  <c r="H78" i="228"/>
  <c r="G66" i="228"/>
  <c r="F66" i="228"/>
  <c r="E66" i="228"/>
  <c r="H64" i="228"/>
  <c r="H63" i="228"/>
  <c r="H61" i="228"/>
  <c r="H60" i="228"/>
  <c r="H59" i="228"/>
  <c r="H58" i="228"/>
  <c r="H57" i="228"/>
  <c r="H56" i="228"/>
  <c r="H55" i="228"/>
  <c r="H53" i="228"/>
  <c r="H52" i="228"/>
  <c r="H51" i="228"/>
  <c r="H50" i="228"/>
  <c r="H49" i="228"/>
  <c r="H48" i="228"/>
  <c r="H47" i="228"/>
  <c r="H46" i="228"/>
  <c r="H45" i="228"/>
  <c r="H44" i="228"/>
  <c r="H43" i="228"/>
  <c r="H42" i="228"/>
  <c r="H36" i="228"/>
  <c r="G36" i="228"/>
  <c r="F36" i="228"/>
  <c r="E36" i="228"/>
  <c r="H34" i="228"/>
  <c r="H33" i="228"/>
  <c r="H32" i="228"/>
  <c r="H31" i="228"/>
  <c r="H30" i="228"/>
  <c r="H29" i="228"/>
  <c r="H28" i="228"/>
  <c r="H27" i="228"/>
  <c r="H26" i="228"/>
  <c r="H25" i="228"/>
  <c r="H24" i="228"/>
  <c r="H23" i="228"/>
  <c r="H22" i="228"/>
  <c r="H20" i="228"/>
  <c r="H19" i="228"/>
  <c r="H18" i="228"/>
  <c r="H17" i="228"/>
  <c r="H16" i="228"/>
  <c r="H15" i="228"/>
  <c r="H14" i="228"/>
  <c r="H13" i="228"/>
  <c r="H12" i="228"/>
  <c r="H11" i="228"/>
  <c r="D267" i="227"/>
  <c r="G143" i="227"/>
  <c r="F143" i="227"/>
  <c r="E143" i="227"/>
  <c r="G142" i="227"/>
  <c r="H142" i="227" s="1"/>
  <c r="F142" i="227"/>
  <c r="E142" i="227"/>
  <c r="G141" i="227"/>
  <c r="F141" i="227"/>
  <c r="E141" i="227"/>
  <c r="L140" i="227"/>
  <c r="K140" i="227"/>
  <c r="J140" i="227"/>
  <c r="F140" i="227"/>
  <c r="F145" i="227" s="1"/>
  <c r="E140" i="227"/>
  <c r="E145" i="227" s="1"/>
  <c r="G132" i="227"/>
  <c r="F132" i="227"/>
  <c r="E132" i="227"/>
  <c r="H131" i="227"/>
  <c r="H130" i="227"/>
  <c r="H129" i="227"/>
  <c r="H128" i="227"/>
  <c r="G122" i="227"/>
  <c r="F122" i="227"/>
  <c r="E122" i="227"/>
  <c r="H121" i="227"/>
  <c r="H120" i="227"/>
  <c r="H119" i="227"/>
  <c r="H118" i="227"/>
  <c r="G112" i="227"/>
  <c r="F112" i="227"/>
  <c r="E112" i="227"/>
  <c r="H111" i="227"/>
  <c r="H110" i="227"/>
  <c r="H109" i="227"/>
  <c r="H108" i="227"/>
  <c r="G102" i="227"/>
  <c r="H102" i="227" s="1"/>
  <c r="F102" i="227"/>
  <c r="E102" i="227"/>
  <c r="H101" i="227"/>
  <c r="H100" i="227"/>
  <c r="H99" i="227"/>
  <c r="H98" i="227"/>
  <c r="G92" i="227"/>
  <c r="F92" i="227"/>
  <c r="E92" i="227"/>
  <c r="H91" i="227"/>
  <c r="H90" i="227"/>
  <c r="H89" i="227"/>
  <c r="H88" i="227"/>
  <c r="G82" i="227"/>
  <c r="F82" i="227"/>
  <c r="E82" i="227"/>
  <c r="H81" i="227"/>
  <c r="H80" i="227"/>
  <c r="H79" i="227"/>
  <c r="H78" i="227"/>
  <c r="G72" i="227"/>
  <c r="F72" i="227"/>
  <c r="E72" i="227"/>
  <c r="H71" i="227"/>
  <c r="H70" i="227"/>
  <c r="H69" i="227"/>
  <c r="H68" i="227"/>
  <c r="G62" i="227"/>
  <c r="H62" i="227" s="1"/>
  <c r="F62" i="227"/>
  <c r="E62" i="227"/>
  <c r="H61" i="227"/>
  <c r="H60" i="227"/>
  <c r="H59" i="227"/>
  <c r="H58" i="227"/>
  <c r="G52" i="227"/>
  <c r="F52" i="227"/>
  <c r="E52" i="227"/>
  <c r="H51" i="227"/>
  <c r="H50" i="227"/>
  <c r="H49" i="227"/>
  <c r="H48" i="227"/>
  <c r="G42" i="227"/>
  <c r="F42" i="227"/>
  <c r="E42" i="227"/>
  <c r="H41" i="227"/>
  <c r="H40" i="227"/>
  <c r="H39" i="227"/>
  <c r="H38" i="227"/>
  <c r="G32" i="227"/>
  <c r="F32" i="227"/>
  <c r="E32" i="227"/>
  <c r="H28" i="227"/>
  <c r="H27" i="227"/>
  <c r="H26" i="227"/>
  <c r="H25" i="227"/>
  <c r="H24" i="227"/>
  <c r="H23" i="227"/>
  <c r="H22" i="227"/>
  <c r="H21" i="227"/>
  <c r="H20" i="227"/>
  <c r="H19" i="227"/>
  <c r="H18" i="227"/>
  <c r="H17" i="227"/>
  <c r="H16" i="227"/>
  <c r="H15" i="227"/>
  <c r="H14" i="227"/>
  <c r="H13" i="227"/>
  <c r="H12" i="227"/>
  <c r="H11" i="227"/>
  <c r="H10" i="227"/>
  <c r="D176" i="226"/>
  <c r="E51" i="226"/>
  <c r="G49" i="226"/>
  <c r="F49" i="226"/>
  <c r="E49" i="226"/>
  <c r="G48" i="226"/>
  <c r="G46" i="226" s="1"/>
  <c r="G51" i="226" s="1"/>
  <c r="F48" i="226"/>
  <c r="E48" i="226"/>
  <c r="G47" i="226"/>
  <c r="F47" i="226"/>
  <c r="F46" i="226" s="1"/>
  <c r="F51" i="226" s="1"/>
  <c r="E47" i="226"/>
  <c r="L46" i="226"/>
  <c r="K46" i="226"/>
  <c r="J46" i="226"/>
  <c r="E46" i="226"/>
  <c r="G41" i="226"/>
  <c r="F41" i="226"/>
  <c r="E41" i="226"/>
  <c r="G34" i="226"/>
  <c r="H34" i="226" s="1"/>
  <c r="F34" i="226"/>
  <c r="E34" i="226"/>
  <c r="H33" i="226"/>
  <c r="H32" i="226"/>
  <c r="G26" i="226"/>
  <c r="F26" i="226"/>
  <c r="E26" i="226"/>
  <c r="H24" i="226"/>
  <c r="H23" i="226"/>
  <c r="H22" i="226"/>
  <c r="G16" i="226"/>
  <c r="F16" i="226"/>
  <c r="E16" i="226"/>
  <c r="H14" i="226"/>
  <c r="H13" i="226"/>
  <c r="H12" i="226"/>
  <c r="D176" i="225"/>
  <c r="G49" i="225"/>
  <c r="F49" i="225"/>
  <c r="E49" i="225"/>
  <c r="G48" i="225"/>
  <c r="F48" i="225"/>
  <c r="H48" i="225" s="1"/>
  <c r="E48" i="225"/>
  <c r="G47" i="225"/>
  <c r="F47" i="225"/>
  <c r="H47" i="225" s="1"/>
  <c r="E47" i="225"/>
  <c r="E46" i="225" s="1"/>
  <c r="E51" i="225" s="1"/>
  <c r="L46" i="225"/>
  <c r="K46" i="225"/>
  <c r="J46" i="225"/>
  <c r="G46" i="225"/>
  <c r="G51" i="225" s="1"/>
  <c r="G41" i="225"/>
  <c r="F41" i="225"/>
  <c r="E41" i="225"/>
  <c r="G34" i="225"/>
  <c r="H34" i="225" s="1"/>
  <c r="F34" i="225"/>
  <c r="E34" i="225"/>
  <c r="H33" i="225"/>
  <c r="H32" i="225"/>
  <c r="G26" i="225"/>
  <c r="F26" i="225"/>
  <c r="E26" i="225"/>
  <c r="H24" i="225"/>
  <c r="H23" i="225"/>
  <c r="H22" i="225"/>
  <c r="G16" i="225"/>
  <c r="F16" i="225"/>
  <c r="E16" i="225"/>
  <c r="H14" i="225"/>
  <c r="H13" i="225"/>
  <c r="H12" i="225"/>
  <c r="D240" i="224"/>
  <c r="G115" i="224"/>
  <c r="G113" i="224"/>
  <c r="F113" i="224"/>
  <c r="E113" i="224"/>
  <c r="L112" i="224"/>
  <c r="K112" i="224"/>
  <c r="J112" i="224"/>
  <c r="F112" i="224"/>
  <c r="F117" i="224" s="1"/>
  <c r="E112" i="224"/>
  <c r="E117" i="224" s="1"/>
  <c r="G109" i="224"/>
  <c r="F109" i="224"/>
  <c r="E109" i="224"/>
  <c r="H102" i="224"/>
  <c r="G102" i="224"/>
  <c r="F102" i="224"/>
  <c r="E102" i="224"/>
  <c r="H101" i="224"/>
  <c r="H100" i="224"/>
  <c r="H99" i="224"/>
  <c r="H98" i="224"/>
  <c r="H97" i="224"/>
  <c r="H95" i="224"/>
  <c r="H94" i="224"/>
  <c r="H93" i="224"/>
  <c r="H92" i="224"/>
  <c r="H91" i="224"/>
  <c r="H90" i="224"/>
  <c r="H89" i="224"/>
  <c r="H88" i="224"/>
  <c r="H87" i="224"/>
  <c r="H86" i="224"/>
  <c r="H85" i="224"/>
  <c r="H84" i="224"/>
  <c r="H83" i="224"/>
  <c r="H82" i="224"/>
  <c r="H81" i="224"/>
  <c r="H80" i="224"/>
  <c r="H79" i="224"/>
  <c r="H78" i="224"/>
  <c r="H77" i="224"/>
  <c r="H76" i="224"/>
  <c r="H75" i="224"/>
  <c r="H74" i="224"/>
  <c r="H67" i="224"/>
  <c r="G67" i="224"/>
  <c r="F67" i="224"/>
  <c r="E67" i="224"/>
  <c r="H65" i="224"/>
  <c r="H64" i="224"/>
  <c r="H63" i="224"/>
  <c r="H62" i="224"/>
  <c r="H61" i="224"/>
  <c r="H59" i="224"/>
  <c r="H58" i="224"/>
  <c r="H57" i="224"/>
  <c r="H56" i="224"/>
  <c r="H55" i="224"/>
  <c r="H54" i="224"/>
  <c r="H53" i="224"/>
  <c r="H52" i="224"/>
  <c r="H51" i="224"/>
  <c r="H50" i="224"/>
  <c r="H49" i="224"/>
  <c r="H48" i="224"/>
  <c r="H47" i="224"/>
  <c r="H46" i="224"/>
  <c r="H45" i="224"/>
  <c r="H44" i="224"/>
  <c r="H43" i="224"/>
  <c r="H42" i="224"/>
  <c r="H41" i="224"/>
  <c r="H40" i="224"/>
  <c r="H39" i="224"/>
  <c r="H38" i="224"/>
  <c r="H37" i="224"/>
  <c r="H36" i="224"/>
  <c r="H35" i="224"/>
  <c r="H33" i="224"/>
  <c r="H29" i="224"/>
  <c r="H28" i="224"/>
  <c r="H27" i="224"/>
  <c r="H26" i="224"/>
  <c r="H25" i="224"/>
  <c r="H24" i="224"/>
  <c r="H23" i="224"/>
  <c r="H22" i="224"/>
  <c r="H21" i="224"/>
  <c r="H20" i="224"/>
  <c r="H19" i="224"/>
  <c r="H18" i="224"/>
  <c r="H17" i="224"/>
  <c r="H16" i="224"/>
  <c r="H15" i="224"/>
  <c r="H14" i="224"/>
  <c r="H13" i="224"/>
  <c r="H12" i="224"/>
  <c r="E608" i="223"/>
  <c r="G606" i="223"/>
  <c r="F606" i="223"/>
  <c r="E606" i="223"/>
  <c r="H605" i="223"/>
  <c r="G605" i="223"/>
  <c r="F605" i="223"/>
  <c r="E605" i="223"/>
  <c r="L604" i="223"/>
  <c r="L603" i="223" s="1"/>
  <c r="G604" i="223"/>
  <c r="F604" i="223"/>
  <c r="H604" i="223" s="1"/>
  <c r="E604" i="223"/>
  <c r="E603" i="223" s="1"/>
  <c r="K603" i="223"/>
  <c r="J603" i="223"/>
  <c r="G603" i="223"/>
  <c r="G608" i="223" s="1"/>
  <c r="G597" i="223"/>
  <c r="F597" i="223"/>
  <c r="E597" i="223"/>
  <c r="K596" i="223"/>
  <c r="J596" i="223"/>
  <c r="H596" i="223"/>
  <c r="K595" i="223"/>
  <c r="J595" i="223"/>
  <c r="I595" i="223"/>
  <c r="H595" i="223"/>
  <c r="H594" i="223"/>
  <c r="H593" i="223"/>
  <c r="H592" i="223"/>
  <c r="G586" i="223"/>
  <c r="F586" i="223"/>
  <c r="E586" i="223"/>
  <c r="H585" i="223"/>
  <c r="H578" i="223"/>
  <c r="G578" i="223"/>
  <c r="F578" i="223"/>
  <c r="E578" i="223"/>
  <c r="H577" i="223"/>
  <c r="H576" i="223"/>
  <c r="H575" i="223"/>
  <c r="H574" i="223"/>
  <c r="H573" i="223"/>
  <c r="G567" i="223"/>
  <c r="F567" i="223"/>
  <c r="H567" i="223" s="1"/>
  <c r="E567" i="223"/>
  <c r="H566" i="223"/>
  <c r="H565" i="223"/>
  <c r="H564" i="223"/>
  <c r="H563" i="223"/>
  <c r="G557" i="223"/>
  <c r="F557" i="223"/>
  <c r="H557" i="223" s="1"/>
  <c r="E557" i="223"/>
  <c r="H556" i="223"/>
  <c r="H555" i="223"/>
  <c r="H554" i="223"/>
  <c r="H553" i="223"/>
  <c r="G547" i="223"/>
  <c r="F547" i="223"/>
  <c r="H547" i="223" s="1"/>
  <c r="E547" i="223"/>
  <c r="H546" i="223"/>
  <c r="H545" i="223"/>
  <c r="H544" i="223"/>
  <c r="H540" i="223"/>
  <c r="H538" i="223"/>
  <c r="G522" i="223"/>
  <c r="F522" i="223"/>
  <c r="E522" i="223"/>
  <c r="H521" i="223"/>
  <c r="H520" i="223"/>
  <c r="H519" i="223"/>
  <c r="H517" i="223"/>
  <c r="G510" i="223"/>
  <c r="H510" i="223" s="1"/>
  <c r="F510" i="223"/>
  <c r="E510" i="223"/>
  <c r="H508" i="223"/>
  <c r="H507" i="223"/>
  <c r="H506" i="223"/>
  <c r="H505" i="223"/>
  <c r="G498" i="223"/>
  <c r="F498" i="223"/>
  <c r="E498" i="223"/>
  <c r="H496" i="223"/>
  <c r="H495" i="223"/>
  <c r="H494" i="223"/>
  <c r="H493" i="223"/>
  <c r="G486" i="223"/>
  <c r="F486" i="223"/>
  <c r="E486" i="223"/>
  <c r="H484" i="223"/>
  <c r="H483" i="223"/>
  <c r="H482" i="223"/>
  <c r="H481" i="223"/>
  <c r="G474" i="223"/>
  <c r="F474" i="223"/>
  <c r="E474" i="223"/>
  <c r="H472" i="223"/>
  <c r="H471" i="223"/>
  <c r="H470" i="223"/>
  <c r="H469" i="223"/>
  <c r="H468" i="223"/>
  <c r="G462" i="223"/>
  <c r="H462" i="223" s="1"/>
  <c r="F462" i="223"/>
  <c r="E462" i="223"/>
  <c r="H461" i="223"/>
  <c r="H460" i="223"/>
  <c r="H459" i="223"/>
  <c r="H458" i="223"/>
  <c r="H457" i="223"/>
  <c r="H456" i="223"/>
  <c r="H455" i="223"/>
  <c r="H454" i="223"/>
  <c r="G447" i="223"/>
  <c r="H447" i="223" s="1"/>
  <c r="F447" i="223"/>
  <c r="E447" i="223"/>
  <c r="H446" i="223"/>
  <c r="H445" i="223"/>
  <c r="H444" i="223"/>
  <c r="H443" i="223"/>
  <c r="H442" i="223"/>
  <c r="H441" i="223"/>
  <c r="H440" i="223"/>
  <c r="H438" i="223"/>
  <c r="H437" i="223"/>
  <c r="G431" i="223"/>
  <c r="H431" i="223" s="1"/>
  <c r="F431" i="223"/>
  <c r="E431" i="223"/>
  <c r="H430" i="223"/>
  <c r="H429" i="223"/>
  <c r="H428" i="223"/>
  <c r="H427" i="223"/>
  <c r="H426" i="223"/>
  <c r="H425" i="223"/>
  <c r="H424" i="223"/>
  <c r="H422" i="223"/>
  <c r="H421" i="223"/>
  <c r="H415" i="223"/>
  <c r="G415" i="223"/>
  <c r="F415" i="223"/>
  <c r="E415" i="223"/>
  <c r="H414" i="223"/>
  <c r="H413" i="223"/>
  <c r="H412" i="223"/>
  <c r="H411" i="223"/>
  <c r="H410" i="223"/>
  <c r="H409" i="223"/>
  <c r="H408" i="223"/>
  <c r="H406" i="223"/>
  <c r="H405" i="223"/>
  <c r="G399" i="223"/>
  <c r="H399" i="223" s="1"/>
  <c r="F399" i="223"/>
  <c r="E399" i="223"/>
  <c r="H398" i="223"/>
  <c r="H397" i="223"/>
  <c r="H396" i="223"/>
  <c r="H395" i="223"/>
  <c r="H394" i="223"/>
  <c r="H393" i="223"/>
  <c r="H392" i="223"/>
  <c r="H391" i="223"/>
  <c r="H390" i="223"/>
  <c r="H389" i="223"/>
  <c r="G383" i="223"/>
  <c r="H383" i="223" s="1"/>
  <c r="F383" i="223"/>
  <c r="E383" i="223"/>
  <c r="H382" i="223"/>
  <c r="H381" i="223"/>
  <c r="H380" i="223"/>
  <c r="H379" i="223"/>
  <c r="H378" i="223"/>
  <c r="H377" i="223"/>
  <c r="H376" i="223"/>
  <c r="H375" i="223"/>
  <c r="G367" i="223"/>
  <c r="H367" i="223" s="1"/>
  <c r="F367" i="223"/>
  <c r="E367" i="223"/>
  <c r="H366" i="223"/>
  <c r="H365" i="223"/>
  <c r="H364" i="223"/>
  <c r="H363" i="223"/>
  <c r="H362" i="223"/>
  <c r="H361" i="223"/>
  <c r="H360" i="223"/>
  <c r="H359" i="223"/>
  <c r="H358" i="223"/>
  <c r="G351" i="223"/>
  <c r="F351" i="223"/>
  <c r="H351" i="223" s="1"/>
  <c r="E351" i="223"/>
  <c r="H350" i="223"/>
  <c r="H349" i="223"/>
  <c r="H348" i="223"/>
  <c r="H347" i="223"/>
  <c r="G341" i="223"/>
  <c r="F341" i="223"/>
  <c r="H341" i="223" s="1"/>
  <c r="E341" i="223"/>
  <c r="H340" i="223"/>
  <c r="H339" i="223"/>
  <c r="H338" i="223"/>
  <c r="H337" i="223"/>
  <c r="H336" i="223"/>
  <c r="H335" i="223"/>
  <c r="H334" i="223"/>
  <c r="H333" i="223"/>
  <c r="H332" i="223"/>
  <c r="H331" i="223"/>
  <c r="H330" i="223"/>
  <c r="G324" i="223"/>
  <c r="H324" i="223" s="1"/>
  <c r="F324" i="223"/>
  <c r="E324" i="223"/>
  <c r="H323" i="223"/>
  <c r="H322" i="223"/>
  <c r="H321" i="223"/>
  <c r="H320" i="223"/>
  <c r="H319" i="223"/>
  <c r="H317" i="223"/>
  <c r="H316" i="223"/>
  <c r="H315" i="223"/>
  <c r="H314" i="223"/>
  <c r="H313" i="223"/>
  <c r="H312" i="223"/>
  <c r="H306" i="223"/>
  <c r="G306" i="223"/>
  <c r="F306" i="223"/>
  <c r="E306" i="223"/>
  <c r="H305" i="223"/>
  <c r="H304" i="223"/>
  <c r="H303" i="223"/>
  <c r="H302" i="223"/>
  <c r="H301" i="223"/>
  <c r="G295" i="223"/>
  <c r="H295" i="223" s="1"/>
  <c r="F295" i="223"/>
  <c r="E295" i="223"/>
  <c r="H294" i="223"/>
  <c r="H292" i="223"/>
  <c r="H291" i="223"/>
  <c r="H279" i="223"/>
  <c r="G279" i="223"/>
  <c r="F279" i="223"/>
  <c r="E279" i="223"/>
  <c r="H278" i="223"/>
  <c r="H277" i="223"/>
  <c r="H276" i="223"/>
  <c r="H275" i="223"/>
  <c r="H268" i="223"/>
  <c r="G268" i="223"/>
  <c r="F268" i="223"/>
  <c r="E268" i="223"/>
  <c r="H267" i="223"/>
  <c r="H266" i="223"/>
  <c r="H265" i="223"/>
  <c r="H264" i="223"/>
  <c r="H257" i="223"/>
  <c r="G257" i="223"/>
  <c r="F257" i="223"/>
  <c r="E257" i="223"/>
  <c r="H256" i="223"/>
  <c r="H255" i="223"/>
  <c r="H254" i="223"/>
  <c r="H253" i="223"/>
  <c r="G247" i="223"/>
  <c r="K597" i="223" s="1"/>
  <c r="F247" i="223"/>
  <c r="E247" i="223"/>
  <c r="H246" i="223"/>
  <c r="H245" i="223"/>
  <c r="H244" i="223"/>
  <c r="H243" i="223"/>
  <c r="H242" i="223"/>
  <c r="H236" i="223"/>
  <c r="G236" i="223"/>
  <c r="F236" i="223"/>
  <c r="E236" i="223"/>
  <c r="H233" i="223"/>
  <c r="H232" i="223"/>
  <c r="H231" i="223"/>
  <c r="H230" i="223"/>
  <c r="H229" i="223"/>
  <c r="H228" i="223"/>
  <c r="H227" i="223"/>
  <c r="G221" i="223"/>
  <c r="F221" i="223"/>
  <c r="E221" i="223"/>
  <c r="H220" i="223"/>
  <c r="H219" i="223"/>
  <c r="H218" i="223"/>
  <c r="H217" i="223"/>
  <c r="H216" i="223"/>
  <c r="H215" i="223"/>
  <c r="H214" i="223"/>
  <c r="H213" i="223"/>
  <c r="H212" i="223"/>
  <c r="H211" i="223"/>
  <c r="H209" i="223"/>
  <c r="H206" i="223"/>
  <c r="H205" i="223"/>
  <c r="H204" i="223"/>
  <c r="H203" i="223"/>
  <c r="H202" i="223"/>
  <c r="H201" i="223"/>
  <c r="H200" i="223"/>
  <c r="H199" i="223"/>
  <c r="G192" i="223"/>
  <c r="F192" i="223"/>
  <c r="H192" i="223" s="1"/>
  <c r="E192" i="223"/>
  <c r="H191" i="223"/>
  <c r="H190" i="223"/>
  <c r="G184" i="223"/>
  <c r="H184" i="223" s="1"/>
  <c r="F184" i="223"/>
  <c r="E184" i="223"/>
  <c r="H183" i="223"/>
  <c r="H182" i="223"/>
  <c r="H181" i="223"/>
  <c r="H180" i="223"/>
  <c r="H179" i="223"/>
  <c r="H178" i="223"/>
  <c r="H177" i="223"/>
  <c r="H176" i="223"/>
  <c r="G170" i="223"/>
  <c r="H170" i="223" s="1"/>
  <c r="F170" i="223"/>
  <c r="E170" i="223"/>
  <c r="H167" i="223"/>
  <c r="H166" i="223"/>
  <c r="H165" i="223"/>
  <c r="H164" i="223"/>
  <c r="H163" i="223"/>
  <c r="H162" i="223"/>
  <c r="H161" i="223"/>
  <c r="H160" i="223"/>
  <c r="H159" i="223"/>
  <c r="H150" i="223"/>
  <c r="G150" i="223"/>
  <c r="F150" i="223"/>
  <c r="E150" i="223"/>
  <c r="H149" i="223"/>
  <c r="H148" i="223"/>
  <c r="H146" i="223"/>
  <c r="G140" i="223"/>
  <c r="H140" i="223" s="1"/>
  <c r="F140" i="223"/>
  <c r="E140" i="223"/>
  <c r="H139" i="223"/>
  <c r="H138" i="223"/>
  <c r="H136" i="223"/>
  <c r="G129" i="223"/>
  <c r="F129" i="223"/>
  <c r="E129" i="223"/>
  <c r="H128" i="223"/>
  <c r="H127" i="223"/>
  <c r="H126" i="223"/>
  <c r="H125" i="223"/>
  <c r="H124" i="223"/>
  <c r="H123" i="223"/>
  <c r="H122" i="223"/>
  <c r="H121" i="223"/>
  <c r="H120" i="223"/>
  <c r="H119" i="223"/>
  <c r="G113" i="223"/>
  <c r="H113" i="223" s="1"/>
  <c r="F113" i="223"/>
  <c r="E113" i="223"/>
  <c r="H112" i="223"/>
  <c r="H111" i="223"/>
  <c r="H110" i="223"/>
  <c r="H109" i="223"/>
  <c r="H108" i="223"/>
  <c r="H107" i="223"/>
  <c r="H106" i="223"/>
  <c r="H105" i="223"/>
  <c r="H104" i="223"/>
  <c r="H98" i="223"/>
  <c r="G98" i="223"/>
  <c r="F98" i="223"/>
  <c r="E98" i="223"/>
  <c r="H96" i="223"/>
  <c r="H95" i="223"/>
  <c r="H94" i="223"/>
  <c r="H93" i="223"/>
  <c r="H92" i="223"/>
  <c r="H91" i="223"/>
  <c r="H90" i="223"/>
  <c r="H89" i="223"/>
  <c r="H88" i="223"/>
  <c r="H87" i="223"/>
  <c r="H86" i="223"/>
  <c r="G80" i="223"/>
  <c r="H80" i="223" s="1"/>
  <c r="F80" i="223"/>
  <c r="E80" i="223"/>
  <c r="H79" i="223"/>
  <c r="H78" i="223"/>
  <c r="H77" i="223"/>
  <c r="H76" i="223"/>
  <c r="H75" i="223"/>
  <c r="H74" i="223"/>
  <c r="H73" i="223"/>
  <c r="H72" i="223"/>
  <c r="H71" i="223"/>
  <c r="H70" i="223"/>
  <c r="H69" i="223"/>
  <c r="H68" i="223"/>
  <c r="H67" i="223"/>
  <c r="H66" i="223"/>
  <c r="H65" i="223"/>
  <c r="H64" i="223"/>
  <c r="H62" i="223"/>
  <c r="H61" i="223"/>
  <c r="H60" i="223"/>
  <c r="H59" i="223"/>
  <c r="H58" i="223"/>
  <c r="H57" i="223"/>
  <c r="H56" i="223"/>
  <c r="H55" i="223"/>
  <c r="H53" i="223"/>
  <c r="H52" i="223"/>
  <c r="H51" i="223"/>
  <c r="H50" i="223"/>
  <c r="G44" i="223"/>
  <c r="H44" i="223" s="1"/>
  <c r="F44" i="223"/>
  <c r="E44" i="223"/>
  <c r="H43" i="223"/>
  <c r="H37" i="223"/>
  <c r="G37" i="223"/>
  <c r="F37" i="223"/>
  <c r="E37" i="223"/>
  <c r="H36" i="223"/>
  <c r="G30" i="223"/>
  <c r="F30" i="223"/>
  <c r="E30" i="223"/>
  <c r="H29" i="223"/>
  <c r="H28" i="223"/>
  <c r="G22" i="223"/>
  <c r="H22" i="223" s="1"/>
  <c r="F22" i="223"/>
  <c r="E22" i="223"/>
  <c r="H21" i="223"/>
  <c r="H20" i="223"/>
  <c r="H19" i="223"/>
  <c r="G13" i="223"/>
  <c r="F13" i="223"/>
  <c r="E13" i="223"/>
  <c r="D350" i="222"/>
  <c r="G224" i="222"/>
  <c r="F224" i="222"/>
  <c r="E224" i="222"/>
  <c r="G223" i="222"/>
  <c r="F223" i="222"/>
  <c r="F222" i="222" s="1"/>
  <c r="F227" i="222" s="1"/>
  <c r="E223" i="222"/>
  <c r="L222" i="222"/>
  <c r="K222" i="222"/>
  <c r="J222" i="222"/>
  <c r="E222" i="222"/>
  <c r="E227" i="222" s="1"/>
  <c r="H216" i="222"/>
  <c r="G216" i="222"/>
  <c r="F216" i="222"/>
  <c r="E216" i="222"/>
  <c r="H215" i="222"/>
  <c r="H214" i="222"/>
  <c r="H213" i="222"/>
  <c r="H212" i="222"/>
  <c r="H206" i="222"/>
  <c r="G206" i="222"/>
  <c r="F206" i="222"/>
  <c r="E206" i="222"/>
  <c r="H205" i="222"/>
  <c r="H204" i="222"/>
  <c r="H203" i="222"/>
  <c r="H202" i="222"/>
  <c r="H196" i="222"/>
  <c r="G196" i="222"/>
  <c r="F196" i="222"/>
  <c r="E196" i="222"/>
  <c r="H195" i="222"/>
  <c r="H194" i="222"/>
  <c r="H193" i="222"/>
  <c r="H192" i="222"/>
  <c r="H186" i="222"/>
  <c r="G186" i="222"/>
  <c r="F186" i="222"/>
  <c r="E186" i="222"/>
  <c r="H185" i="222"/>
  <c r="H184" i="222"/>
  <c r="H183" i="222"/>
  <c r="H182" i="222"/>
  <c r="H176" i="222"/>
  <c r="G176" i="222"/>
  <c r="F176" i="222"/>
  <c r="E176" i="222"/>
  <c r="H175" i="222"/>
  <c r="H174" i="222"/>
  <c r="H173" i="222"/>
  <c r="H172" i="222"/>
  <c r="H166" i="222"/>
  <c r="G166" i="222"/>
  <c r="F166" i="222"/>
  <c r="E166" i="222"/>
  <c r="H165" i="222"/>
  <c r="H164" i="222"/>
  <c r="H163" i="222"/>
  <c r="H162" i="222"/>
  <c r="H156" i="222"/>
  <c r="G156" i="222"/>
  <c r="F156" i="222"/>
  <c r="E156" i="222"/>
  <c r="H155" i="222"/>
  <c r="H154" i="222"/>
  <c r="H153" i="222"/>
  <c r="H152" i="222"/>
  <c r="H146" i="222"/>
  <c r="G146" i="222"/>
  <c r="F146" i="222"/>
  <c r="E146" i="222"/>
  <c r="H145" i="222"/>
  <c r="H144" i="222"/>
  <c r="H143" i="222"/>
  <c r="H142" i="222"/>
  <c r="H136" i="222"/>
  <c r="G136" i="222"/>
  <c r="F136" i="222"/>
  <c r="E136" i="222"/>
  <c r="H135" i="222"/>
  <c r="H134" i="222"/>
  <c r="H133" i="222"/>
  <c r="H132" i="222"/>
  <c r="H126" i="222"/>
  <c r="G126" i="222"/>
  <c r="F126" i="222"/>
  <c r="E126" i="222"/>
  <c r="H125" i="222"/>
  <c r="H124" i="222"/>
  <c r="H123" i="222"/>
  <c r="H122" i="222"/>
  <c r="G116" i="222"/>
  <c r="F116" i="222"/>
  <c r="G106" i="222"/>
  <c r="H106" i="222" s="1"/>
  <c r="F106" i="222"/>
  <c r="E106" i="222"/>
  <c r="H105" i="222"/>
  <c r="H104" i="222"/>
  <c r="H103" i="222"/>
  <c r="H102" i="222"/>
  <c r="G96" i="222"/>
  <c r="H96" i="222" s="1"/>
  <c r="F96" i="222"/>
  <c r="E96" i="222"/>
  <c r="H95" i="222"/>
  <c r="H94" i="222"/>
  <c r="H93" i="222"/>
  <c r="H92" i="222"/>
  <c r="G85" i="222"/>
  <c r="H85" i="222" s="1"/>
  <c r="F85" i="222"/>
  <c r="E85" i="222"/>
  <c r="H84" i="222"/>
  <c r="H83" i="222"/>
  <c r="H82" i="222"/>
  <c r="H81" i="222"/>
  <c r="G75" i="222"/>
  <c r="H75" i="222" s="1"/>
  <c r="F75" i="222"/>
  <c r="E75" i="222"/>
  <c r="H74" i="222"/>
  <c r="H73" i="222"/>
  <c r="H72" i="222"/>
  <c r="H71" i="222"/>
  <c r="G65" i="222"/>
  <c r="H65" i="222" s="1"/>
  <c r="F65" i="222"/>
  <c r="E65" i="222"/>
  <c r="H64" i="222"/>
  <c r="H63" i="222"/>
  <c r="H62" i="222"/>
  <c r="H61" i="222"/>
  <c r="G55" i="222"/>
  <c r="H55" i="222" s="1"/>
  <c r="F55" i="222"/>
  <c r="E55" i="222"/>
  <c r="H54" i="222"/>
  <c r="H53" i="222"/>
  <c r="H52" i="222"/>
  <c r="H51" i="222"/>
  <c r="G45" i="222"/>
  <c r="H45" i="222" s="1"/>
  <c r="F45" i="222"/>
  <c r="E45" i="222"/>
  <c r="H44" i="222"/>
  <c r="H43" i="222"/>
  <c r="H42" i="222"/>
  <c r="H41" i="222"/>
  <c r="G34" i="222"/>
  <c r="H34" i="222" s="1"/>
  <c r="F34" i="222"/>
  <c r="E34" i="222"/>
  <c r="H33" i="222"/>
  <c r="H32" i="222"/>
  <c r="H31" i="222"/>
  <c r="H30" i="222"/>
  <c r="H29" i="222"/>
  <c r="H28" i="222"/>
  <c r="H27" i="222"/>
  <c r="H26" i="222"/>
  <c r="H25" i="222"/>
  <c r="H24" i="222"/>
  <c r="H23" i="222"/>
  <c r="H22" i="222"/>
  <c r="H21" i="222"/>
  <c r="H20" i="222"/>
  <c r="H19" i="222"/>
  <c r="H18" i="222"/>
  <c r="H17" i="222"/>
  <c r="H16" i="222"/>
  <c r="H15" i="222"/>
  <c r="H14" i="222"/>
  <c r="H13" i="222"/>
  <c r="H12" i="222"/>
  <c r="H11" i="222"/>
  <c r="H10" i="222"/>
  <c r="D361" i="221"/>
  <c r="G234" i="221"/>
  <c r="H234" i="221" s="1"/>
  <c r="F234" i="221"/>
  <c r="E234" i="221"/>
  <c r="G233" i="221"/>
  <c r="H233" i="221" s="1"/>
  <c r="F233" i="221"/>
  <c r="E233" i="221"/>
  <c r="E232" i="221" s="1"/>
  <c r="E237" i="221" s="1"/>
  <c r="L232" i="221"/>
  <c r="K232" i="221"/>
  <c r="J232" i="221"/>
  <c r="F232" i="221"/>
  <c r="F237" i="221" s="1"/>
  <c r="H222" i="221"/>
  <c r="G222" i="221"/>
  <c r="F222" i="221"/>
  <c r="E222" i="221"/>
  <c r="H221" i="221"/>
  <c r="H220" i="221"/>
  <c r="H219" i="221"/>
  <c r="H218" i="221"/>
  <c r="H212" i="221"/>
  <c r="G212" i="221"/>
  <c r="F212" i="221"/>
  <c r="E212" i="221"/>
  <c r="H211" i="221"/>
  <c r="H210" i="221"/>
  <c r="G204" i="221"/>
  <c r="H204" i="221" s="1"/>
  <c r="F204" i="221"/>
  <c r="E204" i="221"/>
  <c r="H203" i="221"/>
  <c r="H202" i="221"/>
  <c r="H201" i="221"/>
  <c r="H200" i="221"/>
  <c r="G194" i="221"/>
  <c r="H194" i="221" s="1"/>
  <c r="F194" i="221"/>
  <c r="E194" i="221"/>
  <c r="H193" i="221"/>
  <c r="H192" i="221"/>
  <c r="H186" i="221"/>
  <c r="G186" i="221"/>
  <c r="F186" i="221"/>
  <c r="E186" i="221"/>
  <c r="H185" i="221"/>
  <c r="H184" i="221"/>
  <c r="G178" i="221"/>
  <c r="H178" i="221" s="1"/>
  <c r="F178" i="221"/>
  <c r="E178" i="221"/>
  <c r="H177" i="221"/>
  <c r="H176" i="221"/>
  <c r="H170" i="221"/>
  <c r="G170" i="221"/>
  <c r="F170" i="221"/>
  <c r="E170" i="221"/>
  <c r="H169" i="221"/>
  <c r="H168" i="221"/>
  <c r="H167" i="221"/>
  <c r="H166" i="221"/>
  <c r="G160" i="221"/>
  <c r="F160" i="221"/>
  <c r="G152" i="221"/>
  <c r="F152" i="221"/>
  <c r="H144" i="221"/>
  <c r="G144" i="221"/>
  <c r="F144" i="221"/>
  <c r="E144" i="221"/>
  <c r="H143" i="221"/>
  <c r="H142" i="221"/>
  <c r="G136" i="221"/>
  <c r="H136" i="221" s="1"/>
  <c r="F136" i="221"/>
  <c r="E136" i="221"/>
  <c r="H135" i="221"/>
  <c r="H134" i="221"/>
  <c r="H128" i="221"/>
  <c r="G128" i="221"/>
  <c r="F128" i="221"/>
  <c r="E128" i="221"/>
  <c r="H127" i="221"/>
  <c r="H126" i="221"/>
  <c r="G120" i="221"/>
  <c r="H120" i="221" s="1"/>
  <c r="F120" i="221"/>
  <c r="E120" i="221"/>
  <c r="H119" i="221"/>
  <c r="H118" i="221"/>
  <c r="G113" i="221"/>
  <c r="F113" i="221"/>
  <c r="G105" i="221"/>
  <c r="H105" i="221" s="1"/>
  <c r="F105" i="221"/>
  <c r="E105" i="221"/>
  <c r="H104" i="221"/>
  <c r="H103" i="221"/>
  <c r="H97" i="221"/>
  <c r="G97" i="221"/>
  <c r="F97" i="221"/>
  <c r="E97" i="221"/>
  <c r="H96" i="221"/>
  <c r="H95" i="221"/>
  <c r="H94" i="221"/>
  <c r="H93" i="221"/>
  <c r="H87" i="221"/>
  <c r="G87" i="221"/>
  <c r="F87" i="221"/>
  <c r="E87" i="221"/>
  <c r="H86" i="221"/>
  <c r="H85" i="221"/>
  <c r="H84" i="221"/>
  <c r="H83" i="221"/>
  <c r="H77" i="221"/>
  <c r="G77" i="221"/>
  <c r="F77" i="221"/>
  <c r="E77" i="221"/>
  <c r="H76" i="221"/>
  <c r="H75" i="221"/>
  <c r="G69" i="221"/>
  <c r="H69" i="221" s="1"/>
  <c r="F69" i="221"/>
  <c r="E69" i="221"/>
  <c r="H68" i="221"/>
  <c r="H67" i="221"/>
  <c r="H66" i="221"/>
  <c r="H65" i="221"/>
  <c r="G59" i="221"/>
  <c r="H59" i="221" s="1"/>
  <c r="F59" i="221"/>
  <c r="E59" i="221"/>
  <c r="H58" i="221"/>
  <c r="H57" i="221"/>
  <c r="H44" i="221"/>
  <c r="G44" i="221"/>
  <c r="F44" i="221"/>
  <c r="E44" i="221"/>
  <c r="H43" i="221"/>
  <c r="H42" i="221"/>
  <c r="G36" i="221"/>
  <c r="H36" i="221" s="1"/>
  <c r="F36" i="221"/>
  <c r="E36" i="221"/>
  <c r="H35" i="221"/>
  <c r="H34" i="221"/>
  <c r="H33" i="221"/>
  <c r="H32" i="221"/>
  <c r="G26" i="221"/>
  <c r="H26" i="221" s="1"/>
  <c r="F26" i="221"/>
  <c r="E26" i="221"/>
  <c r="H25" i="221"/>
  <c r="H24" i="221"/>
  <c r="H23" i="221"/>
  <c r="H22" i="221"/>
  <c r="H21" i="221"/>
  <c r="H20" i="221"/>
  <c r="H19" i="221"/>
  <c r="H18" i="221"/>
  <c r="H17" i="221"/>
  <c r="H16" i="221"/>
  <c r="H15" i="221"/>
  <c r="H14" i="221"/>
  <c r="H13" i="221"/>
  <c r="H12" i="221"/>
  <c r="H11" i="221"/>
  <c r="H10" i="221"/>
  <c r="D537" i="220"/>
  <c r="G412" i="220"/>
  <c r="H412" i="220" s="1"/>
  <c r="F412" i="220"/>
  <c r="E412" i="220"/>
  <c r="G411" i="220"/>
  <c r="H411" i="220" s="1"/>
  <c r="F411" i="220"/>
  <c r="F410" i="220" s="1"/>
  <c r="F415" i="220" s="1"/>
  <c r="E411" i="220"/>
  <c r="L410" i="220"/>
  <c r="K410" i="220"/>
  <c r="J410" i="220"/>
  <c r="E410" i="220"/>
  <c r="E415" i="220" s="1"/>
  <c r="G406" i="220"/>
  <c r="F406" i="220"/>
  <c r="H406" i="220" s="1"/>
  <c r="E406" i="220"/>
  <c r="H405" i="220"/>
  <c r="H404" i="220"/>
  <c r="H403" i="220"/>
  <c r="H402" i="220"/>
  <c r="G396" i="220"/>
  <c r="F396" i="220"/>
  <c r="H396" i="220" s="1"/>
  <c r="E396" i="220"/>
  <c r="H395" i="220"/>
  <c r="H394" i="220"/>
  <c r="G388" i="220"/>
  <c r="H388" i="220" s="1"/>
  <c r="F388" i="220"/>
  <c r="E388" i="220"/>
  <c r="H387" i="220"/>
  <c r="H386" i="220"/>
  <c r="G380" i="220"/>
  <c r="F380" i="220"/>
  <c r="H380" i="220" s="1"/>
  <c r="E380" i="220"/>
  <c r="H379" i="220"/>
  <c r="H378" i="220"/>
  <c r="H377" i="220"/>
  <c r="H376" i="220"/>
  <c r="G370" i="220"/>
  <c r="F370" i="220"/>
  <c r="H370" i="220" s="1"/>
  <c r="E370" i="220"/>
  <c r="H369" i="220"/>
  <c r="H368" i="220"/>
  <c r="H367" i="220"/>
  <c r="H366" i="220"/>
  <c r="G360" i="220"/>
  <c r="F360" i="220"/>
  <c r="H360" i="220" s="1"/>
  <c r="E360" i="220"/>
  <c r="H359" i="220"/>
  <c r="H358" i="220"/>
  <c r="G352" i="220"/>
  <c r="H352" i="220" s="1"/>
  <c r="F352" i="220"/>
  <c r="E352" i="220"/>
  <c r="H351" i="220"/>
  <c r="H350" i="220"/>
  <c r="H349" i="220"/>
  <c r="H348" i="220"/>
  <c r="G342" i="220"/>
  <c r="H342" i="220" s="1"/>
  <c r="F342" i="220"/>
  <c r="E342" i="220"/>
  <c r="H339" i="220"/>
  <c r="H338" i="220"/>
  <c r="H337" i="220"/>
  <c r="H336" i="220"/>
  <c r="G330" i="220"/>
  <c r="H330" i="220" s="1"/>
  <c r="F330" i="220"/>
  <c r="E330" i="220"/>
  <c r="H329" i="220"/>
  <c r="H328" i="220"/>
  <c r="H327" i="220"/>
  <c r="H326" i="220"/>
  <c r="G320" i="220"/>
  <c r="H320" i="220" s="1"/>
  <c r="F320" i="220"/>
  <c r="E320" i="220"/>
  <c r="H319" i="220"/>
  <c r="H318" i="220"/>
  <c r="G312" i="220"/>
  <c r="F312" i="220"/>
  <c r="H312" i="220" s="1"/>
  <c r="E312" i="220"/>
  <c r="H311" i="220"/>
  <c r="H310" i="220"/>
  <c r="H309" i="220"/>
  <c r="H308" i="220"/>
  <c r="G302" i="220"/>
  <c r="F302" i="220"/>
  <c r="H302" i="220" s="1"/>
  <c r="E302" i="220"/>
  <c r="H301" i="220"/>
  <c r="H300" i="220"/>
  <c r="H299" i="220"/>
  <c r="H298" i="220"/>
  <c r="G292" i="220"/>
  <c r="F292" i="220"/>
  <c r="H292" i="220" s="1"/>
  <c r="E292" i="220"/>
  <c r="H291" i="220"/>
  <c r="H290" i="220"/>
  <c r="G284" i="220"/>
  <c r="H284" i="220" s="1"/>
  <c r="F284" i="220"/>
  <c r="E284" i="220"/>
  <c r="H283" i="220"/>
  <c r="H282" i="220"/>
  <c r="G276" i="220"/>
  <c r="F276" i="220"/>
  <c r="H276" i="220" s="1"/>
  <c r="E276" i="220"/>
  <c r="H275" i="220"/>
  <c r="H274" i="220"/>
  <c r="H273" i="220"/>
  <c r="H272" i="220"/>
  <c r="G266" i="220"/>
  <c r="F266" i="220"/>
  <c r="H266" i="220" s="1"/>
  <c r="E266" i="220"/>
  <c r="H265" i="220"/>
  <c r="H264" i="220"/>
  <c r="G258" i="220"/>
  <c r="H258" i="220" s="1"/>
  <c r="F258" i="220"/>
  <c r="E258" i="220"/>
  <c r="H257" i="220"/>
  <c r="H256" i="220"/>
  <c r="G250" i="220"/>
  <c r="F250" i="220"/>
  <c r="H250" i="220" s="1"/>
  <c r="E250" i="220"/>
  <c r="H249" i="220"/>
  <c r="H248" i="220"/>
  <c r="H247" i="220"/>
  <c r="H246" i="220"/>
  <c r="G240" i="220"/>
  <c r="F240" i="220"/>
  <c r="H240" i="220" s="1"/>
  <c r="E240" i="220"/>
  <c r="H239" i="220"/>
  <c r="H238" i="220"/>
  <c r="H237" i="220"/>
  <c r="H236" i="220"/>
  <c r="G230" i="220"/>
  <c r="F230" i="220"/>
  <c r="H230" i="220" s="1"/>
  <c r="E230" i="220"/>
  <c r="H229" i="220"/>
  <c r="H228" i="220"/>
  <c r="H227" i="220"/>
  <c r="H226" i="220"/>
  <c r="G220" i="220"/>
  <c r="F220" i="220"/>
  <c r="H220" i="220" s="1"/>
  <c r="E220" i="220"/>
  <c r="H219" i="220"/>
  <c r="H218" i="220"/>
  <c r="G212" i="220"/>
  <c r="H212" i="220" s="1"/>
  <c r="F212" i="220"/>
  <c r="E212" i="220"/>
  <c r="H211" i="220"/>
  <c r="H210" i="220"/>
  <c r="G204" i="220"/>
  <c r="F204" i="220"/>
  <c r="H204" i="220" s="1"/>
  <c r="E204" i="220"/>
  <c r="H203" i="220"/>
  <c r="H202" i="220"/>
  <c r="G196" i="220"/>
  <c r="H196" i="220" s="1"/>
  <c r="F196" i="220"/>
  <c r="E196" i="220"/>
  <c r="H195" i="220"/>
  <c r="H194" i="220"/>
  <c r="H193" i="220"/>
  <c r="H192" i="220"/>
  <c r="G186" i="220"/>
  <c r="H186" i="220" s="1"/>
  <c r="F186" i="220"/>
  <c r="E186" i="220"/>
  <c r="H185" i="220"/>
  <c r="H184" i="220"/>
  <c r="G178" i="220"/>
  <c r="F178" i="220"/>
  <c r="H178" i="220" s="1"/>
  <c r="E178" i="220"/>
  <c r="H177" i="220"/>
  <c r="H176" i="220"/>
  <c r="G170" i="220"/>
  <c r="H170" i="220" s="1"/>
  <c r="F170" i="220"/>
  <c r="E170" i="220"/>
  <c r="H169" i="220"/>
  <c r="H168" i="220"/>
  <c r="G162" i="220"/>
  <c r="F162" i="220"/>
  <c r="H162" i="220" s="1"/>
  <c r="E162" i="220"/>
  <c r="H161" i="220"/>
  <c r="H160" i="220"/>
  <c r="G154" i="220"/>
  <c r="H154" i="220" s="1"/>
  <c r="F154" i="220"/>
  <c r="E154" i="220"/>
  <c r="H153" i="220"/>
  <c r="H152" i="220"/>
  <c r="H151" i="220"/>
  <c r="H150" i="220"/>
  <c r="G144" i="220"/>
  <c r="H144" i="220" s="1"/>
  <c r="F144" i="220"/>
  <c r="E144" i="220"/>
  <c r="H143" i="220"/>
  <c r="H142" i="220"/>
  <c r="H141" i="220"/>
  <c r="H140" i="220"/>
  <c r="G134" i="220"/>
  <c r="H134" i="220" s="1"/>
  <c r="F134" i="220"/>
  <c r="E134" i="220"/>
  <c r="H133" i="220"/>
  <c r="H132" i="220"/>
  <c r="H131" i="220"/>
  <c r="H130" i="220"/>
  <c r="G124" i="220"/>
  <c r="H124" i="220" s="1"/>
  <c r="F124" i="220"/>
  <c r="E124" i="220"/>
  <c r="H123" i="220"/>
  <c r="H122" i="220"/>
  <c r="G116" i="220"/>
  <c r="F116" i="220"/>
  <c r="H116" i="220" s="1"/>
  <c r="E116" i="220"/>
  <c r="H115" i="220"/>
  <c r="H114" i="220"/>
  <c r="G108" i="220"/>
  <c r="H108" i="220" s="1"/>
  <c r="F108" i="220"/>
  <c r="E108" i="220"/>
  <c r="H107" i="220"/>
  <c r="H106" i="220"/>
  <c r="G100" i="220"/>
  <c r="F100" i="220"/>
  <c r="H100" i="220" s="1"/>
  <c r="E100" i="220"/>
  <c r="H99" i="220"/>
  <c r="H98" i="220"/>
  <c r="G92" i="220"/>
  <c r="H92" i="220" s="1"/>
  <c r="F92" i="220"/>
  <c r="E92" i="220"/>
  <c r="H91" i="220"/>
  <c r="H90" i="220"/>
  <c r="G84" i="220"/>
  <c r="F84" i="220"/>
  <c r="H84" i="220" s="1"/>
  <c r="E84" i="220"/>
  <c r="H83" i="220"/>
  <c r="H82" i="220"/>
  <c r="H81" i="220"/>
  <c r="H80" i="220"/>
  <c r="G74" i="220"/>
  <c r="F74" i="220"/>
  <c r="H74" i="220" s="1"/>
  <c r="E74" i="220"/>
  <c r="H73" i="220"/>
  <c r="H72" i="220"/>
  <c r="G66" i="220"/>
  <c r="H66" i="220" s="1"/>
  <c r="F66" i="220"/>
  <c r="E66" i="220"/>
  <c r="H65" i="220"/>
  <c r="H64" i="220"/>
  <c r="H63" i="220"/>
  <c r="H62" i="220"/>
  <c r="G56" i="220"/>
  <c r="H56" i="220" s="1"/>
  <c r="F56" i="220"/>
  <c r="E56" i="220"/>
  <c r="H55" i="220"/>
  <c r="H54" i="220"/>
  <c r="G48" i="220"/>
  <c r="F48" i="220"/>
  <c r="H48" i="220" s="1"/>
  <c r="E48" i="220"/>
  <c r="H47" i="220"/>
  <c r="H46" i="220"/>
  <c r="H45" i="220"/>
  <c r="H44" i="220"/>
  <c r="G38" i="220"/>
  <c r="F38" i="220"/>
  <c r="H38" i="220" s="1"/>
  <c r="E38" i="220"/>
  <c r="H37" i="220"/>
  <c r="H36" i="220"/>
  <c r="H35" i="220"/>
  <c r="H34" i="220"/>
  <c r="G27" i="220"/>
  <c r="F27" i="220"/>
  <c r="H27" i="220" s="1"/>
  <c r="E27" i="220"/>
  <c r="H26" i="220"/>
  <c r="H25" i="220"/>
  <c r="H24" i="220"/>
  <c r="H23" i="220"/>
  <c r="H22" i="220"/>
  <c r="H21" i="220"/>
  <c r="H20" i="220"/>
  <c r="H19" i="220"/>
  <c r="H18" i="220"/>
  <c r="H17" i="220"/>
  <c r="H16" i="220"/>
  <c r="H15" i="220"/>
  <c r="H14" i="220"/>
  <c r="H13" i="220"/>
  <c r="H12" i="220"/>
  <c r="H11" i="220"/>
  <c r="H10" i="220"/>
  <c r="D763" i="219"/>
  <c r="G637" i="219"/>
  <c r="F637" i="219"/>
  <c r="E637" i="219"/>
  <c r="G636" i="219"/>
  <c r="E171" i="20" s="1"/>
  <c r="F636" i="219"/>
  <c r="H636" i="219" s="1"/>
  <c r="E636" i="219"/>
  <c r="G635" i="219"/>
  <c r="F635" i="219"/>
  <c r="E635" i="219"/>
  <c r="E634" i="219" s="1"/>
  <c r="E639" i="219" s="1"/>
  <c r="L634" i="219"/>
  <c r="K634" i="219"/>
  <c r="J634" i="219"/>
  <c r="G634" i="219"/>
  <c r="G630" i="219"/>
  <c r="F630" i="219"/>
  <c r="E630" i="219"/>
  <c r="G616" i="219"/>
  <c r="H616" i="219" s="1"/>
  <c r="F616" i="219"/>
  <c r="E616" i="219"/>
  <c r="H614" i="219"/>
  <c r="H613" i="219"/>
  <c r="H612" i="219"/>
  <c r="G606" i="219"/>
  <c r="F606" i="219"/>
  <c r="H606" i="219" s="1"/>
  <c r="E606" i="219"/>
  <c r="H604" i="219"/>
  <c r="H603" i="219"/>
  <c r="H602" i="219"/>
  <c r="H596" i="219"/>
  <c r="G596" i="219"/>
  <c r="F596" i="219"/>
  <c r="E596" i="219"/>
  <c r="H594" i="219"/>
  <c r="H593" i="219"/>
  <c r="H592" i="219"/>
  <c r="G586" i="219"/>
  <c r="H586" i="219" s="1"/>
  <c r="F586" i="219"/>
  <c r="E586" i="219"/>
  <c r="H584" i="219"/>
  <c r="H583" i="219"/>
  <c r="H582" i="219"/>
  <c r="G576" i="219"/>
  <c r="H576" i="219" s="1"/>
  <c r="F576" i="219"/>
  <c r="E576" i="219"/>
  <c r="H574" i="219"/>
  <c r="H573" i="219"/>
  <c r="H572" i="219"/>
  <c r="H571" i="219"/>
  <c r="H570" i="219"/>
  <c r="H569" i="219"/>
  <c r="H568" i="219"/>
  <c r="G562" i="219"/>
  <c r="F562" i="219"/>
  <c r="H562" i="219" s="1"/>
  <c r="E562" i="219"/>
  <c r="H560" i="219"/>
  <c r="H559" i="219"/>
  <c r="H558" i="219"/>
  <c r="H550" i="219"/>
  <c r="G550" i="219"/>
  <c r="F550" i="219"/>
  <c r="E550" i="219"/>
  <c r="H549" i="219"/>
  <c r="H548" i="219"/>
  <c r="H547" i="219"/>
  <c r="H546" i="219"/>
  <c r="H545" i="219"/>
  <c r="H544" i="219"/>
  <c r="H543" i="219"/>
  <c r="H542" i="219"/>
  <c r="H535" i="219"/>
  <c r="G535" i="219"/>
  <c r="F535" i="219"/>
  <c r="E535" i="219"/>
  <c r="H533" i="219"/>
  <c r="H532" i="219"/>
  <c r="H531" i="219"/>
  <c r="G525" i="219"/>
  <c r="H525" i="219" s="1"/>
  <c r="F525" i="219"/>
  <c r="E525" i="219"/>
  <c r="H523" i="219"/>
  <c r="H522" i="219"/>
  <c r="H521" i="219"/>
  <c r="G515" i="219"/>
  <c r="H515" i="219" s="1"/>
  <c r="F515" i="219"/>
  <c r="E515" i="219"/>
  <c r="H513" i="219"/>
  <c r="H512" i="219"/>
  <c r="H511" i="219"/>
  <c r="H510" i="219"/>
  <c r="H509" i="219"/>
  <c r="H506" i="219"/>
  <c r="H505" i="219"/>
  <c r="G499" i="219"/>
  <c r="F499" i="219"/>
  <c r="H499" i="219" s="1"/>
  <c r="E499" i="219"/>
  <c r="H498" i="219"/>
  <c r="H497" i="219"/>
  <c r="H496" i="219"/>
  <c r="H495" i="219"/>
  <c r="H494" i="219"/>
  <c r="H493" i="219"/>
  <c r="H491" i="219"/>
  <c r="H490" i="219"/>
  <c r="G484" i="219"/>
  <c r="F484" i="219"/>
  <c r="H484" i="219" s="1"/>
  <c r="E484" i="219"/>
  <c r="H483" i="219"/>
  <c r="H482" i="219"/>
  <c r="H481" i="219"/>
  <c r="H480" i="219"/>
  <c r="H479" i="219"/>
  <c r="H478" i="219"/>
  <c r="G472" i="219"/>
  <c r="H472" i="219" s="1"/>
  <c r="F472" i="219"/>
  <c r="E472" i="219"/>
  <c r="H471" i="219"/>
  <c r="H470" i="219"/>
  <c r="H469" i="219"/>
  <c r="H468" i="219"/>
  <c r="H467" i="219"/>
  <c r="H466" i="219"/>
  <c r="H465" i="219"/>
  <c r="H464" i="219"/>
  <c r="H463" i="219"/>
  <c r="H462" i="219"/>
  <c r="G456" i="219"/>
  <c r="F456" i="219"/>
  <c r="H456" i="219" s="1"/>
  <c r="E456" i="219"/>
  <c r="H454" i="219"/>
  <c r="H453" i="219"/>
  <c r="H452" i="219"/>
  <c r="H451" i="219"/>
  <c r="H450" i="219"/>
  <c r="H449" i="219"/>
  <c r="H448" i="219"/>
  <c r="H442" i="219"/>
  <c r="G442" i="219"/>
  <c r="F442" i="219"/>
  <c r="E442" i="219"/>
  <c r="H440" i="219"/>
  <c r="H439" i="219"/>
  <c r="H438" i="219"/>
  <c r="G432" i="219"/>
  <c r="H432" i="219" s="1"/>
  <c r="F432" i="219"/>
  <c r="E432" i="219"/>
  <c r="H430" i="219"/>
  <c r="H429" i="219"/>
  <c r="H428" i="219"/>
  <c r="G422" i="219"/>
  <c r="H422" i="219" s="1"/>
  <c r="F422" i="219"/>
  <c r="E422" i="219"/>
  <c r="H420" i="219"/>
  <c r="H419" i="219"/>
  <c r="H418" i="219"/>
  <c r="G412" i="219"/>
  <c r="F412" i="219"/>
  <c r="H412" i="219" s="1"/>
  <c r="E412" i="219"/>
  <c r="H410" i="219"/>
  <c r="H409" i="219"/>
  <c r="H408" i="219"/>
  <c r="H402" i="219"/>
  <c r="G402" i="219"/>
  <c r="F402" i="219"/>
  <c r="E402" i="219"/>
  <c r="H400" i="219"/>
  <c r="H399" i="219"/>
  <c r="H398" i="219"/>
  <c r="G392" i="219"/>
  <c r="H392" i="219" s="1"/>
  <c r="F392" i="219"/>
  <c r="E392" i="219"/>
  <c r="H390" i="219"/>
  <c r="H389" i="219"/>
  <c r="H388" i="219"/>
  <c r="G382" i="219"/>
  <c r="H382" i="219" s="1"/>
  <c r="F382" i="219"/>
  <c r="E382" i="219"/>
  <c r="H380" i="219"/>
  <c r="H379" i="219"/>
  <c r="H378" i="219"/>
  <c r="G372" i="219"/>
  <c r="F372" i="219"/>
  <c r="H372" i="219" s="1"/>
  <c r="E372" i="219"/>
  <c r="H370" i="219"/>
  <c r="H369" i="219"/>
  <c r="H368" i="219"/>
  <c r="H362" i="219"/>
  <c r="G362" i="219"/>
  <c r="F362" i="219"/>
  <c r="E362" i="219"/>
  <c r="H360" i="219"/>
  <c r="H359" i="219"/>
  <c r="H358" i="219"/>
  <c r="G352" i="219"/>
  <c r="H352" i="219" s="1"/>
  <c r="F352" i="219"/>
  <c r="E352" i="219"/>
  <c r="H350" i="219"/>
  <c r="H349" i="219"/>
  <c r="H348" i="219"/>
  <c r="G342" i="219"/>
  <c r="H342" i="219" s="1"/>
  <c r="F342" i="219"/>
  <c r="E342" i="219"/>
  <c r="H341" i="219"/>
  <c r="H340" i="219"/>
  <c r="H339" i="219"/>
  <c r="H338" i="219"/>
  <c r="H337" i="219"/>
  <c r="H336" i="219"/>
  <c r="H335" i="219"/>
  <c r="H334" i="219"/>
  <c r="H333" i="219"/>
  <c r="G327" i="219"/>
  <c r="H327" i="219" s="1"/>
  <c r="F327" i="219"/>
  <c r="E327" i="219"/>
  <c r="H326" i="219"/>
  <c r="H325" i="219"/>
  <c r="G307" i="219"/>
  <c r="F307" i="219"/>
  <c r="H307" i="219" s="1"/>
  <c r="E307" i="219"/>
  <c r="H305" i="219"/>
  <c r="H304" i="219"/>
  <c r="H303" i="219"/>
  <c r="H297" i="219"/>
  <c r="G297" i="219"/>
  <c r="F297" i="219"/>
  <c r="E297" i="219"/>
  <c r="H295" i="219"/>
  <c r="H294" i="219"/>
  <c r="H293" i="219"/>
  <c r="H292" i="219"/>
  <c r="H291" i="219"/>
  <c r="G284" i="219"/>
  <c r="F284" i="219"/>
  <c r="H284" i="219" s="1"/>
  <c r="E284" i="219"/>
  <c r="H282" i="219"/>
  <c r="H281" i="219"/>
  <c r="H280" i="219"/>
  <c r="H279" i="219"/>
  <c r="H278" i="219"/>
  <c r="H277" i="219"/>
  <c r="H276" i="219"/>
  <c r="H270" i="219"/>
  <c r="G270" i="219"/>
  <c r="F270" i="219"/>
  <c r="E270" i="219"/>
  <c r="H268" i="219"/>
  <c r="H267" i="219"/>
  <c r="H266" i="219"/>
  <c r="H265" i="219"/>
  <c r="H264" i="219"/>
  <c r="H263" i="219"/>
  <c r="H262" i="219"/>
  <c r="H261" i="219"/>
  <c r="H260" i="219"/>
  <c r="H259" i="219"/>
  <c r="G253" i="219"/>
  <c r="H253" i="219" s="1"/>
  <c r="F253" i="219"/>
  <c r="E253" i="219"/>
  <c r="H252" i="219"/>
  <c r="H251" i="219"/>
  <c r="H250" i="219"/>
  <c r="H249" i="219"/>
  <c r="H248" i="219"/>
  <c r="H247" i="219"/>
  <c r="H246" i="219"/>
  <c r="G240" i="219"/>
  <c r="F240" i="219"/>
  <c r="H240" i="219" s="1"/>
  <c r="E240" i="219"/>
  <c r="H238" i="219"/>
  <c r="H237" i="219"/>
  <c r="H236" i="219"/>
  <c r="H235" i="219"/>
  <c r="H234" i="219"/>
  <c r="H232" i="219"/>
  <c r="G226" i="219"/>
  <c r="H226" i="219" s="1"/>
  <c r="F226" i="219"/>
  <c r="E226" i="219"/>
  <c r="H224" i="219"/>
  <c r="H223" i="219"/>
  <c r="H222" i="219"/>
  <c r="H221" i="219"/>
  <c r="H220" i="219"/>
  <c r="H219" i="219"/>
  <c r="G213" i="219"/>
  <c r="F213" i="219"/>
  <c r="H213" i="219" s="1"/>
  <c r="E213" i="219"/>
  <c r="H211" i="219"/>
  <c r="H210" i="219"/>
  <c r="H209" i="219"/>
  <c r="H208" i="219"/>
  <c r="H207" i="219"/>
  <c r="G201" i="219"/>
  <c r="H201" i="219" s="1"/>
  <c r="F201" i="219"/>
  <c r="E201" i="219"/>
  <c r="H199" i="219"/>
  <c r="H198" i="219"/>
  <c r="H197" i="219"/>
  <c r="H196" i="219"/>
  <c r="H195" i="219"/>
  <c r="H194" i="219"/>
  <c r="H188" i="219"/>
  <c r="G188" i="219"/>
  <c r="F188" i="219"/>
  <c r="E188" i="219"/>
  <c r="H186" i="219"/>
  <c r="H185" i="219"/>
  <c r="H184" i="219"/>
  <c r="H183" i="219"/>
  <c r="H182" i="219"/>
  <c r="H181" i="219"/>
  <c r="H180" i="219"/>
  <c r="H179" i="219"/>
  <c r="H173" i="219"/>
  <c r="G173" i="219"/>
  <c r="F173" i="219"/>
  <c r="E173" i="219"/>
  <c r="H171" i="219"/>
  <c r="H170" i="219"/>
  <c r="H169" i="219"/>
  <c r="H168" i="219"/>
  <c r="H167" i="219"/>
  <c r="H166" i="219"/>
  <c r="H165" i="219"/>
  <c r="H164" i="219"/>
  <c r="H163" i="219"/>
  <c r="G157" i="219"/>
  <c r="F157" i="219"/>
  <c r="H157" i="219" s="1"/>
  <c r="E157" i="219"/>
  <c r="H156" i="219"/>
  <c r="H155" i="219"/>
  <c r="H154" i="219"/>
  <c r="H153" i="219"/>
  <c r="H152" i="219"/>
  <c r="H151" i="219"/>
  <c r="G145" i="219"/>
  <c r="H145" i="219" s="1"/>
  <c r="F145" i="219"/>
  <c r="E145" i="219"/>
  <c r="H143" i="219"/>
  <c r="H142" i="219"/>
  <c r="H141" i="219"/>
  <c r="H140" i="219"/>
  <c r="H139" i="219"/>
  <c r="H138" i="219"/>
  <c r="H137" i="219"/>
  <c r="G129" i="219"/>
  <c r="H129" i="219" s="1"/>
  <c r="F129" i="219"/>
  <c r="E129" i="219"/>
  <c r="H128" i="219"/>
  <c r="H127" i="219"/>
  <c r="H126" i="219"/>
  <c r="H125" i="219"/>
  <c r="H124" i="219"/>
  <c r="H123" i="219"/>
  <c r="H117" i="219"/>
  <c r="G117" i="219"/>
  <c r="F117" i="219"/>
  <c r="E117" i="219"/>
  <c r="H116" i="219"/>
  <c r="H115" i="219"/>
  <c r="H114" i="219"/>
  <c r="H113" i="219"/>
  <c r="H112" i="219"/>
  <c r="H111" i="219"/>
  <c r="G105" i="219"/>
  <c r="H105" i="219" s="1"/>
  <c r="F105" i="219"/>
  <c r="E105" i="219"/>
  <c r="H103" i="219"/>
  <c r="H102" i="219"/>
  <c r="H101" i="219"/>
  <c r="H100" i="219"/>
  <c r="H99" i="219"/>
  <c r="H98" i="219"/>
  <c r="H97" i="219"/>
  <c r="H96" i="219"/>
  <c r="H95" i="219"/>
  <c r="H94" i="219"/>
  <c r="H93" i="219"/>
  <c r="H92" i="219"/>
  <c r="G85" i="219"/>
  <c r="H85" i="219" s="1"/>
  <c r="F85" i="219"/>
  <c r="E85" i="219"/>
  <c r="H84" i="219"/>
  <c r="H83" i="219"/>
  <c r="H82" i="219"/>
  <c r="H81" i="219"/>
  <c r="H80" i="219"/>
  <c r="G73" i="219"/>
  <c r="H73" i="219" s="1"/>
  <c r="F73" i="219"/>
  <c r="E73" i="219"/>
  <c r="H72" i="219"/>
  <c r="H71" i="219"/>
  <c r="H70" i="219"/>
  <c r="H69" i="219"/>
  <c r="H68" i="219"/>
  <c r="H62" i="219"/>
  <c r="G62" i="219"/>
  <c r="F62" i="219"/>
  <c r="E62" i="219"/>
  <c r="H61" i="219"/>
  <c r="H60" i="219"/>
  <c r="G54" i="219"/>
  <c r="H54" i="219" s="1"/>
  <c r="F54" i="219"/>
  <c r="E54" i="219"/>
  <c r="H53" i="219"/>
  <c r="H52" i="219"/>
  <c r="H51" i="219"/>
  <c r="H50" i="219"/>
  <c r="H49" i="219"/>
  <c r="H48" i="219"/>
  <c r="H42" i="219"/>
  <c r="G42" i="219"/>
  <c r="F42" i="219"/>
  <c r="E42" i="219"/>
  <c r="H41" i="219"/>
  <c r="H40" i="219"/>
  <c r="H39" i="219"/>
  <c r="H38" i="219"/>
  <c r="H37" i="219"/>
  <c r="H36" i="219"/>
  <c r="H35" i="219"/>
  <c r="H34" i="219"/>
  <c r="H33" i="219"/>
  <c r="G27" i="219"/>
  <c r="F27" i="219"/>
  <c r="H27" i="219" s="1"/>
  <c r="E27" i="219"/>
  <c r="H26" i="219"/>
  <c r="H25" i="219"/>
  <c r="H24" i="219"/>
  <c r="H23" i="219"/>
  <c r="H22" i="219"/>
  <c r="H21" i="219"/>
  <c r="G15" i="219"/>
  <c r="F15" i="219"/>
  <c r="E15" i="219"/>
  <c r="H13" i="219"/>
  <c r="H12" i="219"/>
  <c r="G356" i="218"/>
  <c r="F356" i="218"/>
  <c r="E356" i="218"/>
  <c r="G355" i="218"/>
  <c r="F355" i="218"/>
  <c r="E355" i="218"/>
  <c r="E353" i="218" s="1"/>
  <c r="E358" i="218" s="1"/>
  <c r="M353" i="218"/>
  <c r="L353" i="218"/>
  <c r="K353" i="218"/>
  <c r="F353" i="218"/>
  <c r="F358" i="218" s="1"/>
  <c r="G344" i="218"/>
  <c r="F344" i="218"/>
  <c r="E344" i="218"/>
  <c r="G337" i="218"/>
  <c r="F337" i="218"/>
  <c r="E337" i="218"/>
  <c r="H336" i="218"/>
  <c r="H335" i="218"/>
  <c r="H334" i="218"/>
  <c r="H333" i="218"/>
  <c r="H332" i="218"/>
  <c r="G326" i="218"/>
  <c r="F326" i="218"/>
  <c r="E326" i="218"/>
  <c r="H325" i="218"/>
  <c r="H324" i="218"/>
  <c r="H323" i="218"/>
  <c r="H322" i="218"/>
  <c r="H321" i="218"/>
  <c r="G315" i="218"/>
  <c r="F315" i="218"/>
  <c r="E315" i="218"/>
  <c r="H314" i="218"/>
  <c r="H313" i="218"/>
  <c r="H312" i="218"/>
  <c r="H311" i="218"/>
  <c r="H310" i="218"/>
  <c r="G304" i="218"/>
  <c r="H304" i="218" s="1"/>
  <c r="F304" i="218"/>
  <c r="E304" i="218"/>
  <c r="H303" i="218"/>
  <c r="H302" i="218"/>
  <c r="H301" i="218"/>
  <c r="H300" i="218"/>
  <c r="H299" i="218"/>
  <c r="G293" i="218"/>
  <c r="F293" i="218"/>
  <c r="E293" i="218"/>
  <c r="H292" i="218"/>
  <c r="H291" i="218"/>
  <c r="H290" i="218"/>
  <c r="H289" i="218"/>
  <c r="H288" i="218"/>
  <c r="G282" i="218"/>
  <c r="H282" i="218" s="1"/>
  <c r="F282" i="218"/>
  <c r="E282" i="218"/>
  <c r="H281" i="218"/>
  <c r="H280" i="218"/>
  <c r="H279" i="218"/>
  <c r="H278" i="218"/>
  <c r="H277" i="218"/>
  <c r="G271" i="218"/>
  <c r="H271" i="218" s="1"/>
  <c r="F271" i="218"/>
  <c r="E271" i="218"/>
  <c r="H270" i="218"/>
  <c r="H269" i="218"/>
  <c r="H268" i="218"/>
  <c r="H267" i="218"/>
  <c r="H266" i="218"/>
  <c r="G260" i="218"/>
  <c r="F260" i="218"/>
  <c r="E260" i="218"/>
  <c r="H259" i="218"/>
  <c r="H258" i="218"/>
  <c r="H257" i="218"/>
  <c r="H256" i="218"/>
  <c r="H255" i="218"/>
  <c r="G249" i="218"/>
  <c r="F249" i="218"/>
  <c r="E249" i="218"/>
  <c r="H248" i="218"/>
  <c r="H247" i="218"/>
  <c r="H246" i="218"/>
  <c r="H245" i="218"/>
  <c r="H244" i="218"/>
  <c r="G238" i="218"/>
  <c r="F238" i="218"/>
  <c r="E238" i="218"/>
  <c r="H237" i="218"/>
  <c r="H236" i="218"/>
  <c r="H235" i="218"/>
  <c r="H234" i="218"/>
  <c r="H233" i="218"/>
  <c r="G227" i="218"/>
  <c r="F227" i="218"/>
  <c r="E227" i="218"/>
  <c r="H226" i="218"/>
  <c r="H225" i="218"/>
  <c r="H224" i="218"/>
  <c r="H223" i="218"/>
  <c r="H222" i="218"/>
  <c r="G216" i="218"/>
  <c r="H216" i="218" s="1"/>
  <c r="F216" i="218"/>
  <c r="E216" i="218"/>
  <c r="H215" i="218"/>
  <c r="H214" i="218"/>
  <c r="H213" i="218"/>
  <c r="H212" i="218"/>
  <c r="G205" i="218"/>
  <c r="F205" i="218"/>
  <c r="E205" i="218"/>
  <c r="H204" i="218"/>
  <c r="H203" i="218"/>
  <c r="H202" i="218"/>
  <c r="H201" i="218"/>
  <c r="G194" i="218"/>
  <c r="F194" i="218"/>
  <c r="E194" i="218"/>
  <c r="H193" i="218"/>
  <c r="H192" i="218"/>
  <c r="H191" i="218"/>
  <c r="H190" i="218"/>
  <c r="G183" i="218"/>
  <c r="H183" i="218" s="1"/>
  <c r="F183" i="218"/>
  <c r="E183" i="218"/>
  <c r="H182" i="218"/>
  <c r="H181" i="218"/>
  <c r="H180" i="218"/>
  <c r="H179" i="218"/>
  <c r="G172" i="218"/>
  <c r="H172" i="218" s="1"/>
  <c r="F172" i="218"/>
  <c r="E172" i="218"/>
  <c r="H171" i="218"/>
  <c r="H170" i="218"/>
  <c r="H169" i="218"/>
  <c r="H168" i="218"/>
  <c r="G162" i="218"/>
  <c r="F162" i="218"/>
  <c r="E162" i="218"/>
  <c r="H161" i="218"/>
  <c r="H160" i="218"/>
  <c r="H159" i="218"/>
  <c r="H158" i="218"/>
  <c r="G151" i="218"/>
  <c r="F151" i="218"/>
  <c r="E151" i="218"/>
  <c r="H150" i="218"/>
  <c r="H149" i="218"/>
  <c r="H148" i="218"/>
  <c r="G142" i="218"/>
  <c r="H142" i="218" s="1"/>
  <c r="F142" i="218"/>
  <c r="E142" i="218"/>
  <c r="H141" i="218"/>
  <c r="H140" i="218"/>
  <c r="H139" i="218"/>
  <c r="H138" i="218"/>
  <c r="G132" i="218"/>
  <c r="F132" i="218"/>
  <c r="E132" i="218"/>
  <c r="H131" i="218"/>
  <c r="H130" i="218"/>
  <c r="H129" i="218"/>
  <c r="H128" i="218"/>
  <c r="H127" i="218"/>
  <c r="G121" i="218"/>
  <c r="F121" i="218"/>
  <c r="E121" i="218"/>
  <c r="H120" i="218"/>
  <c r="H119" i="218"/>
  <c r="H118" i="218"/>
  <c r="H117" i="218"/>
  <c r="H116" i="218"/>
  <c r="G110" i="218"/>
  <c r="F110" i="218"/>
  <c r="E110" i="218"/>
  <c r="H109" i="218"/>
  <c r="H108" i="218"/>
  <c r="H107" i="218"/>
  <c r="G101" i="218"/>
  <c r="F101" i="218"/>
  <c r="H101" i="218" s="1"/>
  <c r="E101" i="218"/>
  <c r="H100" i="218"/>
  <c r="H99" i="218"/>
  <c r="H98" i="218"/>
  <c r="G91" i="218"/>
  <c r="F91" i="218"/>
  <c r="E91" i="218"/>
  <c r="H90" i="218"/>
  <c r="H89" i="218"/>
  <c r="H88" i="218"/>
  <c r="H87" i="218"/>
  <c r="H86" i="218"/>
  <c r="G79" i="218"/>
  <c r="H79" i="218" s="1"/>
  <c r="F79" i="218"/>
  <c r="E79" i="218"/>
  <c r="H78" i="218"/>
  <c r="H76" i="218"/>
  <c r="G69" i="218"/>
  <c r="F69" i="218"/>
  <c r="E69" i="218"/>
  <c r="H68" i="218"/>
  <c r="H67" i="218"/>
  <c r="H66" i="218"/>
  <c r="H65" i="218"/>
  <c r="G57" i="218"/>
  <c r="H57" i="218" s="1"/>
  <c r="F57" i="218"/>
  <c r="E57" i="218"/>
  <c r="H56" i="218"/>
  <c r="H55" i="218"/>
  <c r="H54" i="218"/>
  <c r="H53" i="218"/>
  <c r="G46" i="218"/>
  <c r="F46" i="218"/>
  <c r="E46" i="218"/>
  <c r="H45" i="218"/>
  <c r="H44" i="218"/>
  <c r="H43" i="218"/>
  <c r="H42" i="218"/>
  <c r="G36" i="218"/>
  <c r="F36" i="218"/>
  <c r="E36" i="218"/>
  <c r="H35" i="218"/>
  <c r="H34" i="218"/>
  <c r="H33" i="218"/>
  <c r="H32" i="218"/>
  <c r="H31" i="218"/>
  <c r="G25" i="218"/>
  <c r="F25" i="218"/>
  <c r="E25" i="218"/>
  <c r="H24" i="218"/>
  <c r="H23" i="218"/>
  <c r="H22" i="218"/>
  <c r="H21" i="218"/>
  <c r="G15" i="218"/>
  <c r="F15" i="218"/>
  <c r="E15" i="218"/>
  <c r="H14" i="218"/>
  <c r="H13" i="218"/>
  <c r="H12" i="218"/>
  <c r="H11" i="218"/>
  <c r="G16" i="217"/>
  <c r="G15" i="217" s="1"/>
  <c r="G20" i="217" s="1"/>
  <c r="F16" i="217"/>
  <c r="F15" i="217" s="1"/>
  <c r="F20" i="217" s="1"/>
  <c r="E16" i="217"/>
  <c r="L15" i="217"/>
  <c r="K15" i="217"/>
  <c r="J15" i="217"/>
  <c r="E15" i="217"/>
  <c r="E20" i="217" s="1"/>
  <c r="G12" i="217"/>
  <c r="F12" i="217"/>
  <c r="E12" i="217"/>
  <c r="G26" i="216"/>
  <c r="F26" i="216"/>
  <c r="E26" i="216"/>
  <c r="G24" i="216"/>
  <c r="F24" i="216"/>
  <c r="F23" i="216" s="1"/>
  <c r="F28" i="216" s="1"/>
  <c r="E24" i="216"/>
  <c r="C144" i="20" s="1"/>
  <c r="R169" i="20" s="1"/>
  <c r="R241" i="20" s="1"/>
  <c r="R247" i="20" s="1"/>
  <c r="K23" i="216"/>
  <c r="J23" i="216"/>
  <c r="E23" i="216"/>
  <c r="E28" i="216" s="1"/>
  <c r="G21" i="216"/>
  <c r="F21" i="216"/>
  <c r="E21" i="216"/>
  <c r="H18" i="216"/>
  <c r="H16" i="216"/>
  <c r="D144" i="20" l="1"/>
  <c r="H21" i="216"/>
  <c r="H24" i="216"/>
  <c r="E144" i="20"/>
  <c r="T169" i="20" s="1"/>
  <c r="T241" i="20" s="1"/>
  <c r="U246" i="20" s="1"/>
  <c r="M245" i="20"/>
  <c r="K246" i="20"/>
  <c r="K276" i="20" s="1"/>
  <c r="L245" i="20"/>
  <c r="H25" i="218"/>
  <c r="H36" i="218"/>
  <c r="H151" i="218"/>
  <c r="H194" i="218"/>
  <c r="H355" i="218"/>
  <c r="H121" i="218"/>
  <c r="H162" i="218"/>
  <c r="H205" i="218"/>
  <c r="H249" i="218"/>
  <c r="H260" i="218"/>
  <c r="H337" i="218"/>
  <c r="H46" i="218"/>
  <c r="H91" i="218"/>
  <c r="H110" i="218"/>
  <c r="H227" i="218"/>
  <c r="H238" i="218"/>
  <c r="H293" i="218"/>
  <c r="H15" i="218"/>
  <c r="H69" i="218"/>
  <c r="H132" i="218"/>
  <c r="H315" i="218"/>
  <c r="H326" i="218"/>
  <c r="H223" i="222"/>
  <c r="G222" i="222"/>
  <c r="H221" i="223"/>
  <c r="H498" i="223"/>
  <c r="H52" i="227"/>
  <c r="H92" i="227"/>
  <c r="H132" i="227"/>
  <c r="H141" i="227"/>
  <c r="G140" i="227"/>
  <c r="H104" i="228"/>
  <c r="F271" i="228"/>
  <c r="F276" i="228" s="1"/>
  <c r="H41" i="229"/>
  <c r="H81" i="229"/>
  <c r="H121" i="229"/>
  <c r="H161" i="229"/>
  <c r="H203" i="229"/>
  <c r="H245" i="229"/>
  <c r="H285" i="229"/>
  <c r="H325" i="229"/>
  <c r="H365" i="229"/>
  <c r="H405" i="229"/>
  <c r="H445" i="229"/>
  <c r="H461" i="229"/>
  <c r="G460" i="229"/>
  <c r="H129" i="223"/>
  <c r="H486" i="223"/>
  <c r="J597" i="223"/>
  <c r="H42" i="227"/>
  <c r="H82" i="227"/>
  <c r="H122" i="227"/>
  <c r="H272" i="228"/>
  <c r="H30" i="229"/>
  <c r="H71" i="229"/>
  <c r="H111" i="229"/>
  <c r="H151" i="229"/>
  <c r="H192" i="229"/>
  <c r="H235" i="229"/>
  <c r="H275" i="229"/>
  <c r="H315" i="229"/>
  <c r="H355" i="229"/>
  <c r="H395" i="229"/>
  <c r="H435" i="229"/>
  <c r="G232" i="221"/>
  <c r="H30" i="223"/>
  <c r="H474" i="223"/>
  <c r="H522" i="223"/>
  <c r="H597" i="223"/>
  <c r="H113" i="224"/>
  <c r="G112" i="224"/>
  <c r="H32" i="227"/>
  <c r="H72" i="227"/>
  <c r="H112" i="227"/>
  <c r="H61" i="229"/>
  <c r="H101" i="229"/>
  <c r="H141" i="229"/>
  <c r="H182" i="229"/>
  <c r="H225" i="229"/>
  <c r="H265" i="229"/>
  <c r="H305" i="229"/>
  <c r="H345" i="229"/>
  <c r="H385" i="229"/>
  <c r="H425" i="229"/>
  <c r="F603" i="223"/>
  <c r="F46" i="225"/>
  <c r="G271" i="228"/>
  <c r="G410" i="220"/>
  <c r="H634" i="219"/>
  <c r="G639" i="219"/>
  <c r="F634" i="219"/>
  <c r="F639" i="219" s="1"/>
  <c r="G353" i="218"/>
  <c r="G23" i="216"/>
  <c r="H271" i="228" l="1"/>
  <c r="G276" i="228"/>
  <c r="H276" i="228" s="1"/>
  <c r="H232" i="221"/>
  <c r="G237" i="221"/>
  <c r="H237" i="221" s="1"/>
  <c r="H112" i="224"/>
  <c r="G117" i="224"/>
  <c r="H117" i="224" s="1"/>
  <c r="G145" i="227"/>
  <c r="H145" i="227" s="1"/>
  <c r="H140" i="227"/>
  <c r="H222" i="222"/>
  <c r="G227" i="222"/>
  <c r="H227" i="222" s="1"/>
  <c r="H46" i="225"/>
  <c r="F51" i="225"/>
  <c r="H51" i="225" s="1"/>
  <c r="F608" i="223"/>
  <c r="H608" i="223" s="1"/>
  <c r="H603" i="223"/>
  <c r="G465" i="229"/>
  <c r="H465" i="229" s="1"/>
  <c r="H460" i="229"/>
  <c r="H410" i="220"/>
  <c r="G415" i="220"/>
  <c r="H415" i="220" s="1"/>
  <c r="H639" i="219"/>
  <c r="G358" i="218"/>
  <c r="H358" i="218" s="1"/>
  <c r="H353" i="218"/>
  <c r="H23" i="216"/>
  <c r="G28" i="216"/>
  <c r="H28" i="216" s="1"/>
  <c r="H302" i="7" l="1"/>
  <c r="F300" i="7"/>
  <c r="F299" i="7"/>
  <c r="H42" i="7"/>
  <c r="H41" i="7"/>
  <c r="H40" i="7"/>
  <c r="H39" i="7"/>
  <c r="H38" i="7"/>
  <c r="H37" i="7"/>
  <c r="G36" i="7"/>
  <c r="F36" i="7"/>
  <c r="H124" i="7"/>
  <c r="H123" i="7"/>
  <c r="H36" i="7" l="1"/>
  <c r="H106" i="7"/>
  <c r="H104" i="7"/>
  <c r="J113" i="7"/>
  <c r="E59" i="7"/>
  <c r="G59" i="7"/>
  <c r="F59" i="7"/>
  <c r="E21" i="7"/>
  <c r="J322" i="7"/>
  <c r="G302" i="7"/>
  <c r="F302" i="7"/>
  <c r="J107" i="7"/>
  <c r="H108" i="7"/>
  <c r="H107" i="7"/>
  <c r="G304" i="7"/>
  <c r="G101" i="7"/>
  <c r="F101" i="7"/>
  <c r="H103" i="7"/>
  <c r="H100" i="7"/>
  <c r="H99" i="7"/>
  <c r="H98" i="7"/>
  <c r="H97" i="7"/>
  <c r="G86" i="7"/>
  <c r="F86" i="7"/>
  <c r="H87" i="7"/>
  <c r="F81" i="7"/>
  <c r="H80" i="7"/>
  <c r="H79" i="7"/>
  <c r="H62" i="7"/>
  <c r="G55" i="7"/>
  <c r="F55" i="7"/>
  <c r="H58" i="7"/>
  <c r="H57" i="7"/>
  <c r="H56" i="7"/>
  <c r="F51" i="7"/>
  <c r="G51" i="7"/>
  <c r="F48" i="7"/>
  <c r="G45" i="7"/>
  <c r="F45" i="7"/>
  <c r="H46" i="7"/>
  <c r="E25" i="7"/>
  <c r="G21" i="7"/>
  <c r="F21" i="7"/>
  <c r="G16" i="7"/>
  <c r="F16" i="7"/>
  <c r="E16" i="7"/>
  <c r="G12" i="7"/>
  <c r="F12" i="7"/>
  <c r="E12" i="7"/>
  <c r="E132" i="7"/>
  <c r="H131" i="7"/>
  <c r="H130" i="7"/>
  <c r="G125" i="7"/>
  <c r="G132" i="7" s="1"/>
  <c r="F125" i="7"/>
  <c r="F132" i="7" s="1"/>
  <c r="H127" i="7"/>
  <c r="K113" i="7" l="1"/>
  <c r="J80" i="7"/>
  <c r="H55" i="7"/>
  <c r="G163" i="7"/>
  <c r="G308" i="7" s="1"/>
  <c r="F163" i="7"/>
  <c r="F308" i="7" s="1"/>
  <c r="F140" i="7"/>
  <c r="E140" i="7"/>
  <c r="F147" i="7"/>
  <c r="H226" i="7"/>
  <c r="H225" i="7"/>
  <c r="H201" i="7"/>
  <c r="H198" i="7"/>
  <c r="H197" i="7"/>
  <c r="H196" i="7"/>
  <c r="H194" i="7"/>
  <c r="H193" i="7"/>
  <c r="H192" i="7"/>
  <c r="H191" i="7"/>
  <c r="H190" i="7"/>
  <c r="H188" i="7"/>
  <c r="H185" i="7"/>
  <c r="H184" i="7"/>
  <c r="H183" i="7"/>
  <c r="H181" i="7"/>
  <c r="H180" i="7"/>
  <c r="H179" i="7"/>
  <c r="H177" i="7"/>
  <c r="H175" i="7"/>
  <c r="H174" i="7"/>
  <c r="H173" i="7"/>
  <c r="H171" i="7"/>
  <c r="H169" i="7"/>
  <c r="H167" i="7"/>
  <c r="H164" i="7"/>
  <c r="F215" i="7" l="1"/>
  <c r="G320" i="7"/>
  <c r="F320" i="7"/>
  <c r="G272" i="7"/>
  <c r="F272" i="7"/>
  <c r="G287" i="7"/>
  <c r="F287" i="7"/>
  <c r="H292" i="7"/>
  <c r="H290" i="7"/>
  <c r="H289" i="7"/>
  <c r="H285" i="7"/>
  <c r="H284" i="7"/>
  <c r="H283" i="7"/>
  <c r="H282" i="7"/>
  <c r="H281" i="7"/>
  <c r="H280" i="7"/>
  <c r="F296" i="7" l="1"/>
  <c r="F314" i="7"/>
  <c r="K322" i="7" s="1"/>
  <c r="G314" i="7"/>
  <c r="L322" i="7" s="1"/>
  <c r="E266" i="7"/>
  <c r="H265" i="7"/>
  <c r="H264" i="7"/>
  <c r="G253" i="7"/>
  <c r="F253" i="7"/>
  <c r="H257" i="7"/>
  <c r="H255" i="7"/>
  <c r="H256" i="7"/>
  <c r="G239" i="7"/>
  <c r="F239" i="7"/>
  <c r="H249" i="7"/>
  <c r="H248" i="7"/>
  <c r="H247" i="7"/>
  <c r="H244" i="7"/>
  <c r="H243" i="7"/>
  <c r="I83" i="20" l="1"/>
  <c r="H291" i="13"/>
  <c r="H653" i="13"/>
  <c r="G99" i="13"/>
  <c r="G645" i="13"/>
  <c r="G16" i="13"/>
  <c r="F651" i="13"/>
  <c r="G653" i="13"/>
  <c r="F653" i="13"/>
  <c r="F130" i="13"/>
  <c r="G647" i="13"/>
  <c r="F647" i="13"/>
  <c r="G652" i="13"/>
  <c r="F652" i="13"/>
  <c r="K383" i="13"/>
  <c r="K629" i="13"/>
  <c r="G397" i="13"/>
  <c r="F397" i="13"/>
  <c r="F395" i="13"/>
  <c r="F336" i="13"/>
  <c r="F278" i="13"/>
  <c r="F276" i="13"/>
  <c r="K646" i="13"/>
  <c r="E652" i="13"/>
  <c r="L654" i="13"/>
  <c r="G654" i="13" s="1"/>
  <c r="K654" i="13"/>
  <c r="F654" i="13" s="1"/>
  <c r="L629" i="13"/>
  <c r="J629" i="13"/>
  <c r="G631" i="13"/>
  <c r="F631" i="13"/>
  <c r="E631" i="13"/>
  <c r="G622" i="13"/>
  <c r="F622" i="13"/>
  <c r="G625" i="13"/>
  <c r="F625" i="13"/>
  <c r="H626" i="13"/>
  <c r="H610" i="13"/>
  <c r="H609" i="13"/>
  <c r="H595" i="13"/>
  <c r="H594" i="13"/>
  <c r="H580" i="13"/>
  <c r="G562" i="13"/>
  <c r="F562" i="13"/>
  <c r="H563" i="13"/>
  <c r="H564" i="13"/>
  <c r="H547" i="13"/>
  <c r="H548" i="13"/>
  <c r="H533" i="13"/>
  <c r="H532" i="13"/>
  <c r="H518" i="13"/>
  <c r="H517" i="13"/>
  <c r="H501" i="13"/>
  <c r="H500" i="13"/>
  <c r="H486" i="13"/>
  <c r="H485" i="13"/>
  <c r="H471" i="13"/>
  <c r="H470" i="13"/>
  <c r="H456" i="13"/>
  <c r="H455" i="13"/>
  <c r="H441" i="13"/>
  <c r="G423" i="13"/>
  <c r="F423" i="13"/>
  <c r="H424" i="13"/>
  <c r="H409" i="13"/>
  <c r="H408" i="13"/>
  <c r="H394" i="13"/>
  <c r="H393" i="13"/>
  <c r="H382" i="13"/>
  <c r="H381" i="13"/>
  <c r="H368" i="13"/>
  <c r="H367" i="13"/>
  <c r="G351" i="13"/>
  <c r="F351" i="13"/>
  <c r="H352" i="13"/>
  <c r="G339" i="13"/>
  <c r="F339" i="13"/>
  <c r="H338" i="13"/>
  <c r="E339" i="13"/>
  <c r="H337" i="13"/>
  <c r="H335" i="13"/>
  <c r="H339" i="13" s="1"/>
  <c r="H334" i="13"/>
  <c r="G308" i="13"/>
  <c r="F308" i="13"/>
  <c r="H309" i="13"/>
  <c r="H290" i="13"/>
  <c r="G287" i="13"/>
  <c r="G294" i="13" s="1"/>
  <c r="F287" i="13"/>
  <c r="F294" i="13" s="1"/>
  <c r="G267" i="13"/>
  <c r="F267" i="13"/>
  <c r="G276" i="13"/>
  <c r="H275" i="13"/>
  <c r="H274" i="13"/>
  <c r="E276" i="13"/>
  <c r="H273" i="13"/>
  <c r="H272" i="13"/>
  <c r="H276" i="13" s="1"/>
  <c r="H270" i="13"/>
  <c r="H269" i="13"/>
  <c r="H268" i="13"/>
  <c r="G247" i="13"/>
  <c r="G252" i="13" s="1"/>
  <c r="F247" i="13"/>
  <c r="F252" i="13" s="1"/>
  <c r="L384" i="13" l="1"/>
  <c r="K384" i="13"/>
  <c r="J384" i="13"/>
  <c r="H267" i="13"/>
  <c r="H251" i="13"/>
  <c r="H250" i="13"/>
  <c r="H236" i="13"/>
  <c r="H235" i="13"/>
  <c r="H221" i="13"/>
  <c r="H220" i="13"/>
  <c r="H206" i="13"/>
  <c r="H205" i="13"/>
  <c r="H191" i="13"/>
  <c r="H190" i="13"/>
  <c r="H176" i="13"/>
  <c r="H175" i="13"/>
  <c r="H161" i="13"/>
  <c r="H160" i="13"/>
  <c r="G143" i="13"/>
  <c r="F143" i="13"/>
  <c r="H144" i="13"/>
  <c r="E66" i="20" l="1"/>
  <c r="H129" i="13"/>
  <c r="H128" i="13"/>
  <c r="G649" i="13"/>
  <c r="E88" i="20" s="1"/>
  <c r="H108" i="13"/>
  <c r="H107" i="13"/>
  <c r="T109" i="20" l="1"/>
  <c r="H94" i="13"/>
  <c r="H93" i="13"/>
  <c r="H92" i="13"/>
  <c r="H91" i="13"/>
  <c r="F84" i="13"/>
  <c r="H83" i="13"/>
  <c r="H82" i="13"/>
  <c r="H81" i="13"/>
  <c r="H80" i="13"/>
  <c r="H79" i="13"/>
  <c r="H78" i="13"/>
  <c r="G77" i="13"/>
  <c r="F77" i="13"/>
  <c r="F74" i="13"/>
  <c r="G68" i="13"/>
  <c r="F68" i="13"/>
  <c r="G63" i="13"/>
  <c r="F63" i="13"/>
  <c r="H67" i="13"/>
  <c r="H66" i="13"/>
  <c r="H62" i="13"/>
  <c r="H60" i="13"/>
  <c r="H59" i="13"/>
  <c r="H58" i="13"/>
  <c r="G57" i="13"/>
  <c r="F57" i="13"/>
  <c r="G53" i="13"/>
  <c r="F53" i="13"/>
  <c r="H55" i="13"/>
  <c r="H54" i="13"/>
  <c r="H52" i="13"/>
  <c r="H51" i="13"/>
  <c r="G50" i="13"/>
  <c r="F50" i="13"/>
  <c r="H49" i="13"/>
  <c r="H48" i="13"/>
  <c r="G47" i="13"/>
  <c r="F47" i="13"/>
  <c r="G31" i="13"/>
  <c r="F31" i="13"/>
  <c r="H32" i="13"/>
  <c r="G25" i="13"/>
  <c r="G644" i="13" s="1"/>
  <c r="G657" i="13" s="1"/>
  <c r="F25" i="13"/>
  <c r="H24" i="13"/>
  <c r="H23" i="13"/>
  <c r="G19" i="13"/>
  <c r="F19" i="13"/>
  <c r="H22" i="13"/>
  <c r="F16" i="13"/>
  <c r="H18" i="13"/>
  <c r="H17" i="13"/>
  <c r="E294" i="55"/>
  <c r="F301" i="55"/>
  <c r="E129" i="55"/>
  <c r="J67" i="55"/>
  <c r="J127" i="55"/>
  <c r="J129" i="55"/>
  <c r="E288" i="55"/>
  <c r="G129" i="55"/>
  <c r="F129" i="55"/>
  <c r="K149" i="55"/>
  <c r="G288" i="55"/>
  <c r="F288" i="55"/>
  <c r="L129" i="55"/>
  <c r="K129" i="55"/>
  <c r="G149" i="55"/>
  <c r="F149" i="55"/>
  <c r="H144" i="55"/>
  <c r="H143" i="55"/>
  <c r="F112" i="55"/>
  <c r="G108" i="55"/>
  <c r="F108" i="55"/>
  <c r="G105" i="55"/>
  <c r="F105" i="55"/>
  <c r="H106" i="55"/>
  <c r="G100" i="55"/>
  <c r="F100" i="55"/>
  <c r="G90" i="55"/>
  <c r="F90" i="55"/>
  <c r="H95" i="55"/>
  <c r="G87" i="55"/>
  <c r="F87" i="55"/>
  <c r="G80" i="55"/>
  <c r="F80" i="55"/>
  <c r="G74" i="55"/>
  <c r="F74" i="55"/>
  <c r="E74" i="55"/>
  <c r="G65" i="55"/>
  <c r="F65" i="55"/>
  <c r="H66" i="55"/>
  <c r="G62" i="55"/>
  <c r="F62" i="55"/>
  <c r="H64" i="55"/>
  <c r="G57" i="55"/>
  <c r="F57" i="55"/>
  <c r="G49" i="55"/>
  <c r="F49" i="55"/>
  <c r="H50" i="55"/>
  <c r="G45" i="55"/>
  <c r="F45" i="55"/>
  <c r="E45" i="55"/>
  <c r="H47" i="55"/>
  <c r="F32" i="55"/>
  <c r="G28" i="55"/>
  <c r="F28" i="55"/>
  <c r="H26" i="55"/>
  <c r="G23" i="55"/>
  <c r="F23" i="55"/>
  <c r="G19" i="55"/>
  <c r="F19" i="55"/>
  <c r="G16" i="55"/>
  <c r="F16" i="55"/>
  <c r="H17" i="55"/>
  <c r="G13" i="55"/>
  <c r="F13" i="55"/>
  <c r="G10" i="55"/>
  <c r="F10" i="55"/>
  <c r="H11" i="55"/>
  <c r="F188" i="55"/>
  <c r="F167" i="55"/>
  <c r="G268" i="55"/>
  <c r="F268" i="55"/>
  <c r="E268" i="55"/>
  <c r="H256" i="55"/>
  <c r="G252" i="55"/>
  <c r="G258" i="55" s="1"/>
  <c r="F252" i="55"/>
  <c r="F258" i="55" s="1"/>
  <c r="E252" i="55"/>
  <c r="E258" i="55" s="1"/>
  <c r="G236" i="55"/>
  <c r="G242" i="55" s="1"/>
  <c r="F236" i="55"/>
  <c r="F242" i="55" s="1"/>
  <c r="H241" i="55"/>
  <c r="H240" i="55"/>
  <c r="G222" i="55"/>
  <c r="F222" i="55"/>
  <c r="G182" i="55"/>
  <c r="F182" i="55"/>
  <c r="G188" i="55"/>
  <c r="H189" i="55"/>
  <c r="G161" i="55"/>
  <c r="F161" i="55"/>
  <c r="G167" i="55"/>
  <c r="H187" i="55"/>
  <c r="E282" i="55"/>
  <c r="H57" i="13" l="1"/>
  <c r="H77" i="13"/>
  <c r="H47" i="13"/>
  <c r="H50" i="13"/>
  <c r="H53" i="13"/>
  <c r="H16" i="13"/>
  <c r="F170" i="55"/>
  <c r="H167" i="55"/>
  <c r="H188" i="55"/>
  <c r="G191" i="55"/>
  <c r="F191" i="55"/>
  <c r="G170" i="55"/>
  <c r="G42" i="12"/>
  <c r="I95" i="20"/>
  <c r="F118" i="12"/>
  <c r="E119" i="12"/>
  <c r="F121" i="12"/>
  <c r="E105" i="12"/>
  <c r="E98" i="12"/>
  <c r="H100" i="12"/>
  <c r="H96" i="12"/>
  <c r="H99" i="12"/>
  <c r="G93" i="12"/>
  <c r="F93" i="12"/>
  <c r="E93" i="12"/>
  <c r="H102" i="12"/>
  <c r="G80" i="12"/>
  <c r="G82" i="12" s="1"/>
  <c r="F80" i="12"/>
  <c r="F82" i="12" s="1"/>
  <c r="E82" i="12"/>
  <c r="H81" i="12"/>
  <c r="G74" i="12"/>
  <c r="G79" i="12" s="1"/>
  <c r="F74" i="12"/>
  <c r="F79" i="12" s="1"/>
  <c r="E74" i="12"/>
  <c r="E79" i="12" s="1"/>
  <c r="H78" i="12"/>
  <c r="E51" i="12"/>
  <c r="H50" i="12"/>
  <c r="H49" i="12"/>
  <c r="H44" i="12"/>
  <c r="H48" i="12"/>
  <c r="G47" i="12"/>
  <c r="F47" i="12"/>
  <c r="H43" i="12"/>
  <c r="F42" i="12"/>
  <c r="H31" i="12"/>
  <c r="H26" i="12"/>
  <c r="G20" i="12"/>
  <c r="F20" i="12"/>
  <c r="E20" i="12"/>
  <c r="H22" i="12"/>
  <c r="G14" i="12"/>
  <c r="G32" i="12" s="1"/>
  <c r="L51" i="12" s="1"/>
  <c r="F14" i="12"/>
  <c r="F32" i="12" s="1"/>
  <c r="K51" i="12" s="1"/>
  <c r="E14" i="12"/>
  <c r="H13" i="12"/>
  <c r="H120" i="20"/>
  <c r="F84" i="12" l="1"/>
  <c r="G84" i="12"/>
  <c r="H82" i="12"/>
  <c r="H80" i="12"/>
  <c r="F51" i="12"/>
  <c r="G51" i="12"/>
  <c r="H47" i="12"/>
  <c r="E32" i="12"/>
  <c r="J51" i="12" s="1"/>
  <c r="H42" i="12"/>
  <c r="G162" i="15"/>
  <c r="F162" i="15"/>
  <c r="G144" i="15"/>
  <c r="F144" i="15"/>
  <c r="E144" i="15"/>
  <c r="F168" i="15"/>
  <c r="G168" i="15"/>
  <c r="H143" i="15"/>
  <c r="H142" i="15"/>
  <c r="H94" i="15"/>
  <c r="H93" i="15"/>
  <c r="H78" i="15"/>
  <c r="H77" i="15"/>
  <c r="F154" i="15"/>
  <c r="G88" i="15"/>
  <c r="F88" i="15"/>
  <c r="G75" i="15"/>
  <c r="G79" i="15" s="1"/>
  <c r="F75" i="15"/>
  <c r="F79" i="15" s="1"/>
  <c r="E75" i="15"/>
  <c r="H73" i="15"/>
  <c r="H72" i="15"/>
  <c r="G70" i="15"/>
  <c r="G74" i="15" s="1"/>
  <c r="F70" i="15"/>
  <c r="F74" i="15" s="1"/>
  <c r="H52" i="15"/>
  <c r="H51" i="15"/>
  <c r="G50" i="15"/>
  <c r="F50" i="15"/>
  <c r="G42" i="15"/>
  <c r="F42" i="15"/>
  <c r="H41" i="15"/>
  <c r="H33" i="15"/>
  <c r="H32" i="15"/>
  <c r="H35" i="15"/>
  <c r="H34" i="15"/>
  <c r="H31" i="15"/>
  <c r="H29" i="15"/>
  <c r="G26" i="15"/>
  <c r="F26" i="15"/>
  <c r="H27" i="15"/>
  <c r="H19" i="15"/>
  <c r="H18" i="15"/>
  <c r="G13" i="15"/>
  <c r="F13" i="15"/>
  <c r="H14" i="15"/>
  <c r="K168" i="15" l="1"/>
  <c r="H50" i="15"/>
  <c r="L133" i="54"/>
  <c r="G134" i="54" s="1"/>
  <c r="G38" i="51" l="1"/>
  <c r="F38" i="51"/>
  <c r="E38" i="51"/>
  <c r="G37" i="51"/>
  <c r="F37" i="51"/>
  <c r="E37" i="51"/>
  <c r="G32" i="51"/>
  <c r="F32" i="51"/>
  <c r="E32" i="51"/>
  <c r="G14" i="51"/>
  <c r="F14" i="51"/>
  <c r="E14" i="51"/>
  <c r="K133" i="20"/>
  <c r="F80" i="190"/>
  <c r="F55" i="190"/>
  <c r="E55" i="190"/>
  <c r="G29" i="190"/>
  <c r="G55" i="190" s="1"/>
  <c r="F29" i="190"/>
  <c r="E29" i="190"/>
  <c r="H83" i="190"/>
  <c r="G83" i="190"/>
  <c r="F83" i="190"/>
  <c r="E83" i="190"/>
  <c r="H49" i="190"/>
  <c r="H47" i="190"/>
  <c r="H46" i="190"/>
  <c r="G74" i="190"/>
  <c r="F74" i="190"/>
  <c r="H73" i="190"/>
  <c r="H43" i="190"/>
  <c r="G37" i="190"/>
  <c r="F37" i="190"/>
  <c r="H41" i="190"/>
  <c r="H36" i="190"/>
  <c r="H35" i="190"/>
  <c r="H34" i="190"/>
  <c r="H31" i="190"/>
  <c r="G25" i="190"/>
  <c r="H27" i="190"/>
  <c r="H26" i="190"/>
  <c r="H24" i="190"/>
  <c r="H21" i="190"/>
  <c r="H19" i="190"/>
  <c r="H18" i="190"/>
  <c r="H17" i="190"/>
  <c r="H15" i="190"/>
  <c r="H14" i="190"/>
  <c r="H14" i="51" l="1"/>
  <c r="H74" i="190"/>
  <c r="K134" i="20"/>
  <c r="H46" i="24"/>
  <c r="E49" i="24"/>
  <c r="G114" i="24" l="1"/>
  <c r="F114" i="24"/>
  <c r="E114" i="24"/>
  <c r="G112" i="24"/>
  <c r="F112" i="24"/>
  <c r="G106" i="24"/>
  <c r="F106" i="24"/>
  <c r="E106" i="24"/>
  <c r="H105" i="24"/>
  <c r="H104" i="24"/>
  <c r="H103" i="24"/>
  <c r="H102" i="24"/>
  <c r="H101" i="24"/>
  <c r="H100" i="24"/>
  <c r="H97" i="24"/>
  <c r="H96" i="24"/>
  <c r="G82" i="24"/>
  <c r="F82" i="24"/>
  <c r="E82" i="24"/>
  <c r="G75" i="24"/>
  <c r="F75" i="24"/>
  <c r="N47" i="24"/>
  <c r="M47" i="24"/>
  <c r="N49" i="24"/>
  <c r="M49" i="24"/>
  <c r="L49" i="24"/>
  <c r="H48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16" i="24"/>
  <c r="H15" i="24"/>
  <c r="H12" i="24"/>
  <c r="H11" i="24"/>
  <c r="D130" i="20"/>
  <c r="K56" i="20" l="1"/>
  <c r="K55" i="20"/>
  <c r="F125" i="8"/>
  <c r="F124" i="8"/>
  <c r="E123" i="8"/>
  <c r="G118" i="8"/>
  <c r="F118" i="8"/>
  <c r="E118" i="8"/>
  <c r="H117" i="8"/>
  <c r="H116" i="8"/>
  <c r="H113" i="8"/>
  <c r="H112" i="8"/>
  <c r="H111" i="8"/>
  <c r="H109" i="8"/>
  <c r="H108" i="8"/>
  <c r="H107" i="8"/>
  <c r="H102" i="8"/>
  <c r="H101" i="8"/>
  <c r="E90" i="8"/>
  <c r="H81" i="8"/>
  <c r="H78" i="8"/>
  <c r="H77" i="8"/>
  <c r="H76" i="8"/>
  <c r="H65" i="8"/>
  <c r="H64" i="8"/>
  <c r="H62" i="8"/>
  <c r="H48" i="8"/>
  <c r="H47" i="8"/>
  <c r="H35" i="8"/>
  <c r="H15" i="8"/>
  <c r="H13" i="8"/>
  <c r="H12" i="8"/>
  <c r="G62" i="9" l="1"/>
  <c r="F62" i="9"/>
  <c r="H31" i="9"/>
  <c r="H29" i="9"/>
  <c r="H28" i="9"/>
  <c r="F89" i="9"/>
  <c r="E62" i="9"/>
  <c r="H57" i="9"/>
  <c r="H56" i="9"/>
  <c r="H30" i="9"/>
  <c r="G89" i="9"/>
  <c r="E89" i="9"/>
  <c r="H87" i="9"/>
  <c r="H86" i="9"/>
  <c r="H85" i="9"/>
  <c r="H84" i="9"/>
  <c r="H79" i="9"/>
  <c r="H78" i="9"/>
  <c r="E58" i="9"/>
  <c r="G53" i="9"/>
  <c r="F53" i="9"/>
  <c r="E53" i="9"/>
  <c r="H55" i="9"/>
  <c r="G50" i="9"/>
  <c r="F50" i="9"/>
  <c r="E50" i="9"/>
  <c r="H52" i="9"/>
  <c r="H49" i="9"/>
  <c r="H48" i="9"/>
  <c r="H47" i="9"/>
  <c r="H46" i="9"/>
  <c r="G43" i="9"/>
  <c r="F43" i="9"/>
  <c r="E43" i="9"/>
  <c r="H40" i="9"/>
  <c r="H21" i="9"/>
  <c r="H20" i="9"/>
  <c r="G51" i="10"/>
  <c r="F51" i="10"/>
  <c r="E51" i="10"/>
  <c r="G40" i="10"/>
  <c r="F40" i="10"/>
  <c r="E40" i="10"/>
  <c r="H28" i="10"/>
  <c r="G48" i="10"/>
  <c r="F48" i="10"/>
  <c r="F35" i="10"/>
  <c r="H27" i="10"/>
  <c r="H13" i="10"/>
  <c r="H12" i="11"/>
  <c r="H11" i="11"/>
  <c r="F40" i="5"/>
  <c r="E21" i="5"/>
  <c r="E39" i="5" s="1"/>
  <c r="G31" i="5"/>
  <c r="F31" i="5"/>
  <c r="H19" i="5"/>
  <c r="F159" i="54" l="1"/>
  <c r="H52" i="54"/>
  <c r="H43" i="54"/>
  <c r="H40" i="54"/>
  <c r="H33" i="54"/>
  <c r="H26" i="54"/>
  <c r="H17" i="54"/>
  <c r="G118" i="54"/>
  <c r="L70" i="54"/>
  <c r="H20" i="54"/>
  <c r="E134" i="54"/>
  <c r="J70" i="54"/>
  <c r="K133" i="54"/>
  <c r="F134" i="54" s="1"/>
  <c r="K147" i="54" s="1"/>
  <c r="J133" i="54"/>
  <c r="K70" i="54"/>
  <c r="G147" i="54"/>
  <c r="F147" i="54"/>
  <c r="H146" i="54"/>
  <c r="F118" i="54"/>
  <c r="H117" i="54"/>
  <c r="H112" i="54"/>
  <c r="G97" i="54"/>
  <c r="F97" i="54"/>
  <c r="H87" i="54"/>
  <c r="G79" i="54"/>
  <c r="F79" i="54"/>
  <c r="H84" i="54"/>
  <c r="H83" i="54"/>
  <c r="H81" i="54"/>
  <c r="G73" i="54"/>
  <c r="F73" i="54"/>
  <c r="H78" i="54"/>
  <c r="H77" i="54"/>
  <c r="H68" i="54"/>
  <c r="G59" i="54"/>
  <c r="F59" i="54"/>
  <c r="H62" i="54"/>
  <c r="H61" i="54"/>
  <c r="G54" i="54"/>
  <c r="F54" i="54"/>
  <c r="H58" i="54"/>
  <c r="H57" i="54"/>
  <c r="H46" i="54"/>
  <c r="H45" i="54"/>
  <c r="G28" i="54"/>
  <c r="F28" i="54"/>
  <c r="H11" i="54"/>
  <c r="H10" i="54"/>
  <c r="L147" i="54" l="1"/>
  <c r="H28" i="54"/>
  <c r="G167" i="162"/>
  <c r="F167" i="162"/>
  <c r="E167" i="162"/>
  <c r="G158" i="162"/>
  <c r="F158" i="162"/>
  <c r="H145" i="162"/>
  <c r="G134" i="162"/>
  <c r="F134" i="162"/>
  <c r="E134" i="162"/>
  <c r="H138" i="162"/>
  <c r="G124" i="162"/>
  <c r="F124" i="162"/>
  <c r="H128" i="162"/>
  <c r="G119" i="162"/>
  <c r="F119" i="162"/>
  <c r="H123" i="162"/>
  <c r="G113" i="162"/>
  <c r="F113" i="162"/>
  <c r="H114" i="162"/>
  <c r="G107" i="162"/>
  <c r="F107" i="162"/>
  <c r="H109" i="162"/>
  <c r="H108" i="162"/>
  <c r="H103" i="162"/>
  <c r="H101" i="162"/>
  <c r="H99" i="162"/>
  <c r="F148" i="162" l="1"/>
  <c r="F160" i="162" s="1"/>
  <c r="G148" i="162"/>
  <c r="G160" i="162" s="1"/>
  <c r="H96" i="162"/>
  <c r="H95" i="162"/>
  <c r="H67" i="162" l="1"/>
  <c r="F75" i="162"/>
  <c r="E75" i="162"/>
  <c r="G75" i="162"/>
  <c r="E56" i="162"/>
  <c r="H74" i="162"/>
  <c r="H51" i="162"/>
  <c r="H50" i="162"/>
  <c r="G43" i="162"/>
  <c r="F43" i="162"/>
  <c r="G40" i="162"/>
  <c r="F40" i="162"/>
  <c r="H30" i="162"/>
  <c r="H26" i="162"/>
  <c r="H25" i="162"/>
  <c r="H17" i="162"/>
  <c r="H157" i="162"/>
  <c r="H156" i="162"/>
  <c r="H147" i="162"/>
  <c r="H146" i="162"/>
  <c r="H144" i="162"/>
  <c r="H143" i="162"/>
  <c r="H142" i="162"/>
  <c r="H141" i="162"/>
  <c r="H140" i="162"/>
  <c r="H139" i="162"/>
  <c r="H137" i="162"/>
  <c r="H136" i="162"/>
  <c r="H135" i="162"/>
  <c r="H127" i="162"/>
  <c r="H126" i="162"/>
  <c r="H125" i="162"/>
  <c r="E124" i="162"/>
  <c r="H122" i="162"/>
  <c r="H121" i="162"/>
  <c r="H120" i="162"/>
  <c r="H118" i="162"/>
  <c r="H117" i="162"/>
  <c r="H116" i="162"/>
  <c r="H115" i="162"/>
  <c r="H112" i="162"/>
  <c r="H111" i="162"/>
  <c r="H110" i="162"/>
  <c r="E107" i="162"/>
  <c r="H106" i="162"/>
  <c r="H105" i="162"/>
  <c r="H104" i="162"/>
  <c r="H102" i="162"/>
  <c r="H98" i="162"/>
  <c r="H97" i="162"/>
  <c r="H94" i="162"/>
  <c r="H93" i="162"/>
  <c r="E148" i="162" l="1"/>
  <c r="E160" i="162" s="1"/>
  <c r="G166" i="162"/>
  <c r="E166" i="162"/>
  <c r="F166" i="162"/>
  <c r="E165" i="162"/>
  <c r="E77" i="162"/>
  <c r="H113" i="162"/>
  <c r="H124" i="162"/>
  <c r="H134" i="162"/>
  <c r="H119" i="162"/>
  <c r="H158" i="162"/>
  <c r="H107" i="162"/>
  <c r="G33" i="52"/>
  <c r="G48" i="52" s="1"/>
  <c r="F33" i="52"/>
  <c r="F48" i="52" s="1"/>
  <c r="F60" i="52" s="1"/>
  <c r="H19" i="52"/>
  <c r="H15" i="52"/>
  <c r="E162" i="162" l="1"/>
  <c r="E172" i="162"/>
  <c r="H148" i="162"/>
  <c r="H2852" i="17"/>
  <c r="G2852" i="17"/>
  <c r="F2852" i="17"/>
  <c r="G2843" i="17"/>
  <c r="I2818" i="17"/>
  <c r="I2817" i="17"/>
  <c r="I2768" i="17"/>
  <c r="I2767" i="17"/>
  <c r="H2732" i="17"/>
  <c r="G2732" i="17"/>
  <c r="F2732" i="17"/>
  <c r="G2656" i="17"/>
  <c r="G2664" i="17" s="1"/>
  <c r="H2498" i="17"/>
  <c r="G2498" i="17"/>
  <c r="I2492" i="17"/>
  <c r="H2483" i="17"/>
  <c r="G2483" i="17"/>
  <c r="I2482" i="17"/>
  <c r="I2481" i="17"/>
  <c r="I2453" i="17"/>
  <c r="I2452" i="17"/>
  <c r="H2351" i="17" l="1"/>
  <c r="G2351" i="17"/>
  <c r="F2351" i="17"/>
  <c r="I2353" i="17"/>
  <c r="H2299" i="17"/>
  <c r="G2299" i="17"/>
  <c r="F2299" i="17"/>
  <c r="H2122" i="17" l="1"/>
  <c r="G2122" i="17"/>
  <c r="F2122" i="17"/>
  <c r="F2029" i="17" l="1"/>
  <c r="I2018" i="17"/>
  <c r="I1921" i="17"/>
  <c r="I1852" i="17"/>
  <c r="I1851" i="17"/>
  <c r="G2029" i="17" l="1"/>
  <c r="G2006" i="17"/>
  <c r="H1633" i="17"/>
  <c r="G1633" i="17"/>
  <c r="F1633" i="17"/>
  <c r="I1635" i="17"/>
  <c r="I1607" i="17"/>
  <c r="H1598" i="17"/>
  <c r="G1598" i="17"/>
  <c r="I1608" i="17"/>
  <c r="I1503" i="17"/>
  <c r="I1502" i="17"/>
  <c r="I1481" i="17"/>
  <c r="H1464" i="17"/>
  <c r="H1474" i="17" s="1"/>
  <c r="G1464" i="17"/>
  <c r="G1474" i="17" s="1"/>
  <c r="F1464" i="17"/>
  <c r="I1422" i="17"/>
  <c r="H1271" i="17"/>
  <c r="G1271" i="17"/>
  <c r="H1229" i="17"/>
  <c r="G1229" i="17"/>
  <c r="F1229" i="17"/>
  <c r="I1221" i="17"/>
  <c r="I1220" i="17"/>
  <c r="H1038" i="17" l="1"/>
  <c r="G1038" i="17"/>
  <c r="F1038" i="17"/>
  <c r="I1039" i="17"/>
  <c r="H1022" i="17"/>
  <c r="G1022" i="17"/>
  <c r="F1022" i="17"/>
  <c r="I1024" i="17"/>
  <c r="I1023" i="17"/>
  <c r="G986" i="17"/>
  <c r="H946" i="17"/>
  <c r="G946" i="17"/>
  <c r="G960" i="17" s="1"/>
  <c r="F946" i="17"/>
  <c r="I919" i="17"/>
  <c r="I918" i="17"/>
  <c r="H740" i="17"/>
  <c r="H743" i="17" s="1"/>
  <c r="G740" i="17"/>
  <c r="G743" i="17" s="1"/>
  <c r="I741" i="17"/>
  <c r="I736" i="17"/>
  <c r="F743" i="17"/>
  <c r="F646" i="17"/>
  <c r="I610" i="17"/>
  <c r="I607" i="17" l="1"/>
  <c r="I538" i="17"/>
  <c r="I529" i="17"/>
  <c r="I546" i="17"/>
  <c r="I545" i="17"/>
  <c r="H526" i="17"/>
  <c r="G526" i="17"/>
  <c r="F526" i="17"/>
  <c r="F557" i="17" s="1"/>
  <c r="G557" i="17" l="1"/>
  <c r="H557" i="17"/>
  <c r="I424" i="17"/>
  <c r="I423" i="17"/>
  <c r="I226" i="17" l="1"/>
  <c r="H217" i="17"/>
  <c r="G217" i="17"/>
  <c r="F217" i="17"/>
  <c r="H187" i="17"/>
  <c r="G187" i="17"/>
  <c r="F187" i="17"/>
  <c r="I108" i="17" l="1"/>
  <c r="I107" i="17"/>
  <c r="H60" i="17"/>
  <c r="G60" i="17"/>
  <c r="F440" i="18" l="1"/>
  <c r="IV439" i="18"/>
  <c r="H437" i="18"/>
  <c r="H440" i="18" s="1"/>
  <c r="G437" i="18"/>
  <c r="G440" i="18" s="1"/>
  <c r="H471" i="18"/>
  <c r="G471" i="18"/>
  <c r="F475" i="18"/>
  <c r="I470" i="18"/>
  <c r="IV470" i="18" s="1"/>
  <c r="H468" i="18"/>
  <c r="G468" i="18"/>
  <c r="G475" i="18" s="1"/>
  <c r="H323" i="18"/>
  <c r="G323" i="18"/>
  <c r="I440" i="18" l="1"/>
  <c r="I437" i="18"/>
  <c r="IV437" i="18" s="1"/>
  <c r="IV440" i="18" s="1"/>
  <c r="H475" i="18"/>
  <c r="I475" i="18" s="1"/>
  <c r="I471" i="18"/>
  <c r="IV471" i="18" s="1"/>
  <c r="I468" i="18"/>
  <c r="IV468" i="18" s="1"/>
  <c r="IV475" i="18" s="1"/>
  <c r="I249" i="18"/>
  <c r="I248" i="18"/>
  <c r="H241" i="18"/>
  <c r="G241" i="18"/>
  <c r="H226" i="18" l="1"/>
  <c r="G226" i="18"/>
  <c r="I228" i="18"/>
  <c r="I144" i="18"/>
  <c r="H124" i="18"/>
  <c r="H131" i="18" s="1"/>
  <c r="G124" i="18"/>
  <c r="G131" i="18" s="1"/>
  <c r="K186" i="18" s="1"/>
  <c r="I126" i="18"/>
  <c r="H80" i="18" l="1"/>
  <c r="G80" i="18"/>
  <c r="G85" i="18" s="1"/>
  <c r="I82" i="18"/>
  <c r="H61" i="18"/>
  <c r="I63" i="18"/>
  <c r="I305" i="20" l="1"/>
  <c r="H305" i="20"/>
  <c r="G305" i="20"/>
  <c r="G297" i="20"/>
  <c r="H296" i="20"/>
  <c r="G296" i="20"/>
  <c r="M135" i="20"/>
  <c r="L135" i="20"/>
  <c r="K135" i="20"/>
  <c r="M134" i="20"/>
  <c r="L134" i="20"/>
  <c r="M133" i="20"/>
  <c r="L133" i="20"/>
  <c r="M132" i="20"/>
  <c r="M272" i="20" s="1"/>
  <c r="L132" i="20"/>
  <c r="I120" i="20"/>
  <c r="G120" i="20"/>
  <c r="M137" i="20" l="1"/>
  <c r="L137" i="20"/>
  <c r="K137" i="20"/>
  <c r="I61" i="20"/>
  <c r="H61" i="20"/>
  <c r="K279" i="20" l="1"/>
  <c r="H293" i="20"/>
  <c r="G293" i="20"/>
  <c r="K273" i="20" l="1"/>
  <c r="I266" i="20"/>
  <c r="H266" i="20"/>
  <c r="G266" i="20"/>
  <c r="I137" i="20"/>
  <c r="H137" i="20"/>
  <c r="G137" i="20"/>
  <c r="M247" i="20" l="1"/>
  <c r="K247" i="20"/>
  <c r="L247" i="20"/>
  <c r="K274" i="20" l="1"/>
  <c r="L274" i="20" l="1"/>
  <c r="L275" i="20"/>
  <c r="K275" i="20"/>
  <c r="K278" i="20" s="1"/>
  <c r="L14" i="215"/>
  <c r="K14" i="215"/>
  <c r="J14" i="215"/>
  <c r="K277" i="20" l="1"/>
  <c r="E305" i="20" l="1"/>
  <c r="D305" i="20"/>
  <c r="C305" i="20"/>
  <c r="E266" i="20" l="1"/>
  <c r="C266" i="20"/>
  <c r="F270" i="20"/>
  <c r="F171" i="20"/>
  <c r="F235" i="20"/>
  <c r="R171" i="20" l="1"/>
  <c r="R170" i="20"/>
  <c r="S171" i="20"/>
  <c r="G11" i="215"/>
  <c r="H11" i="215" s="1"/>
  <c r="F11" i="215"/>
  <c r="F15" i="215" s="1"/>
  <c r="F14" i="215" s="1"/>
  <c r="F19" i="215" s="1"/>
  <c r="E11" i="215"/>
  <c r="E15" i="215" s="1"/>
  <c r="E14" i="215" s="1"/>
  <c r="E19" i="215" s="1"/>
  <c r="H10" i="215"/>
  <c r="R172" i="20" l="1"/>
  <c r="G15" i="215"/>
  <c r="H15" i="215" l="1"/>
  <c r="G14" i="215"/>
  <c r="H14" i="215" l="1"/>
  <c r="G19" i="215"/>
  <c r="H19" i="215" s="1"/>
  <c r="S277" i="20" l="1"/>
  <c r="R277" i="20"/>
  <c r="T228" i="20"/>
  <c r="H11" i="193"/>
  <c r="E12" i="193"/>
  <c r="F12" i="193"/>
  <c r="G12" i="193"/>
  <c r="E15" i="193"/>
  <c r="E20" i="193" s="1"/>
  <c r="G15" i="193"/>
  <c r="G20" i="193" s="1"/>
  <c r="J15" i="193"/>
  <c r="K15" i="193"/>
  <c r="L15" i="193"/>
  <c r="E16" i="193"/>
  <c r="F16" i="193"/>
  <c r="F15" i="193" s="1"/>
  <c r="F20" i="193" s="1"/>
  <c r="G16" i="193"/>
  <c r="H16" i="193"/>
  <c r="R229" i="20" l="1"/>
  <c r="R270" i="20"/>
  <c r="S229" i="20"/>
  <c r="S270" i="20"/>
  <c r="R228" i="20"/>
  <c r="R269" i="20"/>
  <c r="R268" i="20"/>
  <c r="S228" i="20"/>
  <c r="T268" i="20"/>
  <c r="T227" i="20"/>
  <c r="S227" i="20"/>
  <c r="H20" i="193"/>
  <c r="H15" i="193"/>
  <c r="S169" i="20"/>
  <c r="S241" i="20" s="1"/>
  <c r="S247" i="20" s="1"/>
  <c r="R271" i="20" l="1"/>
  <c r="S230" i="20"/>
  <c r="R230" i="20"/>
  <c r="T269" i="20"/>
  <c r="T271" i="20" s="1"/>
  <c r="T170" i="20"/>
  <c r="T245" i="20" s="1"/>
  <c r="T247" i="20" s="1"/>
  <c r="T230" i="20"/>
  <c r="S268" i="20"/>
  <c r="D266" i="20"/>
  <c r="F269" i="20"/>
  <c r="S170" i="20" l="1"/>
  <c r="S172" i="20" s="1"/>
  <c r="S269" i="20"/>
  <c r="S271" i="20" s="1"/>
  <c r="T172" i="20"/>
  <c r="F266" i="20"/>
  <c r="H70" i="7"/>
  <c r="H11" i="7"/>
  <c r="H10" i="7"/>
  <c r="G66" i="7"/>
  <c r="F66" i="7"/>
  <c r="G25" i="7"/>
  <c r="F25" i="7"/>
  <c r="K80" i="7" s="1"/>
  <c r="F113" i="7" l="1"/>
  <c r="H69" i="7"/>
  <c r="G81" i="7"/>
  <c r="L113" i="7" s="1"/>
  <c r="K321" i="7" l="1"/>
  <c r="H30" i="7"/>
  <c r="H28" i="7"/>
  <c r="H24" i="7"/>
  <c r="H19" i="7"/>
  <c r="H14" i="7"/>
  <c r="H13" i="7"/>
  <c r="H278" i="7" l="1"/>
  <c r="H276" i="7"/>
  <c r="H252" i="7" l="1"/>
  <c r="E147" i="7"/>
  <c r="E215" i="7" s="1"/>
  <c r="H165" i="7"/>
  <c r="L156" i="15" l="1"/>
  <c r="M156" i="15"/>
  <c r="K156" i="15"/>
  <c r="E168" i="15"/>
  <c r="G133" i="15"/>
  <c r="G141" i="15" s="1"/>
  <c r="F133" i="15"/>
  <c r="F141" i="15" s="1"/>
  <c r="H137" i="15"/>
  <c r="H139" i="15"/>
  <c r="H138" i="15"/>
  <c r="G118" i="15"/>
  <c r="G125" i="15" s="1"/>
  <c r="F118" i="15"/>
  <c r="F125" i="15" s="1"/>
  <c r="H122" i="15"/>
  <c r="G104" i="15"/>
  <c r="G111" i="15" s="1"/>
  <c r="F104" i="15"/>
  <c r="F111" i="15" s="1"/>
  <c r="H108" i="15"/>
  <c r="G91" i="15"/>
  <c r="G95" i="15" s="1"/>
  <c r="F91" i="15"/>
  <c r="F95" i="15" s="1"/>
  <c r="F167" i="15" s="1"/>
  <c r="E91" i="15"/>
  <c r="E95" i="15" s="1"/>
  <c r="G63" i="15"/>
  <c r="F63" i="15"/>
  <c r="H257" i="55" l="1"/>
  <c r="E236" i="55"/>
  <c r="E222" i="55"/>
  <c r="G206" i="55"/>
  <c r="F206" i="55"/>
  <c r="E206" i="55"/>
  <c r="E182" i="55"/>
  <c r="E191" i="55" s="1"/>
  <c r="H185" i="55"/>
  <c r="G172" i="55"/>
  <c r="E161" i="55"/>
  <c r="E170" i="55" s="1"/>
  <c r="H146" i="55"/>
  <c r="H145" i="55"/>
  <c r="G126" i="55"/>
  <c r="F126" i="55"/>
  <c r="H128" i="55"/>
  <c r="G119" i="55"/>
  <c r="F119" i="55"/>
  <c r="H118" i="55"/>
  <c r="G112" i="55"/>
  <c r="H97" i="55"/>
  <c r="H93" i="55"/>
  <c r="F172" i="55" l="1"/>
  <c r="H76" i="55"/>
  <c r="H67" i="55"/>
  <c r="H65" i="55"/>
  <c r="H59" i="55"/>
  <c r="H56" i="55"/>
  <c r="H55" i="55"/>
  <c r="H44" i="55"/>
  <c r="G32" i="55"/>
  <c r="H18" i="55"/>
  <c r="H16" i="55"/>
  <c r="G97" i="12"/>
  <c r="F97" i="12"/>
  <c r="H46" i="12"/>
  <c r="H45" i="12"/>
  <c r="H25" i="12"/>
  <c r="E576" i="13" l="1"/>
  <c r="G559" i="13"/>
  <c r="F559" i="13"/>
  <c r="F566" i="13" s="1"/>
  <c r="E559" i="13"/>
  <c r="H565" i="13"/>
  <c r="G514" i="13"/>
  <c r="F514" i="13"/>
  <c r="E482" i="13"/>
  <c r="E452" i="13"/>
  <c r="H426" i="13"/>
  <c r="H425" i="13"/>
  <c r="H354" i="13"/>
  <c r="H353" i="13"/>
  <c r="G331" i="13"/>
  <c r="G336" i="13" s="1"/>
  <c r="F331" i="13"/>
  <c r="F341" i="13" s="1"/>
  <c r="E331" i="13"/>
  <c r="E336" i="13" s="1"/>
  <c r="E341" i="13" s="1"/>
  <c r="H329" i="13"/>
  <c r="H328" i="13"/>
  <c r="H310" i="13"/>
  <c r="F519" i="13" l="1"/>
  <c r="F521" i="13" s="1"/>
  <c r="G519" i="13"/>
  <c r="G521" i="13" s="1"/>
  <c r="G341" i="13"/>
  <c r="H336" i="13"/>
  <c r="H625" i="13"/>
  <c r="G566" i="13"/>
  <c r="H562" i="13"/>
  <c r="H423" i="13"/>
  <c r="H351" i="13"/>
  <c r="H146" i="13"/>
  <c r="H145" i="13"/>
  <c r="E63" i="13"/>
  <c r="G568" i="13" l="1"/>
  <c r="F568" i="13"/>
  <c r="H143" i="13"/>
  <c r="G37" i="13"/>
  <c r="F37" i="13"/>
  <c r="H39" i="13"/>
  <c r="E19" i="13"/>
  <c r="H13" i="13"/>
  <c r="H12" i="13"/>
  <c r="E141" i="20"/>
  <c r="D141" i="20"/>
  <c r="E140" i="20"/>
  <c r="D140" i="20"/>
  <c r="C141" i="20"/>
  <c r="C140" i="20"/>
  <c r="E139" i="20"/>
  <c r="D139" i="20"/>
  <c r="C139" i="20"/>
  <c r="E82" i="190"/>
  <c r="H45" i="190"/>
  <c r="H44" i="190"/>
  <c r="H54" i="190"/>
  <c r="H53" i="190"/>
  <c r="H51" i="190"/>
  <c r="H50" i="190"/>
  <c r="H40" i="190"/>
  <c r="H38" i="190"/>
  <c r="F82" i="190"/>
  <c r="H33" i="190"/>
  <c r="H32" i="190"/>
  <c r="H30" i="190"/>
  <c r="H28" i="190"/>
  <c r="H25" i="190"/>
  <c r="H23" i="190"/>
  <c r="H22" i="190"/>
  <c r="H16" i="190"/>
  <c r="H13" i="190"/>
  <c r="H12" i="190"/>
  <c r="H11" i="190"/>
  <c r="H10" i="190"/>
  <c r="H52" i="190"/>
  <c r="H42" i="190"/>
  <c r="E80" i="190" l="1"/>
  <c r="E88" i="190" s="1"/>
  <c r="G82" i="190"/>
  <c r="C138" i="20"/>
  <c r="C137" i="20" s="1"/>
  <c r="F88" i="190"/>
  <c r="D138" i="20"/>
  <c r="D137" i="20" s="1"/>
  <c r="H37" i="190"/>
  <c r="H29" i="190"/>
  <c r="M112" i="24"/>
  <c r="L112" i="24"/>
  <c r="K112" i="24"/>
  <c r="K114" i="24" s="1"/>
  <c r="F109" i="24"/>
  <c r="H107" i="24"/>
  <c r="H99" i="24"/>
  <c r="G87" i="24"/>
  <c r="F87" i="24"/>
  <c r="E87" i="24"/>
  <c r="G37" i="24"/>
  <c r="G49" i="24" s="1"/>
  <c r="F37" i="24"/>
  <c r="F49" i="24" s="1"/>
  <c r="E37" i="24"/>
  <c r="H39" i="24"/>
  <c r="H20" i="24"/>
  <c r="H19" i="24"/>
  <c r="G11" i="23"/>
  <c r="G124" i="8"/>
  <c r="H85" i="8"/>
  <c r="H84" i="8"/>
  <c r="H59" i="8"/>
  <c r="H53" i="8"/>
  <c r="G23" i="8"/>
  <c r="G90" i="8" s="1"/>
  <c r="F23" i="8"/>
  <c r="F90" i="8" s="1"/>
  <c r="H25" i="8"/>
  <c r="E138" i="20" l="1"/>
  <c r="E137" i="20" s="1"/>
  <c r="F137" i="20" s="1"/>
  <c r="G80" i="190"/>
  <c r="G88" i="190" s="1"/>
  <c r="H88" i="190" s="1"/>
  <c r="H55" i="190"/>
  <c r="H82" i="190"/>
  <c r="L114" i="24"/>
  <c r="F122" i="8"/>
  <c r="H37" i="24"/>
  <c r="H45" i="9"/>
  <c r="H39" i="9"/>
  <c r="H38" i="9"/>
  <c r="H37" i="9"/>
  <c r="H36" i="9"/>
  <c r="F138" i="20" l="1"/>
  <c r="H80" i="190"/>
  <c r="L39" i="10"/>
  <c r="G35" i="10"/>
  <c r="G36" i="5" l="1"/>
  <c r="F36" i="5"/>
  <c r="G15" i="5"/>
  <c r="F15" i="5"/>
  <c r="G12" i="5"/>
  <c r="F12" i="5"/>
  <c r="G143" i="54"/>
  <c r="F143" i="54"/>
  <c r="E23" i="20"/>
  <c r="E147" i="54" l="1"/>
  <c r="J147" i="54" s="1"/>
  <c r="G115" i="54"/>
  <c r="F115" i="54"/>
  <c r="E115" i="54"/>
  <c r="H116" i="54"/>
  <c r="G107" i="54"/>
  <c r="F107" i="54"/>
  <c r="H91" i="54"/>
  <c r="H90" i="54"/>
  <c r="H51" i="54" l="1"/>
  <c r="H42" i="54"/>
  <c r="H38" i="54"/>
  <c r="H36" i="54"/>
  <c r="H35" i="54"/>
  <c r="H32" i="54"/>
  <c r="H25" i="54"/>
  <c r="H23" i="54"/>
  <c r="H22" i="54"/>
  <c r="H19" i="54"/>
  <c r="H15" i="54"/>
  <c r="H13" i="54"/>
  <c r="H12" i="54"/>
  <c r="H71" i="162"/>
  <c r="H73" i="162"/>
  <c r="H68" i="162"/>
  <c r="H53" i="162"/>
  <c r="H52" i="162"/>
  <c r="H36" i="162"/>
  <c r="G22" i="162" l="1"/>
  <c r="H20" i="162"/>
  <c r="H19" i="162"/>
  <c r="G57" i="52"/>
  <c r="H40" i="52"/>
  <c r="F461" i="18" l="1"/>
  <c r="I460" i="18"/>
  <c r="IV460" i="18" s="1"/>
  <c r="H459" i="18"/>
  <c r="H461" i="18" s="1"/>
  <c r="G459" i="18"/>
  <c r="G461" i="18" s="1"/>
  <c r="F454" i="18"/>
  <c r="I453" i="18"/>
  <c r="IV453" i="18" s="1"/>
  <c r="H452" i="18"/>
  <c r="H454" i="18" s="1"/>
  <c r="G452" i="18"/>
  <c r="G454" i="18" s="1"/>
  <c r="F447" i="18"/>
  <c r="I446" i="18"/>
  <c r="IV446" i="18" s="1"/>
  <c r="H445" i="18"/>
  <c r="H447" i="18" s="1"/>
  <c r="G445" i="18"/>
  <c r="G447" i="18" s="1"/>
  <c r="F431" i="18"/>
  <c r="IV430" i="18"/>
  <c r="H428" i="18"/>
  <c r="G428" i="18"/>
  <c r="G431" i="18" s="1"/>
  <c r="F423" i="18"/>
  <c r="I422" i="18"/>
  <c r="IV422" i="18" s="1"/>
  <c r="H421" i="18"/>
  <c r="H423" i="18" s="1"/>
  <c r="G421" i="18"/>
  <c r="G423" i="18" s="1"/>
  <c r="F416" i="18"/>
  <c r="I415" i="18"/>
  <c r="IV415" i="18" s="1"/>
  <c r="H412" i="18"/>
  <c r="H416" i="18" s="1"/>
  <c r="G412" i="18"/>
  <c r="G416" i="18" s="1"/>
  <c r="F407" i="18"/>
  <c r="I406" i="18"/>
  <c r="IV406" i="18" s="1"/>
  <c r="H404" i="18"/>
  <c r="G404" i="18"/>
  <c r="I403" i="18"/>
  <c r="IV403" i="18" s="1"/>
  <c r="H400" i="18"/>
  <c r="G400" i="18"/>
  <c r="F394" i="18"/>
  <c r="I393" i="18"/>
  <c r="IV393" i="18" s="1"/>
  <c r="H392" i="18"/>
  <c r="G392" i="18"/>
  <c r="I391" i="18"/>
  <c r="IV391" i="18" s="1"/>
  <c r="H390" i="18"/>
  <c r="G390" i="18"/>
  <c r="I389" i="18"/>
  <c r="IV389" i="18" s="1"/>
  <c r="H388" i="18"/>
  <c r="G388" i="18"/>
  <c r="F382" i="18"/>
  <c r="I381" i="18"/>
  <c r="H380" i="18"/>
  <c r="G380" i="18"/>
  <c r="G382" i="18" s="1"/>
  <c r="F374" i="18"/>
  <c r="I373" i="18"/>
  <c r="IV373" i="18" s="1"/>
  <c r="H372" i="18"/>
  <c r="H374" i="18" s="1"/>
  <c r="G372" i="18"/>
  <c r="G374" i="18" s="1"/>
  <c r="F366" i="18"/>
  <c r="I365" i="18"/>
  <c r="H364" i="18"/>
  <c r="H366" i="18" s="1"/>
  <c r="G364" i="18"/>
  <c r="G366" i="18" s="1"/>
  <c r="F358" i="18"/>
  <c r="I357" i="18"/>
  <c r="H356" i="18"/>
  <c r="H358" i="18" s="1"/>
  <c r="G356" i="18"/>
  <c r="G358" i="18" s="1"/>
  <c r="F350" i="18"/>
  <c r="I349" i="18"/>
  <c r="IV349" i="18" s="1"/>
  <c r="H348" i="18"/>
  <c r="H350" i="18" s="1"/>
  <c r="G348" i="18"/>
  <c r="G350" i="18" s="1"/>
  <c r="I346" i="18"/>
  <c r="F340" i="18"/>
  <c r="H338" i="18"/>
  <c r="G338" i="18"/>
  <c r="I337" i="18"/>
  <c r="IV337" i="18" s="1"/>
  <c r="H335" i="18"/>
  <c r="G335" i="18"/>
  <c r="H326" i="18"/>
  <c r="G326" i="18"/>
  <c r="F318" i="18"/>
  <c r="I317" i="18"/>
  <c r="I316" i="18"/>
  <c r="I315" i="18"/>
  <c r="I314" i="18"/>
  <c r="I313" i="18"/>
  <c r="H312" i="18"/>
  <c r="G312" i="18"/>
  <c r="I311" i="18"/>
  <c r="IV311" i="18" s="1"/>
  <c r="H310" i="18"/>
  <c r="G310" i="18"/>
  <c r="F305" i="18"/>
  <c r="I304" i="18"/>
  <c r="IV304" i="18" s="1"/>
  <c r="H303" i="18"/>
  <c r="H305" i="18" s="1"/>
  <c r="G303" i="18"/>
  <c r="G305" i="18" s="1"/>
  <c r="F297" i="18"/>
  <c r="I296" i="18"/>
  <c r="H297" i="18"/>
  <c r="G297" i="18"/>
  <c r="F289" i="18"/>
  <c r="I288" i="18"/>
  <c r="H289" i="18"/>
  <c r="G289" i="18"/>
  <c r="F264" i="18"/>
  <c r="I263" i="18"/>
  <c r="H262" i="18"/>
  <c r="G262" i="18"/>
  <c r="I261" i="18"/>
  <c r="H260" i="18"/>
  <c r="G260" i="18"/>
  <c r="F255" i="18"/>
  <c r="I254" i="18"/>
  <c r="H253" i="18"/>
  <c r="H255" i="18" s="1"/>
  <c r="G253" i="18"/>
  <c r="G255" i="18" s="1"/>
  <c r="I252" i="18"/>
  <c r="I251" i="18"/>
  <c r="I247" i="18"/>
  <c r="I242" i="18"/>
  <c r="F235" i="18"/>
  <c r="I234" i="18"/>
  <c r="I233" i="18"/>
  <c r="I232" i="18"/>
  <c r="I231" i="18"/>
  <c r="I230" i="18"/>
  <c r="I229" i="18"/>
  <c r="I227" i="18"/>
  <c r="I225" i="18"/>
  <c r="I224" i="18"/>
  <c r="H223" i="18"/>
  <c r="G223" i="18"/>
  <c r="G235" i="18" s="1"/>
  <c r="F217" i="18"/>
  <c r="I216" i="18"/>
  <c r="H215" i="18"/>
  <c r="G215" i="18"/>
  <c r="I214" i="18"/>
  <c r="H213" i="18"/>
  <c r="G213" i="18"/>
  <c r="I212" i="18"/>
  <c r="H211" i="18"/>
  <c r="G211" i="18"/>
  <c r="I210" i="18"/>
  <c r="I209" i="18"/>
  <c r="I205" i="18"/>
  <c r="F199" i="18"/>
  <c r="I198" i="18"/>
  <c r="H197" i="18"/>
  <c r="G197" i="18"/>
  <c r="I194" i="18"/>
  <c r="I193" i="18"/>
  <c r="H192" i="18"/>
  <c r="H199" i="18" s="1"/>
  <c r="G192" i="18"/>
  <c r="G199" i="18" s="1"/>
  <c r="F186" i="18"/>
  <c r="H184" i="18"/>
  <c r="G184" i="18"/>
  <c r="I183" i="18"/>
  <c r="H182" i="18"/>
  <c r="G182" i="18"/>
  <c r="I181" i="18"/>
  <c r="H180" i="18"/>
  <c r="G180" i="18"/>
  <c r="I179" i="18"/>
  <c r="I176" i="18"/>
  <c r="H175" i="18"/>
  <c r="G175" i="18"/>
  <c r="F170" i="18"/>
  <c r="I169" i="18"/>
  <c r="I167" i="18"/>
  <c r="I165" i="18"/>
  <c r="I164" i="18"/>
  <c r="H163" i="18"/>
  <c r="I162" i="18"/>
  <c r="I161" i="18"/>
  <c r="H160" i="18"/>
  <c r="I159" i="18"/>
  <c r="H158" i="18"/>
  <c r="G158" i="18"/>
  <c r="G170" i="18" s="1"/>
  <c r="F152" i="18"/>
  <c r="I151" i="18"/>
  <c r="I149" i="18"/>
  <c r="H148" i="18"/>
  <c r="G148" i="18"/>
  <c r="I147" i="18"/>
  <c r="I146" i="18"/>
  <c r="H145" i="18"/>
  <c r="G145" i="18"/>
  <c r="I143" i="18"/>
  <c r="I139" i="18"/>
  <c r="I138" i="18"/>
  <c r="H137" i="18"/>
  <c r="G137" i="18"/>
  <c r="F131" i="18"/>
  <c r="I128" i="18"/>
  <c r="I127" i="18"/>
  <c r="I125" i="18"/>
  <c r="I123" i="18"/>
  <c r="I122" i="18"/>
  <c r="F114" i="18"/>
  <c r="I113" i="18"/>
  <c r="I112" i="18"/>
  <c r="I111" i="18"/>
  <c r="I110" i="18"/>
  <c r="G114" i="18"/>
  <c r="I102" i="18"/>
  <c r="H101" i="18"/>
  <c r="G101" i="18"/>
  <c r="I100" i="18"/>
  <c r="I99" i="18"/>
  <c r="I98" i="18"/>
  <c r="H97" i="18"/>
  <c r="G97" i="18"/>
  <c r="I96" i="18"/>
  <c r="I95" i="18"/>
  <c r="H94" i="18"/>
  <c r="G94" i="18"/>
  <c r="I93" i="18"/>
  <c r="I92" i="18"/>
  <c r="H91" i="18"/>
  <c r="G91" i="18"/>
  <c r="F85" i="18"/>
  <c r="I84" i="18"/>
  <c r="I83" i="18"/>
  <c r="I81" i="18"/>
  <c r="H85" i="18"/>
  <c r="F74" i="18"/>
  <c r="I73" i="18"/>
  <c r="I72" i="18"/>
  <c r="I71" i="18"/>
  <c r="H70" i="18"/>
  <c r="H74" i="18" s="1"/>
  <c r="G70" i="18"/>
  <c r="G74" i="18" s="1"/>
  <c r="F66" i="18"/>
  <c r="I65" i="18"/>
  <c r="I64" i="18"/>
  <c r="I62" i="18"/>
  <c r="H66" i="18"/>
  <c r="G66" i="18"/>
  <c r="I54" i="18"/>
  <c r="I53" i="18"/>
  <c r="I52" i="18"/>
  <c r="H51" i="18"/>
  <c r="H55" i="18" s="1"/>
  <c r="G51" i="18"/>
  <c r="G55" i="18" s="1"/>
  <c r="F45" i="18"/>
  <c r="I44" i="18"/>
  <c r="H43" i="18"/>
  <c r="G43" i="18"/>
  <c r="I42" i="18"/>
  <c r="I41" i="18"/>
  <c r="H40" i="18"/>
  <c r="G40" i="18"/>
  <c r="G45" i="18" s="1"/>
  <c r="I33" i="18"/>
  <c r="H32" i="18"/>
  <c r="G32" i="18"/>
  <c r="I31" i="18"/>
  <c r="I30" i="18"/>
  <c r="H29" i="18"/>
  <c r="H34" i="18" s="1"/>
  <c r="G29" i="18"/>
  <c r="F23" i="18"/>
  <c r="I22" i="18"/>
  <c r="H21" i="18"/>
  <c r="G21" i="18"/>
  <c r="I20" i="18"/>
  <c r="I19" i="18"/>
  <c r="H18" i="18"/>
  <c r="H23" i="18" s="1"/>
  <c r="G18" i="18"/>
  <c r="G23" i="18" s="1"/>
  <c r="F12" i="18"/>
  <c r="I11" i="18"/>
  <c r="H10" i="18"/>
  <c r="H12" i="18" s="1"/>
  <c r="G10" i="18"/>
  <c r="G12" i="18" s="1"/>
  <c r="T2870" i="17"/>
  <c r="I2850" i="17"/>
  <c r="I2849" i="17"/>
  <c r="I2842" i="17"/>
  <c r="I2841" i="17"/>
  <c r="I2840" i="17"/>
  <c r="I2839" i="17"/>
  <c r="I2838" i="17"/>
  <c r="I2834" i="17"/>
  <c r="I2833" i="17"/>
  <c r="I2832" i="17"/>
  <c r="H2843" i="17"/>
  <c r="S2843" i="17"/>
  <c r="F2831" i="17"/>
  <c r="F2843" i="17" s="1"/>
  <c r="R2843" i="17" s="1"/>
  <c r="I2825" i="17"/>
  <c r="I2823" i="17"/>
  <c r="I2821" i="17"/>
  <c r="I2820" i="17"/>
  <c r="H2826" i="17"/>
  <c r="F2826" i="17"/>
  <c r="R2826" i="17" s="1"/>
  <c r="H2812" i="17"/>
  <c r="T2812" i="17" s="1"/>
  <c r="G2812" i="17"/>
  <c r="S2812" i="17" s="1"/>
  <c r="F2812" i="17"/>
  <c r="R2812" i="17" s="1"/>
  <c r="I2811" i="17"/>
  <c r="I2807" i="17"/>
  <c r="I2806" i="17"/>
  <c r="I2799" i="17"/>
  <c r="I2795" i="17"/>
  <c r="I2794" i="17"/>
  <c r="I2793" i="17"/>
  <c r="H2792" i="17"/>
  <c r="H2800" i="17" s="1"/>
  <c r="G2792" i="17"/>
  <c r="G2800" i="17" s="1"/>
  <c r="S2800" i="17" s="1"/>
  <c r="F2792" i="17"/>
  <c r="F2800" i="17" s="1"/>
  <c r="R2800" i="17" s="1"/>
  <c r="I2783" i="17"/>
  <c r="I2779" i="17"/>
  <c r="I2778" i="17"/>
  <c r="I2777" i="17"/>
  <c r="H2784" i="17"/>
  <c r="G2784" i="17"/>
  <c r="F2776" i="17"/>
  <c r="F2784" i="17" s="1"/>
  <c r="R2784" i="17" s="1"/>
  <c r="I2766" i="17"/>
  <c r="I2762" i="17"/>
  <c r="I2761" i="17"/>
  <c r="I2760" i="17"/>
  <c r="H2759" i="17"/>
  <c r="G2759" i="17"/>
  <c r="F2759" i="17"/>
  <c r="F2770" i="17" s="1"/>
  <c r="R2770" i="17" s="1"/>
  <c r="I2753" i="17"/>
  <c r="I2749" i="17"/>
  <c r="I2748" i="17"/>
  <c r="I2747" i="17"/>
  <c r="H2746" i="17"/>
  <c r="H2754" i="17" s="1"/>
  <c r="T2754" i="17" s="1"/>
  <c r="G2746" i="17"/>
  <c r="G2754" i="17" s="1"/>
  <c r="S2754" i="17" s="1"/>
  <c r="F2746" i="17"/>
  <c r="F2754" i="17" s="1"/>
  <c r="R2754" i="17" s="1"/>
  <c r="I2735" i="17"/>
  <c r="I2734" i="17"/>
  <c r="I2733" i="17"/>
  <c r="H2740" i="17"/>
  <c r="G2740" i="17"/>
  <c r="S2740" i="17" s="1"/>
  <c r="F2740" i="17"/>
  <c r="R2740" i="17" s="1"/>
  <c r="I2725" i="17"/>
  <c r="I2721" i="17"/>
  <c r="I2720" i="17"/>
  <c r="I2719" i="17"/>
  <c r="H2718" i="17"/>
  <c r="H2726" i="17" s="1"/>
  <c r="G2718" i="17"/>
  <c r="G2726" i="17" s="1"/>
  <c r="S2726" i="17" s="1"/>
  <c r="F2718" i="17"/>
  <c r="F2726" i="17" s="1"/>
  <c r="R2726" i="17" s="1"/>
  <c r="I2711" i="17"/>
  <c r="I2707" i="17"/>
  <c r="I2706" i="17"/>
  <c r="I2704" i="17"/>
  <c r="H2712" i="17"/>
  <c r="G2712" i="17"/>
  <c r="S2712" i="17" s="1"/>
  <c r="F2712" i="17"/>
  <c r="R2712" i="17" s="1"/>
  <c r="I2701" i="17"/>
  <c r="I2694" i="17"/>
  <c r="I2690" i="17"/>
  <c r="I2689" i="17"/>
  <c r="I2688" i="17"/>
  <c r="H2687" i="17"/>
  <c r="H2695" i="17" s="1"/>
  <c r="G2687" i="17"/>
  <c r="G2695" i="17" s="1"/>
  <c r="S2695" i="17" s="1"/>
  <c r="F2687" i="17"/>
  <c r="F2695" i="17" s="1"/>
  <c r="R2695" i="17" s="1"/>
  <c r="I2680" i="17"/>
  <c r="I2675" i="17"/>
  <c r="I2674" i="17"/>
  <c r="I2673" i="17"/>
  <c r="I2672" i="17"/>
  <c r="F2681" i="17"/>
  <c r="R2681" i="17" s="1"/>
  <c r="I2663" i="17"/>
  <c r="I2659" i="17"/>
  <c r="I2658" i="17"/>
  <c r="I2657" i="17"/>
  <c r="H2656" i="17"/>
  <c r="H2664" i="17" s="1"/>
  <c r="S2664" i="17"/>
  <c r="F2656" i="17"/>
  <c r="I2648" i="17"/>
  <c r="I2644" i="17"/>
  <c r="I2643" i="17"/>
  <c r="I2642" i="17"/>
  <c r="H2641" i="17"/>
  <c r="H2649" i="17" s="1"/>
  <c r="G2641" i="17"/>
  <c r="G2649" i="17" s="1"/>
  <c r="F2641" i="17"/>
  <c r="F2649" i="17" s="1"/>
  <c r="R2649" i="17" s="1"/>
  <c r="I2621" i="17"/>
  <c r="I2620" i="17"/>
  <c r="I2619" i="17"/>
  <c r="I2618" i="17"/>
  <c r="I2617" i="17"/>
  <c r="H2631" i="17"/>
  <c r="S2631" i="17"/>
  <c r="F2631" i="17"/>
  <c r="R2631" i="17" s="1"/>
  <c r="I2608" i="17"/>
  <c r="I2604" i="17"/>
  <c r="I2603" i="17"/>
  <c r="I2602" i="17"/>
  <c r="H2601" i="17"/>
  <c r="H2611" i="17" s="1"/>
  <c r="G2601" i="17"/>
  <c r="F2601" i="17"/>
  <c r="F2611" i="17" s="1"/>
  <c r="R2611" i="17" s="1"/>
  <c r="I2594" i="17"/>
  <c r="I2590" i="17"/>
  <c r="I2589" i="17"/>
  <c r="I2588" i="17"/>
  <c r="H2587" i="17"/>
  <c r="H2595" i="17" s="1"/>
  <c r="T2595" i="17" s="1"/>
  <c r="G2587" i="17"/>
  <c r="F2587" i="17"/>
  <c r="F2595" i="17" s="1"/>
  <c r="R2595" i="17" s="1"/>
  <c r="I2579" i="17"/>
  <c r="I2575" i="17"/>
  <c r="I2574" i="17"/>
  <c r="I2573" i="17"/>
  <c r="H2572" i="17"/>
  <c r="H2580" i="17" s="1"/>
  <c r="G2572" i="17"/>
  <c r="G2580" i="17" s="1"/>
  <c r="S2580" i="17" s="1"/>
  <c r="F2572" i="17"/>
  <c r="F2580" i="17" s="1"/>
  <c r="R2580" i="17" s="1"/>
  <c r="I2564" i="17"/>
  <c r="I2560" i="17"/>
  <c r="I2559" i="17"/>
  <c r="I2558" i="17"/>
  <c r="H2565" i="17"/>
  <c r="G2565" i="17"/>
  <c r="S2565" i="17" s="1"/>
  <c r="F2565" i="17"/>
  <c r="R2565" i="17" s="1"/>
  <c r="H2551" i="17"/>
  <c r="T2551" i="17" s="1"/>
  <c r="G2551" i="17"/>
  <c r="S2551" i="17" s="1"/>
  <c r="I2550" i="17"/>
  <c r="I2545" i="17"/>
  <c r="I2544" i="17"/>
  <c r="F2551" i="17"/>
  <c r="R2551" i="17" s="1"/>
  <c r="I2538" i="17"/>
  <c r="I2534" i="17"/>
  <c r="I2533" i="17"/>
  <c r="I2532" i="17"/>
  <c r="H2531" i="17"/>
  <c r="H2539" i="17" s="1"/>
  <c r="G2531" i="17"/>
  <c r="G2539" i="17" s="1"/>
  <c r="S2539" i="17" s="1"/>
  <c r="F2531" i="17"/>
  <c r="F2539" i="17" s="1"/>
  <c r="R2539" i="17" s="1"/>
  <c r="I2524" i="17"/>
  <c r="I2520" i="17"/>
  <c r="I2519" i="17"/>
  <c r="I2518" i="17"/>
  <c r="H2517" i="17"/>
  <c r="H2525" i="17" s="1"/>
  <c r="G2517" i="17"/>
  <c r="F2517" i="17"/>
  <c r="F2525" i="17" s="1"/>
  <c r="R2525" i="17" s="1"/>
  <c r="H2511" i="17"/>
  <c r="T2511" i="17" s="1"/>
  <c r="G2511" i="17"/>
  <c r="S2511" i="17" s="1"/>
  <c r="I2504" i="17"/>
  <c r="F2511" i="17"/>
  <c r="R2511" i="17" s="1"/>
  <c r="I2497" i="17"/>
  <c r="I2491" i="17"/>
  <c r="I2490" i="17"/>
  <c r="T2498" i="17"/>
  <c r="F2498" i="17"/>
  <c r="R2498" i="17" s="1"/>
  <c r="T2483" i="17"/>
  <c r="S2483" i="17"/>
  <c r="I2480" i="17"/>
  <c r="I2476" i="17"/>
  <c r="I2475" i="17"/>
  <c r="I2474" i="17"/>
  <c r="F2483" i="17"/>
  <c r="R2483" i="17" s="1"/>
  <c r="I2468" i="17"/>
  <c r="I2464" i="17"/>
  <c r="I2463" i="17"/>
  <c r="I2462" i="17"/>
  <c r="H2461" i="17"/>
  <c r="H2469" i="17" s="1"/>
  <c r="G2461" i="17"/>
  <c r="G2469" i="17" s="1"/>
  <c r="S2469" i="17" s="1"/>
  <c r="F2469" i="17"/>
  <c r="R2469" i="17" s="1"/>
  <c r="I2451" i="17"/>
  <c r="I2447" i="17"/>
  <c r="I2446" i="17"/>
  <c r="I2445" i="17"/>
  <c r="H2444" i="17"/>
  <c r="H2454" i="17" s="1"/>
  <c r="G2444" i="17"/>
  <c r="F2444" i="17"/>
  <c r="F2454" i="17" s="1"/>
  <c r="R2454" i="17" s="1"/>
  <c r="H2438" i="17"/>
  <c r="T2438" i="17" s="1"/>
  <c r="G2438" i="17"/>
  <c r="S2438" i="17" s="1"/>
  <c r="I2437" i="17"/>
  <c r="I2433" i="17"/>
  <c r="I2432" i="17"/>
  <c r="I2431" i="17"/>
  <c r="F2438" i="17"/>
  <c r="R2438" i="17" s="1"/>
  <c r="I2424" i="17"/>
  <c r="I2419" i="17"/>
  <c r="I2418" i="17"/>
  <c r="H2425" i="17"/>
  <c r="G2425" i="17"/>
  <c r="S2425" i="17" s="1"/>
  <c r="F2425" i="17"/>
  <c r="R2425" i="17" s="1"/>
  <c r="I2408" i="17"/>
  <c r="I2404" i="17"/>
  <c r="I2403" i="17"/>
  <c r="S2411" i="17"/>
  <c r="F2402" i="17"/>
  <c r="F2411" i="17" s="1"/>
  <c r="R2411" i="17" s="1"/>
  <c r="I2397" i="17"/>
  <c r="I2393" i="17"/>
  <c r="I2392" i="17"/>
  <c r="H2398" i="17"/>
  <c r="T2398" i="17" s="1"/>
  <c r="F2398" i="17"/>
  <c r="R2398" i="17" s="1"/>
  <c r="I2383" i="17"/>
  <c r="I2382" i="17"/>
  <c r="H2378" i="17"/>
  <c r="G2378" i="17"/>
  <c r="F2378" i="17"/>
  <c r="I2377" i="17"/>
  <c r="I2376" i="17"/>
  <c r="I2375" i="17"/>
  <c r="I2374" i="17"/>
  <c r="H2373" i="17"/>
  <c r="G2373" i="17"/>
  <c r="F2373" i="17"/>
  <c r="I2372" i="17"/>
  <c r="I2370" i="17"/>
  <c r="I2369" i="17"/>
  <c r="I2368" i="17"/>
  <c r="I2367" i="17"/>
  <c r="I2357" i="17"/>
  <c r="I2356" i="17"/>
  <c r="I2355" i="17"/>
  <c r="I2354" i="17"/>
  <c r="I2352" i="17"/>
  <c r="I2346" i="17"/>
  <c r="H2345" i="17"/>
  <c r="G2345" i="17"/>
  <c r="F2345" i="17"/>
  <c r="I2335" i="17"/>
  <c r="F2334" i="17"/>
  <c r="I2332" i="17"/>
  <c r="I2319" i="17"/>
  <c r="I2318" i="17"/>
  <c r="I2317" i="17"/>
  <c r="I2316" i="17"/>
  <c r="I2315" i="17"/>
  <c r="I2314" i="17"/>
  <c r="I2313" i="17"/>
  <c r="I2312" i="17"/>
  <c r="I2311" i="17"/>
  <c r="I2310" i="17"/>
  <c r="H2309" i="17"/>
  <c r="G2309" i="17"/>
  <c r="F2309" i="17"/>
  <c r="F2320" i="17" s="1"/>
  <c r="R2320" i="17" s="1"/>
  <c r="I2308" i="17"/>
  <c r="I2302" i="17"/>
  <c r="I2301" i="17"/>
  <c r="I2300" i="17"/>
  <c r="I2288" i="17"/>
  <c r="I2287" i="17"/>
  <c r="I2286" i="17"/>
  <c r="I2285" i="17"/>
  <c r="I2284" i="17"/>
  <c r="I2283" i="17"/>
  <c r="I2282" i="17"/>
  <c r="I2281" i="17"/>
  <c r="I2280" i="17"/>
  <c r="I2279" i="17"/>
  <c r="I2278" i="17"/>
  <c r="I2277" i="17"/>
  <c r="I2275" i="17"/>
  <c r="I2273" i="17"/>
  <c r="I2272" i="17"/>
  <c r="I2271" i="17"/>
  <c r="F2270" i="17"/>
  <c r="I2269" i="17"/>
  <c r="I2261" i="17"/>
  <c r="I2252" i="17"/>
  <c r="I2247" i="17"/>
  <c r="I2246" i="17"/>
  <c r="I2245" i="17"/>
  <c r="H2244" i="17"/>
  <c r="H2255" i="17" s="1"/>
  <c r="G2244" i="17"/>
  <c r="G2255" i="17" s="1"/>
  <c r="F2244" i="17"/>
  <c r="F2255" i="17" s="1"/>
  <c r="R2255" i="17" s="1"/>
  <c r="I2238" i="17"/>
  <c r="I2237" i="17"/>
  <c r="I2236" i="17"/>
  <c r="I2235" i="17"/>
  <c r="H2234" i="17"/>
  <c r="G2234" i="17"/>
  <c r="F2234" i="17"/>
  <c r="I2233" i="17"/>
  <c r="I2232" i="17"/>
  <c r="I2231" i="17"/>
  <c r="I2228" i="17"/>
  <c r="I2227" i="17"/>
  <c r="I2225" i="17"/>
  <c r="I2224" i="17"/>
  <c r="I2223" i="17"/>
  <c r="I2222" i="17"/>
  <c r="I2212" i="17"/>
  <c r="I2211" i="17"/>
  <c r="I2210" i="17"/>
  <c r="I2209" i="17"/>
  <c r="I2208" i="17"/>
  <c r="I2207" i="17"/>
  <c r="H2206" i="17"/>
  <c r="G2206" i="17"/>
  <c r="F2206" i="17"/>
  <c r="I2204" i="17"/>
  <c r="I2203" i="17"/>
  <c r="I2202" i="17"/>
  <c r="H2201" i="17"/>
  <c r="G2201" i="17"/>
  <c r="F2201" i="17"/>
  <c r="I2200" i="17"/>
  <c r="I2199" i="17"/>
  <c r="I2198" i="17"/>
  <c r="I2193" i="17"/>
  <c r="I2192" i="17"/>
  <c r="I2190" i="17"/>
  <c r="F2189" i="17"/>
  <c r="I2179" i="17"/>
  <c r="I2178" i="17"/>
  <c r="I2177" i="17"/>
  <c r="I2176" i="17"/>
  <c r="I2175" i="17"/>
  <c r="I2174" i="17"/>
  <c r="I2173" i="17"/>
  <c r="I2172" i="17"/>
  <c r="H2171" i="17"/>
  <c r="G2171" i="17"/>
  <c r="F2171" i="17"/>
  <c r="I2170" i="17"/>
  <c r="I2164" i="17"/>
  <c r="I2163" i="17"/>
  <c r="I2162" i="17"/>
  <c r="I2152" i="17"/>
  <c r="I2151" i="17"/>
  <c r="I2150" i="17"/>
  <c r="I2149" i="17"/>
  <c r="I2148" i="17"/>
  <c r="I2142" i="17"/>
  <c r="I2141" i="17"/>
  <c r="I2140" i="17"/>
  <c r="H2139" i="17"/>
  <c r="G2139" i="17"/>
  <c r="G2153" i="17" s="1"/>
  <c r="F2139" i="17"/>
  <c r="F2153" i="17" s="1"/>
  <c r="R2153" i="17" s="1"/>
  <c r="I2138" i="17"/>
  <c r="I2137" i="17"/>
  <c r="I2128" i="17"/>
  <c r="I2127" i="17"/>
  <c r="I2126" i="17"/>
  <c r="I2125" i="17"/>
  <c r="I2124" i="17"/>
  <c r="I2123" i="17"/>
  <c r="I2120" i="17"/>
  <c r="H2117" i="17"/>
  <c r="H2129" i="17" s="1"/>
  <c r="G2117" i="17"/>
  <c r="G2129" i="17" s="1"/>
  <c r="F2117" i="17"/>
  <c r="F2129" i="17" s="1"/>
  <c r="I2113" i="17"/>
  <c r="I2112" i="17"/>
  <c r="I2111" i="17"/>
  <c r="I2105" i="17"/>
  <c r="I2103" i="17"/>
  <c r="I2102" i="17"/>
  <c r="I2100" i="17"/>
  <c r="I2099" i="17"/>
  <c r="I2091" i="17"/>
  <c r="I2090" i="17"/>
  <c r="I2089" i="17"/>
  <c r="I2088" i="17"/>
  <c r="H2087" i="17"/>
  <c r="G2087" i="17"/>
  <c r="F2087" i="17"/>
  <c r="I2086" i="17"/>
  <c r="I2085" i="17"/>
  <c r="I2084" i="17"/>
  <c r="I2083" i="17"/>
  <c r="H2082" i="17"/>
  <c r="G2082" i="17"/>
  <c r="F2082" i="17"/>
  <c r="I2081" i="17"/>
  <c r="I2075" i="17"/>
  <c r="I2073" i="17"/>
  <c r="I2072" i="17"/>
  <c r="I2066" i="17"/>
  <c r="I2058" i="17"/>
  <c r="I2057" i="17"/>
  <c r="I2056" i="17"/>
  <c r="I2055" i="17"/>
  <c r="I2053" i="17"/>
  <c r="I2051" i="17"/>
  <c r="I2041" i="17"/>
  <c r="I2040" i="17"/>
  <c r="I2039" i="17"/>
  <c r="I2037" i="17"/>
  <c r="I2036" i="17"/>
  <c r="I2028" i="17"/>
  <c r="I2027" i="17"/>
  <c r="I2026" i="17"/>
  <c r="I2025" i="17"/>
  <c r="I2024" i="17"/>
  <c r="H2029" i="17"/>
  <c r="K2029" i="17"/>
  <c r="I2017" i="17"/>
  <c r="I2016" i="17"/>
  <c r="R2029" i="17"/>
  <c r="I2014" i="17"/>
  <c r="I2013" i="17"/>
  <c r="I2005" i="17"/>
  <c r="I2004" i="17"/>
  <c r="I2003" i="17"/>
  <c r="I2002" i="17"/>
  <c r="I2001" i="17"/>
  <c r="I2000" i="17"/>
  <c r="I1999" i="17"/>
  <c r="I1998" i="17"/>
  <c r="I1997" i="17"/>
  <c r="I1996" i="17"/>
  <c r="F2006" i="17"/>
  <c r="I1995" i="17"/>
  <c r="I1994" i="17"/>
  <c r="I1993" i="17"/>
  <c r="I1992" i="17"/>
  <c r="I1991" i="17"/>
  <c r="I1990" i="17"/>
  <c r="I1989" i="17"/>
  <c r="I1980" i="17"/>
  <c r="I1979" i="17"/>
  <c r="I1978" i="17"/>
  <c r="I1976" i="17"/>
  <c r="I1975" i="17"/>
  <c r="I1963" i="17"/>
  <c r="I1962" i="17"/>
  <c r="I1961" i="17"/>
  <c r="I1960" i="17"/>
  <c r="I1959" i="17"/>
  <c r="I1958" i="17"/>
  <c r="I1957" i="17"/>
  <c r="I1956" i="17"/>
  <c r="I1955" i="17"/>
  <c r="I1954" i="17"/>
  <c r="I1953" i="17"/>
  <c r="I1944" i="17"/>
  <c r="I1943" i="17"/>
  <c r="F1964" i="17"/>
  <c r="R1964" i="17" s="1"/>
  <c r="I1934" i="17"/>
  <c r="I1933" i="17"/>
  <c r="I1932" i="17"/>
  <c r="I1930" i="17"/>
  <c r="I1929" i="17"/>
  <c r="I1928" i="17"/>
  <c r="I1922" i="17"/>
  <c r="I1920" i="17"/>
  <c r="I1919" i="17"/>
  <c r="F1918" i="17"/>
  <c r="I1917" i="17"/>
  <c r="I1916" i="17"/>
  <c r="I1907" i="17"/>
  <c r="I1906" i="17"/>
  <c r="I1905" i="17"/>
  <c r="I1904" i="17"/>
  <c r="H1903" i="17"/>
  <c r="G1903" i="17"/>
  <c r="F1903" i="17"/>
  <c r="I1899" i="17"/>
  <c r="I1894" i="17"/>
  <c r="I1893" i="17"/>
  <c r="I1892" i="17"/>
  <c r="I1890" i="17"/>
  <c r="I1889" i="17"/>
  <c r="I1881" i="17"/>
  <c r="I1879" i="17"/>
  <c r="I1878" i="17"/>
  <c r="I1877" i="17"/>
  <c r="I1876" i="17"/>
  <c r="H1875" i="17"/>
  <c r="G1875" i="17"/>
  <c r="F1875" i="17"/>
  <c r="I1865" i="17"/>
  <c r="I1854" i="17"/>
  <c r="I1853" i="17"/>
  <c r="I1850" i="17"/>
  <c r="I1849" i="17"/>
  <c r="I1848" i="17"/>
  <c r="I1846" i="17"/>
  <c r="I1845" i="17"/>
  <c r="I1844" i="17"/>
  <c r="I1838" i="17"/>
  <c r="I1837" i="17"/>
  <c r="I1836" i="17"/>
  <c r="I1835" i="17"/>
  <c r="H1834" i="17"/>
  <c r="H1857" i="17" s="1"/>
  <c r="F1834" i="17"/>
  <c r="I1833" i="17"/>
  <c r="I1832" i="17"/>
  <c r="I1822" i="17"/>
  <c r="I1821" i="17"/>
  <c r="I1820" i="17"/>
  <c r="I1819" i="17"/>
  <c r="I1818" i="17"/>
  <c r="I1817" i="17"/>
  <c r="I1816" i="17"/>
  <c r="I1815" i="17"/>
  <c r="I1814" i="17"/>
  <c r="I1813" i="17"/>
  <c r="I1812" i="17"/>
  <c r="I1811" i="17"/>
  <c r="I1810" i="17"/>
  <c r="I1801" i="17"/>
  <c r="I1800" i="17"/>
  <c r="I1799" i="17"/>
  <c r="I1798" i="17"/>
  <c r="H1797" i="17"/>
  <c r="H1827" i="17" s="1"/>
  <c r="G1797" i="17"/>
  <c r="G1827" i="17" s="1"/>
  <c r="F1797" i="17"/>
  <c r="I1796" i="17"/>
  <c r="I1795" i="17"/>
  <c r="I1794" i="17"/>
  <c r="I1793" i="17"/>
  <c r="H1782" i="17"/>
  <c r="F1782" i="17"/>
  <c r="I1780" i="17"/>
  <c r="O1763" i="17"/>
  <c r="N1763" i="17"/>
  <c r="M1763" i="17"/>
  <c r="L1763" i="17"/>
  <c r="K1763" i="17"/>
  <c r="J1763" i="17"/>
  <c r="I1761" i="17"/>
  <c r="I1755" i="17"/>
  <c r="I1754" i="17"/>
  <c r="I1753" i="17"/>
  <c r="I1752" i="17"/>
  <c r="I1751" i="17"/>
  <c r="I1750" i="17"/>
  <c r="I1748" i="17"/>
  <c r="I1746" i="17"/>
  <c r="I1740" i="17"/>
  <c r="I1739" i="17"/>
  <c r="I1728" i="17"/>
  <c r="I1723" i="17"/>
  <c r="I1722" i="17"/>
  <c r="F1731" i="17"/>
  <c r="R1731" i="17" s="1"/>
  <c r="I1714" i="17"/>
  <c r="I1708" i="17"/>
  <c r="I1707" i="17"/>
  <c r="F1715" i="17"/>
  <c r="R1715" i="17" s="1"/>
  <c r="I1697" i="17"/>
  <c r="I1696" i="17"/>
  <c r="I1695" i="17"/>
  <c r="I1694" i="17"/>
  <c r="I1693" i="17"/>
  <c r="I1692" i="17"/>
  <c r="I1691" i="17"/>
  <c r="I1690" i="17"/>
  <c r="I1686" i="17"/>
  <c r="I1685" i="17"/>
  <c r="I1684" i="17"/>
  <c r="I1683" i="17"/>
  <c r="H1682" i="17"/>
  <c r="H1700" i="17" s="1"/>
  <c r="G1682" i="17"/>
  <c r="G1700" i="17" s="1"/>
  <c r="F1682" i="17"/>
  <c r="I1681" i="17"/>
  <c r="I1675" i="17"/>
  <c r="I1674" i="17"/>
  <c r="I1666" i="17"/>
  <c r="I1660" i="17"/>
  <c r="I1659" i="17"/>
  <c r="F1667" i="17"/>
  <c r="R1667" i="17" s="1"/>
  <c r="I1651" i="17"/>
  <c r="I1650" i="17"/>
  <c r="I1649" i="17"/>
  <c r="I1648" i="17"/>
  <c r="H1647" i="17"/>
  <c r="G1647" i="17"/>
  <c r="F1647" i="17"/>
  <c r="I1646" i="17"/>
  <c r="I1645" i="17"/>
  <c r="I1644" i="17"/>
  <c r="I1643" i="17"/>
  <c r="H1642" i="17"/>
  <c r="G1642" i="17"/>
  <c r="F1642" i="17"/>
  <c r="I1641" i="17"/>
  <c r="I1636" i="17"/>
  <c r="I1634" i="17"/>
  <c r="I1627" i="17"/>
  <c r="I1621" i="17"/>
  <c r="I1620" i="17"/>
  <c r="R1628" i="17"/>
  <c r="H1610" i="17"/>
  <c r="G1610" i="17"/>
  <c r="I1600" i="17"/>
  <c r="I1599" i="17"/>
  <c r="F1598" i="17"/>
  <c r="F1610" i="17" s="1"/>
  <c r="R1610" i="17" s="1"/>
  <c r="I1590" i="17"/>
  <c r="I1589" i="17"/>
  <c r="I1588" i="17"/>
  <c r="I1587" i="17"/>
  <c r="I1586" i="17"/>
  <c r="I1585" i="17"/>
  <c r="G1591" i="17"/>
  <c r="I1578" i="17"/>
  <c r="I1577" i="17"/>
  <c r="F1591" i="17"/>
  <c r="R1591" i="17" s="1"/>
  <c r="I1568" i="17"/>
  <c r="I1567" i="17"/>
  <c r="I1566" i="17"/>
  <c r="I1565" i="17"/>
  <c r="I1564" i="17"/>
  <c r="I1563" i="17"/>
  <c r="F1563" i="17"/>
  <c r="I1562" i="17"/>
  <c r="I1561" i="17"/>
  <c r="I1560" i="17"/>
  <c r="I1559" i="17"/>
  <c r="I1558" i="17"/>
  <c r="I1557" i="17"/>
  <c r="I1556" i="17"/>
  <c r="I1555" i="17"/>
  <c r="I1554" i="17"/>
  <c r="H1553" i="17"/>
  <c r="H1569" i="17" s="1"/>
  <c r="G1553" i="17"/>
  <c r="G1569" i="17" s="1"/>
  <c r="I1552" i="17"/>
  <c r="I1551" i="17"/>
  <c r="I1550" i="17"/>
  <c r="F1549" i="17"/>
  <c r="I1544" i="17"/>
  <c r="I1538" i="17"/>
  <c r="I1537" i="17"/>
  <c r="I1529" i="17"/>
  <c r="I1523" i="17"/>
  <c r="I1518" i="17"/>
  <c r="I1516" i="17"/>
  <c r="I1515" i="17"/>
  <c r="F1514" i="17"/>
  <c r="F1530" i="17" s="1"/>
  <c r="I1513" i="17"/>
  <c r="I1511" i="17"/>
  <c r="I1499" i="17"/>
  <c r="I1498" i="17"/>
  <c r="I1497" i="17"/>
  <c r="I1496" i="17"/>
  <c r="F1495" i="17"/>
  <c r="I1494" i="17"/>
  <c r="I1493" i="17"/>
  <c r="I1492" i="17"/>
  <c r="I1491" i="17"/>
  <c r="I1489" i="17"/>
  <c r="I1488" i="17"/>
  <c r="I1487" i="17"/>
  <c r="I1482" i="17"/>
  <c r="I1480" i="17"/>
  <c r="I1471" i="17"/>
  <c r="I1466" i="17"/>
  <c r="I1465" i="17"/>
  <c r="F1474" i="17"/>
  <c r="R1474" i="17" s="1"/>
  <c r="I1456" i="17"/>
  <c r="I1455" i="17"/>
  <c r="I1454" i="17"/>
  <c r="I1453" i="17"/>
  <c r="I1452" i="17"/>
  <c r="I1451" i="17"/>
  <c r="I1450" i="17"/>
  <c r="I1449" i="17"/>
  <c r="I1448" i="17"/>
  <c r="I1447" i="17"/>
  <c r="I1446" i="17"/>
  <c r="I1445" i="17"/>
  <c r="I1444" i="17"/>
  <c r="I1438" i="17"/>
  <c r="I1437" i="17"/>
  <c r="I1436" i="17"/>
  <c r="I1435" i="17"/>
  <c r="I1433" i="17"/>
  <c r="I1432" i="17"/>
  <c r="H1431" i="17"/>
  <c r="G1431" i="17"/>
  <c r="F1431" i="17"/>
  <c r="I1423" i="17"/>
  <c r="I1421" i="17"/>
  <c r="I1420" i="17"/>
  <c r="I1419" i="17"/>
  <c r="I1418" i="17"/>
  <c r="I1417" i="17"/>
  <c r="I1416" i="17"/>
  <c r="I1415" i="17"/>
  <c r="I1414" i="17"/>
  <c r="I1412" i="17"/>
  <c r="I1411" i="17"/>
  <c r="I1397" i="17"/>
  <c r="I1395" i="17"/>
  <c r="F1424" i="17"/>
  <c r="R1424" i="17" s="1"/>
  <c r="I1387" i="17"/>
  <c r="I1386" i="17"/>
  <c r="I1385" i="17"/>
  <c r="I1384" i="17"/>
  <c r="I1383" i="17"/>
  <c r="I1382" i="17"/>
  <c r="I1381" i="17"/>
  <c r="I1380" i="17"/>
  <c r="I1379" i="17"/>
  <c r="I1378" i="17"/>
  <c r="I1377" i="17"/>
  <c r="I1376" i="17"/>
  <c r="H1375" i="17"/>
  <c r="G1375" i="17"/>
  <c r="F1375" i="17"/>
  <c r="I1374" i="17"/>
  <c r="I1368" i="17"/>
  <c r="I1367" i="17"/>
  <c r="F1366" i="17"/>
  <c r="I1359" i="17"/>
  <c r="I1358" i="17"/>
  <c r="I1357" i="17"/>
  <c r="I1356" i="17"/>
  <c r="I1355" i="17"/>
  <c r="I1354" i="17"/>
  <c r="H1353" i="17"/>
  <c r="G1353" i="17"/>
  <c r="F1353" i="17"/>
  <c r="I1352" i="17"/>
  <c r="I1351" i="17"/>
  <c r="I1348" i="17"/>
  <c r="I1340" i="17"/>
  <c r="I1339" i="17"/>
  <c r="I1334" i="17"/>
  <c r="I1331" i="17"/>
  <c r="I1330" i="17"/>
  <c r="I1329" i="17"/>
  <c r="H1312" i="17"/>
  <c r="G1312" i="17"/>
  <c r="F1312" i="17"/>
  <c r="I1311" i="17"/>
  <c r="I1310" i="17"/>
  <c r="I1309" i="17"/>
  <c r="I1308" i="17"/>
  <c r="H1307" i="17"/>
  <c r="G1307" i="17"/>
  <c r="F1307" i="17"/>
  <c r="I1306" i="17"/>
  <c r="I1305" i="17"/>
  <c r="H1304" i="17"/>
  <c r="G1304" i="17"/>
  <c r="F1304" i="17"/>
  <c r="I1303" i="17"/>
  <c r="I1290" i="17"/>
  <c r="I1289" i="17"/>
  <c r="I1281" i="17"/>
  <c r="I1280" i="17"/>
  <c r="I1279" i="17"/>
  <c r="I1273" i="17"/>
  <c r="I1272" i="17"/>
  <c r="F1271" i="17"/>
  <c r="F1282" i="17" s="1"/>
  <c r="R1282" i="17" s="1"/>
  <c r="I1270" i="17"/>
  <c r="I1267" i="17"/>
  <c r="I1256" i="17"/>
  <c r="I1254" i="17"/>
  <c r="H1257" i="17"/>
  <c r="G1257" i="17"/>
  <c r="I1249" i="17"/>
  <c r="I1248" i="17"/>
  <c r="F1247" i="17"/>
  <c r="I1239" i="17"/>
  <c r="I1237" i="17"/>
  <c r="H1240" i="17"/>
  <c r="G1240" i="17"/>
  <c r="I1231" i="17"/>
  <c r="I1230" i="17"/>
  <c r="F1240" i="17"/>
  <c r="R1240" i="17" s="1"/>
  <c r="I1219" i="17"/>
  <c r="I1218" i="17"/>
  <c r="I1217" i="17"/>
  <c r="I1216" i="17"/>
  <c r="H1215" i="17"/>
  <c r="G1215" i="17"/>
  <c r="F1215" i="17"/>
  <c r="I1214" i="17"/>
  <c r="I1213" i="17"/>
  <c r="I1212" i="17"/>
  <c r="I1211" i="17"/>
  <c r="H1210" i="17"/>
  <c r="G1210" i="17"/>
  <c r="F1210" i="17"/>
  <c r="I1209" i="17"/>
  <c r="I1208" i="17"/>
  <c r="I1207" i="17"/>
  <c r="I1206" i="17"/>
  <c r="I1205" i="17"/>
  <c r="H1204" i="17"/>
  <c r="G1204" i="17"/>
  <c r="F1204" i="17"/>
  <c r="I1203" i="17"/>
  <c r="I1196" i="17"/>
  <c r="I1195" i="17"/>
  <c r="I1185" i="17"/>
  <c r="I1184" i="17"/>
  <c r="I1183" i="17"/>
  <c r="I1182" i="17"/>
  <c r="F1181" i="17"/>
  <c r="I1180" i="17"/>
  <c r="I1179" i="17"/>
  <c r="I1178" i="17"/>
  <c r="I1177" i="17"/>
  <c r="F1176" i="17"/>
  <c r="I1175" i="17"/>
  <c r="I1174" i="17"/>
  <c r="I1173" i="17"/>
  <c r="I1172" i="17"/>
  <c r="I1171" i="17"/>
  <c r="I1170" i="17"/>
  <c r="F1170" i="17"/>
  <c r="I1169" i="17"/>
  <c r="I1164" i="17"/>
  <c r="I1163" i="17"/>
  <c r="I1162" i="17"/>
  <c r="I1161" i="17"/>
  <c r="I1160" i="17"/>
  <c r="F1159" i="17"/>
  <c r="I1158" i="17"/>
  <c r="I1157" i="17"/>
  <c r="I1156" i="17"/>
  <c r="I1153" i="17"/>
  <c r="I1145" i="17"/>
  <c r="I1144" i="17"/>
  <c r="I1141" i="17"/>
  <c r="I1139" i="17"/>
  <c r="I1138" i="17"/>
  <c r="I1137" i="17"/>
  <c r="I1136" i="17"/>
  <c r="H1135" i="17"/>
  <c r="H1146" i="17" s="1"/>
  <c r="G1135" i="17"/>
  <c r="G1146" i="17" s="1"/>
  <c r="F1135" i="17"/>
  <c r="I1134" i="17"/>
  <c r="I1125" i="17"/>
  <c r="I1124" i="17"/>
  <c r="F1123" i="17"/>
  <c r="I1110" i="17"/>
  <c r="I1109" i="17"/>
  <c r="I1108" i="17"/>
  <c r="I1107" i="17"/>
  <c r="H1106" i="17"/>
  <c r="G1106" i="17"/>
  <c r="F1106" i="17"/>
  <c r="I1105" i="17"/>
  <c r="I1104" i="17"/>
  <c r="I1103" i="17"/>
  <c r="I1098" i="17"/>
  <c r="I1097" i="17"/>
  <c r="H1096" i="17"/>
  <c r="G1096" i="17"/>
  <c r="F1096" i="17"/>
  <c r="I1084" i="17"/>
  <c r="I1083" i="17"/>
  <c r="I1082" i="17"/>
  <c r="I1081" i="17"/>
  <c r="H1080" i="17"/>
  <c r="G1080" i="17"/>
  <c r="F1080" i="17"/>
  <c r="I1079" i="17"/>
  <c r="I1078" i="17"/>
  <c r="I1077" i="17"/>
  <c r="I1076" i="17"/>
  <c r="H1075" i="17"/>
  <c r="G1075" i="17"/>
  <c r="F1075" i="17"/>
  <c r="I1074" i="17"/>
  <c r="I1073" i="17"/>
  <c r="I1072" i="17"/>
  <c r="I1071" i="17"/>
  <c r="I1069" i="17"/>
  <c r="I1064" i="17"/>
  <c r="I1061" i="17"/>
  <c r="I1060" i="17"/>
  <c r="I1058" i="17"/>
  <c r="I1054" i="17"/>
  <c r="I1053" i="17"/>
  <c r="I1042" i="17"/>
  <c r="I1041" i="17"/>
  <c r="I1040" i="17"/>
  <c r="I1038" i="17"/>
  <c r="I1037" i="17"/>
  <c r="I1036" i="17"/>
  <c r="I1035" i="17"/>
  <c r="I1034" i="17"/>
  <c r="H1033" i="17"/>
  <c r="G1033" i="17"/>
  <c r="F1033" i="17"/>
  <c r="I1032" i="17"/>
  <c r="I1031" i="17"/>
  <c r="I1025" i="17"/>
  <c r="I1022" i="17"/>
  <c r="I1021" i="17"/>
  <c r="I1017" i="17"/>
  <c r="I1016" i="17"/>
  <c r="F1015" i="17"/>
  <c r="I1007" i="17"/>
  <c r="I1000" i="17"/>
  <c r="I998" i="17"/>
  <c r="F1008" i="17"/>
  <c r="R1008" i="17" s="1"/>
  <c r="I989" i="17"/>
  <c r="I988" i="17"/>
  <c r="I987" i="17"/>
  <c r="H986" i="17"/>
  <c r="I985" i="17"/>
  <c r="I984" i="17"/>
  <c r="I983" i="17"/>
  <c r="I982" i="17"/>
  <c r="I975" i="17"/>
  <c r="I967" i="17"/>
  <c r="I966" i="17"/>
  <c r="I959" i="17"/>
  <c r="I957" i="17"/>
  <c r="I956" i="17"/>
  <c r="I955" i="17"/>
  <c r="H960" i="17"/>
  <c r="I948" i="17"/>
  <c r="I947" i="17"/>
  <c r="F960" i="17"/>
  <c r="R960" i="17" s="1"/>
  <c r="I940" i="17"/>
  <c r="I939" i="17"/>
  <c r="I936" i="17"/>
  <c r="I935" i="17"/>
  <c r="I934" i="17"/>
  <c r="I926" i="17"/>
  <c r="F925" i="17"/>
  <c r="I917" i="17"/>
  <c r="I916" i="17"/>
  <c r="I915" i="17"/>
  <c r="I914" i="17"/>
  <c r="I913" i="17"/>
  <c r="I912" i="17"/>
  <c r="I911" i="17"/>
  <c r="H910" i="17"/>
  <c r="G910" i="17"/>
  <c r="F910" i="17"/>
  <c r="I906" i="17"/>
  <c r="H905" i="17"/>
  <c r="G905" i="17"/>
  <c r="I904" i="17"/>
  <c r="I897" i="17"/>
  <c r="I896" i="17"/>
  <c r="M890" i="17"/>
  <c r="L890" i="17"/>
  <c r="K890" i="17"/>
  <c r="I889" i="17"/>
  <c r="I879" i="17"/>
  <c r="I878" i="17"/>
  <c r="G890" i="17"/>
  <c r="F877" i="17"/>
  <c r="I871" i="17"/>
  <c r="I869" i="17"/>
  <c r="I862" i="17"/>
  <c r="I860" i="17"/>
  <c r="F859" i="17"/>
  <c r="I853" i="17"/>
  <c r="I849" i="17"/>
  <c r="I848" i="17"/>
  <c r="I847" i="17"/>
  <c r="I840" i="17"/>
  <c r="I839" i="17"/>
  <c r="I828" i="17"/>
  <c r="I827" i="17"/>
  <c r="I826" i="17"/>
  <c r="I819" i="17"/>
  <c r="I818" i="17"/>
  <c r="F817" i="17"/>
  <c r="F831" i="17" s="1"/>
  <c r="R831" i="17" s="1"/>
  <c r="I807" i="17"/>
  <c r="I800" i="17"/>
  <c r="I799" i="17"/>
  <c r="I787" i="17"/>
  <c r="I780" i="17"/>
  <c r="I779" i="17"/>
  <c r="F788" i="17"/>
  <c r="R788" i="17" s="1"/>
  <c r="I770" i="17"/>
  <c r="I769" i="17"/>
  <c r="I764" i="17"/>
  <c r="I757" i="17"/>
  <c r="I756" i="17"/>
  <c r="I755" i="17"/>
  <c r="F771" i="17"/>
  <c r="R771" i="17" s="1"/>
  <c r="I742" i="17"/>
  <c r="I739" i="17"/>
  <c r="I738" i="17"/>
  <c r="I737" i="17"/>
  <c r="I735" i="17"/>
  <c r="I734" i="17"/>
  <c r="I733" i="17"/>
  <c r="I725" i="17"/>
  <c r="I723" i="17"/>
  <c r="I713" i="17"/>
  <c r="I712" i="17"/>
  <c r="I709" i="17"/>
  <c r="I708" i="17"/>
  <c r="I707" i="17"/>
  <c r="I692" i="17"/>
  <c r="I690" i="17"/>
  <c r="H689" i="17"/>
  <c r="H715" i="17" s="1"/>
  <c r="G689" i="17"/>
  <c r="G715" i="17" s="1"/>
  <c r="F689" i="17"/>
  <c r="I679" i="17"/>
  <c r="I671" i="17"/>
  <c r="I670" i="17"/>
  <c r="I669" i="17"/>
  <c r="H668" i="17"/>
  <c r="H682" i="17" s="1"/>
  <c r="I660" i="17"/>
  <c r="I658" i="17"/>
  <c r="I657" i="17"/>
  <c r="I648" i="17"/>
  <c r="I647" i="17"/>
  <c r="F661" i="17"/>
  <c r="R661" i="17" s="1"/>
  <c r="I638" i="17"/>
  <c r="I634" i="17"/>
  <c r="I633" i="17"/>
  <c r="I631" i="17"/>
  <c r="I630" i="17"/>
  <c r="I629" i="17"/>
  <c r="I628" i="17"/>
  <c r="I627" i="17"/>
  <c r="I626" i="17"/>
  <c r="I622" i="17"/>
  <c r="I621" i="17"/>
  <c r="I620" i="17"/>
  <c r="I619" i="17"/>
  <c r="I618" i="17"/>
  <c r="I613" i="17"/>
  <c r="I612" i="17"/>
  <c r="H611" i="17"/>
  <c r="H639" i="17" s="1"/>
  <c r="G611" i="17"/>
  <c r="G639" i="17" s="1"/>
  <c r="F611" i="17"/>
  <c r="F639" i="17" s="1"/>
  <c r="I598" i="17"/>
  <c r="I597" i="17"/>
  <c r="I596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78" i="17"/>
  <c r="I577" i="17"/>
  <c r="I576" i="17"/>
  <c r="I571" i="17"/>
  <c r="I570" i="17"/>
  <c r="H569" i="17"/>
  <c r="H599" i="17" s="1"/>
  <c r="F569" i="17"/>
  <c r="I568" i="17"/>
  <c r="I565" i="17"/>
  <c r="I564" i="17"/>
  <c r="I563" i="17"/>
  <c r="I556" i="17"/>
  <c r="I555" i="17"/>
  <c r="I550" i="17"/>
  <c r="I549" i="17"/>
  <c r="I548" i="17"/>
  <c r="I547" i="17"/>
  <c r="I544" i="17"/>
  <c r="I541" i="17"/>
  <c r="I528" i="17"/>
  <c r="I527" i="17"/>
  <c r="R557" i="17"/>
  <c r="I518" i="17"/>
  <c r="I517" i="17"/>
  <c r="I516" i="17"/>
  <c r="I515" i="17"/>
  <c r="I514" i="17"/>
  <c r="I509" i="17"/>
  <c r="F521" i="17"/>
  <c r="R521" i="17" s="1"/>
  <c r="I507" i="17"/>
  <c r="I506" i="17"/>
  <c r="I500" i="17"/>
  <c r="I499" i="17"/>
  <c r="I498" i="17"/>
  <c r="I497" i="17"/>
  <c r="I496" i="17"/>
  <c r="I495" i="17"/>
  <c r="I494" i="17"/>
  <c r="I493" i="17"/>
  <c r="I490" i="17"/>
  <c r="I486" i="17"/>
  <c r="I480" i="17"/>
  <c r="I479" i="17"/>
  <c r="H478" i="17"/>
  <c r="H501" i="17" s="1"/>
  <c r="G501" i="17"/>
  <c r="S501" i="17" s="1"/>
  <c r="F478" i="17"/>
  <c r="F501" i="17" s="1"/>
  <c r="R501" i="17" s="1"/>
  <c r="I477" i="17"/>
  <c r="I476" i="17"/>
  <c r="I475" i="17"/>
  <c r="I474" i="17"/>
  <c r="M468" i="17"/>
  <c r="L468" i="17"/>
  <c r="K468" i="17"/>
  <c r="I465" i="17"/>
  <c r="I464" i="17"/>
  <c r="I463" i="17"/>
  <c r="I458" i="17"/>
  <c r="F468" i="17"/>
  <c r="R468" i="17" s="1"/>
  <c r="I450" i="17"/>
  <c r="I446" i="17"/>
  <c r="I445" i="17"/>
  <c r="I444" i="17"/>
  <c r="H443" i="17"/>
  <c r="H451" i="17" s="1"/>
  <c r="G443" i="17"/>
  <c r="G451" i="17" s="1"/>
  <c r="S451" i="17" s="1"/>
  <c r="F443" i="17"/>
  <c r="I442" i="17"/>
  <c r="I441" i="17"/>
  <c r="I440" i="17"/>
  <c r="I439" i="17"/>
  <c r="I438" i="17"/>
  <c r="I437" i="17"/>
  <c r="I436" i="17"/>
  <c r="I435" i="17"/>
  <c r="I428" i="17"/>
  <c r="I427" i="17"/>
  <c r="I426" i="17"/>
  <c r="I425" i="17"/>
  <c r="I422" i="17"/>
  <c r="I418" i="17"/>
  <c r="I417" i="17"/>
  <c r="I416" i="17"/>
  <c r="H415" i="17"/>
  <c r="H429" i="17" s="1"/>
  <c r="G415" i="17"/>
  <c r="G429" i="17" s="1"/>
  <c r="S429" i="17" s="1"/>
  <c r="F415" i="17"/>
  <c r="F429" i="17" s="1"/>
  <c r="R429" i="17" s="1"/>
  <c r="I401" i="17"/>
  <c r="I400" i="17"/>
  <c r="I398" i="17"/>
  <c r="I397" i="17"/>
  <c r="I392" i="17"/>
  <c r="I391" i="17"/>
  <c r="H390" i="17"/>
  <c r="H402" i="17" s="1"/>
  <c r="G390" i="17"/>
  <c r="G402" i="17" s="1"/>
  <c r="F390" i="17"/>
  <c r="F402" i="17" s="1"/>
  <c r="R402" i="17" s="1"/>
  <c r="H384" i="17"/>
  <c r="T384" i="17" s="1"/>
  <c r="G384" i="17"/>
  <c r="S384" i="17" s="1"/>
  <c r="I383" i="17"/>
  <c r="I379" i="17"/>
  <c r="I378" i="17"/>
  <c r="I377" i="17"/>
  <c r="I376" i="17"/>
  <c r="I375" i="17"/>
  <c r="I374" i="17"/>
  <c r="I373" i="17"/>
  <c r="F384" i="17"/>
  <c r="R384" i="17" s="1"/>
  <c r="I366" i="17"/>
  <c r="I361" i="17"/>
  <c r="I360" i="17"/>
  <c r="H359" i="17"/>
  <c r="H367" i="17" s="1"/>
  <c r="G359" i="17"/>
  <c r="G367" i="17" s="1"/>
  <c r="F359" i="17"/>
  <c r="F367" i="17" s="1"/>
  <c r="I358" i="17"/>
  <c r="I357" i="17"/>
  <c r="I350" i="17"/>
  <c r="I349" i="17"/>
  <c r="I348" i="17"/>
  <c r="I347" i="17"/>
  <c r="I343" i="17"/>
  <c r="I342" i="17"/>
  <c r="I341" i="17"/>
  <c r="I340" i="17"/>
  <c r="I339" i="17"/>
  <c r="I338" i="17"/>
  <c r="I337" i="17"/>
  <c r="I336" i="17"/>
  <c r="I335" i="17"/>
  <c r="I329" i="17"/>
  <c r="I328" i="17"/>
  <c r="H327" i="17"/>
  <c r="G327" i="17"/>
  <c r="F327" i="17"/>
  <c r="I326" i="17"/>
  <c r="I325" i="17"/>
  <c r="I324" i="17"/>
  <c r="I323" i="17"/>
  <c r="I317" i="17"/>
  <c r="H318" i="17"/>
  <c r="G318" i="17"/>
  <c r="S318" i="17" s="1"/>
  <c r="I312" i="17"/>
  <c r="I311" i="17"/>
  <c r="I310" i="17"/>
  <c r="I309" i="17"/>
  <c r="I308" i="17"/>
  <c r="I307" i="17"/>
  <c r="F318" i="17"/>
  <c r="R318" i="17" s="1"/>
  <c r="T302" i="17"/>
  <c r="S302" i="17"/>
  <c r="I301" i="17"/>
  <c r="I297" i="17"/>
  <c r="I296" i="17"/>
  <c r="I295" i="17"/>
  <c r="R302" i="17"/>
  <c r="I288" i="17"/>
  <c r="I284" i="17"/>
  <c r="I283" i="17"/>
  <c r="I282" i="17"/>
  <c r="H281" i="17"/>
  <c r="H289" i="17" s="1"/>
  <c r="F281" i="17"/>
  <c r="I280" i="17"/>
  <c r="I278" i="17"/>
  <c r="I272" i="17"/>
  <c r="I271" i="17"/>
  <c r="F271" i="17"/>
  <c r="I270" i="17"/>
  <c r="I269" i="17"/>
  <c r="I268" i="17"/>
  <c r="I267" i="17"/>
  <c r="I262" i="17"/>
  <c r="I261" i="17"/>
  <c r="I260" i="17"/>
  <c r="I257" i="17"/>
  <c r="I256" i="17"/>
  <c r="I252" i="17"/>
  <c r="I251" i="17"/>
  <c r="I245" i="17"/>
  <c r="I244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25" i="17"/>
  <c r="I224" i="17"/>
  <c r="F224" i="17"/>
  <c r="I223" i="17"/>
  <c r="I219" i="17"/>
  <c r="I218" i="17"/>
  <c r="I216" i="17"/>
  <c r="I213" i="17"/>
  <c r="I212" i="17"/>
  <c r="I211" i="17"/>
  <c r="H210" i="17"/>
  <c r="H246" i="17" s="1"/>
  <c r="G210" i="17"/>
  <c r="G246" i="17" s="1"/>
  <c r="F210" i="17"/>
  <c r="I205" i="17"/>
  <c r="I204" i="17"/>
  <c r="I203" i="17"/>
  <c r="I202" i="17"/>
  <c r="I201" i="17"/>
  <c r="I200" i="17"/>
  <c r="I199" i="17"/>
  <c r="I198" i="17"/>
  <c r="I197" i="17"/>
  <c r="H196" i="17"/>
  <c r="H206" i="17" s="1"/>
  <c r="G196" i="17"/>
  <c r="G206" i="17" s="1"/>
  <c r="F196" i="17"/>
  <c r="F206" i="17" s="1"/>
  <c r="I195" i="17"/>
  <c r="I189" i="17"/>
  <c r="I188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0" i="17"/>
  <c r="I157" i="17"/>
  <c r="I152" i="17"/>
  <c r="I151" i="17"/>
  <c r="H150" i="17"/>
  <c r="H182" i="17" s="1"/>
  <c r="G150" i="17"/>
  <c r="G182" i="17" s="1"/>
  <c r="F150" i="17"/>
  <c r="F182" i="17" s="1"/>
  <c r="I144" i="17"/>
  <c r="I142" i="17"/>
  <c r="I137" i="17"/>
  <c r="I136" i="17"/>
  <c r="I135" i="17"/>
  <c r="I134" i="17"/>
  <c r="I133" i="17"/>
  <c r="I132" i="17"/>
  <c r="I131" i="17"/>
  <c r="I130" i="17"/>
  <c r="I127" i="17"/>
  <c r="I126" i="17"/>
  <c r="I125" i="17"/>
  <c r="I124" i="17"/>
  <c r="I123" i="17"/>
  <c r="I122" i="17"/>
  <c r="I121" i="17"/>
  <c r="I115" i="17"/>
  <c r="I114" i="17"/>
  <c r="I112" i="17"/>
  <c r="I109" i="17"/>
  <c r="I101" i="17"/>
  <c r="I100" i="17"/>
  <c r="I99" i="17"/>
  <c r="F98" i="17"/>
  <c r="I97" i="17"/>
  <c r="I96" i="17"/>
  <c r="I95" i="17"/>
  <c r="H94" i="17"/>
  <c r="G94" i="17"/>
  <c r="F94" i="17"/>
  <c r="I93" i="17"/>
  <c r="I92" i="17"/>
  <c r="I91" i="17"/>
  <c r="I90" i="17"/>
  <c r="I89" i="17"/>
  <c r="H88" i="17"/>
  <c r="G88" i="17"/>
  <c r="F88" i="17"/>
  <c r="I87" i="17"/>
  <c r="I85" i="17"/>
  <c r="I79" i="17"/>
  <c r="I78" i="17"/>
  <c r="H77" i="17"/>
  <c r="G77" i="17"/>
  <c r="F77" i="17"/>
  <c r="I76" i="17"/>
  <c r="I75" i="17"/>
  <c r="I74" i="17"/>
  <c r="I73" i="17"/>
  <c r="I61" i="17"/>
  <c r="I59" i="17"/>
  <c r="H58" i="17"/>
  <c r="G58" i="17"/>
  <c r="F58" i="17"/>
  <c r="I57" i="17"/>
  <c r="I53" i="17"/>
  <c r="I52" i="17"/>
  <c r="H51" i="17"/>
  <c r="G51" i="17"/>
  <c r="F51" i="17"/>
  <c r="I43" i="17"/>
  <c r="I41" i="17"/>
  <c r="I37" i="17"/>
  <c r="I36" i="17"/>
  <c r="I35" i="17"/>
  <c r="H34" i="17"/>
  <c r="G34" i="17"/>
  <c r="F34" i="17"/>
  <c r="F44" i="17" s="1"/>
  <c r="R44" i="17" s="1"/>
  <c r="R27" i="17"/>
  <c r="I26" i="17"/>
  <c r="I25" i="17"/>
  <c r="I24" i="17"/>
  <c r="I22" i="17"/>
  <c r="I21" i="17"/>
  <c r="I15" i="17"/>
  <c r="I14" i="17"/>
  <c r="I12" i="17"/>
  <c r="S2784" i="17" l="1"/>
  <c r="G2611" i="17"/>
  <c r="S2611" i="17" s="1"/>
  <c r="G2525" i="17"/>
  <c r="S2525" i="17" s="1"/>
  <c r="G2213" i="17"/>
  <c r="S2213" i="17" s="1"/>
  <c r="G2092" i="17"/>
  <c r="H2092" i="17"/>
  <c r="F1146" i="17"/>
  <c r="G102" i="17"/>
  <c r="S102" i="17" s="1"/>
  <c r="F102" i="17"/>
  <c r="R102" i="17" s="1"/>
  <c r="H102" i="17"/>
  <c r="T102" i="17" s="1"/>
  <c r="F62" i="17"/>
  <c r="R62" i="17" s="1"/>
  <c r="K454" i="18"/>
  <c r="K461" i="18" s="1"/>
  <c r="G264" i="18"/>
  <c r="H264" i="18"/>
  <c r="G2826" i="17"/>
  <c r="S2826" i="17" s="1"/>
  <c r="H2770" i="17"/>
  <c r="T2770" i="17" s="1"/>
  <c r="G2770" i="17"/>
  <c r="S2770" i="17" s="1"/>
  <c r="F2664" i="17"/>
  <c r="R2664" i="17" s="1"/>
  <c r="I2681" i="17"/>
  <c r="S2649" i="17"/>
  <c r="G2454" i="17"/>
  <c r="S2454" i="17" s="1"/>
  <c r="G2320" i="17"/>
  <c r="S2320" i="17" s="1"/>
  <c r="H2320" i="17"/>
  <c r="S2092" i="17"/>
  <c r="S1857" i="17"/>
  <c r="S1827" i="17"/>
  <c r="T1857" i="17"/>
  <c r="F1857" i="17"/>
  <c r="R1857" i="17" s="1"/>
  <c r="S1530" i="17"/>
  <c r="S1569" i="17"/>
  <c r="T1569" i="17"/>
  <c r="S1504" i="17"/>
  <c r="F1457" i="17"/>
  <c r="R1457" i="17" s="1"/>
  <c r="G1457" i="17"/>
  <c r="S1457" i="17" s="1"/>
  <c r="H1457" i="17"/>
  <c r="H1321" i="17"/>
  <c r="T1321" i="17" s="1"/>
  <c r="G1360" i="17"/>
  <c r="S1360" i="17" s="1"/>
  <c r="G1321" i="17"/>
  <c r="S1321" i="17" s="1"/>
  <c r="G1222" i="17"/>
  <c r="S1222" i="17" s="1"/>
  <c r="H1222" i="17"/>
  <c r="T1222" i="17" s="1"/>
  <c r="F1186" i="17"/>
  <c r="R1186" i="17" s="1"/>
  <c r="G1186" i="17"/>
  <c r="S1186" i="17" s="1"/>
  <c r="H1186" i="17"/>
  <c r="T1186" i="17" s="1"/>
  <c r="G1085" i="17"/>
  <c r="F1085" i="17"/>
  <c r="R1085" i="17" s="1"/>
  <c r="H1085" i="17"/>
  <c r="H1111" i="17"/>
  <c r="T1111" i="17" s="1"/>
  <c r="G1043" i="17"/>
  <c r="S1043" i="17" s="1"/>
  <c r="H1043" i="17"/>
  <c r="F1043" i="17"/>
  <c r="R1043" i="17" s="1"/>
  <c r="H920" i="17"/>
  <c r="S941" i="17"/>
  <c r="S2853" i="17" s="1"/>
  <c r="S2860" i="17" s="1"/>
  <c r="S2871" i="17" s="1"/>
  <c r="G920" i="17"/>
  <c r="S920" i="17" s="1"/>
  <c r="T810" i="17"/>
  <c r="F810" i="17"/>
  <c r="R810" i="17" s="1"/>
  <c r="S810" i="17"/>
  <c r="S788" i="17"/>
  <c r="S682" i="17"/>
  <c r="R743" i="17"/>
  <c r="F715" i="17"/>
  <c r="R715" i="17" s="1"/>
  <c r="T715" i="17"/>
  <c r="T682" i="17"/>
  <c r="R682" i="17"/>
  <c r="S599" i="17"/>
  <c r="F599" i="17"/>
  <c r="R599" i="17" s="1"/>
  <c r="T599" i="17"/>
  <c r="S831" i="17"/>
  <c r="F1908" i="17"/>
  <c r="R1908" i="17" s="1"/>
  <c r="S145" i="17"/>
  <c r="H44" i="17"/>
  <c r="T44" i="17" s="1"/>
  <c r="T1257" i="17"/>
  <c r="S1424" i="17"/>
  <c r="F1569" i="17"/>
  <c r="R1569" i="17" s="1"/>
  <c r="S1610" i="17"/>
  <c r="S1628" i="17"/>
  <c r="S2006" i="17"/>
  <c r="S557" i="17"/>
  <c r="T831" i="17"/>
  <c r="F1360" i="17"/>
  <c r="R1360" i="17" s="1"/>
  <c r="S1756" i="17"/>
  <c r="G1908" i="17"/>
  <c r="S1908" i="17" s="1"/>
  <c r="T557" i="17"/>
  <c r="S1591" i="17"/>
  <c r="F1882" i="17"/>
  <c r="R1882" i="17" s="1"/>
  <c r="T2129" i="17"/>
  <c r="G318" i="18"/>
  <c r="G186" i="18"/>
  <c r="G328" i="18"/>
  <c r="I350" i="18"/>
  <c r="H328" i="18"/>
  <c r="I226" i="18"/>
  <c r="I253" i="18"/>
  <c r="G394" i="18"/>
  <c r="H340" i="18"/>
  <c r="I338" i="18"/>
  <c r="I380" i="18"/>
  <c r="IV380" i="18" s="1"/>
  <c r="IV382" i="18" s="1"/>
  <c r="I388" i="18"/>
  <c r="IV388" i="18" s="1"/>
  <c r="IV394" i="18" s="1"/>
  <c r="I390" i="18"/>
  <c r="IV390" i="18" s="1"/>
  <c r="H407" i="18"/>
  <c r="L454" i="18" s="1"/>
  <c r="I404" i="18"/>
  <c r="IV404" i="18" s="1"/>
  <c r="I461" i="18"/>
  <c r="I23" i="18"/>
  <c r="I21" i="18"/>
  <c r="H103" i="18"/>
  <c r="I97" i="18"/>
  <c r="I124" i="18"/>
  <c r="G152" i="18"/>
  <c r="I148" i="18"/>
  <c r="I160" i="18"/>
  <c r="I166" i="18"/>
  <c r="I177" i="18"/>
  <c r="I182" i="18"/>
  <c r="I197" i="18"/>
  <c r="I204" i="18"/>
  <c r="I211" i="18"/>
  <c r="I215" i="18"/>
  <c r="I262" i="18"/>
  <c r="H318" i="18"/>
  <c r="I312" i="18"/>
  <c r="IV312" i="18" s="1"/>
  <c r="I416" i="18"/>
  <c r="G34" i="18"/>
  <c r="I34" i="18" s="1"/>
  <c r="I40" i="18"/>
  <c r="I74" i="18"/>
  <c r="H394" i="18"/>
  <c r="I447" i="18"/>
  <c r="I43" i="18"/>
  <c r="I66" i="18"/>
  <c r="I85" i="18"/>
  <c r="G103" i="18"/>
  <c r="I101" i="18"/>
  <c r="I109" i="18"/>
  <c r="I140" i="18"/>
  <c r="I163" i="18"/>
  <c r="I168" i="18"/>
  <c r="I184" i="18"/>
  <c r="I192" i="18"/>
  <c r="H217" i="18"/>
  <c r="I207" i="18"/>
  <c r="I213" i="18"/>
  <c r="G217" i="18"/>
  <c r="I223" i="18"/>
  <c r="I243" i="18"/>
  <c r="I305" i="18"/>
  <c r="I310" i="18"/>
  <c r="IV310" i="18" s="1"/>
  <c r="IV318" i="18" s="1"/>
  <c r="G340" i="18"/>
  <c r="G407" i="18"/>
  <c r="I428" i="18"/>
  <c r="IV428" i="18" s="1"/>
  <c r="IV431" i="18" s="1"/>
  <c r="R145" i="17"/>
  <c r="G1111" i="17"/>
  <c r="S1111" i="17" s="1"/>
  <c r="H771" i="17"/>
  <c r="T771" i="17" s="1"/>
  <c r="F1111" i="17"/>
  <c r="R1111" i="17" s="1"/>
  <c r="U2853" i="17"/>
  <c r="S402" i="17"/>
  <c r="G44" i="17"/>
  <c r="S44" i="17" s="1"/>
  <c r="S468" i="17"/>
  <c r="S639" i="17"/>
  <c r="T145" i="17"/>
  <c r="L2852" i="17"/>
  <c r="I86" i="17"/>
  <c r="I94" i="17"/>
  <c r="I116" i="17"/>
  <c r="T182" i="17"/>
  <c r="I153" i="17"/>
  <c r="T521" i="17"/>
  <c r="I362" i="17"/>
  <c r="I569" i="17"/>
  <c r="I579" i="17"/>
  <c r="I801" i="17"/>
  <c r="S1008" i="17"/>
  <c r="I1002" i="17"/>
  <c r="I1255" i="17"/>
  <c r="H1282" i="17"/>
  <c r="T1282" i="17" s="1"/>
  <c r="T1474" i="17"/>
  <c r="I1467" i="17"/>
  <c r="I1490" i="17"/>
  <c r="F1504" i="17"/>
  <c r="R1504" i="17" s="1"/>
  <c r="R1530" i="17"/>
  <c r="I1549" i="17"/>
  <c r="I1576" i="17"/>
  <c r="I1601" i="17"/>
  <c r="G1652" i="17"/>
  <c r="S1652" i="17" s="1"/>
  <c r="I1637" i="17"/>
  <c r="I1647" i="17"/>
  <c r="H1667" i="17"/>
  <c r="T1667" i="17" s="1"/>
  <c r="I1661" i="17"/>
  <c r="S1700" i="17"/>
  <c r="F1700" i="17"/>
  <c r="R1700" i="17" s="1"/>
  <c r="I1682" i="17"/>
  <c r="G1715" i="17"/>
  <c r="S1715" i="17" s="1"/>
  <c r="R1756" i="17"/>
  <c r="I1880" i="17"/>
  <c r="I1891" i="17"/>
  <c r="I1903" i="17"/>
  <c r="S1935" i="17"/>
  <c r="F1935" i="17"/>
  <c r="R1935" i="17" s="1"/>
  <c r="I1931" i="17"/>
  <c r="G1964" i="17"/>
  <c r="S1964" i="17" s="1"/>
  <c r="F2059" i="17"/>
  <c r="R2059" i="17" s="1"/>
  <c r="F2092" i="17"/>
  <c r="R2092" i="17" s="1"/>
  <c r="I2082" i="17"/>
  <c r="I2117" i="17"/>
  <c r="S2153" i="17"/>
  <c r="I2303" i="17"/>
  <c r="G2385" i="17"/>
  <c r="S2385" i="17" s="1"/>
  <c r="F2385" i="17"/>
  <c r="R2385" i="17" s="1"/>
  <c r="I2366" i="17"/>
  <c r="I2378" i="17"/>
  <c r="I2391" i="17"/>
  <c r="I2587" i="17"/>
  <c r="I2601" i="17"/>
  <c r="S27" i="17"/>
  <c r="G62" i="17"/>
  <c r="S62" i="17" s="1"/>
  <c r="I58" i="17"/>
  <c r="I190" i="17"/>
  <c r="I217" i="17"/>
  <c r="I253" i="17"/>
  <c r="T289" i="17"/>
  <c r="H351" i="17"/>
  <c r="T351" i="17" s="1"/>
  <c r="I330" i="17"/>
  <c r="I393" i="17"/>
  <c r="I459" i="17"/>
  <c r="I508" i="17"/>
  <c r="R639" i="17"/>
  <c r="I614" i="17"/>
  <c r="G661" i="17"/>
  <c r="S661" i="17" s="1"/>
  <c r="I649" i="17"/>
  <c r="I673" i="17"/>
  <c r="I726" i="17"/>
  <c r="I781" i="17"/>
  <c r="I820" i="17"/>
  <c r="G854" i="17"/>
  <c r="S854" i="17" s="1"/>
  <c r="I852" i="17"/>
  <c r="F872" i="17"/>
  <c r="R872" i="17" s="1"/>
  <c r="T872" i="17"/>
  <c r="S890" i="17"/>
  <c r="I880" i="17"/>
  <c r="I905" i="17"/>
  <c r="F920" i="17"/>
  <c r="R920" i="17" s="1"/>
  <c r="S960" i="17"/>
  <c r="F990" i="17"/>
  <c r="R990" i="17" s="1"/>
  <c r="G990" i="17"/>
  <c r="S990" i="17" s="1"/>
  <c r="I986" i="17"/>
  <c r="I1018" i="17"/>
  <c r="I1075" i="17"/>
  <c r="I1106" i="17"/>
  <c r="R1146" i="17"/>
  <c r="T1146" i="17"/>
  <c r="I1127" i="17"/>
  <c r="I1135" i="17"/>
  <c r="I1152" i="17"/>
  <c r="F1222" i="17"/>
  <c r="R1222" i="17" s="1"/>
  <c r="I1197" i="17"/>
  <c r="I1210" i="17"/>
  <c r="S1240" i="17"/>
  <c r="I1232" i="17"/>
  <c r="G1282" i="17"/>
  <c r="S1282" i="17" s="1"/>
  <c r="I1304" i="17"/>
  <c r="I1353" i="17"/>
  <c r="F1388" i="17"/>
  <c r="R1388" i="17" s="1"/>
  <c r="I1375" i="17"/>
  <c r="I1394" i="17"/>
  <c r="I1434" i="17"/>
  <c r="I1528" i="17"/>
  <c r="H1715" i="17"/>
  <c r="T1715" i="17" s="1"/>
  <c r="T1731" i="17"/>
  <c r="I1724" i="17"/>
  <c r="I1747" i="17"/>
  <c r="I1777" i="17"/>
  <c r="I1802" i="17"/>
  <c r="I1839" i="17"/>
  <c r="H1964" i="17"/>
  <c r="J2006" i="17"/>
  <c r="I1981" i="17"/>
  <c r="I2019" i="17"/>
  <c r="H2153" i="17"/>
  <c r="T2153" i="17" s="1"/>
  <c r="I2201" i="17"/>
  <c r="I2229" i="17"/>
  <c r="T2255" i="17"/>
  <c r="I2248" i="17"/>
  <c r="I2260" i="17"/>
  <c r="I2270" i="17"/>
  <c r="I2489" i="17"/>
  <c r="T246" i="17"/>
  <c r="F289" i="17"/>
  <c r="R289" i="17" s="1"/>
  <c r="S715" i="17"/>
  <c r="S872" i="17"/>
  <c r="I42" i="17"/>
  <c r="H62" i="17"/>
  <c r="T62" i="17" s="1"/>
  <c r="I60" i="17"/>
  <c r="I80" i="17"/>
  <c r="I88" i="17"/>
  <c r="I98" i="17"/>
  <c r="I150" i="17"/>
  <c r="R182" i="17"/>
  <c r="I187" i="17"/>
  <c r="R206" i="17"/>
  <c r="T206" i="17"/>
  <c r="I210" i="17"/>
  <c r="I220" i="17"/>
  <c r="F246" i="17"/>
  <c r="R246" i="17" s="1"/>
  <c r="S289" i="17"/>
  <c r="F351" i="17"/>
  <c r="R351" i="17" s="1"/>
  <c r="I327" i="17"/>
  <c r="F451" i="17"/>
  <c r="R451" i="17" s="1"/>
  <c r="I510" i="17"/>
  <c r="I572" i="17"/>
  <c r="I632" i="17"/>
  <c r="H661" i="17"/>
  <c r="I659" i="17"/>
  <c r="I680" i="17"/>
  <c r="I710" i="17"/>
  <c r="T743" i="17"/>
  <c r="S743" i="17"/>
  <c r="S771" i="17"/>
  <c r="F854" i="17"/>
  <c r="R854" i="17" s="1"/>
  <c r="H854" i="17"/>
  <c r="T854" i="17" s="1"/>
  <c r="I841" i="17"/>
  <c r="I863" i="17"/>
  <c r="F890" i="17"/>
  <c r="R890" i="17" s="1"/>
  <c r="H890" i="17"/>
  <c r="I888" i="17"/>
  <c r="I898" i="17"/>
  <c r="I910" i="17"/>
  <c r="I928" i="17"/>
  <c r="I949" i="17"/>
  <c r="I968" i="17"/>
  <c r="I1015" i="17"/>
  <c r="I1026" i="17"/>
  <c r="I1056" i="17"/>
  <c r="I1070" i="17"/>
  <c r="I1080" i="17"/>
  <c r="I1099" i="17"/>
  <c r="S1146" i="17"/>
  <c r="I1159" i="17"/>
  <c r="I1181" i="17"/>
  <c r="I1204" i="17"/>
  <c r="I1215" i="17"/>
  <c r="T1240" i="17"/>
  <c r="I1238" i="17"/>
  <c r="S1257" i="17"/>
  <c r="I1274" i="17"/>
  <c r="F1321" i="17"/>
  <c r="R1321" i="17" s="1"/>
  <c r="I1291" i="17"/>
  <c r="I1307" i="17"/>
  <c r="I1341" i="17"/>
  <c r="F1257" i="17"/>
  <c r="R1257" i="17" s="1"/>
  <c r="G2059" i="17"/>
  <c r="S2059" i="17" s="1"/>
  <c r="G2180" i="17"/>
  <c r="K2180" i="17" s="1"/>
  <c r="F2358" i="17"/>
  <c r="R2358" i="17" s="1"/>
  <c r="H2358" i="17"/>
  <c r="T2358" i="17" s="1"/>
  <c r="G1388" i="17"/>
  <c r="S1388" i="17" s="1"/>
  <c r="I1398" i="17"/>
  <c r="S1474" i="17"/>
  <c r="I1483" i="17"/>
  <c r="I1495" i="17"/>
  <c r="I1519" i="17"/>
  <c r="I1553" i="17"/>
  <c r="I1579" i="17"/>
  <c r="I1598" i="17"/>
  <c r="I1622" i="17"/>
  <c r="I1633" i="17"/>
  <c r="F1652" i="17"/>
  <c r="R1652" i="17" s="1"/>
  <c r="I1642" i="17"/>
  <c r="G1667" i="17"/>
  <c r="S1667" i="17" s="1"/>
  <c r="I1676" i="17"/>
  <c r="I1709" i="17"/>
  <c r="S1731" i="17"/>
  <c r="I1741" i="17"/>
  <c r="I1782" i="17"/>
  <c r="F1827" i="17"/>
  <c r="R1827" i="17" s="1"/>
  <c r="I1834" i="17"/>
  <c r="I1847" i="17"/>
  <c r="G1882" i="17"/>
  <c r="S1882" i="17" s="1"/>
  <c r="I1895" i="17"/>
  <c r="I1923" i="17"/>
  <c r="I1945" i="17"/>
  <c r="I2046" i="17"/>
  <c r="I2076" i="17"/>
  <c r="I2106" i="17"/>
  <c r="R2129" i="17"/>
  <c r="I2122" i="17"/>
  <c r="I2143" i="17"/>
  <c r="F2180" i="17"/>
  <c r="J2180" i="17" s="1"/>
  <c r="I2171" i="17"/>
  <c r="F2213" i="17"/>
  <c r="R2213" i="17" s="1"/>
  <c r="H2213" i="17"/>
  <c r="T2213" i="17" s="1"/>
  <c r="I2194" i="17"/>
  <c r="I2206" i="17"/>
  <c r="F2239" i="17"/>
  <c r="J2239" i="17" s="1"/>
  <c r="H2239" i="17"/>
  <c r="L2239" i="17" s="1"/>
  <c r="G2239" i="17"/>
  <c r="S2239" i="17" s="1"/>
  <c r="I2234" i="17"/>
  <c r="S2255" i="17"/>
  <c r="H2290" i="17"/>
  <c r="T2290" i="17" s="1"/>
  <c r="F2290" i="17"/>
  <c r="R2290" i="17" s="1"/>
  <c r="I2276" i="17"/>
  <c r="I2309" i="17"/>
  <c r="I2334" i="17"/>
  <c r="I2351" i="17"/>
  <c r="H2385" i="17"/>
  <c r="T2385" i="17" s="1"/>
  <c r="I2373" i="17"/>
  <c r="S2852" i="17"/>
  <c r="I55" i="18"/>
  <c r="I12" i="18"/>
  <c r="I10" i="18"/>
  <c r="I18" i="18"/>
  <c r="I32" i="18"/>
  <c r="H45" i="18"/>
  <c r="I45" i="18" s="1"/>
  <c r="I51" i="18"/>
  <c r="I94" i="18"/>
  <c r="H114" i="18"/>
  <c r="I120" i="18"/>
  <c r="I131" i="18"/>
  <c r="I137" i="18"/>
  <c r="H152" i="18"/>
  <c r="H186" i="18"/>
  <c r="I175" i="18"/>
  <c r="I180" i="18"/>
  <c r="I199" i="18"/>
  <c r="I241" i="18"/>
  <c r="I260" i="18"/>
  <c r="I287" i="18"/>
  <c r="I295" i="18"/>
  <c r="I303" i="18"/>
  <c r="IV303" i="18" s="1"/>
  <c r="IV305" i="18" s="1"/>
  <c r="I323" i="18"/>
  <c r="IV323" i="18" s="1"/>
  <c r="IV328" i="18" s="1"/>
  <c r="I374" i="18"/>
  <c r="I29" i="18"/>
  <c r="I61" i="18"/>
  <c r="I70" i="18"/>
  <c r="I80" i="18"/>
  <c r="I91" i="18"/>
  <c r="H170" i="18"/>
  <c r="I158" i="18"/>
  <c r="H235" i="18"/>
  <c r="I235" i="18" s="1"/>
  <c r="I289" i="18"/>
  <c r="I297" i="18"/>
  <c r="I335" i="18"/>
  <c r="IV335" i="18" s="1"/>
  <c r="IV340" i="18" s="1"/>
  <c r="I358" i="18"/>
  <c r="I366" i="18"/>
  <c r="I423" i="18"/>
  <c r="I348" i="18"/>
  <c r="IV348" i="18" s="1"/>
  <c r="IV350" i="18" s="1"/>
  <c r="I356" i="18"/>
  <c r="IV356" i="18" s="1"/>
  <c r="IV358" i="18" s="1"/>
  <c r="I364" i="18"/>
  <c r="IV364" i="18" s="1"/>
  <c r="IV366" i="18" s="1"/>
  <c r="I372" i="18"/>
  <c r="IV372" i="18" s="1"/>
  <c r="IV374" i="18" s="1"/>
  <c r="H382" i="18"/>
  <c r="I382" i="18" s="1"/>
  <c r="I400" i="18"/>
  <c r="IV400" i="18" s="1"/>
  <c r="IV407" i="18" s="1"/>
  <c r="I421" i="18"/>
  <c r="IV421" i="18" s="1"/>
  <c r="IV423" i="18" s="1"/>
  <c r="H431" i="18"/>
  <c r="I431" i="18" s="1"/>
  <c r="I452" i="18"/>
  <c r="IV452" i="18" s="1"/>
  <c r="IV454" i="18" s="1"/>
  <c r="I392" i="18"/>
  <c r="IV392" i="18" s="1"/>
  <c r="I412" i="18"/>
  <c r="IV412" i="18" s="1"/>
  <c r="IV416" i="18" s="1"/>
  <c r="I445" i="18"/>
  <c r="IV445" i="18" s="1"/>
  <c r="IV447" i="18" s="1"/>
  <c r="I454" i="18"/>
  <c r="I459" i="18"/>
  <c r="IV459" i="18" s="1"/>
  <c r="IV461" i="18" s="1"/>
  <c r="K367" i="17"/>
  <c r="S367" i="17"/>
  <c r="T468" i="17"/>
  <c r="I318" i="17"/>
  <c r="T318" i="17"/>
  <c r="R367" i="17"/>
  <c r="J367" i="17"/>
  <c r="T367" i="17"/>
  <c r="I367" i="17"/>
  <c r="L367" i="17"/>
  <c r="T402" i="17"/>
  <c r="I429" i="17"/>
  <c r="T429" i="17"/>
  <c r="I451" i="17"/>
  <c r="T451" i="17"/>
  <c r="T501" i="17"/>
  <c r="I501" i="17"/>
  <c r="T639" i="17"/>
  <c r="I34" i="17"/>
  <c r="I51" i="17"/>
  <c r="I77" i="17"/>
  <c r="I113" i="17"/>
  <c r="S182" i="17"/>
  <c r="I196" i="17"/>
  <c r="S206" i="17"/>
  <c r="I227" i="17"/>
  <c r="S246" i="17"/>
  <c r="I313" i="17"/>
  <c r="G351" i="17"/>
  <c r="S351" i="17" s="1"/>
  <c r="I384" i="17"/>
  <c r="I415" i="17"/>
  <c r="I457" i="17"/>
  <c r="I478" i="17"/>
  <c r="S521" i="17"/>
  <c r="I646" i="17"/>
  <c r="I689" i="17"/>
  <c r="I722" i="17"/>
  <c r="I754" i="17"/>
  <c r="I778" i="17"/>
  <c r="I798" i="17"/>
  <c r="I817" i="17"/>
  <c r="I859" i="17"/>
  <c r="I877" i="17"/>
  <c r="I895" i="17"/>
  <c r="R941" i="17"/>
  <c r="R2853" i="17" s="1"/>
  <c r="R2860" i="17" s="1"/>
  <c r="R2871" i="17" s="1"/>
  <c r="I946" i="17"/>
  <c r="H990" i="17"/>
  <c r="I965" i="17"/>
  <c r="I1033" i="17"/>
  <c r="I281" i="17"/>
  <c r="I302" i="17"/>
  <c r="I359" i="17"/>
  <c r="I390" i="17"/>
  <c r="I443" i="17"/>
  <c r="I526" i="17"/>
  <c r="I611" i="17"/>
  <c r="I668" i="17"/>
  <c r="I696" i="17"/>
  <c r="I758" i="17"/>
  <c r="I838" i="17"/>
  <c r="I870" i="17"/>
  <c r="I925" i="17"/>
  <c r="I997" i="17"/>
  <c r="I1052" i="17"/>
  <c r="I1059" i="17"/>
  <c r="I1123" i="17"/>
  <c r="I1176" i="17"/>
  <c r="I1229" i="17"/>
  <c r="I1247" i="17"/>
  <c r="I1271" i="17"/>
  <c r="I1338" i="17"/>
  <c r="I1370" i="17"/>
  <c r="I1479" i="17"/>
  <c r="I1514" i="17"/>
  <c r="I1539" i="17"/>
  <c r="H1591" i="17"/>
  <c r="H1652" i="17"/>
  <c r="I1658" i="17"/>
  <c r="I1721" i="17"/>
  <c r="F1787" i="17"/>
  <c r="R1787" i="17" s="1"/>
  <c r="S1787" i="17"/>
  <c r="H1882" i="17"/>
  <c r="I1864" i="17"/>
  <c r="I1977" i="17"/>
  <c r="I2015" i="17"/>
  <c r="H2059" i="17"/>
  <c r="I2038" i="17"/>
  <c r="I2052" i="17"/>
  <c r="I2071" i="17"/>
  <c r="H2180" i="17"/>
  <c r="I2161" i="17"/>
  <c r="I1096" i="17"/>
  <c r="I1194" i="17"/>
  <c r="I1250" i="17"/>
  <c r="H1360" i="17"/>
  <c r="I1328" i="17"/>
  <c r="H1388" i="17"/>
  <c r="I1366" i="17"/>
  <c r="I1431" i="17"/>
  <c r="I1464" i="17"/>
  <c r="I1619" i="17"/>
  <c r="I1673" i="17"/>
  <c r="I1706" i="17"/>
  <c r="I1738" i="17"/>
  <c r="H1787" i="17"/>
  <c r="I1765" i="17"/>
  <c r="I1797" i="17"/>
  <c r="I1875" i="17"/>
  <c r="H1908" i="17"/>
  <c r="I1918" i="17"/>
  <c r="I1942" i="17"/>
  <c r="H2006" i="17"/>
  <c r="J2029" i="17"/>
  <c r="S2029" i="17"/>
  <c r="I2139" i="17"/>
  <c r="I2226" i="17"/>
  <c r="I2244" i="17"/>
  <c r="I2411" i="17"/>
  <c r="T2411" i="17"/>
  <c r="T2454" i="17"/>
  <c r="T2525" i="17"/>
  <c r="I2565" i="17"/>
  <c r="T2565" i="17"/>
  <c r="I2087" i="17"/>
  <c r="S2129" i="17"/>
  <c r="I2101" i="17"/>
  <c r="I2165" i="17"/>
  <c r="I2189" i="17"/>
  <c r="T2425" i="17"/>
  <c r="I2425" i="17"/>
  <c r="T2469" i="17"/>
  <c r="I2469" i="17"/>
  <c r="T2539" i="17"/>
  <c r="I2539" i="17"/>
  <c r="T2580" i="17"/>
  <c r="I2580" i="17"/>
  <c r="I2262" i="17"/>
  <c r="G2290" i="17"/>
  <c r="S2290" i="17" s="1"/>
  <c r="I2345" i="17"/>
  <c r="G2358" i="17"/>
  <c r="S2358" i="17" s="1"/>
  <c r="I2364" i="17"/>
  <c r="G2398" i="17"/>
  <c r="S2398" i="17" s="1"/>
  <c r="I2417" i="17"/>
  <c r="I2438" i="17"/>
  <c r="I2461" i="17"/>
  <c r="I2483" i="17"/>
  <c r="S2498" i="17"/>
  <c r="I2511" i="17"/>
  <c r="I2531" i="17"/>
  <c r="I2551" i="17"/>
  <c r="I2572" i="17"/>
  <c r="G2595" i="17"/>
  <c r="T2800" i="17"/>
  <c r="I2800" i="17"/>
  <c r="T2843" i="17"/>
  <c r="I2843" i="17"/>
  <c r="I2299" i="17"/>
  <c r="I2402" i="17"/>
  <c r="I2444" i="17"/>
  <c r="I2517" i="17"/>
  <c r="I2557" i="17"/>
  <c r="I2631" i="17"/>
  <c r="T2631" i="17"/>
  <c r="T2649" i="17"/>
  <c r="I2664" i="17"/>
  <c r="T2664" i="17"/>
  <c r="T2681" i="17"/>
  <c r="I2695" i="17"/>
  <c r="T2695" i="17"/>
  <c r="I2712" i="17"/>
  <c r="T2712" i="17"/>
  <c r="I2726" i="17"/>
  <c r="T2726" i="17"/>
  <c r="T2740" i="17"/>
  <c r="I2740" i="17"/>
  <c r="I2784" i="17"/>
  <c r="T2784" i="17"/>
  <c r="T2826" i="17"/>
  <c r="R2852" i="17"/>
  <c r="J2852" i="17"/>
  <c r="I2754" i="17"/>
  <c r="I2792" i="17"/>
  <c r="I2812" i="17"/>
  <c r="I2831" i="17"/>
  <c r="I2776" i="17"/>
  <c r="I2819" i="17"/>
  <c r="I2848" i="17"/>
  <c r="T2853" i="17" l="1"/>
  <c r="T2860" i="17" s="1"/>
  <c r="T2871" i="17" s="1"/>
  <c r="I2525" i="17"/>
  <c r="S1085" i="17"/>
  <c r="I2826" i="17"/>
  <c r="I114" i="18"/>
  <c r="L186" i="18"/>
  <c r="L461" i="18" s="1"/>
  <c r="I2649" i="17"/>
  <c r="I2770" i="17"/>
  <c r="I2454" i="17"/>
  <c r="S2681" i="17"/>
  <c r="I1964" i="17"/>
  <c r="I2320" i="17"/>
  <c r="I890" i="17"/>
  <c r="T2320" i="17"/>
  <c r="K2006" i="17"/>
  <c r="I557" i="17"/>
  <c r="I831" i="17"/>
  <c r="I1569" i="17"/>
  <c r="I468" i="17"/>
  <c r="I402" i="17"/>
  <c r="I407" i="18"/>
  <c r="I328" i="18"/>
  <c r="I152" i="18"/>
  <c r="I103" i="18"/>
  <c r="I394" i="18"/>
  <c r="I170" i="18"/>
  <c r="I318" i="18"/>
  <c r="I255" i="18"/>
  <c r="I264" i="18"/>
  <c r="I340" i="18"/>
  <c r="I217" i="18"/>
  <c r="I1111" i="17"/>
  <c r="I872" i="17"/>
  <c r="I771" i="17"/>
  <c r="T2852" i="17"/>
  <c r="R2239" i="17"/>
  <c r="S2180" i="17"/>
  <c r="I1857" i="17"/>
  <c r="I1474" i="17"/>
  <c r="K2852" i="17"/>
  <c r="I2255" i="17"/>
  <c r="R2180" i="17"/>
  <c r="K2239" i="17"/>
  <c r="T1964" i="17"/>
  <c r="I682" i="17"/>
  <c r="I639" i="17"/>
  <c r="I810" i="17"/>
  <c r="I289" i="17"/>
  <c r="I2852" i="17"/>
  <c r="I44" i="17"/>
  <c r="I788" i="17"/>
  <c r="I661" i="17"/>
  <c r="I145" i="17"/>
  <c r="I1240" i="17"/>
  <c r="I2385" i="17"/>
  <c r="R2006" i="17"/>
  <c r="I854" i="17"/>
  <c r="I1282" i="17"/>
  <c r="I2153" i="17"/>
  <c r="I1715" i="17"/>
  <c r="I62" i="17"/>
  <c r="I715" i="17"/>
  <c r="I1222" i="17"/>
  <c r="I2498" i="17"/>
  <c r="I2398" i="17"/>
  <c r="T2239" i="17"/>
  <c r="I1321" i="17"/>
  <c r="I2239" i="17"/>
  <c r="I1257" i="17"/>
  <c r="I1146" i="17"/>
  <c r="T890" i="17"/>
  <c r="T788" i="17"/>
  <c r="T661" i="17"/>
  <c r="I182" i="17"/>
  <c r="I102" i="17"/>
  <c r="I743" i="17"/>
  <c r="I1731" i="17"/>
  <c r="I1667" i="17"/>
  <c r="I186" i="18"/>
  <c r="I1935" i="17"/>
  <c r="T1935" i="17"/>
  <c r="I1908" i="17"/>
  <c r="T1908" i="17"/>
  <c r="T1787" i="17"/>
  <c r="I1787" i="17"/>
  <c r="I2129" i="17"/>
  <c r="I2092" i="17"/>
  <c r="T2092" i="17"/>
  <c r="T2029" i="17"/>
  <c r="I2029" i="17"/>
  <c r="L2029" i="17"/>
  <c r="T1882" i="17"/>
  <c r="I1882" i="17"/>
  <c r="I1827" i="17"/>
  <c r="T1827" i="17"/>
  <c r="I1652" i="17"/>
  <c r="T1652" i="17"/>
  <c r="I1591" i="17"/>
  <c r="T1591" i="17"/>
  <c r="I1530" i="17"/>
  <c r="T1530" i="17"/>
  <c r="I1504" i="17"/>
  <c r="T1504" i="17"/>
  <c r="I1186" i="17"/>
  <c r="T941" i="17"/>
  <c r="I941" i="17"/>
  <c r="I599" i="17"/>
  <c r="I521" i="17"/>
  <c r="I351" i="17"/>
  <c r="T27" i="17"/>
  <c r="I27" i="17"/>
  <c r="I206" i="17"/>
  <c r="I2611" i="17"/>
  <c r="T2611" i="17"/>
  <c r="L2006" i="17"/>
  <c r="I2006" i="17"/>
  <c r="T2006" i="17"/>
  <c r="I2595" i="17"/>
  <c r="S2595" i="17"/>
  <c r="I2358" i="17"/>
  <c r="I2290" i="17"/>
  <c r="I2213" i="17"/>
  <c r="I1756" i="17"/>
  <c r="T1756" i="17"/>
  <c r="I1700" i="17"/>
  <c r="T1700" i="17"/>
  <c r="I1610" i="17"/>
  <c r="T1610" i="17"/>
  <c r="I1457" i="17"/>
  <c r="T1457" i="17"/>
  <c r="I1424" i="17"/>
  <c r="T1424" i="17"/>
  <c r="T1388" i="17"/>
  <c r="I1388" i="17"/>
  <c r="T1360" i="17"/>
  <c r="I1360" i="17"/>
  <c r="L2180" i="17"/>
  <c r="T2180" i="17"/>
  <c r="I2180" i="17"/>
  <c r="T2059" i="17"/>
  <c r="I2059" i="17"/>
  <c r="T1628" i="17"/>
  <c r="I1628" i="17"/>
  <c r="T1085" i="17"/>
  <c r="I1085" i="17"/>
  <c r="I1043" i="17"/>
  <c r="T1043" i="17"/>
  <c r="T1008" i="17"/>
  <c r="I1008" i="17"/>
  <c r="I920" i="17"/>
  <c r="T920" i="17"/>
  <c r="T990" i="17"/>
  <c r="I990" i="17"/>
  <c r="T960" i="17"/>
  <c r="I960" i="17"/>
  <c r="I246" i="17"/>
  <c r="K475" i="18" l="1"/>
  <c r="K477" i="18" s="1"/>
  <c r="L475" i="18"/>
  <c r="L477" i="18" s="1"/>
  <c r="H67" i="20" l="1"/>
  <c r="H256" i="20" l="1"/>
  <c r="I251" i="20"/>
  <c r="D256" i="20"/>
  <c r="I256" i="20"/>
  <c r="C261" i="20"/>
  <c r="D261" i="20"/>
  <c r="I261" i="20"/>
  <c r="F248" i="20"/>
  <c r="G251" i="20"/>
  <c r="H251" i="20"/>
  <c r="H261" i="20"/>
  <c r="C251" i="20"/>
  <c r="D251" i="20"/>
  <c r="E256" i="20"/>
  <c r="G256" i="20"/>
  <c r="F263" i="20"/>
  <c r="F253" i="20"/>
  <c r="C256" i="20"/>
  <c r="G261" i="20"/>
  <c r="E251" i="20"/>
  <c r="F258" i="20"/>
  <c r="E261" i="20"/>
  <c r="F261" i="20" s="1"/>
  <c r="F256" i="20" l="1"/>
  <c r="F251" i="20"/>
  <c r="F239" i="20"/>
  <c r="H125" i="20"/>
  <c r="H119" i="20" s="1"/>
  <c r="L279" i="20" l="1"/>
  <c r="H102" i="7"/>
  <c r="H101" i="7"/>
  <c r="H88" i="7"/>
  <c r="H86" i="7"/>
  <c r="E64" i="20"/>
  <c r="H12" i="7"/>
  <c r="L278" i="20" l="1"/>
  <c r="L277" i="20"/>
  <c r="L280" i="20" s="1"/>
  <c r="L281" i="20" s="1"/>
  <c r="F224" i="20"/>
  <c r="H211" i="7"/>
  <c r="H202" i="7"/>
  <c r="H200" i="7"/>
  <c r="G147" i="7"/>
  <c r="G215" i="7" s="1"/>
  <c r="H246" i="7" l="1"/>
  <c r="H238" i="7"/>
  <c r="H237" i="7"/>
  <c r="H295" i="7"/>
  <c r="H294" i="7"/>
  <c r="H277" i="7"/>
  <c r="F306" i="7" l="1"/>
  <c r="H287" i="7"/>
  <c r="G296" i="7"/>
  <c r="H62" i="15"/>
  <c r="H61" i="15"/>
  <c r="F289" i="55" l="1"/>
  <c r="H117" i="55"/>
  <c r="H116" i="55"/>
  <c r="H115" i="55"/>
  <c r="H109" i="55"/>
  <c r="H99" i="55"/>
  <c r="H98" i="55"/>
  <c r="G83" i="55"/>
  <c r="F83" i="55"/>
  <c r="G38" i="55"/>
  <c r="L67" i="55" s="1"/>
  <c r="F38" i="55"/>
  <c r="K67" i="55" s="1"/>
  <c r="H39" i="55"/>
  <c r="H20" i="55"/>
  <c r="G114" i="12" l="1"/>
  <c r="F114" i="12"/>
  <c r="L115" i="12" s="1"/>
  <c r="M116" i="12"/>
  <c r="L116" i="12"/>
  <c r="G119" i="12"/>
  <c r="E84" i="12"/>
  <c r="H77" i="12"/>
  <c r="H76" i="12"/>
  <c r="H75" i="12"/>
  <c r="G646" i="13"/>
  <c r="F646" i="13"/>
  <c r="G88" i="13"/>
  <c r="F88" i="13"/>
  <c r="F99" i="13" s="1"/>
  <c r="G84" i="13"/>
  <c r="H35" i="13"/>
  <c r="H29" i="13"/>
  <c r="F305" i="13"/>
  <c r="F312" i="13" s="1"/>
  <c r="F314" i="13" s="1"/>
  <c r="K641" i="13"/>
  <c r="F119" i="12" l="1"/>
  <c r="F117" i="12" s="1"/>
  <c r="F105" i="12"/>
  <c r="G118" i="12"/>
  <c r="G105" i="12"/>
  <c r="F112" i="12"/>
  <c r="G112" i="12"/>
  <c r="L117" i="12"/>
  <c r="M115" i="12"/>
  <c r="M117" i="12" s="1"/>
  <c r="H79" i="12"/>
  <c r="H74" i="12"/>
  <c r="H646" i="13"/>
  <c r="H109" i="13"/>
  <c r="E405" i="13"/>
  <c r="H311" i="13"/>
  <c r="H308" i="13"/>
  <c r="G117" i="12" l="1"/>
  <c r="H84" i="12"/>
  <c r="I275" i="20"/>
  <c r="H275" i="20"/>
  <c r="G275" i="20"/>
  <c r="E19" i="20" l="1"/>
  <c r="D19" i="20"/>
  <c r="C19" i="20"/>
  <c r="C18" i="20"/>
  <c r="E10" i="20"/>
  <c r="T49" i="20" s="1"/>
  <c r="C10" i="20"/>
  <c r="H81" i="24" l="1"/>
  <c r="H80" i="24"/>
  <c r="H113" i="24"/>
  <c r="G109" i="24"/>
  <c r="H89" i="24"/>
  <c r="H88" i="24"/>
  <c r="H87" i="24"/>
  <c r="H86" i="24"/>
  <c r="H85" i="24"/>
  <c r="H84" i="24"/>
  <c r="H83" i="24"/>
  <c r="G34" i="24"/>
  <c r="F34" i="24"/>
  <c r="H14" i="24"/>
  <c r="N39" i="10"/>
  <c r="M39" i="10"/>
  <c r="L115" i="24" l="1"/>
  <c r="K115" i="24"/>
  <c r="M115" i="24"/>
  <c r="H82" i="24"/>
  <c r="F11" i="23"/>
  <c r="E11" i="23"/>
  <c r="G15" i="97"/>
  <c r="G21" i="97" s="1"/>
  <c r="F15" i="97"/>
  <c r="F21" i="97" s="1"/>
  <c r="E15" i="97"/>
  <c r="E21" i="97" s="1"/>
  <c r="H110" i="8"/>
  <c r="H104" i="8"/>
  <c r="H103" i="8"/>
  <c r="H63" i="8"/>
  <c r="H61" i="8"/>
  <c r="H54" i="8"/>
  <c r="H52" i="8"/>
  <c r="H51" i="8"/>
  <c r="H50" i="8"/>
  <c r="H37" i="8"/>
  <c r="H36" i="8"/>
  <c r="H20" i="8"/>
  <c r="H44" i="9" l="1"/>
  <c r="H25" i="9"/>
  <c r="H23" i="9"/>
  <c r="H22" i="9"/>
  <c r="H15" i="9"/>
  <c r="H14" i="9"/>
  <c r="F93" i="9" l="1"/>
  <c r="H22" i="10" l="1"/>
  <c r="G17" i="10"/>
  <c r="F17" i="10"/>
  <c r="E17" i="10"/>
  <c r="H145" i="54"/>
  <c r="H144" i="54"/>
  <c r="H123" i="54"/>
  <c r="H122" i="54"/>
  <c r="G103" i="54"/>
  <c r="F103" i="54"/>
  <c r="H99" i="54"/>
  <c r="E54" i="54"/>
  <c r="H67" i="54"/>
  <c r="H66" i="54"/>
  <c r="H64" i="54"/>
  <c r="E18" i="20"/>
  <c r="D18" i="20"/>
  <c r="F163" i="54" l="1"/>
  <c r="H45" i="162"/>
  <c r="H37" i="162"/>
  <c r="H32" i="162"/>
  <c r="G27" i="162"/>
  <c r="G56" i="162" s="1"/>
  <c r="F27" i="162"/>
  <c r="F56" i="162" s="1"/>
  <c r="H29" i="162"/>
  <c r="H28" i="162"/>
  <c r="F77" i="162" l="1"/>
  <c r="F162" i="162" s="1"/>
  <c r="F165" i="162"/>
  <c r="F172" i="162"/>
  <c r="G77" i="162"/>
  <c r="G162" i="162" s="1"/>
  <c r="G165" i="162"/>
  <c r="G172" i="162"/>
  <c r="H13" i="162"/>
  <c r="H14" i="162"/>
  <c r="H15" i="162"/>
  <c r="H18" i="162"/>
  <c r="H21" i="162"/>
  <c r="H22" i="162"/>
  <c r="H23" i="162"/>
  <c r="H24" i="162"/>
  <c r="H27" i="162"/>
  <c r="H31" i="162"/>
  <c r="H33" i="162"/>
  <c r="H38" i="162"/>
  <c r="H39" i="162"/>
  <c r="H40" i="162"/>
  <c r="H41" i="162"/>
  <c r="H42" i="162"/>
  <c r="H43" i="162"/>
  <c r="H44" i="162"/>
  <c r="H46" i="162"/>
  <c r="H47" i="162"/>
  <c r="H48" i="162"/>
  <c r="H49" i="162"/>
  <c r="H54" i="162"/>
  <c r="H55" i="162"/>
  <c r="H69" i="162"/>
  <c r="H70" i="162"/>
  <c r="H72" i="162"/>
  <c r="H75" i="162"/>
  <c r="C17" i="20"/>
  <c r="D17" i="20"/>
  <c r="E17" i="20"/>
  <c r="H167" i="162"/>
  <c r="H166" i="162" l="1"/>
  <c r="C16" i="20"/>
  <c r="E164" i="162" l="1"/>
  <c r="E16" i="20"/>
  <c r="F57" i="52"/>
  <c r="H47" i="52"/>
  <c r="H45" i="52"/>
  <c r="H44" i="52"/>
  <c r="H43" i="52"/>
  <c r="H42" i="52"/>
  <c r="H34" i="52"/>
  <c r="H35" i="52"/>
  <c r="H36" i="52"/>
  <c r="H56" i="162" l="1"/>
  <c r="F164" i="162"/>
  <c r="H172" i="162"/>
  <c r="G164" i="162"/>
  <c r="E57" i="52"/>
  <c r="C9" i="20"/>
  <c r="H31" i="52"/>
  <c r="G53" i="52" l="1"/>
  <c r="E8" i="20" s="1"/>
  <c r="T47" i="20" s="1"/>
  <c r="G60" i="52"/>
  <c r="D16" i="20"/>
  <c r="H165" i="162"/>
  <c r="H164" i="162"/>
  <c r="D9" i="20"/>
  <c r="T53" i="20" l="1"/>
  <c r="F53" i="52"/>
  <c r="D8" i="20" s="1"/>
  <c r="E48" i="52"/>
  <c r="E53" i="52" l="1"/>
  <c r="C8" i="20" s="1"/>
  <c r="E60" i="52"/>
  <c r="F52" i="52"/>
  <c r="G290" i="20"/>
  <c r="H290" i="20"/>
  <c r="I290" i="20"/>
  <c r="E52" i="52" l="1"/>
  <c r="G291" i="20"/>
  <c r="E113" i="7"/>
  <c r="H65" i="7"/>
  <c r="H64" i="7"/>
  <c r="G48" i="7"/>
  <c r="H47" i="7"/>
  <c r="H45" i="7"/>
  <c r="H26" i="7"/>
  <c r="H22" i="7"/>
  <c r="H17" i="7"/>
  <c r="G301" i="7"/>
  <c r="E63" i="20" s="1"/>
  <c r="F301" i="7"/>
  <c r="E301" i="7"/>
  <c r="C63" i="20" s="1"/>
  <c r="D71" i="20"/>
  <c r="H212" i="7"/>
  <c r="H210" i="7"/>
  <c r="G223" i="7"/>
  <c r="G228" i="7" s="1"/>
  <c r="M316" i="7" s="1"/>
  <c r="F223" i="7"/>
  <c r="F228" i="7" s="1"/>
  <c r="L316" i="7" s="1"/>
  <c r="H227" i="7"/>
  <c r="H155" i="7"/>
  <c r="D75" i="20"/>
  <c r="G260" i="7"/>
  <c r="G266" i="7" s="1"/>
  <c r="F260" i="7"/>
  <c r="F266" i="7" s="1"/>
  <c r="L317" i="7" s="1"/>
  <c r="L318" i="7" s="1"/>
  <c r="H263" i="7"/>
  <c r="E80" i="20"/>
  <c r="D80" i="20"/>
  <c r="D123" i="20"/>
  <c r="E162" i="15"/>
  <c r="G161" i="15"/>
  <c r="F161" i="15"/>
  <c r="D122" i="20" s="1"/>
  <c r="H47" i="15"/>
  <c r="H45" i="15"/>
  <c r="E42" i="15"/>
  <c r="H39" i="15"/>
  <c r="H40" i="15"/>
  <c r="G10" i="15"/>
  <c r="G54" i="15" s="1"/>
  <c r="G160" i="15" s="1"/>
  <c r="F10" i="15"/>
  <c r="F54" i="15" s="1"/>
  <c r="E10" i="15"/>
  <c r="E128" i="20"/>
  <c r="H76" i="15"/>
  <c r="E133" i="15"/>
  <c r="E141" i="15" s="1"/>
  <c r="G127" i="15"/>
  <c r="E118" i="15"/>
  <c r="E125" i="15" s="1"/>
  <c r="E127" i="15" s="1"/>
  <c r="F112" i="15"/>
  <c r="G90" i="15"/>
  <c r="F90" i="15"/>
  <c r="E289" i="55"/>
  <c r="C108" i="20" s="1"/>
  <c r="G272" i="55"/>
  <c r="G274" i="55" s="1"/>
  <c r="F272" i="55"/>
  <c r="F274" i="55" s="1"/>
  <c r="E272" i="55"/>
  <c r="E274" i="55" s="1"/>
  <c r="H271" i="55"/>
  <c r="E260" i="55"/>
  <c r="G244" i="55"/>
  <c r="F244" i="55"/>
  <c r="E242" i="55"/>
  <c r="E244" i="55" s="1"/>
  <c r="G289" i="55"/>
  <c r="H289" i="55" s="1"/>
  <c r="D108" i="20"/>
  <c r="G123" i="55"/>
  <c r="L127" i="55" s="1"/>
  <c r="F123" i="55"/>
  <c r="K127" i="55" s="1"/>
  <c r="H111" i="55"/>
  <c r="E284" i="55"/>
  <c r="H104" i="55"/>
  <c r="H54" i="55"/>
  <c r="H42" i="55"/>
  <c r="H35" i="55"/>
  <c r="E113" i="12"/>
  <c r="C97" i="20" s="1"/>
  <c r="E114" i="12"/>
  <c r="C98" i="20" s="1"/>
  <c r="G113" i="12"/>
  <c r="E97" i="20" s="1"/>
  <c r="E112" i="12"/>
  <c r="C96" i="20" s="1"/>
  <c r="I247" i="20"/>
  <c r="I233" i="20"/>
  <c r="H233" i="20"/>
  <c r="G233" i="20"/>
  <c r="I227" i="20"/>
  <c r="H227" i="20"/>
  <c r="G227" i="20"/>
  <c r="I222" i="20"/>
  <c r="H222" i="20"/>
  <c r="H247" i="20"/>
  <c r="G247" i="20"/>
  <c r="H238" i="20"/>
  <c r="G238" i="20"/>
  <c r="G222" i="20"/>
  <c r="G212" i="20"/>
  <c r="H212" i="20"/>
  <c r="I212" i="20"/>
  <c r="I202" i="20"/>
  <c r="G202" i="20"/>
  <c r="I197" i="20"/>
  <c r="H197" i="20"/>
  <c r="G197" i="20"/>
  <c r="I180" i="20"/>
  <c r="H180" i="20"/>
  <c r="G180" i="20"/>
  <c r="I174" i="20"/>
  <c r="H174" i="20"/>
  <c r="I169" i="20"/>
  <c r="H169" i="20"/>
  <c r="G169" i="20"/>
  <c r="I164" i="20"/>
  <c r="H164" i="20"/>
  <c r="G164" i="20"/>
  <c r="I147" i="20"/>
  <c r="E147" i="20"/>
  <c r="D147" i="20"/>
  <c r="C147" i="20"/>
  <c r="D142" i="20"/>
  <c r="C142" i="20"/>
  <c r="L646" i="13"/>
  <c r="H69" i="13"/>
  <c r="H65" i="13"/>
  <c r="H27" i="13"/>
  <c r="H20" i="13"/>
  <c r="G629" i="13"/>
  <c r="F629" i="13"/>
  <c r="E622" i="13"/>
  <c r="E629" i="13" s="1"/>
  <c r="H628" i="13"/>
  <c r="G606" i="13"/>
  <c r="F606" i="13"/>
  <c r="E606" i="13"/>
  <c r="E611" i="13" s="1"/>
  <c r="E613" i="13" s="1"/>
  <c r="G591" i="13"/>
  <c r="G596" i="13" s="1"/>
  <c r="G598" i="13" s="1"/>
  <c r="F591" i="13"/>
  <c r="F596" i="13" s="1"/>
  <c r="F598" i="13" s="1"/>
  <c r="E591" i="13"/>
  <c r="E596" i="13" s="1"/>
  <c r="E598" i="13" s="1"/>
  <c r="G576" i="13"/>
  <c r="G581" i="13" s="1"/>
  <c r="F576" i="13"/>
  <c r="F581" i="13" s="1"/>
  <c r="E581" i="13"/>
  <c r="E583" i="13" s="1"/>
  <c r="G544" i="13"/>
  <c r="G549" i="13" s="1"/>
  <c r="F544" i="13"/>
  <c r="E544" i="13"/>
  <c r="E549" i="13" s="1"/>
  <c r="E551" i="13" s="1"/>
  <c r="G529" i="13"/>
  <c r="F529" i="13"/>
  <c r="E529" i="13"/>
  <c r="E534" i="13" s="1"/>
  <c r="E536" i="13" s="1"/>
  <c r="E514" i="13"/>
  <c r="E519" i="13" s="1"/>
  <c r="E521" i="13" s="1"/>
  <c r="G497" i="13"/>
  <c r="G502" i="13" s="1"/>
  <c r="F497" i="13"/>
  <c r="E497" i="13"/>
  <c r="E502" i="13" s="1"/>
  <c r="E504" i="13" s="1"/>
  <c r="G482" i="13"/>
  <c r="F482" i="13"/>
  <c r="E487" i="13"/>
  <c r="E489" i="13" s="1"/>
  <c r="G467" i="13"/>
  <c r="F467" i="13"/>
  <c r="F472" i="13" s="1"/>
  <c r="E467" i="13"/>
  <c r="E472" i="13" s="1"/>
  <c r="E474" i="13" s="1"/>
  <c r="G452" i="13"/>
  <c r="G457" i="13" s="1"/>
  <c r="G459" i="13" s="1"/>
  <c r="F452" i="13"/>
  <c r="F457" i="13" s="1"/>
  <c r="F459" i="13" s="1"/>
  <c r="E457" i="13"/>
  <c r="E459" i="13" s="1"/>
  <c r="G437" i="13"/>
  <c r="G442" i="13" s="1"/>
  <c r="F437" i="13"/>
  <c r="F442" i="13" s="1"/>
  <c r="E437" i="13"/>
  <c r="E442" i="13" s="1"/>
  <c r="E444" i="13" s="1"/>
  <c r="G420" i="13"/>
  <c r="G427" i="13" s="1"/>
  <c r="G429" i="13" s="1"/>
  <c r="F420" i="13"/>
  <c r="F427" i="13" s="1"/>
  <c r="F429" i="13" s="1"/>
  <c r="E420" i="13"/>
  <c r="E427" i="13" s="1"/>
  <c r="E429" i="13" s="1"/>
  <c r="G405" i="13"/>
  <c r="F405" i="13"/>
  <c r="G390" i="13"/>
  <c r="G395" i="13" s="1"/>
  <c r="F390" i="13"/>
  <c r="E390" i="13"/>
  <c r="E397" i="13" s="1"/>
  <c r="G378" i="13"/>
  <c r="G383" i="13" s="1"/>
  <c r="F378" i="13"/>
  <c r="F383" i="13" s="1"/>
  <c r="E378" i="13"/>
  <c r="E383" i="13" s="1"/>
  <c r="G364" i="13"/>
  <c r="F364" i="13"/>
  <c r="E364" i="13"/>
  <c r="E369" i="13" s="1"/>
  <c r="E371" i="13" s="1"/>
  <c r="G348" i="13"/>
  <c r="G355" i="13" s="1"/>
  <c r="G357" i="13" s="1"/>
  <c r="F348" i="13"/>
  <c r="E348" i="13"/>
  <c r="E355" i="13" s="1"/>
  <c r="E357" i="13" s="1"/>
  <c r="H331" i="13"/>
  <c r="G305" i="13"/>
  <c r="G312" i="13" s="1"/>
  <c r="G314" i="13" s="1"/>
  <c r="E305" i="13"/>
  <c r="E312" i="13" s="1"/>
  <c r="E314" i="13" s="1"/>
  <c r="H293" i="13"/>
  <c r="H292" i="13"/>
  <c r="H294" i="13"/>
  <c r="F296" i="13"/>
  <c r="E287" i="13"/>
  <c r="E294" i="13" s="1"/>
  <c r="E296" i="13" s="1"/>
  <c r="G264" i="13"/>
  <c r="G271" i="13" s="1"/>
  <c r="G278" i="13" s="1"/>
  <c r="F264" i="13"/>
  <c r="F271" i="13" s="1"/>
  <c r="E264" i="13"/>
  <c r="E271" i="13" s="1"/>
  <c r="E278" i="13" s="1"/>
  <c r="G254" i="13"/>
  <c r="F254" i="13"/>
  <c r="E247" i="13"/>
  <c r="E252" i="13" s="1"/>
  <c r="E254" i="13" s="1"/>
  <c r="G232" i="13"/>
  <c r="F232" i="13"/>
  <c r="E232" i="13"/>
  <c r="E237" i="13" s="1"/>
  <c r="E239" i="13" s="1"/>
  <c r="G217" i="13"/>
  <c r="F217" i="13"/>
  <c r="E217" i="13"/>
  <c r="E222" i="13" s="1"/>
  <c r="E224" i="13" s="1"/>
  <c r="G202" i="13"/>
  <c r="F202" i="13"/>
  <c r="E202" i="13"/>
  <c r="E207" i="13" s="1"/>
  <c r="E209" i="13" s="1"/>
  <c r="G187" i="13"/>
  <c r="G192" i="13" s="1"/>
  <c r="G194" i="13" s="1"/>
  <c r="F187" i="13"/>
  <c r="F192" i="13" s="1"/>
  <c r="F194" i="13" s="1"/>
  <c r="E187" i="13"/>
  <c r="E192" i="13" s="1"/>
  <c r="E194" i="13" s="1"/>
  <c r="G172" i="13"/>
  <c r="G177" i="13" s="1"/>
  <c r="F172" i="13"/>
  <c r="E172" i="13"/>
  <c r="E177" i="13" s="1"/>
  <c r="E179" i="13" s="1"/>
  <c r="G157" i="13"/>
  <c r="G162" i="13" s="1"/>
  <c r="F157" i="13"/>
  <c r="E157" i="13"/>
  <c r="G140" i="13"/>
  <c r="G147" i="13" s="1"/>
  <c r="G149" i="13" s="1"/>
  <c r="F140" i="13"/>
  <c r="F147" i="13" s="1"/>
  <c r="F149" i="13" s="1"/>
  <c r="E140" i="13"/>
  <c r="E147" i="13" s="1"/>
  <c r="E149" i="13" s="1"/>
  <c r="G125" i="13"/>
  <c r="F125" i="13"/>
  <c r="E125" i="13"/>
  <c r="E130" i="13" s="1"/>
  <c r="E132" i="13" s="1"/>
  <c r="M114" i="24"/>
  <c r="H111" i="24"/>
  <c r="H95" i="24"/>
  <c r="H91" i="24"/>
  <c r="H36" i="24"/>
  <c r="H18" i="24"/>
  <c r="F118" i="24"/>
  <c r="F25" i="97"/>
  <c r="H16" i="97"/>
  <c r="H34" i="8"/>
  <c r="H33" i="8"/>
  <c r="F123" i="8"/>
  <c r="H83" i="8"/>
  <c r="H82" i="8"/>
  <c r="H106" i="8"/>
  <c r="H105" i="8"/>
  <c r="H42" i="8"/>
  <c r="H41" i="8"/>
  <c r="H40" i="8"/>
  <c r="H39" i="8"/>
  <c r="H51" i="9"/>
  <c r="H50" i="9"/>
  <c r="H41" i="9"/>
  <c r="H27" i="9"/>
  <c r="H26" i="9"/>
  <c r="H48" i="10"/>
  <c r="E35" i="10"/>
  <c r="G31" i="10"/>
  <c r="F31" i="10"/>
  <c r="E31" i="10"/>
  <c r="H20" i="10"/>
  <c r="G20" i="11"/>
  <c r="F20" i="11"/>
  <c r="H16" i="5"/>
  <c r="G21" i="5"/>
  <c r="G39" i="5" s="1"/>
  <c r="E27" i="20" s="1"/>
  <c r="F21" i="5"/>
  <c r="H13" i="5"/>
  <c r="I13" i="20"/>
  <c r="H109" i="54"/>
  <c r="H108" i="54"/>
  <c r="E97" i="54"/>
  <c r="H37" i="52"/>
  <c r="E79" i="54"/>
  <c r="E73" i="54"/>
  <c r="H65" i="54"/>
  <c r="H63" i="54"/>
  <c r="I7" i="20"/>
  <c r="H7" i="20"/>
  <c r="H68" i="13"/>
  <c r="H70" i="13"/>
  <c r="H35" i="7"/>
  <c r="H23" i="7"/>
  <c r="H18" i="7"/>
  <c r="H16" i="7"/>
  <c r="H18" i="8"/>
  <c r="H17" i="8"/>
  <c r="H88" i="9"/>
  <c r="H59" i="9"/>
  <c r="H33" i="9"/>
  <c r="H34" i="9"/>
  <c r="H23" i="10"/>
  <c r="H21" i="10"/>
  <c r="H19" i="10"/>
  <c r="H18" i="10"/>
  <c r="H19" i="11"/>
  <c r="H18" i="11"/>
  <c r="H17" i="11"/>
  <c r="H13" i="11"/>
  <c r="H12" i="5"/>
  <c r="H11" i="5"/>
  <c r="H85" i="54"/>
  <c r="H41" i="52"/>
  <c r="H39" i="52"/>
  <c r="H26" i="52"/>
  <c r="H27" i="52"/>
  <c r="H28" i="52"/>
  <c r="H30" i="52"/>
  <c r="H32" i="52"/>
  <c r="H33" i="52"/>
  <c r="H25" i="52"/>
  <c r="H23" i="52"/>
  <c r="H22" i="52"/>
  <c r="H21" i="52"/>
  <c r="H20" i="52"/>
  <c r="H18" i="52"/>
  <c r="H17" i="52"/>
  <c r="H16" i="52"/>
  <c r="H14" i="52"/>
  <c r="H13" i="52"/>
  <c r="H12" i="52"/>
  <c r="H11" i="52"/>
  <c r="D277" i="20"/>
  <c r="E277" i="20"/>
  <c r="D93" i="20"/>
  <c r="D129" i="20"/>
  <c r="E93" i="20"/>
  <c r="E129" i="20"/>
  <c r="D11" i="20"/>
  <c r="D29" i="20"/>
  <c r="D34" i="20"/>
  <c r="D35" i="20"/>
  <c r="D39" i="20"/>
  <c r="D40" i="20"/>
  <c r="D43" i="20"/>
  <c r="D45" i="20"/>
  <c r="D50" i="20"/>
  <c r="D51" i="20"/>
  <c r="D64" i="20"/>
  <c r="D65" i="20"/>
  <c r="D74" i="20"/>
  <c r="D76" i="20"/>
  <c r="D79" i="20"/>
  <c r="D81" i="20"/>
  <c r="D85" i="20"/>
  <c r="D87" i="20"/>
  <c r="D99" i="20"/>
  <c r="D109" i="20"/>
  <c r="D110" i="20"/>
  <c r="D124" i="20"/>
  <c r="E11" i="20"/>
  <c r="T50" i="20" s="1"/>
  <c r="E29" i="20"/>
  <c r="E34" i="20"/>
  <c r="E35" i="20"/>
  <c r="E39" i="20"/>
  <c r="E40" i="20"/>
  <c r="E43" i="20"/>
  <c r="E45" i="20"/>
  <c r="E50" i="20"/>
  <c r="E51" i="20"/>
  <c r="E65" i="20"/>
  <c r="E74" i="20"/>
  <c r="E76" i="20"/>
  <c r="E79" i="20"/>
  <c r="E81" i="20"/>
  <c r="E85" i="20"/>
  <c r="E87" i="20"/>
  <c r="E99" i="20"/>
  <c r="E109" i="20"/>
  <c r="E110" i="20"/>
  <c r="E124" i="20"/>
  <c r="C70" i="20"/>
  <c r="C71" i="20"/>
  <c r="C92" i="20"/>
  <c r="C93" i="20"/>
  <c r="C103" i="20"/>
  <c r="C104" i="20"/>
  <c r="C114" i="20"/>
  <c r="C115" i="20"/>
  <c r="C129" i="20"/>
  <c r="C277" i="20"/>
  <c r="C11" i="20"/>
  <c r="C23" i="20"/>
  <c r="C24" i="20"/>
  <c r="C29" i="20"/>
  <c r="C30" i="20"/>
  <c r="C34" i="20"/>
  <c r="C35" i="20"/>
  <c r="C39" i="20"/>
  <c r="C40" i="20"/>
  <c r="C43" i="20"/>
  <c r="C44" i="20"/>
  <c r="C45" i="20"/>
  <c r="C50" i="20"/>
  <c r="C51" i="20"/>
  <c r="C55" i="20"/>
  <c r="R49" i="20" s="1"/>
  <c r="C56" i="20"/>
  <c r="C64" i="20"/>
  <c r="C65" i="20"/>
  <c r="C74" i="20"/>
  <c r="C75" i="20"/>
  <c r="C76" i="20"/>
  <c r="C79" i="20"/>
  <c r="C80" i="20"/>
  <c r="C81" i="20"/>
  <c r="C85" i="20"/>
  <c r="C86" i="20"/>
  <c r="C87" i="20"/>
  <c r="C99" i="20"/>
  <c r="C109" i="20"/>
  <c r="C110" i="20"/>
  <c r="C124" i="20"/>
  <c r="C135" i="20"/>
  <c r="C136" i="20"/>
  <c r="H272" i="20"/>
  <c r="H217" i="20"/>
  <c r="H202" i="20"/>
  <c r="H147" i="20"/>
  <c r="H132" i="20"/>
  <c r="H106" i="20"/>
  <c r="H111" i="20"/>
  <c r="H95" i="20"/>
  <c r="H100" i="20"/>
  <c r="H83" i="20"/>
  <c r="H89" i="20"/>
  <c r="H72" i="20"/>
  <c r="H77" i="20"/>
  <c r="H52" i="20"/>
  <c r="H47" i="20"/>
  <c r="H41" i="20"/>
  <c r="H36" i="20"/>
  <c r="H31" i="20"/>
  <c r="H26" i="20"/>
  <c r="H20" i="20"/>
  <c r="H13" i="20"/>
  <c r="I41" i="20"/>
  <c r="I47" i="20"/>
  <c r="I36" i="20"/>
  <c r="I31" i="20"/>
  <c r="I272" i="20"/>
  <c r="I132" i="20"/>
  <c r="I125" i="20"/>
  <c r="I106" i="20"/>
  <c r="I111" i="20"/>
  <c r="I100" i="20"/>
  <c r="I89" i="20"/>
  <c r="I67" i="20"/>
  <c r="I72" i="20"/>
  <c r="I77" i="20"/>
  <c r="G174" i="20"/>
  <c r="G147" i="20"/>
  <c r="G132" i="20"/>
  <c r="G125" i="20"/>
  <c r="G106" i="20"/>
  <c r="G111" i="20"/>
  <c r="G95" i="20"/>
  <c r="G100" i="20"/>
  <c r="G83" i="20"/>
  <c r="G89" i="20"/>
  <c r="G61" i="20"/>
  <c r="G67" i="20"/>
  <c r="G72" i="20"/>
  <c r="G77" i="20"/>
  <c r="G52" i="20"/>
  <c r="G47" i="20"/>
  <c r="G41" i="20"/>
  <c r="G36" i="20"/>
  <c r="G31" i="20"/>
  <c r="G26" i="20"/>
  <c r="G20" i="20"/>
  <c r="G13" i="20"/>
  <c r="F156" i="15"/>
  <c r="E104" i="15"/>
  <c r="E111" i="15" s="1"/>
  <c r="E112" i="15" s="1"/>
  <c r="E88" i="15"/>
  <c r="E90" i="15" s="1"/>
  <c r="E70" i="15"/>
  <c r="E74" i="15" s="1"/>
  <c r="E154" i="15"/>
  <c r="E156" i="15" s="1"/>
  <c r="H156" i="15"/>
  <c r="G156" i="15"/>
  <c r="H284" i="55"/>
  <c r="G284" i="55"/>
  <c r="F284" i="55"/>
  <c r="E566" i="13"/>
  <c r="E568" i="13" s="1"/>
  <c r="E410" i="13"/>
  <c r="E412" i="13" s="1"/>
  <c r="E641" i="13"/>
  <c r="J641" i="13" s="1"/>
  <c r="L641" i="13"/>
  <c r="H641" i="13"/>
  <c r="G641" i="13"/>
  <c r="F641" i="13"/>
  <c r="E42" i="13"/>
  <c r="E99" i="13" s="1"/>
  <c r="G161" i="54"/>
  <c r="G157" i="54" s="1"/>
  <c r="G156" i="54" s="1"/>
  <c r="F161" i="54"/>
  <c r="E161" i="54"/>
  <c r="C25" i="20" s="1"/>
  <c r="D12" i="20"/>
  <c r="C12" i="20"/>
  <c r="E86" i="20"/>
  <c r="G158" i="54"/>
  <c r="E22" i="20" s="1"/>
  <c r="E92" i="20"/>
  <c r="G210" i="55"/>
  <c r="G226" i="55"/>
  <c r="G228" i="55" s="1"/>
  <c r="G260" i="55"/>
  <c r="E114" i="20"/>
  <c r="G194" i="55"/>
  <c r="G295" i="55" s="1"/>
  <c r="E115" i="20"/>
  <c r="D92" i="20"/>
  <c r="F210" i="55"/>
  <c r="F226" i="55"/>
  <c r="F260" i="55"/>
  <c r="D114" i="20"/>
  <c r="F194" i="55"/>
  <c r="F295" i="55" s="1"/>
  <c r="D115" i="20"/>
  <c r="E210" i="55"/>
  <c r="E226" i="55"/>
  <c r="E194" i="55"/>
  <c r="E79" i="15"/>
  <c r="C128" i="20"/>
  <c r="F42" i="13"/>
  <c r="D86" i="20"/>
  <c r="D23" i="20"/>
  <c r="F23" i="20" s="1"/>
  <c r="F158" i="54"/>
  <c r="D22" i="20" s="1"/>
  <c r="E161" i="15"/>
  <c r="C122" i="20" s="1"/>
  <c r="E158" i="54"/>
  <c r="C22" i="20" s="1"/>
  <c r="H10" i="30"/>
  <c r="F13" i="30"/>
  <c r="H13" i="30"/>
  <c r="H18" i="30"/>
  <c r="F21" i="30"/>
  <c r="F33" i="30"/>
  <c r="H33" i="30"/>
  <c r="E39" i="30"/>
  <c r="F39" i="30"/>
  <c r="G39" i="30"/>
  <c r="H39" i="30"/>
  <c r="F9" i="29"/>
  <c r="H9" i="29"/>
  <c r="F12" i="29"/>
  <c r="H12" i="29"/>
  <c r="H16" i="29"/>
  <c r="H22" i="29"/>
  <c r="F23" i="29"/>
  <c r="H23" i="29"/>
  <c r="F26" i="29"/>
  <c r="H26" i="29"/>
  <c r="H33" i="29"/>
  <c r="F36" i="29"/>
  <c r="H36" i="29"/>
  <c r="F39" i="29"/>
  <c r="H39" i="29"/>
  <c r="F57" i="29"/>
  <c r="E65" i="29"/>
  <c r="F65" i="29"/>
  <c r="G65" i="29"/>
  <c r="H65" i="29"/>
  <c r="H9" i="97"/>
  <c r="H10" i="97"/>
  <c r="H12" i="97"/>
  <c r="H13" i="97"/>
  <c r="H14" i="97"/>
  <c r="H15" i="97"/>
  <c r="H17" i="97"/>
  <c r="H18" i="97"/>
  <c r="H19" i="97"/>
  <c r="H20" i="97"/>
  <c r="E25" i="97"/>
  <c r="C273" i="20"/>
  <c r="D273" i="20"/>
  <c r="E273" i="20"/>
  <c r="H37" i="51"/>
  <c r="H11" i="49"/>
  <c r="H12" i="49"/>
  <c r="H13" i="49"/>
  <c r="H14" i="49"/>
  <c r="H15" i="49"/>
  <c r="H16" i="49"/>
  <c r="H17" i="49"/>
  <c r="H18" i="49"/>
  <c r="H19" i="49"/>
  <c r="H20" i="49"/>
  <c r="H21" i="49"/>
  <c r="H22" i="49"/>
  <c r="H23" i="49"/>
  <c r="E25" i="49"/>
  <c r="F25" i="49"/>
  <c r="G25" i="49"/>
  <c r="H25" i="49"/>
  <c r="G26" i="49"/>
  <c r="E27" i="49"/>
  <c r="F27" i="49"/>
  <c r="G27" i="49"/>
  <c r="H27" i="49"/>
  <c r="E30" i="49"/>
  <c r="E29" i="49"/>
  <c r="E34" i="49"/>
  <c r="F30" i="49"/>
  <c r="F29" i="49"/>
  <c r="F34" i="49"/>
  <c r="G30" i="49"/>
  <c r="G29" i="49"/>
  <c r="H30" i="49"/>
  <c r="E32" i="49"/>
  <c r="F32" i="49"/>
  <c r="G32" i="49"/>
  <c r="E11" i="115"/>
  <c r="F11" i="115"/>
  <c r="E14" i="115"/>
  <c r="E13" i="115"/>
  <c r="E18" i="115"/>
  <c r="F14" i="115"/>
  <c r="F13" i="115"/>
  <c r="F18" i="115"/>
  <c r="G14" i="115"/>
  <c r="G13" i="115"/>
  <c r="G18" i="115"/>
  <c r="E13" i="114"/>
  <c r="F13" i="114"/>
  <c r="G13" i="114"/>
  <c r="E16" i="114"/>
  <c r="E15" i="114"/>
  <c r="E20" i="114"/>
  <c r="F16" i="114"/>
  <c r="F15" i="114"/>
  <c r="F20" i="114"/>
  <c r="G16" i="114"/>
  <c r="G15" i="114"/>
  <c r="G20" i="114"/>
  <c r="E18" i="114"/>
  <c r="F18" i="114"/>
  <c r="G18" i="114"/>
  <c r="E11" i="113"/>
  <c r="F11" i="113"/>
  <c r="G11" i="113"/>
  <c r="G12" i="113"/>
  <c r="E13" i="113"/>
  <c r="F13" i="113"/>
  <c r="G13" i="113"/>
  <c r="E23" i="113"/>
  <c r="E20" i="113"/>
  <c r="E25" i="113"/>
  <c r="F23" i="113"/>
  <c r="F20" i="113"/>
  <c r="F25" i="113"/>
  <c r="G23" i="113"/>
  <c r="G20" i="113"/>
  <c r="G25" i="113"/>
  <c r="E10" i="112"/>
  <c r="F10" i="112"/>
  <c r="G10" i="112"/>
  <c r="E14" i="112"/>
  <c r="E13" i="112"/>
  <c r="E18" i="112"/>
  <c r="F14" i="112"/>
  <c r="F13" i="112"/>
  <c r="F18" i="112"/>
  <c r="G14" i="112"/>
  <c r="G13" i="112"/>
  <c r="G18" i="112"/>
  <c r="H18" i="112"/>
  <c r="E11" i="111"/>
  <c r="F11" i="111"/>
  <c r="G11" i="111"/>
  <c r="E15" i="111"/>
  <c r="E14" i="111"/>
  <c r="E19" i="111"/>
  <c r="F15" i="111"/>
  <c r="F14" i="111"/>
  <c r="F19" i="111"/>
  <c r="G15" i="111"/>
  <c r="G14" i="111"/>
  <c r="G19" i="111"/>
  <c r="E11" i="109"/>
  <c r="F11" i="109"/>
  <c r="G11" i="109"/>
  <c r="E15" i="109"/>
  <c r="E14" i="109"/>
  <c r="E19" i="109"/>
  <c r="F15" i="109"/>
  <c r="F14" i="109"/>
  <c r="F19" i="109"/>
  <c r="G15" i="109"/>
  <c r="G14" i="109"/>
  <c r="G19" i="109"/>
  <c r="E11" i="108"/>
  <c r="F11" i="108"/>
  <c r="G11" i="108"/>
  <c r="E12" i="108"/>
  <c r="F12" i="108"/>
  <c r="G12" i="108"/>
  <c r="E13" i="108"/>
  <c r="F13" i="108"/>
  <c r="G13" i="108"/>
  <c r="E17" i="108"/>
  <c r="E16" i="108"/>
  <c r="E21" i="108"/>
  <c r="F17" i="108"/>
  <c r="F16" i="108"/>
  <c r="F21" i="108"/>
  <c r="G17" i="108"/>
  <c r="G16" i="108"/>
  <c r="G21" i="108"/>
  <c r="E19" i="108"/>
  <c r="F19" i="108"/>
  <c r="G19" i="108"/>
  <c r="E11" i="107"/>
  <c r="F11" i="107"/>
  <c r="G11" i="107"/>
  <c r="E15" i="107"/>
  <c r="E14" i="107"/>
  <c r="E19" i="107"/>
  <c r="F15" i="107"/>
  <c r="F14" i="107"/>
  <c r="F19" i="107"/>
  <c r="G15" i="107"/>
  <c r="G14" i="107"/>
  <c r="G19" i="107"/>
  <c r="G14" i="21"/>
  <c r="H14" i="21"/>
  <c r="I20" i="21"/>
  <c r="G21" i="21"/>
  <c r="H21" i="21"/>
  <c r="I21" i="21"/>
  <c r="I27" i="21"/>
  <c r="I28" i="21"/>
  <c r="G29" i="21"/>
  <c r="H29" i="21"/>
  <c r="I29" i="21"/>
  <c r="I31" i="21"/>
  <c r="I32" i="21"/>
  <c r="F33" i="21"/>
  <c r="G33" i="21"/>
  <c r="H33" i="21"/>
  <c r="I33" i="21"/>
  <c r="I40" i="21"/>
  <c r="F41" i="21"/>
  <c r="G41" i="21"/>
  <c r="H41" i="21"/>
  <c r="I41" i="21"/>
  <c r="I47" i="21"/>
  <c r="F48" i="21"/>
  <c r="G48" i="21"/>
  <c r="H48" i="21"/>
  <c r="I48" i="21"/>
  <c r="I54" i="21"/>
  <c r="I55" i="21"/>
  <c r="F56" i="21"/>
  <c r="G56" i="21"/>
  <c r="H56" i="21"/>
  <c r="I56" i="21"/>
  <c r="I62" i="21"/>
  <c r="F63" i="21"/>
  <c r="G63" i="21"/>
  <c r="H63" i="21"/>
  <c r="I63" i="21"/>
  <c r="I71" i="21"/>
  <c r="F72" i="21"/>
  <c r="G72" i="21"/>
  <c r="H72" i="21"/>
  <c r="I72" i="21"/>
  <c r="I78" i="21"/>
  <c r="F79" i="21"/>
  <c r="G79" i="21"/>
  <c r="H79" i="21"/>
  <c r="I79" i="21"/>
  <c r="I85" i="21"/>
  <c r="F86" i="21"/>
  <c r="G86" i="21"/>
  <c r="H86" i="21"/>
  <c r="I86" i="21"/>
  <c r="I92" i="21"/>
  <c r="I93" i="21"/>
  <c r="F94" i="21"/>
  <c r="G94" i="21"/>
  <c r="H94" i="21"/>
  <c r="I94" i="21"/>
  <c r="I100" i="21"/>
  <c r="F101" i="21"/>
  <c r="G101" i="21"/>
  <c r="H101" i="21"/>
  <c r="I101" i="21"/>
  <c r="I107" i="21"/>
  <c r="F108" i="21"/>
  <c r="G108" i="21"/>
  <c r="H108" i="21"/>
  <c r="I108" i="21"/>
  <c r="I114" i="21"/>
  <c r="F115" i="21"/>
  <c r="G115" i="21"/>
  <c r="H115" i="21"/>
  <c r="I115" i="21"/>
  <c r="I121" i="21"/>
  <c r="F122" i="21"/>
  <c r="G122" i="21"/>
  <c r="H122" i="21"/>
  <c r="I122" i="21"/>
  <c r="L122" i="21"/>
  <c r="M122" i="21"/>
  <c r="I128" i="21"/>
  <c r="F129" i="21"/>
  <c r="G129" i="21"/>
  <c r="H129" i="21"/>
  <c r="I129" i="21"/>
  <c r="I138" i="21"/>
  <c r="F139" i="21"/>
  <c r="G139" i="21"/>
  <c r="H139" i="21"/>
  <c r="I139" i="21"/>
  <c r="I145" i="21"/>
  <c r="F146" i="21"/>
  <c r="G146" i="21"/>
  <c r="H146" i="21"/>
  <c r="I146" i="21"/>
  <c r="I152" i="21"/>
  <c r="F153" i="21"/>
  <c r="G153" i="21"/>
  <c r="H153" i="21"/>
  <c r="I153" i="21"/>
  <c r="I159" i="21"/>
  <c r="G160" i="21"/>
  <c r="H160" i="21"/>
  <c r="I160" i="21"/>
  <c r="I161" i="21"/>
  <c r="I162" i="21"/>
  <c r="F163" i="21"/>
  <c r="G163" i="21"/>
  <c r="H163" i="21"/>
  <c r="I163" i="21"/>
  <c r="I169" i="21"/>
  <c r="F170" i="21"/>
  <c r="G170" i="21"/>
  <c r="H170" i="21"/>
  <c r="I170" i="21"/>
  <c r="I176" i="21"/>
  <c r="F177" i="21"/>
  <c r="G177" i="21"/>
  <c r="H177" i="21"/>
  <c r="I177" i="21"/>
  <c r="I183" i="21"/>
  <c r="F184" i="21"/>
  <c r="G184" i="21"/>
  <c r="H184" i="21"/>
  <c r="I184" i="21"/>
  <c r="I190" i="21"/>
  <c r="F191" i="21"/>
  <c r="G191" i="21"/>
  <c r="H191" i="21"/>
  <c r="I191" i="21"/>
  <c r="I197" i="21"/>
  <c r="F198" i="21"/>
  <c r="G198" i="21"/>
  <c r="H198" i="21"/>
  <c r="I198" i="21"/>
  <c r="I204" i="21"/>
  <c r="F205" i="21"/>
  <c r="G205" i="21"/>
  <c r="H205" i="21"/>
  <c r="I205" i="21"/>
  <c r="I211" i="21"/>
  <c r="F212" i="21"/>
  <c r="G212" i="21"/>
  <c r="H212" i="21"/>
  <c r="I212" i="21"/>
  <c r="I218" i="21"/>
  <c r="F219" i="21"/>
  <c r="G219" i="21"/>
  <c r="H219" i="21"/>
  <c r="I219" i="21"/>
  <c r="I225" i="21"/>
  <c r="I226" i="21"/>
  <c r="G227" i="21"/>
  <c r="H227" i="21"/>
  <c r="I227" i="21"/>
  <c r="I228" i="21"/>
  <c r="I229" i="21"/>
  <c r="F230" i="21"/>
  <c r="G230" i="21"/>
  <c r="H230" i="21"/>
  <c r="I230" i="21"/>
  <c r="I236" i="21"/>
  <c r="F237" i="21"/>
  <c r="G237" i="21"/>
  <c r="H237" i="21"/>
  <c r="I237" i="21"/>
  <c r="I243" i="21"/>
  <c r="F244" i="21"/>
  <c r="G244" i="21"/>
  <c r="H244" i="21"/>
  <c r="I244" i="21"/>
  <c r="I250" i="21"/>
  <c r="F251" i="21"/>
  <c r="G251" i="21"/>
  <c r="H251" i="21"/>
  <c r="I251" i="21"/>
  <c r="I257" i="21"/>
  <c r="G258" i="21"/>
  <c r="H258" i="21"/>
  <c r="I258" i="21"/>
  <c r="I259" i="21"/>
  <c r="I260" i="21"/>
  <c r="F261" i="21"/>
  <c r="G261" i="21"/>
  <c r="H261" i="21"/>
  <c r="I261" i="21"/>
  <c r="L261" i="21"/>
  <c r="M261" i="21"/>
  <c r="I271" i="21"/>
  <c r="F272" i="21"/>
  <c r="G272" i="21"/>
  <c r="H272" i="21"/>
  <c r="I272" i="21"/>
  <c r="I278" i="21"/>
  <c r="F279" i="21"/>
  <c r="G279" i="21"/>
  <c r="H279" i="21"/>
  <c r="I279" i="21"/>
  <c r="I285" i="21"/>
  <c r="F286" i="21"/>
  <c r="G286" i="21"/>
  <c r="H286" i="21"/>
  <c r="I286" i="21"/>
  <c r="I293" i="21"/>
  <c r="F294" i="21"/>
  <c r="G294" i="21"/>
  <c r="H294" i="21"/>
  <c r="I294" i="21"/>
  <c r="I300" i="21"/>
  <c r="F301" i="21"/>
  <c r="G301" i="21"/>
  <c r="H301" i="21"/>
  <c r="I301" i="21"/>
  <c r="I307" i="21"/>
  <c r="F308" i="21"/>
  <c r="G308" i="21"/>
  <c r="H308" i="21"/>
  <c r="I308" i="21"/>
  <c r="I314" i="21"/>
  <c r="F315" i="21"/>
  <c r="G315" i="21"/>
  <c r="H315" i="21"/>
  <c r="I315" i="21"/>
  <c r="I321" i="21"/>
  <c r="F322" i="21"/>
  <c r="G322" i="21"/>
  <c r="H322" i="21"/>
  <c r="I322" i="21"/>
  <c r="I328" i="21"/>
  <c r="F329" i="21"/>
  <c r="G329" i="21"/>
  <c r="H329" i="21"/>
  <c r="I329" i="21"/>
  <c r="I338" i="21"/>
  <c r="F339" i="21"/>
  <c r="G339" i="21"/>
  <c r="H339" i="21"/>
  <c r="I339" i="21"/>
  <c r="I345" i="21"/>
  <c r="F346" i="21"/>
  <c r="G346" i="21"/>
  <c r="H346" i="21"/>
  <c r="I346" i="21"/>
  <c r="I353" i="21"/>
  <c r="F354" i="21"/>
  <c r="G354" i="21"/>
  <c r="H354" i="21"/>
  <c r="I354" i="21"/>
  <c r="I360" i="21"/>
  <c r="F361" i="21"/>
  <c r="G361" i="21"/>
  <c r="H361" i="21"/>
  <c r="I361" i="21"/>
  <c r="I367" i="21"/>
  <c r="I368" i="21"/>
  <c r="G369" i="21"/>
  <c r="H369" i="21"/>
  <c r="I369" i="21"/>
  <c r="I370" i="21"/>
  <c r="F371" i="21"/>
  <c r="G371" i="21"/>
  <c r="H371" i="21"/>
  <c r="I371" i="21"/>
  <c r="I377" i="21"/>
  <c r="I378" i="21"/>
  <c r="F379" i="21"/>
  <c r="G379" i="21"/>
  <c r="H379" i="21"/>
  <c r="I379" i="21"/>
  <c r="I385" i="21"/>
  <c r="I386" i="21"/>
  <c r="F387" i="21"/>
  <c r="G387" i="21"/>
  <c r="H387" i="21"/>
  <c r="I387" i="21"/>
  <c r="I393" i="21"/>
  <c r="F394" i="21"/>
  <c r="G394" i="21"/>
  <c r="H394" i="21"/>
  <c r="I394" i="21"/>
  <c r="I405" i="21"/>
  <c r="F406" i="21"/>
  <c r="G406" i="21"/>
  <c r="H406" i="21"/>
  <c r="I406" i="21"/>
  <c r="I412" i="21"/>
  <c r="F413" i="21"/>
  <c r="G413" i="21"/>
  <c r="L412" i="21"/>
  <c r="L413" i="21"/>
  <c r="L1229" i="21"/>
  <c r="H413" i="21"/>
  <c r="M412" i="21"/>
  <c r="M413" i="21"/>
  <c r="M1229" i="21"/>
  <c r="I413" i="21"/>
  <c r="K413" i="21"/>
  <c r="I419" i="21"/>
  <c r="F420" i="21"/>
  <c r="G420" i="21"/>
  <c r="H420" i="21"/>
  <c r="I420" i="21"/>
  <c r="I426" i="21"/>
  <c r="F427" i="21"/>
  <c r="G427" i="21"/>
  <c r="H427" i="21"/>
  <c r="I427" i="21"/>
  <c r="I433" i="21"/>
  <c r="F434" i="21"/>
  <c r="G434" i="21"/>
  <c r="H434" i="21"/>
  <c r="I434" i="21"/>
  <c r="I440" i="21"/>
  <c r="F441" i="21"/>
  <c r="G441" i="21"/>
  <c r="H441" i="21"/>
  <c r="I441" i="21"/>
  <c r="I447" i="21"/>
  <c r="F448" i="21"/>
  <c r="G448" i="21"/>
  <c r="H448" i="21"/>
  <c r="I448" i="21"/>
  <c r="I454" i="21"/>
  <c r="F455" i="21"/>
  <c r="G455" i="21"/>
  <c r="H455" i="21"/>
  <c r="I455" i="21"/>
  <c r="I461" i="21"/>
  <c r="F462" i="21"/>
  <c r="G462" i="21"/>
  <c r="H462" i="21"/>
  <c r="I462" i="21"/>
  <c r="I472" i="21"/>
  <c r="F473" i="21"/>
  <c r="G473" i="21"/>
  <c r="H473" i="21"/>
  <c r="I473" i="21"/>
  <c r="I474" i="21"/>
  <c r="I475" i="21"/>
  <c r="F476" i="21"/>
  <c r="G476" i="21"/>
  <c r="H476" i="21"/>
  <c r="I476" i="21"/>
  <c r="I482" i="21"/>
  <c r="F483" i="21"/>
  <c r="G483" i="21"/>
  <c r="H483" i="21"/>
  <c r="I483" i="21"/>
  <c r="I489" i="21"/>
  <c r="F490" i="21"/>
  <c r="G490" i="21"/>
  <c r="H490" i="21"/>
  <c r="I490" i="21"/>
  <c r="I496" i="21"/>
  <c r="F497" i="21"/>
  <c r="G497" i="21"/>
  <c r="H497" i="21"/>
  <c r="I497" i="21"/>
  <c r="I503" i="21"/>
  <c r="F504" i="21"/>
  <c r="G504" i="21"/>
  <c r="H504" i="21"/>
  <c r="I504" i="21"/>
  <c r="I510" i="21"/>
  <c r="F511" i="21"/>
  <c r="G511" i="21"/>
  <c r="H511" i="21"/>
  <c r="I511" i="21"/>
  <c r="I517" i="21"/>
  <c r="F518" i="21"/>
  <c r="G518" i="21"/>
  <c r="H518" i="21"/>
  <c r="I518" i="21"/>
  <c r="I524" i="21"/>
  <c r="F525" i="21"/>
  <c r="G525" i="21"/>
  <c r="H525" i="21"/>
  <c r="I525" i="21"/>
  <c r="I531" i="21"/>
  <c r="F532" i="21"/>
  <c r="G532" i="21"/>
  <c r="H532" i="21"/>
  <c r="I532" i="21"/>
  <c r="I538" i="21"/>
  <c r="F539" i="21"/>
  <c r="G539" i="21"/>
  <c r="H539" i="21"/>
  <c r="I539" i="21"/>
  <c r="I545" i="21"/>
  <c r="F546" i="21"/>
  <c r="G546" i="21"/>
  <c r="H546" i="21"/>
  <c r="I546" i="21"/>
  <c r="I552" i="21"/>
  <c r="F553" i="21"/>
  <c r="G553" i="21"/>
  <c r="H553" i="21"/>
  <c r="I553" i="21"/>
  <c r="I559" i="21"/>
  <c r="F560" i="21"/>
  <c r="G560" i="21"/>
  <c r="H560" i="21"/>
  <c r="I560" i="21"/>
  <c r="I566" i="21"/>
  <c r="F567" i="21"/>
  <c r="G567" i="21"/>
  <c r="H567" i="21"/>
  <c r="I567" i="21"/>
  <c r="I573" i="21"/>
  <c r="F574" i="21"/>
  <c r="G574" i="21"/>
  <c r="H574" i="21"/>
  <c r="I574" i="21"/>
  <c r="I580" i="21"/>
  <c r="F581" i="21"/>
  <c r="G581" i="21"/>
  <c r="H581" i="21"/>
  <c r="I581" i="21"/>
  <c r="I587" i="21"/>
  <c r="I588" i="21"/>
  <c r="F589" i="21"/>
  <c r="G589" i="21"/>
  <c r="H589" i="21"/>
  <c r="I589" i="21"/>
  <c r="I595" i="21"/>
  <c r="F596" i="21"/>
  <c r="G596" i="21"/>
  <c r="H596" i="21"/>
  <c r="I596" i="21"/>
  <c r="I605" i="21"/>
  <c r="F606" i="21"/>
  <c r="G606" i="21"/>
  <c r="H606" i="21"/>
  <c r="I606" i="21"/>
  <c r="I612" i="21"/>
  <c r="F613" i="21"/>
  <c r="G613" i="21"/>
  <c r="H613" i="21"/>
  <c r="I613" i="21"/>
  <c r="I619" i="21"/>
  <c r="F620" i="21"/>
  <c r="G620" i="21"/>
  <c r="H620" i="21"/>
  <c r="I620" i="21"/>
  <c r="I626" i="21"/>
  <c r="F627" i="21"/>
  <c r="G627" i="21"/>
  <c r="H627" i="21"/>
  <c r="I627" i="21"/>
  <c r="I633" i="21"/>
  <c r="F634" i="21"/>
  <c r="G634" i="21"/>
  <c r="H634" i="21"/>
  <c r="I634" i="21"/>
  <c r="I640" i="21"/>
  <c r="F641" i="21"/>
  <c r="K640" i="21"/>
  <c r="K1231" i="21"/>
  <c r="K1234" i="21"/>
  <c r="F1224" i="21"/>
  <c r="G641" i="21"/>
  <c r="L640" i="21"/>
  <c r="L1231" i="21"/>
  <c r="H641" i="21"/>
  <c r="M640" i="21"/>
  <c r="M1231" i="21"/>
  <c r="I641" i="21"/>
  <c r="I647" i="21"/>
  <c r="F648" i="21"/>
  <c r="G648" i="21"/>
  <c r="H648" i="21"/>
  <c r="I648" i="21"/>
  <c r="I654" i="21"/>
  <c r="F655" i="21"/>
  <c r="G655" i="21"/>
  <c r="H655" i="21"/>
  <c r="I655" i="21"/>
  <c r="F662" i="21"/>
  <c r="G662" i="21"/>
  <c r="H662" i="21"/>
  <c r="I663" i="21"/>
  <c r="F664" i="21"/>
  <c r="G664" i="21"/>
  <c r="H664" i="21"/>
  <c r="I664" i="21"/>
  <c r="I672" i="21"/>
  <c r="G673" i="21"/>
  <c r="H673" i="21"/>
  <c r="I673" i="21"/>
  <c r="I675" i="21"/>
  <c r="I676" i="21"/>
  <c r="F678" i="21"/>
  <c r="G678" i="21"/>
  <c r="H678" i="21"/>
  <c r="I678" i="21"/>
  <c r="I684" i="21"/>
  <c r="F685" i="21"/>
  <c r="G685" i="21"/>
  <c r="H685" i="21"/>
  <c r="I685" i="21"/>
  <c r="I691" i="21"/>
  <c r="F692" i="21"/>
  <c r="G692" i="21"/>
  <c r="H692" i="21"/>
  <c r="I692" i="21"/>
  <c r="I698" i="21"/>
  <c r="F699" i="21"/>
  <c r="G699" i="21"/>
  <c r="H699" i="21"/>
  <c r="I699" i="21"/>
  <c r="I705" i="21"/>
  <c r="F706" i="21"/>
  <c r="G706" i="21"/>
  <c r="H706" i="21"/>
  <c r="I706" i="21"/>
  <c r="I712" i="21"/>
  <c r="F713" i="21"/>
  <c r="G713" i="21"/>
  <c r="H713" i="21"/>
  <c r="I713" i="21"/>
  <c r="I719" i="21"/>
  <c r="F720" i="21"/>
  <c r="G720" i="21"/>
  <c r="H720" i="21"/>
  <c r="I720" i="21"/>
  <c r="I726" i="21"/>
  <c r="F727" i="21"/>
  <c r="G727" i="21"/>
  <c r="H727" i="21"/>
  <c r="I727" i="21"/>
  <c r="I733" i="21"/>
  <c r="F734" i="21"/>
  <c r="G734" i="21"/>
  <c r="H734" i="21"/>
  <c r="I734" i="21"/>
  <c r="I738" i="21"/>
  <c r="F739" i="21"/>
  <c r="G739" i="21"/>
  <c r="H739" i="21"/>
  <c r="I739" i="21"/>
  <c r="I745" i="21"/>
  <c r="G746" i="21"/>
  <c r="H746" i="21"/>
  <c r="I746" i="21"/>
  <c r="I747" i="21"/>
  <c r="F748" i="21"/>
  <c r="G748" i="21"/>
  <c r="H748" i="21"/>
  <c r="I748" i="21"/>
  <c r="I754" i="21"/>
  <c r="I755" i="21"/>
  <c r="F756" i="21"/>
  <c r="G756" i="21"/>
  <c r="H756" i="21"/>
  <c r="I756" i="21"/>
  <c r="I762" i="21"/>
  <c r="I763" i="21"/>
  <c r="F764" i="21"/>
  <c r="G764" i="21"/>
  <c r="H764" i="21"/>
  <c r="I764" i="21"/>
  <c r="K764" i="21"/>
  <c r="L764" i="21"/>
  <c r="M764" i="21"/>
  <c r="I770" i="21"/>
  <c r="I771" i="21"/>
  <c r="F772" i="21"/>
  <c r="G772" i="21"/>
  <c r="H772" i="21"/>
  <c r="I772" i="21"/>
  <c r="I778" i="21"/>
  <c r="F779" i="21"/>
  <c r="G779" i="21"/>
  <c r="H779" i="21"/>
  <c r="I779" i="21"/>
  <c r="F786" i="21"/>
  <c r="G786" i="21"/>
  <c r="H786" i="21"/>
  <c r="I792" i="21"/>
  <c r="F793" i="21"/>
  <c r="G793" i="21"/>
  <c r="H793" i="21"/>
  <c r="I793" i="21"/>
  <c r="I799" i="21"/>
  <c r="F800" i="21"/>
  <c r="G800" i="21"/>
  <c r="H800" i="21"/>
  <c r="I800" i="21"/>
  <c r="I804" i="21"/>
  <c r="F805" i="21"/>
  <c r="G805" i="21"/>
  <c r="H805" i="21"/>
  <c r="I805" i="21"/>
  <c r="I811" i="21"/>
  <c r="F812" i="21"/>
  <c r="G812" i="21"/>
  <c r="H812" i="21"/>
  <c r="I812" i="21"/>
  <c r="I818" i="21"/>
  <c r="I819" i="21"/>
  <c r="F820" i="21"/>
  <c r="G820" i="21"/>
  <c r="H820" i="21"/>
  <c r="I820" i="21"/>
  <c r="I826" i="21"/>
  <c r="F827" i="21"/>
  <c r="G827" i="21"/>
  <c r="H827" i="21"/>
  <c r="I827" i="21"/>
  <c r="I834" i="21"/>
  <c r="F835" i="21"/>
  <c r="G835" i="21"/>
  <c r="H835" i="21"/>
  <c r="I835" i="21"/>
  <c r="I842" i="21"/>
  <c r="F843" i="21"/>
  <c r="G843" i="21"/>
  <c r="H843" i="21"/>
  <c r="F850" i="21"/>
  <c r="G850" i="21"/>
  <c r="H850" i="21"/>
  <c r="I856" i="21"/>
  <c r="F857" i="21"/>
  <c r="G857" i="21"/>
  <c r="H857" i="21"/>
  <c r="I857" i="21"/>
  <c r="I863" i="21"/>
  <c r="F864" i="21"/>
  <c r="G864" i="21"/>
  <c r="H864" i="21"/>
  <c r="I864" i="21"/>
  <c r="I871" i="21"/>
  <c r="F872" i="21"/>
  <c r="G872" i="21"/>
  <c r="H872" i="21"/>
  <c r="I872" i="21"/>
  <c r="I878" i="21"/>
  <c r="I879" i="21"/>
  <c r="F880" i="21"/>
  <c r="G880" i="21"/>
  <c r="H880" i="21"/>
  <c r="I880" i="21"/>
  <c r="I886" i="21"/>
  <c r="I887" i="21"/>
  <c r="F888" i="21"/>
  <c r="G888" i="21"/>
  <c r="H888" i="21"/>
  <c r="I888" i="21"/>
  <c r="I895" i="21"/>
  <c r="F896" i="21"/>
  <c r="G896" i="21"/>
  <c r="H896" i="21"/>
  <c r="I896" i="21"/>
  <c r="I902" i="21"/>
  <c r="F903" i="21"/>
  <c r="G903" i="21"/>
  <c r="H903" i="21"/>
  <c r="I903" i="21"/>
  <c r="I904" i="21"/>
  <c r="I905" i="21"/>
  <c r="I906" i="21"/>
  <c r="F907" i="21"/>
  <c r="G907" i="21"/>
  <c r="H907" i="21"/>
  <c r="I907" i="21"/>
  <c r="I913" i="21"/>
  <c r="F914" i="21"/>
  <c r="G914" i="21"/>
  <c r="H914" i="21"/>
  <c r="I914" i="21"/>
  <c r="I920" i="21"/>
  <c r="F921" i="21"/>
  <c r="G921" i="21"/>
  <c r="H921" i="21"/>
  <c r="I921" i="21"/>
  <c r="I927" i="21"/>
  <c r="F928" i="21"/>
  <c r="G928" i="21"/>
  <c r="H928" i="21"/>
  <c r="I928" i="21"/>
  <c r="I938" i="21"/>
  <c r="F939" i="21"/>
  <c r="G939" i="21"/>
  <c r="H939" i="21"/>
  <c r="I939" i="21"/>
  <c r="I945" i="21"/>
  <c r="F946" i="21"/>
  <c r="G946" i="21"/>
  <c r="H946" i="21"/>
  <c r="I946" i="21"/>
  <c r="I952" i="21"/>
  <c r="F953" i="21"/>
  <c r="G953" i="21"/>
  <c r="H953" i="21"/>
  <c r="I953" i="21"/>
  <c r="I959" i="21"/>
  <c r="F960" i="21"/>
  <c r="G960" i="21"/>
  <c r="H960" i="21"/>
  <c r="I960" i="21"/>
  <c r="I966" i="21"/>
  <c r="F967" i="21"/>
  <c r="G967" i="21"/>
  <c r="H967" i="21"/>
  <c r="I967" i="21"/>
  <c r="I973" i="21"/>
  <c r="F974" i="21"/>
  <c r="G974" i="21"/>
  <c r="H974" i="21"/>
  <c r="I974" i="21"/>
  <c r="I980" i="21"/>
  <c r="F981" i="21"/>
  <c r="G981" i="21"/>
  <c r="H981" i="21"/>
  <c r="I981" i="21"/>
  <c r="I987" i="21"/>
  <c r="G988" i="21"/>
  <c r="H988" i="21"/>
  <c r="I988" i="21"/>
  <c r="I989" i="21"/>
  <c r="F990" i="21"/>
  <c r="G990" i="21"/>
  <c r="H990" i="21"/>
  <c r="I990" i="21"/>
  <c r="I996" i="21"/>
  <c r="F997" i="21"/>
  <c r="G997" i="21"/>
  <c r="H997" i="21"/>
  <c r="I997" i="21"/>
  <c r="I1005" i="21"/>
  <c r="F1006" i="21"/>
  <c r="G1006" i="21"/>
  <c r="H1006" i="21"/>
  <c r="I1006" i="21"/>
  <c r="I1012" i="21"/>
  <c r="F1013" i="21"/>
  <c r="G1013" i="21"/>
  <c r="H1013" i="21"/>
  <c r="I1013" i="21"/>
  <c r="I1019" i="21"/>
  <c r="F1020" i="21"/>
  <c r="G1020" i="21"/>
  <c r="H1020" i="21"/>
  <c r="I1020" i="21"/>
  <c r="I1026" i="21"/>
  <c r="F1027" i="21"/>
  <c r="G1027" i="21"/>
  <c r="H1027" i="21"/>
  <c r="I1027" i="21"/>
  <c r="K1027" i="21"/>
  <c r="L1027" i="21"/>
  <c r="M1027" i="21"/>
  <c r="I1033" i="21"/>
  <c r="F1034" i="21"/>
  <c r="G1034" i="21"/>
  <c r="H1034" i="21"/>
  <c r="I1034" i="21"/>
  <c r="I1040" i="21"/>
  <c r="F1041" i="21"/>
  <c r="G1041" i="21"/>
  <c r="H1041" i="21"/>
  <c r="I1041" i="21"/>
  <c r="I1047" i="21"/>
  <c r="I1048" i="21"/>
  <c r="G1049" i="21"/>
  <c r="H1049" i="21"/>
  <c r="I1049" i="21"/>
  <c r="I1050" i="21"/>
  <c r="I1051" i="21"/>
  <c r="I1052" i="21"/>
  <c r="I1053" i="21"/>
  <c r="F1054" i="21"/>
  <c r="G1054" i="21"/>
  <c r="H1054" i="21"/>
  <c r="I1054" i="21"/>
  <c r="I1060" i="21"/>
  <c r="F1061" i="21"/>
  <c r="G1061" i="21"/>
  <c r="H1061" i="21"/>
  <c r="I1061" i="21"/>
  <c r="I1072" i="21"/>
  <c r="F1073" i="21"/>
  <c r="G1073" i="21"/>
  <c r="H1073" i="21"/>
  <c r="I1073" i="21"/>
  <c r="I1079" i="21"/>
  <c r="F1080" i="21"/>
  <c r="G1080" i="21"/>
  <c r="H1080" i="21"/>
  <c r="I1080" i="21"/>
  <c r="I1086" i="21"/>
  <c r="F1087" i="21"/>
  <c r="G1087" i="21"/>
  <c r="H1087" i="21"/>
  <c r="I1087" i="21"/>
  <c r="I1093" i="21"/>
  <c r="F1094" i="21"/>
  <c r="G1094" i="21"/>
  <c r="H1094" i="21"/>
  <c r="I1094" i="21"/>
  <c r="I1100" i="21"/>
  <c r="F1101" i="21"/>
  <c r="G1101" i="21"/>
  <c r="H1101" i="21"/>
  <c r="I1101" i="21"/>
  <c r="I1107" i="21"/>
  <c r="F1108" i="21"/>
  <c r="G1108" i="21"/>
  <c r="H1108" i="21"/>
  <c r="I1108" i="21"/>
  <c r="I1114" i="21"/>
  <c r="F1115" i="21"/>
  <c r="G1115" i="21"/>
  <c r="H1115" i="21"/>
  <c r="I1115" i="21"/>
  <c r="I1121" i="21"/>
  <c r="F1122" i="21"/>
  <c r="G1122" i="21"/>
  <c r="H1122" i="21"/>
  <c r="I1122" i="21"/>
  <c r="I1128" i="21"/>
  <c r="F1129" i="21"/>
  <c r="G1129" i="21"/>
  <c r="H1129" i="21"/>
  <c r="I1129" i="21"/>
  <c r="I1139" i="21"/>
  <c r="F1140" i="21"/>
  <c r="G1140" i="21"/>
  <c r="H1140" i="21"/>
  <c r="I1140" i="21"/>
  <c r="I1146" i="21"/>
  <c r="F1147" i="21"/>
  <c r="G1147" i="21"/>
  <c r="H1147" i="21"/>
  <c r="I1147" i="21"/>
  <c r="I1153" i="21"/>
  <c r="F1154" i="21"/>
  <c r="G1154" i="21"/>
  <c r="H1154" i="21"/>
  <c r="I1154" i="21"/>
  <c r="I1160" i="21"/>
  <c r="F1161" i="21"/>
  <c r="G1161" i="21"/>
  <c r="H1161" i="21"/>
  <c r="I1161" i="21"/>
  <c r="I1167" i="21"/>
  <c r="F1168" i="21"/>
  <c r="G1168" i="21"/>
  <c r="H1168" i="21"/>
  <c r="I1168" i="21"/>
  <c r="I1174" i="21"/>
  <c r="F1175" i="21"/>
  <c r="G1175" i="21"/>
  <c r="H1175" i="21"/>
  <c r="I1175" i="21"/>
  <c r="I1181" i="21"/>
  <c r="F1182" i="21"/>
  <c r="G1182" i="21"/>
  <c r="H1182" i="21"/>
  <c r="I1182" i="21"/>
  <c r="I1188" i="21"/>
  <c r="F1189" i="21"/>
  <c r="G1189" i="21"/>
  <c r="H1189" i="21"/>
  <c r="I1189" i="21"/>
  <c r="I1195" i="21"/>
  <c r="F1196" i="21"/>
  <c r="G1196" i="21"/>
  <c r="H1196" i="21"/>
  <c r="I1196" i="21"/>
  <c r="I1206" i="21"/>
  <c r="F1207" i="21"/>
  <c r="G1207" i="21"/>
  <c r="H1207" i="21"/>
  <c r="I1207" i="21"/>
  <c r="I1213" i="21"/>
  <c r="F1214" i="21"/>
  <c r="G1214" i="21"/>
  <c r="H1214" i="21"/>
  <c r="I1214" i="21"/>
  <c r="K1214" i="21"/>
  <c r="L1214" i="21"/>
  <c r="M1214" i="21"/>
  <c r="I1220" i="21"/>
  <c r="F1221" i="21"/>
  <c r="G1221" i="21"/>
  <c r="H1221" i="21"/>
  <c r="I1221" i="21"/>
  <c r="K1221" i="21"/>
  <c r="L1221" i="21"/>
  <c r="M1221" i="21"/>
  <c r="K1228" i="21"/>
  <c r="L1228" i="21"/>
  <c r="M1228" i="21"/>
  <c r="K1229" i="21"/>
  <c r="K1230" i="21"/>
  <c r="L1230" i="21"/>
  <c r="M1230" i="21"/>
  <c r="K1232" i="21"/>
  <c r="L1232" i="21"/>
  <c r="M1232" i="21"/>
  <c r="K1233" i="21"/>
  <c r="L1233" i="21"/>
  <c r="M1233" i="21"/>
  <c r="H13" i="24"/>
  <c r="H17" i="24"/>
  <c r="H21" i="24"/>
  <c r="H34" i="24"/>
  <c r="H35" i="24"/>
  <c r="H42" i="24"/>
  <c r="H43" i="24"/>
  <c r="H44" i="24"/>
  <c r="H75" i="24"/>
  <c r="H76" i="24"/>
  <c r="H79" i="24"/>
  <c r="H90" i="24"/>
  <c r="H92" i="24"/>
  <c r="H93" i="24"/>
  <c r="H94" i="24"/>
  <c r="H98" i="24"/>
  <c r="H106" i="24"/>
  <c r="H108" i="24"/>
  <c r="H109" i="24"/>
  <c r="H110" i="24"/>
  <c r="H112" i="24"/>
  <c r="E118" i="24"/>
  <c r="C133" i="20" s="1"/>
  <c r="D135" i="20"/>
  <c r="E135" i="20"/>
  <c r="D136" i="20"/>
  <c r="E136" i="20"/>
  <c r="E11" i="26"/>
  <c r="F11" i="26"/>
  <c r="G11" i="26"/>
  <c r="E15" i="26"/>
  <c r="C131" i="20"/>
  <c r="F15" i="26"/>
  <c r="D131" i="20"/>
  <c r="G15" i="26"/>
  <c r="E131" i="20"/>
  <c r="H10" i="23"/>
  <c r="H11" i="23"/>
  <c r="E15" i="23"/>
  <c r="C130" i="20" s="1"/>
  <c r="F15" i="23"/>
  <c r="G15" i="23"/>
  <c r="E130" i="20" s="1"/>
  <c r="H11" i="15"/>
  <c r="H12" i="15"/>
  <c r="H15" i="15"/>
  <c r="H16" i="15"/>
  <c r="H17" i="15"/>
  <c r="H21" i="15"/>
  <c r="H22" i="15"/>
  <c r="H23" i="15"/>
  <c r="H24" i="15"/>
  <c r="H25" i="15"/>
  <c r="H26" i="15"/>
  <c r="H28" i="15"/>
  <c r="H43" i="15"/>
  <c r="H44" i="15"/>
  <c r="H48" i="15"/>
  <c r="H49" i="15"/>
  <c r="H71" i="15"/>
  <c r="H89" i="15"/>
  <c r="H92" i="15"/>
  <c r="H105" i="15"/>
  <c r="H106" i="15"/>
  <c r="H107" i="15"/>
  <c r="H109" i="15"/>
  <c r="H119" i="15"/>
  <c r="H120" i="15"/>
  <c r="H121" i="15"/>
  <c r="H123" i="15"/>
  <c r="H134" i="15"/>
  <c r="H135" i="15"/>
  <c r="H136" i="15"/>
  <c r="H10" i="55"/>
  <c r="H12" i="55"/>
  <c r="H13" i="55"/>
  <c r="H14" i="55"/>
  <c r="H15" i="55"/>
  <c r="H19" i="55"/>
  <c r="H21" i="55"/>
  <c r="H22" i="55"/>
  <c r="H23" i="55"/>
  <c r="H24" i="55"/>
  <c r="H25" i="55"/>
  <c r="H28" i="55"/>
  <c r="H30" i="55"/>
  <c r="H31" i="55"/>
  <c r="H33" i="55"/>
  <c r="H34" i="55"/>
  <c r="H36" i="55"/>
  <c r="H37" i="55"/>
  <c r="H38" i="55"/>
  <c r="H40" i="55"/>
  <c r="H41" i="55"/>
  <c r="H45" i="55"/>
  <c r="H48" i="55"/>
  <c r="H49" i="55"/>
  <c r="H51" i="55"/>
  <c r="H52" i="55"/>
  <c r="H53" i="55"/>
  <c r="H57" i="55"/>
  <c r="H58" i="55"/>
  <c r="H60" i="55"/>
  <c r="H61" i="55"/>
  <c r="H62" i="55"/>
  <c r="H63" i="55"/>
  <c r="H74" i="55"/>
  <c r="H75" i="55"/>
  <c r="H78" i="55"/>
  <c r="H79" i="55"/>
  <c r="H80" i="55"/>
  <c r="H81" i="55"/>
  <c r="H82" i="55"/>
  <c r="H83" i="55"/>
  <c r="H84" i="55"/>
  <c r="H85" i="55"/>
  <c r="H86" i="55"/>
  <c r="H87" i="55"/>
  <c r="H88" i="55"/>
  <c r="H89" i="55"/>
  <c r="H90" i="55"/>
  <c r="H91" i="55"/>
  <c r="H92" i="55"/>
  <c r="H94" i="55"/>
  <c r="H96" i="55"/>
  <c r="H100" i="55"/>
  <c r="H101" i="55"/>
  <c r="H102" i="55"/>
  <c r="H103" i="55"/>
  <c r="H105" i="55"/>
  <c r="H107" i="55"/>
  <c r="H108" i="55"/>
  <c r="H110" i="55"/>
  <c r="H112" i="55"/>
  <c r="H113" i="55"/>
  <c r="H114" i="55"/>
  <c r="H119" i="55"/>
  <c r="H121" i="55"/>
  <c r="H122" i="55"/>
  <c r="H124" i="55"/>
  <c r="H125" i="55"/>
  <c r="H126" i="55"/>
  <c r="H127" i="55"/>
  <c r="H147" i="55"/>
  <c r="H148" i="55"/>
  <c r="H149" i="55"/>
  <c r="H161" i="55"/>
  <c r="H162" i="55"/>
  <c r="H163" i="55"/>
  <c r="H164" i="55"/>
  <c r="H165" i="55"/>
  <c r="H166" i="55"/>
  <c r="H168" i="55"/>
  <c r="H169" i="55"/>
  <c r="H170" i="55"/>
  <c r="H182" i="55"/>
  <c r="H183" i="55"/>
  <c r="H184" i="55"/>
  <c r="H186" i="55"/>
  <c r="H190" i="55"/>
  <c r="H191" i="55"/>
  <c r="H192" i="55"/>
  <c r="H193" i="55"/>
  <c r="H206" i="55"/>
  <c r="H207" i="55"/>
  <c r="H208" i="55"/>
  <c r="H209" i="55"/>
  <c r="H222" i="55"/>
  <c r="H223" i="55"/>
  <c r="H224" i="55"/>
  <c r="H225" i="55"/>
  <c r="H237" i="55"/>
  <c r="H238" i="55"/>
  <c r="H239" i="55"/>
  <c r="H252" i="55"/>
  <c r="H253" i="55"/>
  <c r="H254" i="55"/>
  <c r="H255" i="55"/>
  <c r="H269" i="55"/>
  <c r="H270" i="55"/>
  <c r="H296" i="55"/>
  <c r="K296" i="55"/>
  <c r="L296" i="55"/>
  <c r="H14" i="12"/>
  <c r="H15" i="12"/>
  <c r="H16" i="12"/>
  <c r="H18" i="12"/>
  <c r="H19" i="12"/>
  <c r="H20" i="12"/>
  <c r="H21" i="12"/>
  <c r="H23" i="12"/>
  <c r="H27" i="12"/>
  <c r="H28" i="12"/>
  <c r="H93" i="12"/>
  <c r="H94" i="12"/>
  <c r="H95" i="12"/>
  <c r="E97" i="12"/>
  <c r="E118" i="12" s="1"/>
  <c r="H97" i="12"/>
  <c r="H98" i="12"/>
  <c r="E103" i="12"/>
  <c r="H103" i="12"/>
  <c r="H105" i="12"/>
  <c r="D98" i="20"/>
  <c r="E98" i="20"/>
  <c r="H114" i="12"/>
  <c r="D103" i="20"/>
  <c r="E103" i="20"/>
  <c r="D104" i="20"/>
  <c r="E104" i="20"/>
  <c r="H121" i="12"/>
  <c r="H15" i="13"/>
  <c r="H21" i="13"/>
  <c r="H25" i="13"/>
  <c r="H28" i="13"/>
  <c r="H31" i="13"/>
  <c r="H33" i="13"/>
  <c r="H34" i="13"/>
  <c r="H38" i="13"/>
  <c r="H40" i="13"/>
  <c r="H56" i="13"/>
  <c r="H64" i="13"/>
  <c r="H84" i="13"/>
  <c r="H86" i="13"/>
  <c r="H87" i="13"/>
  <c r="H88" i="13"/>
  <c r="H89" i="13"/>
  <c r="H90" i="13"/>
  <c r="H95" i="13"/>
  <c r="H126" i="13"/>
  <c r="H127" i="13"/>
  <c r="H141" i="13"/>
  <c r="H142" i="13"/>
  <c r="H158" i="13"/>
  <c r="H159" i="13"/>
  <c r="H173" i="13"/>
  <c r="H188" i="13"/>
  <c r="H189" i="13"/>
  <c r="H203" i="13"/>
  <c r="H204" i="13"/>
  <c r="H218" i="13"/>
  <c r="H219" i="13"/>
  <c r="H233" i="13"/>
  <c r="H234" i="13"/>
  <c r="H247" i="13"/>
  <c r="H248" i="13"/>
  <c r="H249" i="13"/>
  <c r="H265" i="13"/>
  <c r="H266" i="13"/>
  <c r="H287" i="13"/>
  <c r="H288" i="13"/>
  <c r="H289" i="13"/>
  <c r="H306" i="13"/>
  <c r="H307" i="13"/>
  <c r="H332" i="13"/>
  <c r="H333" i="13"/>
  <c r="H349" i="13"/>
  <c r="H350" i="13"/>
  <c r="H365" i="13"/>
  <c r="H366" i="13"/>
  <c r="H379" i="13"/>
  <c r="H380" i="13"/>
  <c r="H391" i="13"/>
  <c r="H392" i="13"/>
  <c r="H406" i="13"/>
  <c r="H407" i="13"/>
  <c r="H421" i="13"/>
  <c r="H422" i="13"/>
  <c r="H438" i="13"/>
  <c r="H439" i="13"/>
  <c r="H453" i="13"/>
  <c r="H454" i="13"/>
  <c r="H468" i="13"/>
  <c r="H469" i="13"/>
  <c r="H483" i="13"/>
  <c r="H484" i="13"/>
  <c r="H498" i="13"/>
  <c r="H499" i="13"/>
  <c r="H515" i="13"/>
  <c r="H516" i="13"/>
  <c r="H530" i="13"/>
  <c r="H531" i="13"/>
  <c r="H545" i="13"/>
  <c r="H546" i="13"/>
  <c r="H560" i="13"/>
  <c r="H561" i="13"/>
  <c r="H566" i="13"/>
  <c r="H577" i="13"/>
  <c r="H578" i="13"/>
  <c r="H592" i="13"/>
  <c r="H593" i="13"/>
  <c r="H607" i="13"/>
  <c r="H608" i="13"/>
  <c r="H623" i="13"/>
  <c r="H624" i="13"/>
  <c r="H627" i="13"/>
  <c r="H647" i="13"/>
  <c r="S652" i="13"/>
  <c r="H654" i="13"/>
  <c r="H25" i="7"/>
  <c r="H27" i="7"/>
  <c r="H29" i="7"/>
  <c r="H33" i="7"/>
  <c r="H34" i="7"/>
  <c r="H49" i="7"/>
  <c r="H50" i="7"/>
  <c r="H52" i="7"/>
  <c r="H53" i="7"/>
  <c r="H54" i="7"/>
  <c r="H60" i="7"/>
  <c r="H61" i="7"/>
  <c r="H63" i="7"/>
  <c r="H67" i="7"/>
  <c r="H68" i="7"/>
  <c r="H75" i="7"/>
  <c r="H76" i="7"/>
  <c r="H77" i="7"/>
  <c r="H78" i="7"/>
  <c r="H82" i="7"/>
  <c r="H83" i="7"/>
  <c r="H84" i="7"/>
  <c r="H85" i="7"/>
  <c r="H89" i="7"/>
  <c r="H90" i="7"/>
  <c r="H91" i="7"/>
  <c r="H92" i="7"/>
  <c r="H93" i="7"/>
  <c r="H94" i="7"/>
  <c r="H95" i="7"/>
  <c r="H96" i="7"/>
  <c r="H110" i="7"/>
  <c r="H112" i="7"/>
  <c r="H121" i="7"/>
  <c r="H122" i="7"/>
  <c r="H125" i="7"/>
  <c r="H126" i="7"/>
  <c r="H128" i="7"/>
  <c r="H129" i="7"/>
  <c r="H148" i="7"/>
  <c r="H149" i="7"/>
  <c r="H150" i="7"/>
  <c r="H151" i="7"/>
  <c r="H152" i="7"/>
  <c r="H153" i="7"/>
  <c r="H154" i="7"/>
  <c r="H156" i="7"/>
  <c r="H157" i="7"/>
  <c r="H158" i="7"/>
  <c r="H159" i="7"/>
  <c r="H160" i="7"/>
  <c r="H161" i="7"/>
  <c r="H213" i="7"/>
  <c r="H214" i="7"/>
  <c r="H224" i="7"/>
  <c r="E228" i="7"/>
  <c r="K316" i="7" s="1"/>
  <c r="H241" i="7"/>
  <c r="H242" i="7"/>
  <c r="H250" i="7"/>
  <c r="H251" i="7"/>
  <c r="H258" i="7"/>
  <c r="H259" i="7"/>
  <c r="H262" i="7"/>
  <c r="H273" i="7"/>
  <c r="H275" i="7"/>
  <c r="H286" i="7"/>
  <c r="H293" i="7"/>
  <c r="E71" i="20"/>
  <c r="E312" i="7"/>
  <c r="C73" i="20" s="1"/>
  <c r="E75" i="20"/>
  <c r="E318" i="7"/>
  <c r="C78" i="20" s="1"/>
  <c r="H11" i="8"/>
  <c r="H14" i="8"/>
  <c r="H16" i="8"/>
  <c r="H19" i="8"/>
  <c r="H21" i="8"/>
  <c r="H22" i="8"/>
  <c r="H23" i="8"/>
  <c r="H24" i="8"/>
  <c r="H27" i="8"/>
  <c r="H28" i="8"/>
  <c r="H29" i="8"/>
  <c r="H30" i="8"/>
  <c r="H31" i="8"/>
  <c r="H32" i="8"/>
  <c r="H38" i="8"/>
  <c r="H43" i="8"/>
  <c r="H44" i="8"/>
  <c r="H45" i="8"/>
  <c r="H46" i="8"/>
  <c r="H49" i="8"/>
  <c r="H55" i="8"/>
  <c r="H56" i="8"/>
  <c r="H57" i="8"/>
  <c r="H58" i="8"/>
  <c r="H60" i="8"/>
  <c r="H75" i="8"/>
  <c r="H79" i="8"/>
  <c r="H80" i="8"/>
  <c r="H86" i="8"/>
  <c r="H87" i="8"/>
  <c r="H88" i="8"/>
  <c r="H89" i="8"/>
  <c r="H98" i="8"/>
  <c r="H99" i="8"/>
  <c r="H114" i="8"/>
  <c r="H115" i="8"/>
  <c r="H118" i="8"/>
  <c r="E122" i="8"/>
  <c r="C53" i="20" s="1"/>
  <c r="C54" i="20"/>
  <c r="D55" i="20"/>
  <c r="E55" i="20"/>
  <c r="H124" i="8"/>
  <c r="D56" i="20"/>
  <c r="G125" i="8"/>
  <c r="E56" i="20" s="1"/>
  <c r="E128" i="8"/>
  <c r="H9" i="27"/>
  <c r="H12" i="27"/>
  <c r="H19" i="27"/>
  <c r="H22" i="27"/>
  <c r="H27" i="27"/>
  <c r="H29" i="27"/>
  <c r="H30" i="27"/>
  <c r="H35" i="27"/>
  <c r="H38" i="27"/>
  <c r="F40" i="27"/>
  <c r="G40" i="27"/>
  <c r="H40" i="27"/>
  <c r="F41" i="27"/>
  <c r="G41" i="27"/>
  <c r="H41" i="27"/>
  <c r="F42" i="27"/>
  <c r="G42" i="27"/>
  <c r="H42" i="27"/>
  <c r="F47" i="27"/>
  <c r="G47" i="27"/>
  <c r="H47" i="27"/>
  <c r="I11" i="25"/>
  <c r="F13" i="25"/>
  <c r="G13" i="25"/>
  <c r="H13" i="25"/>
  <c r="I13" i="25"/>
  <c r="I14" i="25"/>
  <c r="I15" i="25"/>
  <c r="F16" i="25"/>
  <c r="G16" i="25"/>
  <c r="H16" i="25"/>
  <c r="F17" i="25"/>
  <c r="G17" i="25"/>
  <c r="H17" i="25"/>
  <c r="I17" i="25"/>
  <c r="F24" i="25"/>
  <c r="G24" i="25"/>
  <c r="H24" i="25"/>
  <c r="I24" i="25"/>
  <c r="F25" i="25"/>
  <c r="G25" i="25"/>
  <c r="H25" i="25"/>
  <c r="I25" i="25"/>
  <c r="I31" i="25"/>
  <c r="F32" i="25"/>
  <c r="G32" i="25"/>
  <c r="H32" i="25"/>
  <c r="I32" i="25"/>
  <c r="F33" i="25"/>
  <c r="G33" i="25"/>
  <c r="H33" i="25"/>
  <c r="I33" i="25"/>
  <c r="F38" i="25"/>
  <c r="F37" i="25"/>
  <c r="G38" i="25"/>
  <c r="G37" i="25"/>
  <c r="H38" i="25"/>
  <c r="H37" i="25"/>
  <c r="I37" i="25"/>
  <c r="I38" i="25"/>
  <c r="F39" i="25"/>
  <c r="G39" i="25"/>
  <c r="H39" i="25"/>
  <c r="I39" i="25"/>
  <c r="F44" i="25"/>
  <c r="G44" i="25"/>
  <c r="H44" i="25"/>
  <c r="I44" i="25"/>
  <c r="H10" i="9"/>
  <c r="H11" i="9"/>
  <c r="H12" i="9"/>
  <c r="H13" i="9"/>
  <c r="H16" i="9"/>
  <c r="H17" i="9"/>
  <c r="H18" i="9"/>
  <c r="H19" i="9"/>
  <c r="H24" i="9"/>
  <c r="H35" i="9"/>
  <c r="H42" i="9"/>
  <c r="H43" i="9"/>
  <c r="H53" i="9"/>
  <c r="H58" i="9"/>
  <c r="H61" i="9"/>
  <c r="H75" i="9"/>
  <c r="H76" i="9"/>
  <c r="H77" i="9"/>
  <c r="H80" i="9"/>
  <c r="H81" i="9"/>
  <c r="H82" i="9"/>
  <c r="H83" i="9"/>
  <c r="E94" i="9"/>
  <c r="C49" i="20" s="1"/>
  <c r="G94" i="9"/>
  <c r="E49" i="20" s="1"/>
  <c r="H12" i="10"/>
  <c r="H17" i="10"/>
  <c r="H24" i="10"/>
  <c r="H25" i="10"/>
  <c r="H26" i="10"/>
  <c r="H29" i="10"/>
  <c r="H30" i="10"/>
  <c r="D44" i="20"/>
  <c r="H10" i="11"/>
  <c r="H14" i="11"/>
  <c r="E20" i="11"/>
  <c r="E37" i="11" s="1"/>
  <c r="C37" i="20" s="1"/>
  <c r="H31" i="11"/>
  <c r="H32" i="11"/>
  <c r="E33" i="11"/>
  <c r="E38" i="11" s="1"/>
  <c r="C38" i="20" s="1"/>
  <c r="F38" i="11"/>
  <c r="G33" i="11"/>
  <c r="G38" i="11" s="1"/>
  <c r="E38" i="20" s="1"/>
  <c r="H11" i="4"/>
  <c r="E12" i="4"/>
  <c r="E23" i="4" s="1"/>
  <c r="F12" i="4"/>
  <c r="F16" i="4" s="1"/>
  <c r="D32" i="20" s="1"/>
  <c r="G12" i="4"/>
  <c r="G23" i="4" s="1"/>
  <c r="G16" i="4"/>
  <c r="E32" i="20" s="1"/>
  <c r="E17" i="4"/>
  <c r="C33" i="20"/>
  <c r="F17" i="4"/>
  <c r="D33" i="20"/>
  <c r="G17" i="4"/>
  <c r="E33" i="20"/>
  <c r="H10" i="5"/>
  <c r="H14" i="5"/>
  <c r="H15" i="5"/>
  <c r="H17" i="5"/>
  <c r="H20" i="5"/>
  <c r="H31" i="5"/>
  <c r="H32" i="5"/>
  <c r="H33" i="5"/>
  <c r="H34" i="5"/>
  <c r="H35" i="5"/>
  <c r="E36" i="5"/>
  <c r="E45" i="5" s="1"/>
  <c r="F42" i="5"/>
  <c r="G42" i="5"/>
  <c r="E30" i="20" s="1"/>
  <c r="H55" i="54"/>
  <c r="H56" i="54"/>
  <c r="H60" i="54"/>
  <c r="H69" i="54"/>
  <c r="H75" i="54"/>
  <c r="H76" i="54"/>
  <c r="H80" i="54"/>
  <c r="H82" i="54"/>
  <c r="H88" i="54"/>
  <c r="H89" i="54"/>
  <c r="H92" i="54"/>
  <c r="H93" i="54"/>
  <c r="H94" i="54"/>
  <c r="H95" i="54"/>
  <c r="H96" i="54"/>
  <c r="H97" i="54"/>
  <c r="H98" i="54"/>
  <c r="H100" i="54"/>
  <c r="H101" i="54"/>
  <c r="H102" i="54"/>
  <c r="H103" i="54"/>
  <c r="H104" i="54"/>
  <c r="H105" i="54"/>
  <c r="H106" i="54"/>
  <c r="H107" i="54"/>
  <c r="H110" i="54"/>
  <c r="H111" i="54"/>
  <c r="H114" i="54"/>
  <c r="H115" i="54"/>
  <c r="H118" i="54"/>
  <c r="H119" i="54"/>
  <c r="H120" i="54"/>
  <c r="H124" i="54"/>
  <c r="H125" i="54"/>
  <c r="H126" i="54"/>
  <c r="H127" i="54"/>
  <c r="H128" i="54"/>
  <c r="H129" i="54"/>
  <c r="H130" i="54"/>
  <c r="H133" i="54"/>
  <c r="H143" i="54"/>
  <c r="H147" i="54"/>
  <c r="H10" i="52"/>
  <c r="H38" i="52"/>
  <c r="F17" i="20"/>
  <c r="M1234" i="21"/>
  <c r="H1224" i="21"/>
  <c r="L1234" i="21"/>
  <c r="G1224" i="21"/>
  <c r="H29" i="49"/>
  <c r="G34" i="49"/>
  <c r="H34" i="49"/>
  <c r="C13" i="20"/>
  <c r="H54" i="54"/>
  <c r="H559" i="13"/>
  <c r="H73" i="54"/>
  <c r="H59" i="54"/>
  <c r="H79" i="54"/>
  <c r="H57" i="52"/>
  <c r="H159" i="54"/>
  <c r="H48" i="52"/>
  <c r="F18" i="20"/>
  <c r="E12" i="20"/>
  <c r="D96" i="20"/>
  <c r="D101" i="20"/>
  <c r="E101" i="20"/>
  <c r="H118" i="12"/>
  <c r="D13" i="20"/>
  <c r="I1224" i="21"/>
  <c r="E13" i="20"/>
  <c r="F16" i="20"/>
  <c r="H49" i="24"/>
  <c r="G118" i="24"/>
  <c r="E133" i="20" s="1"/>
  <c r="H32" i="12"/>
  <c r="E96" i="20"/>
  <c r="H112" i="12"/>
  <c r="E102" i="20"/>
  <c r="H119" i="12"/>
  <c r="D102" i="20"/>
  <c r="F113" i="12"/>
  <c r="D97" i="20" s="1"/>
  <c r="H51" i="12"/>
  <c r="H117" i="12"/>
  <c r="G159" i="15" l="1"/>
  <c r="E166" i="15"/>
  <c r="F166" i="15"/>
  <c r="C289" i="20"/>
  <c r="T111" i="20"/>
  <c r="T105" i="20"/>
  <c r="E279" i="20"/>
  <c r="E293" i="20"/>
  <c r="T51" i="20"/>
  <c r="L52" i="20"/>
  <c r="G289" i="20"/>
  <c r="S49" i="20"/>
  <c r="R51" i="20"/>
  <c r="K52" i="20"/>
  <c r="M52" i="20"/>
  <c r="R50" i="20"/>
  <c r="G60" i="20"/>
  <c r="I60" i="20"/>
  <c r="L80" i="7"/>
  <c r="G113" i="7" s="1"/>
  <c r="E300" i="7"/>
  <c r="C62" i="20" s="1"/>
  <c r="J321" i="7"/>
  <c r="K317" i="7"/>
  <c r="K318" i="7" s="1"/>
  <c r="J228" i="7"/>
  <c r="L228" i="7"/>
  <c r="K228" i="7"/>
  <c r="F611" i="13"/>
  <c r="F613" i="13" s="1"/>
  <c r="G611" i="13"/>
  <c r="G613" i="13" s="1"/>
  <c r="G583" i="13"/>
  <c r="F583" i="13"/>
  <c r="F549" i="13"/>
  <c r="F551" i="13" s="1"/>
  <c r="G534" i="13"/>
  <c r="G536" i="13" s="1"/>
  <c r="F534" i="13"/>
  <c r="F536" i="13" s="1"/>
  <c r="F502" i="13"/>
  <c r="F504" i="13" s="1"/>
  <c r="F487" i="13"/>
  <c r="F489" i="13" s="1"/>
  <c r="G487" i="13"/>
  <c r="G489" i="13" s="1"/>
  <c r="G472" i="13"/>
  <c r="G474" i="13" s="1"/>
  <c r="F444" i="13"/>
  <c r="H440" i="13"/>
  <c r="F410" i="13"/>
  <c r="F412" i="13" s="1"/>
  <c r="G410" i="13"/>
  <c r="G412" i="13" s="1"/>
  <c r="F355" i="13"/>
  <c r="F357" i="13" s="1"/>
  <c r="H357" i="13" s="1"/>
  <c r="F369" i="13"/>
  <c r="F371" i="13" s="1"/>
  <c r="G369" i="13"/>
  <c r="G371" i="13" s="1"/>
  <c r="G237" i="13"/>
  <c r="G239" i="13" s="1"/>
  <c r="F237" i="13"/>
  <c r="F239" i="13" s="1"/>
  <c r="G222" i="13"/>
  <c r="G224" i="13" s="1"/>
  <c r="F222" i="13"/>
  <c r="F207" i="13"/>
  <c r="F209" i="13" s="1"/>
  <c r="G207" i="13"/>
  <c r="G209" i="13" s="1"/>
  <c r="E162" i="13"/>
  <c r="E164" i="13" s="1"/>
  <c r="F177" i="13"/>
  <c r="F179" i="13" s="1"/>
  <c r="F162" i="13"/>
  <c r="F164" i="13" s="1"/>
  <c r="G130" i="13"/>
  <c r="G132" i="13" s="1"/>
  <c r="F32" i="20"/>
  <c r="C279" i="20"/>
  <c r="G385" i="13"/>
  <c r="E385" i="13"/>
  <c r="E196" i="55"/>
  <c r="E295" i="55"/>
  <c r="C113" i="20" s="1"/>
  <c r="E212" i="55"/>
  <c r="F228" i="55"/>
  <c r="F294" i="55"/>
  <c r="E228" i="55"/>
  <c r="C102" i="20"/>
  <c r="C123" i="20"/>
  <c r="R139" i="20" s="1"/>
  <c r="J168" i="15"/>
  <c r="F98" i="15"/>
  <c r="F165" i="15"/>
  <c r="E54" i="15"/>
  <c r="J63" i="15" s="1"/>
  <c r="E35" i="51"/>
  <c r="E40" i="51" s="1"/>
  <c r="F23" i="4"/>
  <c r="E16" i="4"/>
  <c r="D30" i="20"/>
  <c r="S50" i="20" s="1"/>
  <c r="D28" i="20"/>
  <c r="G105" i="20"/>
  <c r="G288" i="20"/>
  <c r="H287" i="20"/>
  <c r="G287" i="20"/>
  <c r="C27" i="20"/>
  <c r="R140" i="20"/>
  <c r="T140" i="20"/>
  <c r="S140" i="20"/>
  <c r="E157" i="54"/>
  <c r="E156" i="54" s="1"/>
  <c r="D25" i="20"/>
  <c r="S51" i="20" s="1"/>
  <c r="F157" i="54"/>
  <c r="F156" i="54" s="1"/>
  <c r="E25" i="20"/>
  <c r="C293" i="20"/>
  <c r="C16" i="31" s="1"/>
  <c r="S108" i="20"/>
  <c r="R107" i="20"/>
  <c r="R108" i="20"/>
  <c r="T108" i="20"/>
  <c r="R55" i="20"/>
  <c r="H66" i="7"/>
  <c r="E307" i="7"/>
  <c r="C69" i="20" s="1"/>
  <c r="M273" i="20"/>
  <c r="E123" i="20"/>
  <c r="F123" i="20" s="1"/>
  <c r="L168" i="15"/>
  <c r="F81" i="15"/>
  <c r="F196" i="55"/>
  <c r="D113" i="20"/>
  <c r="E172" i="55"/>
  <c r="F212" i="55"/>
  <c r="G212" i="55"/>
  <c r="G294" i="55"/>
  <c r="L149" i="55"/>
  <c r="M149" i="55"/>
  <c r="G111" i="12"/>
  <c r="G124" i="12" s="1"/>
  <c r="H113" i="12"/>
  <c r="F111" i="12"/>
  <c r="E111" i="12"/>
  <c r="H341" i="13"/>
  <c r="E395" i="13"/>
  <c r="H622" i="13"/>
  <c r="H37" i="13"/>
  <c r="H519" i="13"/>
  <c r="H19" i="13"/>
  <c r="G296" i="13"/>
  <c r="H296" i="13" s="1"/>
  <c r="H125" i="13"/>
  <c r="H140" i="13"/>
  <c r="H252" i="13"/>
  <c r="H348" i="13"/>
  <c r="H364" i="13"/>
  <c r="H405" i="13"/>
  <c r="H172" i="13"/>
  <c r="H378" i="13"/>
  <c r="H497" i="13"/>
  <c r="H591" i="13"/>
  <c r="H305" i="13"/>
  <c r="F132" i="13"/>
  <c r="H427" i="13"/>
  <c r="H457" i="13"/>
  <c r="H395" i="13"/>
  <c r="H420" i="13"/>
  <c r="H312" i="13"/>
  <c r="H187" i="13"/>
  <c r="H157" i="13"/>
  <c r="H217" i="13"/>
  <c r="H314" i="13"/>
  <c r="H467" i="13"/>
  <c r="H482" i="13"/>
  <c r="H529" i="13"/>
  <c r="H568" i="13"/>
  <c r="F645" i="13"/>
  <c r="F644" i="13" s="1"/>
  <c r="H63" i="13"/>
  <c r="H192" i="13"/>
  <c r="H514" i="13"/>
  <c r="H452" i="13"/>
  <c r="H232" i="13"/>
  <c r="H442" i="13"/>
  <c r="G444" i="13"/>
  <c r="H271" i="13"/>
  <c r="H581" i="13"/>
  <c r="H629" i="13"/>
  <c r="G551" i="13"/>
  <c r="H437" i="13"/>
  <c r="H390" i="13"/>
  <c r="H576" i="13"/>
  <c r="H544" i="13"/>
  <c r="H202" i="13"/>
  <c r="F474" i="13"/>
  <c r="G164" i="13"/>
  <c r="H606" i="13"/>
  <c r="H264" i="13"/>
  <c r="C274" i="20"/>
  <c r="E24" i="97"/>
  <c r="E29" i="97" s="1"/>
  <c r="C276" i="20"/>
  <c r="H78" i="24"/>
  <c r="G119" i="24"/>
  <c r="H15" i="23"/>
  <c r="E121" i="8"/>
  <c r="H125" i="8"/>
  <c r="G123" i="8"/>
  <c r="E54" i="20" s="1"/>
  <c r="E44" i="20"/>
  <c r="F44" i="20" s="1"/>
  <c r="D38" i="20"/>
  <c r="F38" i="20" s="1"/>
  <c r="H38" i="11"/>
  <c r="H33" i="11"/>
  <c r="F43" i="11"/>
  <c r="F37" i="11"/>
  <c r="D37" i="20" s="1"/>
  <c r="H20" i="11"/>
  <c r="E43" i="11"/>
  <c r="G43" i="11"/>
  <c r="G37" i="11"/>
  <c r="E36" i="11"/>
  <c r="H16" i="4"/>
  <c r="G15" i="4"/>
  <c r="H12" i="4"/>
  <c r="F15" i="4"/>
  <c r="H15" i="4" s="1"/>
  <c r="E40" i="5"/>
  <c r="E38" i="5" s="1"/>
  <c r="H42" i="5"/>
  <c r="H158" i="54"/>
  <c r="H161" i="54"/>
  <c r="E9" i="20"/>
  <c r="G52" i="52"/>
  <c r="H52" i="52" s="1"/>
  <c r="H60" i="52"/>
  <c r="H291" i="20"/>
  <c r="I291" i="20"/>
  <c r="E124" i="24"/>
  <c r="F46" i="10"/>
  <c r="F45" i="10" s="1"/>
  <c r="E46" i="10"/>
  <c r="G46" i="10"/>
  <c r="G45" i="10" s="1"/>
  <c r="F22" i="20"/>
  <c r="G119" i="20"/>
  <c r="F97" i="20"/>
  <c r="E95" i="20"/>
  <c r="F98" i="20"/>
  <c r="F273" i="20"/>
  <c r="I82" i="20"/>
  <c r="I105" i="20"/>
  <c r="G94" i="20"/>
  <c r="H82" i="20"/>
  <c r="G82" i="20"/>
  <c r="H94" i="20"/>
  <c r="C36" i="20"/>
  <c r="I94" i="20"/>
  <c r="I119" i="20"/>
  <c r="F86" i="20"/>
  <c r="H60" i="20"/>
  <c r="H105" i="20"/>
  <c r="E100" i="20"/>
  <c r="D31" i="20"/>
  <c r="F104" i="20"/>
  <c r="F96" i="20"/>
  <c r="M274" i="20"/>
  <c r="E31" i="20"/>
  <c r="F55" i="20"/>
  <c r="C52" i="20"/>
  <c r="F92" i="20"/>
  <c r="M275" i="20"/>
  <c r="C7" i="20"/>
  <c r="D95" i="20"/>
  <c r="F130" i="20"/>
  <c r="C95" i="20"/>
  <c r="F13" i="20"/>
  <c r="F101" i="20"/>
  <c r="F56" i="20"/>
  <c r="D100" i="20"/>
  <c r="F12" i="20"/>
  <c r="F102" i="20"/>
  <c r="C247" i="20"/>
  <c r="E247" i="20"/>
  <c r="E222" i="20"/>
  <c r="C233" i="20"/>
  <c r="F223" i="20"/>
  <c r="D247" i="20"/>
  <c r="D289" i="20" s="1"/>
  <c r="D222" i="20"/>
  <c r="C238" i="20"/>
  <c r="D233" i="20"/>
  <c r="E233" i="20"/>
  <c r="F234" i="20"/>
  <c r="F218" i="20"/>
  <c r="C222" i="20"/>
  <c r="G217" i="20"/>
  <c r="E217" i="20"/>
  <c r="I238" i="20"/>
  <c r="F204" i="20"/>
  <c r="E238" i="20"/>
  <c r="D217" i="20"/>
  <c r="D238" i="20"/>
  <c r="D212" i="20"/>
  <c r="C197" i="20"/>
  <c r="C217" i="20"/>
  <c r="I217" i="20"/>
  <c r="D197" i="20"/>
  <c r="E202" i="20"/>
  <c r="C212" i="20"/>
  <c r="E197" i="20"/>
  <c r="C202" i="20"/>
  <c r="D202" i="20"/>
  <c r="E212" i="20"/>
  <c r="F203" i="20"/>
  <c r="F198" i="20"/>
  <c r="F182" i="20"/>
  <c r="D164" i="20"/>
  <c r="I188" i="20"/>
  <c r="F166" i="20"/>
  <c r="F176" i="20"/>
  <c r="F175" i="20"/>
  <c r="C174" i="20"/>
  <c r="D174" i="20"/>
  <c r="E174" i="20"/>
  <c r="C169" i="20"/>
  <c r="D169" i="20"/>
  <c r="E169" i="20"/>
  <c r="C164" i="20"/>
  <c r="E164" i="20"/>
  <c r="I142" i="20"/>
  <c r="G142" i="20"/>
  <c r="F144" i="20"/>
  <c r="E142" i="20"/>
  <c r="F142" i="20" s="1"/>
  <c r="H142" i="20"/>
  <c r="H279" i="20"/>
  <c r="H299" i="20" s="1"/>
  <c r="H59" i="7"/>
  <c r="F312" i="7"/>
  <c r="F311" i="7" s="1"/>
  <c r="H239" i="7"/>
  <c r="H21" i="7"/>
  <c r="H253" i="7"/>
  <c r="H51" i="7"/>
  <c r="D70" i="20"/>
  <c r="S107" i="20" s="1"/>
  <c r="F307" i="7"/>
  <c r="D69" i="20" s="1"/>
  <c r="H48" i="7"/>
  <c r="E306" i="7"/>
  <c r="C68" i="20" s="1"/>
  <c r="H147" i="7"/>
  <c r="C72" i="20"/>
  <c r="G318" i="7"/>
  <c r="H81" i="7"/>
  <c r="E317" i="7"/>
  <c r="F75" i="20"/>
  <c r="F318" i="7"/>
  <c r="D78" i="20" s="1"/>
  <c r="D77" i="20" s="1"/>
  <c r="H314" i="7"/>
  <c r="H260" i="7"/>
  <c r="H272" i="7"/>
  <c r="E311" i="7"/>
  <c r="F80" i="20"/>
  <c r="H132" i="7"/>
  <c r="C77" i="20"/>
  <c r="H301" i="7"/>
  <c r="H320" i="7"/>
  <c r="H223" i="7"/>
  <c r="G307" i="7"/>
  <c r="H228" i="7"/>
  <c r="H163" i="7"/>
  <c r="D63" i="20"/>
  <c r="F63" i="20" s="1"/>
  <c r="K63" i="15"/>
  <c r="H42" i="15"/>
  <c r="E146" i="15"/>
  <c r="H258" i="55"/>
  <c r="E108" i="20"/>
  <c r="F108" i="20" s="1"/>
  <c r="H210" i="55"/>
  <c r="E287" i="55"/>
  <c r="H43" i="55"/>
  <c r="H242" i="55"/>
  <c r="H194" i="55"/>
  <c r="H226" i="55"/>
  <c r="G196" i="55"/>
  <c r="H228" i="55"/>
  <c r="C107" i="20"/>
  <c r="H172" i="55"/>
  <c r="H236" i="55"/>
  <c r="H268" i="55"/>
  <c r="H272" i="55"/>
  <c r="F114" i="20"/>
  <c r="H123" i="55"/>
  <c r="H32" i="55"/>
  <c r="E98" i="15"/>
  <c r="H133" i="15"/>
  <c r="D128" i="20"/>
  <c r="F128" i="20" s="1"/>
  <c r="E81" i="15"/>
  <c r="G166" i="15"/>
  <c r="H168" i="15"/>
  <c r="H118" i="15"/>
  <c r="H75" i="15"/>
  <c r="H91" i="15"/>
  <c r="H162" i="15"/>
  <c r="H63" i="15"/>
  <c r="H10" i="15"/>
  <c r="H79" i="15"/>
  <c r="H13" i="15"/>
  <c r="G98" i="15"/>
  <c r="H90" i="15"/>
  <c r="F146" i="15"/>
  <c r="D127" i="20"/>
  <c r="D297" i="20" s="1"/>
  <c r="H95" i="15"/>
  <c r="E167" i="15"/>
  <c r="C127" i="20" s="1"/>
  <c r="G112" i="15"/>
  <c r="H112" i="15" s="1"/>
  <c r="H111" i="15"/>
  <c r="E122" i="20"/>
  <c r="H161" i="15"/>
  <c r="H104" i="15"/>
  <c r="H144" i="15"/>
  <c r="H88" i="15"/>
  <c r="H74" i="15"/>
  <c r="H70" i="15"/>
  <c r="E645" i="13"/>
  <c r="D133" i="20"/>
  <c r="H118" i="24"/>
  <c r="E274" i="20"/>
  <c r="H38" i="51"/>
  <c r="G35" i="51"/>
  <c r="D274" i="20"/>
  <c r="D272" i="20" s="1"/>
  <c r="F35" i="51"/>
  <c r="F40" i="51" s="1"/>
  <c r="H32" i="51"/>
  <c r="H21" i="97"/>
  <c r="D276" i="20"/>
  <c r="F24" i="97"/>
  <c r="F29" i="97" s="1"/>
  <c r="H89" i="9"/>
  <c r="F94" i="9"/>
  <c r="F92" i="9" s="1"/>
  <c r="F97" i="9"/>
  <c r="E93" i="9"/>
  <c r="E97" i="9"/>
  <c r="D48" i="20"/>
  <c r="H62" i="9"/>
  <c r="G93" i="9"/>
  <c r="G97" i="9"/>
  <c r="H40" i="10"/>
  <c r="G45" i="5"/>
  <c r="G40" i="5"/>
  <c r="H36" i="5"/>
  <c r="F45" i="5"/>
  <c r="H21" i="5"/>
  <c r="F39" i="5"/>
  <c r="D7" i="20"/>
  <c r="F193" i="20"/>
  <c r="C192" i="20"/>
  <c r="D192" i="20"/>
  <c r="G192" i="20"/>
  <c r="I192" i="20"/>
  <c r="E192" i="20"/>
  <c r="H192" i="20"/>
  <c r="M279" i="20"/>
  <c r="I299" i="20" s="1"/>
  <c r="D188" i="20"/>
  <c r="H188" i="20"/>
  <c r="G188" i="20"/>
  <c r="F189" i="20"/>
  <c r="C188" i="20"/>
  <c r="E180" i="20"/>
  <c r="F181" i="20"/>
  <c r="D180" i="20"/>
  <c r="C180" i="20"/>
  <c r="F128" i="8"/>
  <c r="H90" i="8"/>
  <c r="G128" i="8"/>
  <c r="G122" i="8"/>
  <c r="D54" i="20"/>
  <c r="F190" i="20"/>
  <c r="E188" i="20"/>
  <c r="G25" i="97"/>
  <c r="F228" i="20"/>
  <c r="E227" i="20"/>
  <c r="D227" i="20"/>
  <c r="C227" i="20"/>
  <c r="O288" i="20" l="1"/>
  <c r="O289" i="20" s="1"/>
  <c r="T48" i="20"/>
  <c r="C299" i="20"/>
  <c r="C29" i="31" s="1"/>
  <c r="E289" i="20"/>
  <c r="E12" i="31" s="1"/>
  <c r="M110" i="20"/>
  <c r="K110" i="20"/>
  <c r="D279" i="20"/>
  <c r="F279" i="20" s="1"/>
  <c r="L110" i="20"/>
  <c r="E16" i="31"/>
  <c r="F31" i="20"/>
  <c r="G300" i="7"/>
  <c r="G299" i="7" s="1"/>
  <c r="L321" i="7"/>
  <c r="M317" i="7"/>
  <c r="M318" i="7" s="1"/>
  <c r="H611" i="13"/>
  <c r="H549" i="13"/>
  <c r="H579" i="13"/>
  <c r="H551" i="13"/>
  <c r="H534" i="13"/>
  <c r="H487" i="13"/>
  <c r="H444" i="13"/>
  <c r="H410" i="13"/>
  <c r="H412" i="13"/>
  <c r="J383" i="13"/>
  <c r="L383" i="13"/>
  <c r="H355" i="13"/>
  <c r="H369" i="13"/>
  <c r="H177" i="13"/>
  <c r="H237" i="13"/>
  <c r="H222" i="13"/>
  <c r="F224" i="13"/>
  <c r="H224" i="13" s="1"/>
  <c r="H207" i="13"/>
  <c r="F385" i="13"/>
  <c r="H385" i="13" s="1"/>
  <c r="H196" i="55"/>
  <c r="D126" i="20"/>
  <c r="F30" i="20"/>
  <c r="H43" i="11"/>
  <c r="E15" i="4"/>
  <c r="C32" i="20"/>
  <c r="C31" i="20" s="1"/>
  <c r="H289" i="20"/>
  <c r="H292" i="20" s="1"/>
  <c r="H294" i="20" s="1"/>
  <c r="H307" i="20" s="1"/>
  <c r="H278" i="20"/>
  <c r="I292" i="20"/>
  <c r="I294" i="20" s="1"/>
  <c r="I307" i="20" s="1"/>
  <c r="G292" i="20"/>
  <c r="G294" i="20" s="1"/>
  <c r="G307" i="20" s="1"/>
  <c r="G278" i="20"/>
  <c r="C28" i="20"/>
  <c r="C12" i="31"/>
  <c r="S278" i="20"/>
  <c r="T139" i="20"/>
  <c r="S139" i="20"/>
  <c r="S55" i="20"/>
  <c r="D299" i="20" s="1"/>
  <c r="D29" i="31" s="1"/>
  <c r="D293" i="20"/>
  <c r="D16" i="31" s="1"/>
  <c r="F25" i="20"/>
  <c r="T55" i="20"/>
  <c r="D12" i="31"/>
  <c r="F238" i="20"/>
  <c r="F247" i="20"/>
  <c r="E299" i="7"/>
  <c r="C67" i="20"/>
  <c r="D62" i="20"/>
  <c r="C106" i="20"/>
  <c r="C272" i="20"/>
  <c r="F124" i="12"/>
  <c r="H124" i="12" s="1"/>
  <c r="H111" i="12"/>
  <c r="H596" i="13"/>
  <c r="H598" i="13"/>
  <c r="H489" i="13"/>
  <c r="H474" i="13"/>
  <c r="H371" i="13"/>
  <c r="H631" i="13"/>
  <c r="H194" i="13"/>
  <c r="H397" i="13"/>
  <c r="H459" i="13"/>
  <c r="H583" i="13"/>
  <c r="H278" i="13"/>
  <c r="H254" i="13"/>
  <c r="H521" i="13"/>
  <c r="H132" i="13"/>
  <c r="H429" i="13"/>
  <c r="D91" i="20"/>
  <c r="S112" i="20" s="1"/>
  <c r="H239" i="13"/>
  <c r="G179" i="13"/>
  <c r="H179" i="13" s="1"/>
  <c r="H536" i="13"/>
  <c r="H383" i="13"/>
  <c r="H130" i="13"/>
  <c r="H209" i="13"/>
  <c r="H147" i="13"/>
  <c r="H149" i="13"/>
  <c r="H99" i="13"/>
  <c r="H613" i="13"/>
  <c r="D84" i="20"/>
  <c r="D83" i="20" s="1"/>
  <c r="E91" i="20"/>
  <c r="H472" i="13"/>
  <c r="H164" i="13"/>
  <c r="H162" i="13"/>
  <c r="G504" i="13"/>
  <c r="H504" i="13" s="1"/>
  <c r="H502" i="13"/>
  <c r="C275" i="20"/>
  <c r="C290" i="20" s="1"/>
  <c r="C13" i="31" s="1"/>
  <c r="E119" i="24"/>
  <c r="E116" i="24" s="1"/>
  <c r="H114" i="24"/>
  <c r="G124" i="24"/>
  <c r="H123" i="8"/>
  <c r="H128" i="8"/>
  <c r="H51" i="10"/>
  <c r="D36" i="20"/>
  <c r="F36" i="11"/>
  <c r="H37" i="11"/>
  <c r="E37" i="20"/>
  <c r="G36" i="11"/>
  <c r="H45" i="5"/>
  <c r="E163" i="54"/>
  <c r="C21" i="20"/>
  <c r="H97" i="9"/>
  <c r="D291" i="20"/>
  <c r="D14" i="31" s="1"/>
  <c r="F124" i="24"/>
  <c r="F119" i="24"/>
  <c r="H119" i="24" s="1"/>
  <c r="C42" i="20"/>
  <c r="C41" i="20" s="1"/>
  <c r="E45" i="10"/>
  <c r="C61" i="20"/>
  <c r="C60" i="20" s="1"/>
  <c r="G279" i="20"/>
  <c r="G299" i="20" s="1"/>
  <c r="F122" i="20"/>
  <c r="E94" i="20"/>
  <c r="F100" i="20"/>
  <c r="F95" i="20"/>
  <c r="D94" i="20"/>
  <c r="F202" i="20"/>
  <c r="F233" i="20"/>
  <c r="F222" i="20"/>
  <c r="F217" i="20"/>
  <c r="F197" i="20"/>
  <c r="F192" i="20"/>
  <c r="F164" i="20"/>
  <c r="F174" i="20"/>
  <c r="F169" i="20"/>
  <c r="D73" i="20"/>
  <c r="D72" i="20" s="1"/>
  <c r="H266" i="7"/>
  <c r="E305" i="7"/>
  <c r="J323" i="7" s="1"/>
  <c r="J320" i="7" s="1"/>
  <c r="G312" i="7"/>
  <c r="E73" i="20" s="1"/>
  <c r="H296" i="7"/>
  <c r="F317" i="7"/>
  <c r="E70" i="20"/>
  <c r="H308" i="7"/>
  <c r="G306" i="7"/>
  <c r="E78" i="20"/>
  <c r="E77" i="20" s="1"/>
  <c r="F77" i="20" s="1"/>
  <c r="G317" i="7"/>
  <c r="E69" i="20"/>
  <c r="F69" i="20" s="1"/>
  <c r="H307" i="7"/>
  <c r="H215" i="7"/>
  <c r="H244" i="55"/>
  <c r="H212" i="55"/>
  <c r="H260" i="55"/>
  <c r="H274" i="55"/>
  <c r="F160" i="15"/>
  <c r="F159" i="15" s="1"/>
  <c r="H141" i="15"/>
  <c r="G81" i="15"/>
  <c r="H81" i="15" s="1"/>
  <c r="H98" i="15"/>
  <c r="G146" i="15"/>
  <c r="H146" i="15" s="1"/>
  <c r="H54" i="15"/>
  <c r="L63" i="15"/>
  <c r="E160" i="15"/>
  <c r="C121" i="20" s="1"/>
  <c r="H125" i="15"/>
  <c r="F127" i="15"/>
  <c r="H127" i="15" s="1"/>
  <c r="G167" i="15"/>
  <c r="G165" i="15" s="1"/>
  <c r="G172" i="15" s="1"/>
  <c r="E121" i="20"/>
  <c r="C126" i="20"/>
  <c r="E165" i="15"/>
  <c r="E126" i="20"/>
  <c r="G287" i="55"/>
  <c r="H129" i="55"/>
  <c r="E112" i="20"/>
  <c r="G293" i="55"/>
  <c r="G301" i="55" s="1"/>
  <c r="E113" i="20"/>
  <c r="H295" i="55"/>
  <c r="D112" i="20"/>
  <c r="F293" i="55"/>
  <c r="H294" i="55"/>
  <c r="C112" i="20"/>
  <c r="E293" i="55"/>
  <c r="E301" i="55" s="1"/>
  <c r="E117" i="12"/>
  <c r="E124" i="12" s="1"/>
  <c r="C101" i="20"/>
  <c r="E644" i="13"/>
  <c r="C84" i="20"/>
  <c r="C83" i="20" s="1"/>
  <c r="E134" i="20"/>
  <c r="G116" i="24"/>
  <c r="F133" i="20"/>
  <c r="H35" i="51"/>
  <c r="G40" i="51"/>
  <c r="H40" i="51" s="1"/>
  <c r="F274" i="20"/>
  <c r="E272" i="20"/>
  <c r="D275" i="20"/>
  <c r="E48" i="20"/>
  <c r="H93" i="9"/>
  <c r="G92" i="9"/>
  <c r="H92" i="9" s="1"/>
  <c r="C48" i="20"/>
  <c r="E92" i="9"/>
  <c r="D49" i="20"/>
  <c r="D47" i="20" s="1"/>
  <c r="H94" i="9"/>
  <c r="H46" i="10"/>
  <c r="E42" i="20"/>
  <c r="D42" i="20"/>
  <c r="D41" i="20" s="1"/>
  <c r="G38" i="5"/>
  <c r="E28" i="20"/>
  <c r="F38" i="5"/>
  <c r="D27" i="20"/>
  <c r="H39" i="5"/>
  <c r="D21" i="20"/>
  <c r="F8" i="20"/>
  <c r="H53" i="52"/>
  <c r="E7" i="20"/>
  <c r="F194" i="20"/>
  <c r="G298" i="20"/>
  <c r="G300" i="20" s="1"/>
  <c r="F180" i="20"/>
  <c r="E84" i="20"/>
  <c r="E83" i="20" s="1"/>
  <c r="H645" i="13"/>
  <c r="H113" i="7"/>
  <c r="F54" i="20"/>
  <c r="E53" i="20"/>
  <c r="G121" i="8"/>
  <c r="H122" i="8"/>
  <c r="D53" i="20"/>
  <c r="F121" i="8"/>
  <c r="F188" i="20"/>
  <c r="E276" i="20"/>
  <c r="G24" i="97"/>
  <c r="H25" i="97"/>
  <c r="F227" i="20"/>
  <c r="T137" i="20" l="1"/>
  <c r="C100" i="20"/>
  <c r="C94" i="20" s="1"/>
  <c r="R105" i="20"/>
  <c r="E299" i="20"/>
  <c r="E29" i="31" s="1"/>
  <c r="F29" i="31" s="1"/>
  <c r="T54" i="20"/>
  <c r="T52" i="20"/>
  <c r="C26" i="20"/>
  <c r="R48" i="20"/>
  <c r="R54" i="20" s="1"/>
  <c r="S53" i="20"/>
  <c r="S47" i="20"/>
  <c r="R47" i="20"/>
  <c r="R52" i="20" s="1"/>
  <c r="R53" i="20"/>
  <c r="S48" i="20"/>
  <c r="S54" i="20" s="1"/>
  <c r="E324" i="7"/>
  <c r="T143" i="20"/>
  <c r="E296" i="20" s="1"/>
  <c r="C134" i="20"/>
  <c r="R144" i="20" s="1"/>
  <c r="R143" i="20"/>
  <c r="G280" i="20"/>
  <c r="R137" i="20"/>
  <c r="D20" i="20"/>
  <c r="T278" i="20"/>
  <c r="S106" i="20"/>
  <c r="C111" i="20"/>
  <c r="C105" i="20" s="1"/>
  <c r="F70" i="20"/>
  <c r="T107" i="20"/>
  <c r="T106" i="20"/>
  <c r="T112" i="20"/>
  <c r="C291" i="20"/>
  <c r="C14" i="31" s="1"/>
  <c r="E132" i="20"/>
  <c r="F113" i="20"/>
  <c r="E653" i="13"/>
  <c r="C91" i="20" s="1"/>
  <c r="C90" i="20"/>
  <c r="E90" i="20"/>
  <c r="H124" i="24"/>
  <c r="H36" i="11"/>
  <c r="F37" i="20"/>
  <c r="E36" i="20"/>
  <c r="F36" i="20" s="1"/>
  <c r="I298" i="20"/>
  <c r="I300" i="20" s="1"/>
  <c r="F16" i="31"/>
  <c r="C125" i="20"/>
  <c r="F7" i="20"/>
  <c r="D290" i="20"/>
  <c r="D13" i="31" s="1"/>
  <c r="D134" i="20"/>
  <c r="F116" i="24"/>
  <c r="H116" i="24" s="1"/>
  <c r="H280" i="20"/>
  <c r="I280" i="20"/>
  <c r="C47" i="20"/>
  <c r="F94" i="20"/>
  <c r="H298" i="20"/>
  <c r="H300" i="20" s="1"/>
  <c r="H312" i="7"/>
  <c r="G311" i="7"/>
  <c r="H311" i="7" s="1"/>
  <c r="H317" i="7"/>
  <c r="G305" i="7"/>
  <c r="H306" i="7"/>
  <c r="E68" i="20"/>
  <c r="D68" i="20"/>
  <c r="D67" i="20" s="1"/>
  <c r="F305" i="7"/>
  <c r="K323" i="7" s="1"/>
  <c r="K320" i="7" s="1"/>
  <c r="F73" i="20"/>
  <c r="E72" i="20"/>
  <c r="F72" i="20" s="1"/>
  <c r="D121" i="20"/>
  <c r="H160" i="15"/>
  <c r="E159" i="15"/>
  <c r="E172" i="15" s="1"/>
  <c r="F172" i="15"/>
  <c r="H166" i="15"/>
  <c r="H159" i="15"/>
  <c r="E120" i="20"/>
  <c r="C120" i="20"/>
  <c r="E127" i="20"/>
  <c r="H167" i="15"/>
  <c r="F126" i="20"/>
  <c r="D125" i="20"/>
  <c r="D107" i="20"/>
  <c r="F287" i="55"/>
  <c r="E107" i="20"/>
  <c r="H288" i="55"/>
  <c r="H287" i="55" s="1"/>
  <c r="E111" i="20"/>
  <c r="H293" i="55"/>
  <c r="F112" i="20"/>
  <c r="D111" i="20"/>
  <c r="F91" i="20"/>
  <c r="E291" i="20"/>
  <c r="E14" i="31" s="1"/>
  <c r="F272" i="20"/>
  <c r="F49" i="20"/>
  <c r="F48" i="20"/>
  <c r="E47" i="20"/>
  <c r="H45" i="10"/>
  <c r="E41" i="20"/>
  <c r="F41" i="20" s="1"/>
  <c r="F42" i="20"/>
  <c r="F28" i="20"/>
  <c r="E26" i="20"/>
  <c r="D26" i="20"/>
  <c r="F27" i="20"/>
  <c r="C20" i="20"/>
  <c r="H644" i="13"/>
  <c r="F84" i="20"/>
  <c r="D61" i="20"/>
  <c r="H300" i="7"/>
  <c r="E62" i="20"/>
  <c r="E61" i="20" s="1"/>
  <c r="D52" i="20"/>
  <c r="H121" i="8"/>
  <c r="E52" i="20"/>
  <c r="F53" i="20"/>
  <c r="G29" i="97"/>
  <c r="H29" i="97" s="1"/>
  <c r="H24" i="97"/>
  <c r="E275" i="20"/>
  <c r="F276" i="20"/>
  <c r="T138" i="20" l="1"/>
  <c r="E297" i="20"/>
  <c r="E27" i="31" s="1"/>
  <c r="C296" i="20"/>
  <c r="S56" i="20"/>
  <c r="T142" i="20"/>
  <c r="C287" i="20"/>
  <c r="S52" i="20"/>
  <c r="C132" i="20"/>
  <c r="R138" i="20"/>
  <c r="R142" i="20" s="1"/>
  <c r="R146" i="20"/>
  <c r="R111" i="20"/>
  <c r="S137" i="20"/>
  <c r="S143" i="20"/>
  <c r="S144" i="20"/>
  <c r="S138" i="20"/>
  <c r="T144" i="20"/>
  <c r="T146" i="20" s="1"/>
  <c r="R56" i="20"/>
  <c r="R106" i="20"/>
  <c r="R112" i="20"/>
  <c r="C297" i="20" s="1"/>
  <c r="L323" i="7"/>
  <c r="F324" i="7"/>
  <c r="D106" i="20"/>
  <c r="D105" i="20" s="1"/>
  <c r="F14" i="31"/>
  <c r="H652" i="13"/>
  <c r="E651" i="13"/>
  <c r="E657" i="13" s="1"/>
  <c r="G651" i="13"/>
  <c r="F134" i="20"/>
  <c r="D132" i="20"/>
  <c r="F47" i="20"/>
  <c r="E290" i="20"/>
  <c r="E13" i="31" s="1"/>
  <c r="F52" i="20"/>
  <c r="F127" i="20"/>
  <c r="F121" i="20"/>
  <c r="D120" i="20"/>
  <c r="C119" i="20"/>
  <c r="F26" i="20"/>
  <c r="H305" i="7"/>
  <c r="F68" i="20"/>
  <c r="E67" i="20"/>
  <c r="E60" i="20" s="1"/>
  <c r="D60" i="20"/>
  <c r="H165" i="15"/>
  <c r="H172" i="15"/>
  <c r="E125" i="20"/>
  <c r="E119" i="20" s="1"/>
  <c r="E278" i="20" s="1"/>
  <c r="H301" i="55"/>
  <c r="E106" i="20"/>
  <c r="F107" i="20"/>
  <c r="F111" i="20"/>
  <c r="C89" i="20"/>
  <c r="C288" i="20" s="1"/>
  <c r="E89" i="20"/>
  <c r="E82" i="20" s="1"/>
  <c r="F83" i="20"/>
  <c r="H299" i="7"/>
  <c r="G324" i="7"/>
  <c r="F62" i="20"/>
  <c r="F12" i="31"/>
  <c r="F275" i="20"/>
  <c r="H134" i="54"/>
  <c r="C26" i="31" l="1"/>
  <c r="C10" i="31"/>
  <c r="T114" i="20"/>
  <c r="S142" i="20"/>
  <c r="R114" i="20"/>
  <c r="C27" i="31"/>
  <c r="D27" i="31"/>
  <c r="S146" i="20"/>
  <c r="E288" i="20"/>
  <c r="E11" i="31" s="1"/>
  <c r="C11" i="31"/>
  <c r="D287" i="20"/>
  <c r="D10" i="31" s="1"/>
  <c r="F106" i="20"/>
  <c r="F657" i="13"/>
  <c r="D90" i="20"/>
  <c r="H157" i="54"/>
  <c r="E21" i="20"/>
  <c r="F13" i="31"/>
  <c r="F67" i="20"/>
  <c r="F132" i="20"/>
  <c r="D119" i="20"/>
  <c r="F120" i="20"/>
  <c r="H324" i="7"/>
  <c r="L320" i="7"/>
  <c r="F125" i="20"/>
  <c r="E105" i="20"/>
  <c r="C82" i="20"/>
  <c r="C278" i="20" s="1"/>
  <c r="F61" i="20"/>
  <c r="H156" i="54"/>
  <c r="G163" i="54"/>
  <c r="H163" i="54" s="1"/>
  <c r="C28" i="31" l="1"/>
  <c r="C30" i="31" s="1"/>
  <c r="E20" i="20"/>
  <c r="R110" i="20"/>
  <c r="C280" i="20"/>
  <c r="T110" i="20"/>
  <c r="C15" i="31"/>
  <c r="C17" i="31" s="1"/>
  <c r="S111" i="20"/>
  <c r="D296" i="20" s="1"/>
  <c r="S105" i="20"/>
  <c r="C298" i="20"/>
  <c r="C300" i="20" s="1"/>
  <c r="F105" i="20"/>
  <c r="D89" i="20"/>
  <c r="D288" i="20" s="1"/>
  <c r="D11" i="31" s="1"/>
  <c r="F90" i="20"/>
  <c r="H657" i="13"/>
  <c r="H651" i="13"/>
  <c r="F21" i="20"/>
  <c r="F119" i="20"/>
  <c r="C292" i="20"/>
  <c r="C294" i="20" s="1"/>
  <c r="C307" i="20" s="1"/>
  <c r="F60" i="20"/>
  <c r="E26" i="31" l="1"/>
  <c r="E28" i="31" s="1"/>
  <c r="E30" i="31" s="1"/>
  <c r="S114" i="20"/>
  <c r="D26" i="31"/>
  <c r="D28" i="31" s="1"/>
  <c r="D30" i="31" s="1"/>
  <c r="E287" i="20"/>
  <c r="T56" i="20"/>
  <c r="F20" i="20"/>
  <c r="D82" i="20"/>
  <c r="D278" i="20" s="1"/>
  <c r="D292" i="20"/>
  <c r="D294" i="20" s="1"/>
  <c r="D307" i="20" s="1"/>
  <c r="F89" i="20"/>
  <c r="F27" i="31"/>
  <c r="D298" i="20" l="1"/>
  <c r="D300" i="20" s="1"/>
  <c r="S110" i="20"/>
  <c r="D280" i="20"/>
  <c r="E292" i="20"/>
  <c r="E294" i="20" s="1"/>
  <c r="E307" i="20" s="1"/>
  <c r="E10" i="31"/>
  <c r="E15" i="31" s="1"/>
  <c r="E17" i="31" s="1"/>
  <c r="E298" i="20"/>
  <c r="E300" i="20" s="1"/>
  <c r="F82" i="20"/>
  <c r="E280" i="20"/>
  <c r="F26" i="31"/>
  <c r="F10" i="31" l="1"/>
  <c r="F11" i="31"/>
  <c r="D15" i="31"/>
  <c r="F278" i="20"/>
  <c r="F280" i="20"/>
  <c r="F30" i="31"/>
  <c r="F28" i="31"/>
  <c r="D17" i="31" l="1"/>
  <c r="F17" i="31" s="1"/>
  <c r="F15" i="31"/>
</calcChain>
</file>

<file path=xl/comments1.xml><?xml version="1.0" encoding="utf-8"?>
<comments xmlns="http://schemas.openxmlformats.org/spreadsheetml/2006/main">
  <authors>
    <author>Ing. Alice Hradilová</author>
  </authors>
  <commentList>
    <comment ref="E26" authorId="0">
      <text>
        <r>
          <rPr>
            <sz val="8"/>
            <color indexed="81"/>
            <rFont val="Tahoma"/>
            <family val="2"/>
            <charset val="238"/>
          </rPr>
          <t xml:space="preserve">běžné výdaje z fin - konsolidace ORJ 07
</t>
        </r>
      </text>
    </comment>
  </commentList>
</comments>
</file>

<file path=xl/comments2.xml><?xml version="1.0" encoding="utf-8"?>
<comments xmlns="http://schemas.openxmlformats.org/spreadsheetml/2006/main">
  <authors>
    <author>Hradilová Alice</author>
  </authors>
  <commentList>
    <comment ref="G46" authorId="0">
      <text>
        <r>
          <rPr>
            <sz val="9"/>
            <color indexed="81"/>
            <rFont val="Tahoma"/>
            <family val="2"/>
            <charset val="238"/>
          </rPr>
          <t xml:space="preserve">vztahuje se k ORJ 199
</t>
        </r>
      </text>
    </comment>
  </commentList>
</comments>
</file>

<file path=xl/comments3.xml><?xml version="1.0" encoding="utf-8"?>
<comments xmlns="http://schemas.openxmlformats.org/spreadsheetml/2006/main">
  <authors>
    <author>Hradilová Alice</author>
  </authors>
  <commentList>
    <comment ref="G131" authorId="0">
      <text>
        <r>
          <rPr>
            <sz val="9"/>
            <color indexed="81"/>
            <rFont val="Tahoma"/>
            <family val="2"/>
            <charset val="238"/>
          </rPr>
          <t xml:space="preserve">vztahuje se k ORJ 199
</t>
        </r>
      </text>
    </comment>
  </commentList>
</comments>
</file>

<file path=xl/comments4.xml><?xml version="1.0" encoding="utf-8"?>
<comments xmlns="http://schemas.openxmlformats.org/spreadsheetml/2006/main">
  <authors>
    <author>Hradilová Alice</author>
  </authors>
  <commentList>
    <comment ref="G98" authorId="0">
      <text>
        <r>
          <rPr>
            <b/>
            <sz val="9"/>
            <color indexed="81"/>
            <rFont val="Tahoma"/>
            <family val="2"/>
            <charset val="238"/>
          </rPr>
          <t>Sluňákov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Tahoma"/>
            <family val="2"/>
            <charset val="238"/>
          </rPr>
          <t>RS Iris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103" authorId="0">
      <text>
        <r>
          <rPr>
            <b/>
            <sz val="9"/>
            <color indexed="81"/>
            <rFont val="Tahoma"/>
            <family val="2"/>
            <charset val="238"/>
          </rPr>
          <t>Doris Šumperk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G108" authorId="0">
      <text>
        <r>
          <rPr>
            <sz val="9"/>
            <color indexed="81"/>
            <rFont val="Tahoma"/>
            <family val="2"/>
            <charset val="238"/>
          </rPr>
          <t xml:space="preserve">Muzeum Komenského v Přerově
</t>
        </r>
      </text>
    </comment>
  </commentList>
</comments>
</file>

<file path=xl/comments5.xml><?xml version="1.0" encoding="utf-8"?>
<comments xmlns="http://schemas.openxmlformats.org/spreadsheetml/2006/main">
  <authors>
    <author>Hradilová Alice</author>
  </authors>
  <commentList>
    <comment ref="G10" authorId="0">
      <text>
        <r>
          <rPr>
            <sz val="9"/>
            <color indexed="81"/>
            <rFont val="Tahoma"/>
            <family val="2"/>
            <charset val="238"/>
          </rPr>
          <t xml:space="preserve">odečíst to co je pod 231 30 a přičíst k ORJ 01
</t>
        </r>
      </text>
    </comment>
    <comment ref="G20" authorId="0">
      <text>
        <r>
          <rPr>
            <sz val="9"/>
            <color indexed="81"/>
            <rFont val="Tahoma"/>
            <family val="2"/>
            <charset val="238"/>
          </rPr>
          <t xml:space="preserve">odečíst to co je pod 231 30 a přičíst k ORJ 03
</t>
        </r>
      </text>
    </comment>
  </commentList>
</comments>
</file>

<file path=xl/sharedStrings.xml><?xml version="1.0" encoding="utf-8"?>
<sst xmlns="http://schemas.openxmlformats.org/spreadsheetml/2006/main" count="20537" uniqueCount="2077">
  <si>
    <t>Dotace na SŠ a škol.zařízení</t>
  </si>
  <si>
    <t>Asistenti pedagogů v SŠ a církevních spec.šk.</t>
  </si>
  <si>
    <t>Dotace pro soukromé školy</t>
  </si>
  <si>
    <t>Středisko sociální prevence Olomouc celkem</t>
  </si>
  <si>
    <t>Domov "Na Zámku" Nezamyslice</t>
  </si>
  <si>
    <t>Domov pro seniory Tovačov</t>
  </si>
  <si>
    <t>Domov "Na Zámku" Nezamyslice celkem</t>
  </si>
  <si>
    <t>Domov pro seniory Tovačov celkem</t>
  </si>
  <si>
    <t>Domov ADAM Dřevohostice</t>
  </si>
  <si>
    <t>Domov ADAM Dřevohostice celkem</t>
  </si>
  <si>
    <t>Domov Na Zámečku Rokytnice</t>
  </si>
  <si>
    <t>Domov Na Zámečku Rokytnice  celkem</t>
  </si>
  <si>
    <t>Domov důchodců Šumperk</t>
  </si>
  <si>
    <t>Domov důchodců Šumperk celkem</t>
  </si>
  <si>
    <t>Domov důchodců Libina</t>
  </si>
  <si>
    <t>Domov důchodců Libina celkem</t>
  </si>
  <si>
    <t>Domov důchodců Štíty</t>
  </si>
  <si>
    <t>Domov důchodců Štíty celkem</t>
  </si>
  <si>
    <t>ZZS OK, p.o. - Zateplení budov v Olomouci, Hněvotínská ul.</t>
  </si>
  <si>
    <t>ZZS OK, p.o. - Zateplení budov  Šumperk</t>
  </si>
  <si>
    <t>SMN a.s. - o.z. Nem. PV-  Dispoziční úpravy 6. NP polikliniky</t>
  </si>
  <si>
    <t>SMN a.s. - o.z. Nem. PV - Parkoviště v areálu nemocnice</t>
  </si>
  <si>
    <t>00000024</t>
  </si>
  <si>
    <t>Provozní příspěvky zřízeným PO - rezerva</t>
  </si>
  <si>
    <t>Příspěvky na mezinár.výměnné pobyty</t>
  </si>
  <si>
    <t>nájemné PO</t>
  </si>
  <si>
    <t>MŠMT - přímé nákl.na vzdělání</t>
  </si>
  <si>
    <t>00000601</t>
  </si>
  <si>
    <t>00000602</t>
  </si>
  <si>
    <t>00000604</t>
  </si>
  <si>
    <t>přísp.na úhr.prokaz.ztr.dopr.-drážní dopr.</t>
  </si>
  <si>
    <t>Střední škola stavební HORSTAV, U Hradiska 4, Olomouc</t>
  </si>
  <si>
    <t>Rezerva hejtmana pro krizové řízení</t>
  </si>
  <si>
    <t>III/4436, III/4435, I/35 Olomouc - okružní křižovatka</t>
  </si>
  <si>
    <t>OA, Mohelnice - odloučené pracoviště Olomoucká 41 - Vzduchotechnika ve školní kuchyni</t>
  </si>
  <si>
    <t>Střední škola sociální péče a služeb, Zábřeh - Kotelna</t>
  </si>
  <si>
    <t>Základní škola a Dětský domov Zábřeh- Rekonstrukce kuchyně na dětském domově</t>
  </si>
  <si>
    <t>DD a Školní jídelna, Olomouc, U Sportovní haly 1a - Oprava pokojů a bytových jader</t>
  </si>
  <si>
    <t>ROP - Regionální dopravní infrastruktura - Silnice II. a III. třídy</t>
  </si>
  <si>
    <t xml:space="preserve">VILA DORIS ŠUMPERK - Podpora sociální integrace v Olomouckém kraji celkem </t>
  </si>
  <si>
    <t>ORJ - 48</t>
  </si>
  <si>
    <t>číslo účtu: 2441512/0800</t>
  </si>
  <si>
    <t xml:space="preserve">vedoucí odboru strategického rozvoje kraje </t>
  </si>
  <si>
    <t xml:space="preserve">Ing. Michaela Pruknerová </t>
  </si>
  <si>
    <t>BIS RTD Podpora veřejného financování výzkumu a technologického rozvoje v regionech celkem</t>
  </si>
  <si>
    <t>číslo účtu: 2309562/0800</t>
  </si>
  <si>
    <t>Neinv.transf.obecně prospěšným spol.</t>
  </si>
  <si>
    <t>Neinv.transfery veř.rozp.ústř.úrovně</t>
  </si>
  <si>
    <t xml:space="preserve">99) Fond na podporu výstavby a obnovy vodohospodářské infrastruktury na území Olomouckého kraje </t>
  </si>
  <si>
    <t xml:space="preserve">199) Fond sociálních potřeb Olomouckého kraje </t>
  </si>
  <si>
    <t xml:space="preserve">Odbor strategického rozvoje kraje celkem </t>
  </si>
  <si>
    <t>SOŠ a SOU stroj. a stavební, Dukelská 1240, Jeseník</t>
  </si>
  <si>
    <t>Střední lesnická škola, Jurikova 588, Hranice</t>
  </si>
  <si>
    <t>Obchodní akademie, Tř. Spojenců 11, Olomouc</t>
  </si>
  <si>
    <t>Střední škola, Základní škola a Mateřská škola, Hanácká 3, Šumperk</t>
  </si>
  <si>
    <r>
      <t>•</t>
    </r>
    <r>
      <rPr>
        <sz val="11"/>
        <rFont val="Arial"/>
        <family val="2"/>
        <charset val="238"/>
      </rPr>
      <t xml:space="preserve"> Běžné výdaje</t>
    </r>
  </si>
  <si>
    <r>
      <t xml:space="preserve">• </t>
    </r>
    <r>
      <rPr>
        <sz val="11"/>
        <rFont val="Arial"/>
        <family val="2"/>
        <charset val="238"/>
      </rPr>
      <t>Kapitálové výdaje</t>
    </r>
  </si>
  <si>
    <t>* Konsolidace je očištění údajů o rozpočtu a skutečnosti o interní přesuny peněžních prostředků uvnitř organizace mezi jednotlivými účty.</t>
  </si>
  <si>
    <t>ORG 100070</t>
  </si>
  <si>
    <t>ORG - 1703</t>
  </si>
  <si>
    <t>ORG - 1704</t>
  </si>
  <si>
    <t>8=7/6</t>
  </si>
  <si>
    <t>podpora romských žáků stř.škol</t>
  </si>
  <si>
    <t>a) dle oblastí výdajů</t>
  </si>
  <si>
    <t xml:space="preserve">Výdaje Olomouckého kraje celkem  </t>
  </si>
  <si>
    <t xml:space="preserve">b) dle druhu výdajů </t>
  </si>
  <si>
    <t>5 = 4 / 3</t>
  </si>
  <si>
    <t>00000408</t>
  </si>
  <si>
    <t>Strategie integrace příslušníků romských komunit</t>
  </si>
  <si>
    <t>Ostat.neinv.transfery nezisk.a pod.org.</t>
  </si>
  <si>
    <t>Inv.transfery občanským sdružením</t>
  </si>
  <si>
    <t>provozní příspěvky zřízeným PO</t>
  </si>
  <si>
    <t>Sociální služby pro seniory Olomouc</t>
  </si>
  <si>
    <t>Sociální služby pro seniory Olomouc celkem</t>
  </si>
  <si>
    <t>příspěvek na provoz-mzdové náklady</t>
  </si>
  <si>
    <t>SMN a.s. - o.z. Nem. Šternberk-Rekonstrukce výtahu - pavilon SVLS</t>
  </si>
  <si>
    <t>SMN a.s. - o.z. Nem. Šternberk- Stavební úprava observačního boxu - dětské odd.</t>
  </si>
  <si>
    <t>Střední odborná škola, Šumperk, Zemědělská 3- Výměna výtahu</t>
  </si>
  <si>
    <t xml:space="preserve">SOŠ železniční, stavební a památkové péče a SOU, Šumperk - Výměna oken </t>
  </si>
  <si>
    <t>SOŠ železniční, stavební a památkové péče a SOU, Šumperk - odloučené pracoviště Hanácká , Šumperk - Výměna oken</t>
  </si>
  <si>
    <t>Realizace energeticky úsporných opatření - Obchodní akademie Přerov</t>
  </si>
  <si>
    <t>ORG 100463</t>
  </si>
  <si>
    <t>Realizace energeticky úsporných opatření - Gymnázium Jeseník</t>
  </si>
  <si>
    <t>ORG 100465</t>
  </si>
  <si>
    <t>Základní škola, Fučíkova 312, Jeseník</t>
  </si>
  <si>
    <t>ORJ - 14</t>
  </si>
  <si>
    <t>ORG 1540</t>
  </si>
  <si>
    <t>Investiční transfery nefininačním podnikatelským subjektům - právnickým osobám</t>
  </si>
  <si>
    <t>Jeseník</t>
  </si>
  <si>
    <t>Základní škola a Mateřská škola, Malá Dlážka 4, Přerov</t>
  </si>
  <si>
    <t>ORG 100473</t>
  </si>
  <si>
    <t>Realizace energeticky úsporných opatření - VOŠ a SŠ automobilní Zábřeh</t>
  </si>
  <si>
    <t>ORG 100510</t>
  </si>
  <si>
    <t>Realizace energeticky úsporných opatření - VOŠ a SPŠE - Olomouc</t>
  </si>
  <si>
    <t>ORG 100511</t>
  </si>
  <si>
    <t>ORG 100512</t>
  </si>
  <si>
    <t>Realizace energeticky úsporných opatření - SŠ Švehlova Prostějov</t>
  </si>
  <si>
    <t>ORG 100513</t>
  </si>
  <si>
    <t>ORG 100545</t>
  </si>
  <si>
    <t>Realizace energeticky úsporných opatření - SŠ zemědělská Olomouc budova školy</t>
  </si>
  <si>
    <t>ORG 100546</t>
  </si>
  <si>
    <t>Realizace energeticky úsporných opatření - SŠ zemědělská Olomouc domov mládeže</t>
  </si>
  <si>
    <t>ORG 100547</t>
  </si>
  <si>
    <t>Realizace energeticky úsporných opatření - VOŠ a SŠ automobilní Zábřeh - domov mládeže</t>
  </si>
  <si>
    <t>ORG 100548</t>
  </si>
  <si>
    <t>Realizace energeticky úsporných opatření - ZŠ a MŠ logopedická Olomouc</t>
  </si>
  <si>
    <t>ORG 100549</t>
  </si>
  <si>
    <t>Domov "Na Zámku" (Nezamyslice) - rekonstrukce venkovních komunikací</t>
  </si>
  <si>
    <t>Komentář:</t>
  </si>
  <si>
    <t>Dětský domov a Školní jídelna, Přerov - Stavební úpravy patra internátu</t>
  </si>
  <si>
    <t>SOŠ železniční, stavební a památkové péče a SOU, Šumperk -Stavební úpravy budovy "zámeček"</t>
  </si>
  <si>
    <t>SŠ technická a obchodní, Olomouc - Elektroinstalace v budově školy.</t>
  </si>
  <si>
    <t>Základní škola Šternberk - Sociální zařízení</t>
  </si>
  <si>
    <t>Centrum vzdělávání na SPŠ strojnické Olomouc</t>
  </si>
  <si>
    <t>ORG 100573</t>
  </si>
  <si>
    <t>ORG 100575</t>
  </si>
  <si>
    <t>DDM Olomouc - Zabezpečení statiky objektu mikropiloty</t>
  </si>
  <si>
    <t>SŠ technická a obchodní, Olomouc -Výměna dlažby</t>
  </si>
  <si>
    <t>ZŠ a MŠ Hranice, Nová 1820 - Multifunkční sportovní hřiště</t>
  </si>
  <si>
    <t>DDM Vila Tereza, Nádražní  530, Uničov</t>
  </si>
  <si>
    <t>DDM MAGNET, Spartakiádní 8, Mohelnice</t>
  </si>
  <si>
    <t xml:space="preserve">Výdaje Olomouckého kraje                                (po konsolidaci)                </t>
  </si>
  <si>
    <t>8b) SROP - individuální projekty</t>
  </si>
  <si>
    <t>ORJ - 30</t>
  </si>
  <si>
    <t>RZ 691/04 - přesun z ORJ 07, § 6172, pol. 5163</t>
  </si>
  <si>
    <t>ORG 3001000003 - Internetizace knihoven v Olomouckém kraji</t>
  </si>
  <si>
    <t>Ostatní nákup dlouhodob.nehm.maj.</t>
  </si>
  <si>
    <t>RZ 731/04 - přesun z ORJ 30, § 3314, pol. 6125</t>
  </si>
  <si>
    <t>Investiční  výdaje celkem</t>
  </si>
  <si>
    <t>Sigmundova střední škola strojírenská, J.Sigmunda 242, Lutín</t>
  </si>
  <si>
    <t>Provozní výdaje odboru celkem</t>
  </si>
  <si>
    <t>Služby tel. a radiokomunikací</t>
  </si>
  <si>
    <t>Fond sociálních potřeb</t>
  </si>
  <si>
    <t>Fond na podporu výstavby a obnovy vodohospodářské infrastruktury na území Olomouckého kraje</t>
  </si>
  <si>
    <t xml:space="preserve">Výdaje celkem  </t>
  </si>
  <si>
    <t>OU a praktická škola, Vodní 27, Mohelnice</t>
  </si>
  <si>
    <t>Střední škola sociální péče a služeb, 8. května 2, Zábřeh</t>
  </si>
  <si>
    <t>OU a PrŠ, Lipová-Lázně 270</t>
  </si>
  <si>
    <t>ZUŠ Miloslava Stibora - výtvarný obor, Pionýrská 4, Olomouc</t>
  </si>
  <si>
    <t>ZUŠ, Litovelská 190, Uničov</t>
  </si>
  <si>
    <t>ZUŠ, Na Příhonech 425, Konice</t>
  </si>
  <si>
    <t>ZUŠ Bedřicha Kozánka, Tř. 17. listopadu 2, Přerov</t>
  </si>
  <si>
    <t>ZUŠ Karla Ditterse, Kostelní, Vidnava</t>
  </si>
  <si>
    <t>Pprovozní příspěvky zřízeným PO</t>
  </si>
  <si>
    <t>00000252</t>
  </si>
  <si>
    <t>Lékařská služba první pomoci</t>
  </si>
  <si>
    <t>00000256</t>
  </si>
  <si>
    <t>Lékařská služba první pomoci-zubní LSPP</t>
  </si>
  <si>
    <t>00000253</t>
  </si>
  <si>
    <t>Provoz záchytné stanice</t>
  </si>
  <si>
    <t>00000254</t>
  </si>
  <si>
    <t>Financování protidrogové prevence</t>
  </si>
  <si>
    <t>00000255</t>
  </si>
  <si>
    <t>Program Zdraví 21</t>
  </si>
  <si>
    <t xml:space="preserve">MFČR - likvidace nepouž.léčiv </t>
  </si>
  <si>
    <t>Drobný hmotný dlouhodobý majetek</t>
  </si>
  <si>
    <t>Operační program Olomouckého kraje celkem</t>
  </si>
  <si>
    <t>Správa silnic Olomouckého kraje</t>
  </si>
  <si>
    <t>Příspěvková organizace</t>
  </si>
  <si>
    <t>Soukromá SOŠ s.r.o., Dukelská 1240, Jeseník</t>
  </si>
  <si>
    <t>Soukromá ZUŠ taneční  s.r.o., Jiráskova 762, Jeseník</t>
  </si>
  <si>
    <t>v tis. Kč</t>
  </si>
  <si>
    <t>§</t>
  </si>
  <si>
    <t>pol.</t>
  </si>
  <si>
    <t>název položky</t>
  </si>
  <si>
    <t>schválený rozp.</t>
  </si>
  <si>
    <t>ORJ - 04</t>
  </si>
  <si>
    <t>ORJ - 05</t>
  </si>
  <si>
    <t>ORJ - 06</t>
  </si>
  <si>
    <t xml:space="preserve">Nákup materiálu </t>
  </si>
  <si>
    <t>Nájemné</t>
  </si>
  <si>
    <t>00000301</t>
  </si>
  <si>
    <t>dárkový pas</t>
  </si>
  <si>
    <t>Služby zpracování dat</t>
  </si>
  <si>
    <t xml:space="preserve">Programové vybavení </t>
  </si>
  <si>
    <t>Výpočetní technika</t>
  </si>
  <si>
    <t>SOŠ a SOU zemědělské, Horní Heřmanice 47, Bernartice</t>
  </si>
  <si>
    <t>Obchodní akademie, Olomoucká 82, Mohelnice</t>
  </si>
  <si>
    <t>SZdrŠ, Vápenice 3, Prostějov</t>
  </si>
  <si>
    <t>SZdrŠ, Studentská 1095, Hranice</t>
  </si>
  <si>
    <t>SZdrŠ, Kladská 2, Šumperk</t>
  </si>
  <si>
    <t>vedoucí odboru dopravy a silničního hospodářství</t>
  </si>
  <si>
    <t>Soukromé školy celkem - provozní výdaje</t>
  </si>
  <si>
    <t>00000012</t>
  </si>
  <si>
    <t>00000010</t>
  </si>
  <si>
    <t>00000013</t>
  </si>
  <si>
    <t>Příspěvkové organizace celkem - provozní výdaje</t>
  </si>
  <si>
    <t>Investiční transfery vysokým školám</t>
  </si>
  <si>
    <t>ORG 1037</t>
  </si>
  <si>
    <t>ORG 1131</t>
  </si>
  <si>
    <t>Gymnázium Jana Blahoslava a Střední pedagogická škola Přerov</t>
  </si>
  <si>
    <t>ORG 1133</t>
  </si>
  <si>
    <t>Obchodní akademie Olomouc</t>
  </si>
  <si>
    <t>ORG 1150</t>
  </si>
  <si>
    <t>Rekonstrukce budovy v areálu staré nemocnice v Prostějově</t>
  </si>
  <si>
    <t>ORG 100071</t>
  </si>
  <si>
    <t>ZZS OK - vozové terminály</t>
  </si>
  <si>
    <t>MV-neinv.transfery krajům</t>
  </si>
  <si>
    <t>ORJ - 07</t>
  </si>
  <si>
    <t>ZUŠ A.Dvořáka, Havlíčkova 643, Lipník</t>
  </si>
  <si>
    <t>významné projekty</t>
  </si>
  <si>
    <t xml:space="preserve">Výdaje odboru životního prostředí a zemědělství </t>
  </si>
  <si>
    <t>Výdaje odboru školství, mládeže a tělovýchovy</t>
  </si>
  <si>
    <t xml:space="preserve">Soukromé školy </t>
  </si>
  <si>
    <t>DDM, Tř. 17. listopadu 47, Olomouc</t>
  </si>
  <si>
    <t xml:space="preserve">Odbor správní a legislativní celkem </t>
  </si>
  <si>
    <t>Platy zaměstnanců v pracovním poměru</t>
  </si>
  <si>
    <t>RZ 807/05 - přesun na ORJ 199, § 6172, pol. 5164,5139</t>
  </si>
  <si>
    <t xml:space="preserve"> -účelové neinvestiční dotace</t>
  </si>
  <si>
    <t>SMN a.s. - o.z. Nem. PV - Stavební úpravy k CT</t>
  </si>
  <si>
    <t>00000209</t>
  </si>
  <si>
    <t>Podpora kultury a památkové péče</t>
  </si>
  <si>
    <t>Neinv.transfery nefin.podn.subj.-PO</t>
  </si>
  <si>
    <t>00000204</t>
  </si>
  <si>
    <t>vedoucí odboru strategického rozvoje kraje</t>
  </si>
  <si>
    <t>Ing. Stanislav Losert</t>
  </si>
  <si>
    <t>vedoucí odboru školství, mládeže a tělovýchovy</t>
  </si>
  <si>
    <t>program sociální prev.a prev.kriminality</t>
  </si>
  <si>
    <t>SMN a.s. - o.z. Nem. PR- Rekonstrukce 2 ks výtahů (LDN, Chirurgie)</t>
  </si>
  <si>
    <t>SMN a.s. - o.z. Nem. Šternberk - Výměna oken včetně žaluzií - pavilon SVLS</t>
  </si>
  <si>
    <t>Gymnázium J.Blahoslava a SŠ pedagogická, Denisova 3, Přerov</t>
  </si>
  <si>
    <t>Neinvestiční transfery občanským sdružením</t>
  </si>
  <si>
    <t>Neinvestiční transfery krajům</t>
  </si>
  <si>
    <t>Neinv.transfery nefin.podnikatelským subjektům-PO</t>
  </si>
  <si>
    <t>Odbor správní a legislativní</t>
  </si>
  <si>
    <t>Odbor ekonomický</t>
  </si>
  <si>
    <t>Odbor strategického rozvoje kraje</t>
  </si>
  <si>
    <t>ORG 8007</t>
  </si>
  <si>
    <t>Prostějov</t>
  </si>
  <si>
    <t>ORG 8163</t>
  </si>
  <si>
    <t>Bílá Lhota</t>
  </si>
  <si>
    <t>ORG 8302</t>
  </si>
  <si>
    <t>Potštát</t>
  </si>
  <si>
    <t>ORG 8465</t>
  </si>
  <si>
    <t>SPŠ a OA, Uničov - Kotelna</t>
  </si>
  <si>
    <t>ORG 100347</t>
  </si>
  <si>
    <t xml:space="preserve">Neinvestiční příspěvek zřízeným PO </t>
  </si>
  <si>
    <t>Pov.pojistné na sociální zabezpečení</t>
  </si>
  <si>
    <t>Povinné poj.na veřejné zdrav.pojištění</t>
  </si>
  <si>
    <t>Knihy, účební pomůcky a tisk</t>
  </si>
  <si>
    <t>63) GG - Podpora nabídky dalšího vzdělávání Olomouckého kraje</t>
  </si>
  <si>
    <t>ORJ - 63</t>
  </si>
  <si>
    <t>číslo účtu: 3656742/0800</t>
  </si>
  <si>
    <t>Provozní výdaje  celkem</t>
  </si>
  <si>
    <t>Investiční výdaje celkem</t>
  </si>
  <si>
    <t>Provozní výdaje celkem</t>
  </si>
  <si>
    <t>účelové dotace celkem</t>
  </si>
  <si>
    <t>00000009</t>
  </si>
  <si>
    <t>Investiční transfery obcím</t>
  </si>
  <si>
    <t>00000001</t>
  </si>
  <si>
    <t>Ostatní výdaje</t>
  </si>
  <si>
    <t>ORG 100097</t>
  </si>
  <si>
    <t>Vincentinum-poskytovatel soc.služeb Šternberk</t>
  </si>
  <si>
    <t>Vincentinum-poskytovatel soc.služeb Šternberk celkem</t>
  </si>
  <si>
    <t>Střední odborná škola, s.r.o.,  Řepčínská 239/101, Olomouc</t>
  </si>
  <si>
    <t>Středisko sociální prevence Olomouc</t>
  </si>
  <si>
    <t>ZŠ a MŠ, Náměstí 150, Město Libavá</t>
  </si>
  <si>
    <t>Švehlova SŠ, nám.Spojenců 17, Prostějov</t>
  </si>
  <si>
    <t>RZ 712/05 - přesun na ORJ 199, § 6172, pol. 5499</t>
  </si>
  <si>
    <t>RZ 712/05 - přesun z ORJ 199, § 6172, pol. 5169</t>
  </si>
  <si>
    <t>RZ 301/05 - přesun na ORJ 199, § 6172, pol. 5169, 5901</t>
  </si>
  <si>
    <t>RZ 712/05 - přesun na ORJ 199, § 6172, pol. 5137,5175</t>
  </si>
  <si>
    <t>Výdaje odboru zdravotnictví</t>
  </si>
  <si>
    <t xml:space="preserve"> -provozní výdaje</t>
  </si>
  <si>
    <t xml:space="preserve"> -investiční  výdaje</t>
  </si>
  <si>
    <t>Příspěvky příspěvkovým organizacím</t>
  </si>
  <si>
    <t xml:space="preserve">18) Fond na podporu výstavby a obnovy vodohospodářské </t>
  </si>
  <si>
    <t>P - centrum, Lafayettova 9, Olomouc</t>
  </si>
  <si>
    <t>ORG 2237</t>
  </si>
  <si>
    <t>Platby zaměstnanců v pracovním poměru</t>
  </si>
  <si>
    <t>Nákup materiálu jinde nezařazeného</t>
  </si>
  <si>
    <t>Kvalitnější vzdělávání řemeslníků na SŠP - nadstavba učebnového pavilonu</t>
  </si>
  <si>
    <t>Marketingové aktivity Olomouckého kraje</t>
  </si>
  <si>
    <t>RZ 301/05 - přesun z ORJ 199, § 6113, pol. 5499</t>
  </si>
  <si>
    <t>MDČR - Příspěvek na ztrátu dopravce z provozu veřejné osobní drážní dopravy</t>
  </si>
  <si>
    <t>Vypořádání staveb po jejich dokončení z minul. Let - výkupy pozemků a jiné</t>
  </si>
  <si>
    <t>II/367 Bedihošť - Kojetín</t>
  </si>
  <si>
    <t>III/4335 III/43325 Měrovice nad Hanou - průtah, 3. etapa</t>
  </si>
  <si>
    <t>III/37745 Otaslavice, most ev.č. 37745-2</t>
  </si>
  <si>
    <t>III/44311 Dolany, most ev.č.44311-2</t>
  </si>
  <si>
    <t>Silnice III/4537 Vlčice – Bernartice, oprava povodňových škod</t>
  </si>
  <si>
    <t>Silnice III/4539 Skorošice – Kobylá, oprava povodňových škod</t>
  </si>
  <si>
    <t>SMN a.s. - o.z. Nemocnice Prostějov - 2 ks výtah - poliklinika, SVLS</t>
  </si>
  <si>
    <t>výstavba heliportu Jeseník - ZZS OK</t>
  </si>
  <si>
    <t>Drobný hm.dlouhodob.majetek</t>
  </si>
  <si>
    <t>Nemocnice Přerov - stravovací provoz</t>
  </si>
  <si>
    <t>OLÚ Moravský Beroun, p.o.- Evakuační schodiště Pavilonu 1</t>
  </si>
  <si>
    <t>SZPD Olomouc, p.o.- výměna oken a zateplení budovy Kojeneckého ústavu, U Dětského domova 269, Olomouc</t>
  </si>
  <si>
    <t>OLÚ Moravský Beroun, p.o.- Kanalizační přípojka Pavilonu 1</t>
  </si>
  <si>
    <t>RZ 385/05 - přesun na ORJ 99, § 2399, pol. 5909</t>
  </si>
  <si>
    <t>RZ 386/05 - přesun na ORJ 99, § 2321, pol. 6341</t>
  </si>
  <si>
    <t>RZ 873/05 - přesun na ORJ 99, § 2399, pol. 5909</t>
  </si>
  <si>
    <t>Domov důchodců Kobylá nad Vidnavkou</t>
  </si>
  <si>
    <t>Domov důchodců Kobylá nad Vidnavkou celkem</t>
  </si>
  <si>
    <t>Obchodní akademie, Palackého 18, Prostějov</t>
  </si>
  <si>
    <t>Nákup materiálu j. n.</t>
  </si>
  <si>
    <t>Realizované kurzové ztráty</t>
  </si>
  <si>
    <t>Elektrická energie</t>
  </si>
  <si>
    <t>Pohonné hmoty a maziva</t>
  </si>
  <si>
    <t>Investiční dotace obcím</t>
  </si>
  <si>
    <t>Služby, školení a vzdělávání</t>
  </si>
  <si>
    <t>00014004</t>
  </si>
  <si>
    <t>00004001</t>
  </si>
  <si>
    <t>GG - 1.3. Další vzdělávání pracovníků škol a školských zařízení v Olomouckém kraji</t>
  </si>
  <si>
    <t>ORJ - 59</t>
  </si>
  <si>
    <t>číslo účtu: 3344722/0800</t>
  </si>
  <si>
    <t>Projekty v rámci ROP</t>
  </si>
  <si>
    <t>60) Zajištění dostupnosti vybraných sociálních služeb v Olomouckém kraji</t>
  </si>
  <si>
    <t>ORJ - 60</t>
  </si>
  <si>
    <t>číslo účtu: 3353952/0800</t>
  </si>
  <si>
    <t xml:space="preserve">Domov důchodců a penzion Chválkovice - Stavební úpravy pro zřízení domova pro seniory </t>
  </si>
  <si>
    <t>Sociální služby pro seniory Olomouc - Stavební úpravy bytových jáder</t>
  </si>
  <si>
    <t>ORG - 1700</t>
  </si>
  <si>
    <t>ORG - 1701</t>
  </si>
  <si>
    <t>ORG - 1702</t>
  </si>
  <si>
    <t>ZŠ a MŠ při Sanatoriu EDEL, Lázeňská 491, Zlaté Hory</t>
  </si>
  <si>
    <t>Základní škola, Olomoucká 76, Šternberk</t>
  </si>
  <si>
    <t>Základní škola, Šternberská 35, Uničov</t>
  </si>
  <si>
    <t>Významné projekty</t>
  </si>
  <si>
    <t>Střední škola polytechnická, Rooseveltova 79, Olomouc</t>
  </si>
  <si>
    <t>Střední škola polygrafická,  Střední Novosadská 55, Olomouc</t>
  </si>
  <si>
    <t>SOU obchodu a služeb, Štursova 14, Olomouc</t>
  </si>
  <si>
    <t>Střední škola technická a obchodní, Kosinova 4, Olomouc</t>
  </si>
  <si>
    <t>Střední škola řezbářská, Nádražní 146, Tovačov</t>
  </si>
  <si>
    <t>00000110</t>
  </si>
  <si>
    <t>Stipendijní řád Olomouckého kraje</t>
  </si>
  <si>
    <t>00000105</t>
  </si>
  <si>
    <t>Neinv.transfery občans.sdruž.</t>
  </si>
  <si>
    <t xml:space="preserve">Neinv.transfery nefin.podnik.subj.-PO </t>
  </si>
  <si>
    <t>Soukromá ZŠ Acorn´s &amp; John´s school, s.r.o.,  U Bečvy 2, Přerov</t>
  </si>
  <si>
    <t>SMN a.s. - o.z. Nemocnice Prostějov - Fasáda polikliniky</t>
  </si>
  <si>
    <t>SMN a.s. - o.z. Nemocnice Přerov - Studie centralizace laboratoří</t>
  </si>
  <si>
    <t>pověřená vedením odboru životního prostředí a zemědělství</t>
  </si>
  <si>
    <t>Gymnázium, Horní náměstí 5, Šternberk</t>
  </si>
  <si>
    <t>Gymnázium, Gymnazijní 257, Uničov</t>
  </si>
  <si>
    <t>Gymnázium J. Wolkera, Kollárova 3, Prostějov</t>
  </si>
  <si>
    <t>Gymnázium Jakuba Škody, Komenského 29, Přerov</t>
  </si>
  <si>
    <t>SPŠS, Tř. 17. listopadu 49, Olomouc</t>
  </si>
  <si>
    <t>SZeŠ Olomouc, U Hradiska 4, Olomouc</t>
  </si>
  <si>
    <t>Převody FKSP a SF obcí a krajů</t>
  </si>
  <si>
    <t>SOU obchodní, nám. E.Husserla 1, Prostějov</t>
  </si>
  <si>
    <t>Mgr. Lenka Doleželová</t>
  </si>
  <si>
    <t>vedoucí odboru majetkového a právního</t>
  </si>
  <si>
    <t>Mgr. Hana Kamasová</t>
  </si>
  <si>
    <t>Nájemné PO</t>
  </si>
  <si>
    <t>00034053</t>
  </si>
  <si>
    <t>00034070</t>
  </si>
  <si>
    <t>vedoucí odboru investic a evropských programů</t>
  </si>
  <si>
    <t>Ing. Miroslav Kubín</t>
  </si>
  <si>
    <t>RZ 873/05 - přesun z ORJ 99, § 2399, pol. 6341</t>
  </si>
  <si>
    <t>Fond na podporu výstavby a obnovy vodohospodářské infrastruktury  celkem</t>
  </si>
  <si>
    <t>Výdaje odboru kultury a památkové péče</t>
  </si>
  <si>
    <t>00000016</t>
  </si>
  <si>
    <t>číslo účtu: 2246872/0800</t>
  </si>
  <si>
    <t>46) SROP 3.3 - Partnerství pro rozvoj kraje - 2. část</t>
  </si>
  <si>
    <t>Soukromé školy</t>
  </si>
  <si>
    <t>ORJ - 08</t>
  </si>
  <si>
    <t>Regionální letiště Přerov-převod na OMP</t>
  </si>
  <si>
    <t>Přestavba křižovatky před železničním přejezdem u obce Smržice</t>
  </si>
  <si>
    <t>Střední škola technická, Kouřilkova 8, Přerov</t>
  </si>
  <si>
    <t>Rekapitulace celkových výdajů Olomouckého kraje, které zahrnují výdaje jednotlivých odborů včetně příspěvků zřízeným příspěvkovým organizacím, výdaje na finacování evropských programů a  výdaje fondů.</t>
  </si>
  <si>
    <t>DDM, Komenského  719/6, Litovel</t>
  </si>
  <si>
    <t>Odbor školství, mládeže a tělovýchovy</t>
  </si>
  <si>
    <t>Odbor sociálních věcí</t>
  </si>
  <si>
    <t>Odbor kultury a památkové péče</t>
  </si>
  <si>
    <t>Odbor zdravotnictví</t>
  </si>
  <si>
    <t>Ing. Luděk Niče</t>
  </si>
  <si>
    <t>Správce:</t>
  </si>
  <si>
    <t>vedoucí kanceláře ředitele</t>
  </si>
  <si>
    <t>Enviromentální vzdělávání, výchova a osvěta</t>
  </si>
  <si>
    <t>00000114</t>
  </si>
  <si>
    <t>Odbor Krajský živnostenský úřad</t>
  </si>
  <si>
    <t>Útvar interního auditu</t>
  </si>
  <si>
    <t>16) Útvar interního auditu</t>
  </si>
  <si>
    <t>ORJ - 16</t>
  </si>
  <si>
    <t>Ostatní neinvestiční transfery ob.</t>
  </si>
  <si>
    <t>17) Sociální fond</t>
  </si>
  <si>
    <t>UZ</t>
  </si>
  <si>
    <t>MŠMT-program sociální prev.a prev.kriminality</t>
  </si>
  <si>
    <t>(Dotace pro SŠ ve správě ÚSC)</t>
  </si>
  <si>
    <t>MŠMT - dotace na SŠ a škol.zařízení, 1.čtvrtl..</t>
  </si>
  <si>
    <t>00033215</t>
  </si>
  <si>
    <t>MŠMT - dotace na SŠ a škol.zařízení, 1.čtvrtl.</t>
  </si>
  <si>
    <t>Teplá voda</t>
  </si>
  <si>
    <t>Domov pro seniory  Radkova Lhota</t>
  </si>
  <si>
    <t>Domov Větrný mlýn Skalička</t>
  </si>
  <si>
    <t>Domov Větrný mlýn Skalička celkem</t>
  </si>
  <si>
    <t xml:space="preserve">1)  Zastupitelé                         </t>
  </si>
  <si>
    <t>ORJ - 01</t>
  </si>
  <si>
    <t>Ostatní osobní výdaje</t>
  </si>
  <si>
    <t>posíleno:</t>
  </si>
  <si>
    <t xml:space="preserve">15) Odbor Krajský živnostenský úřad </t>
  </si>
  <si>
    <t>ORJ - 15</t>
  </si>
  <si>
    <t>vedoucí odboru Krajský živnostenský úřad</t>
  </si>
  <si>
    <t>Bc. Ing. František Pivoda</t>
  </si>
  <si>
    <t xml:space="preserve">Odbor Krajský živnostenský úřad </t>
  </si>
  <si>
    <t>48) BIS RTD Podpora veřejného financování výzkumu a technologického rozvoje v regionech   (6. frame programme)</t>
  </si>
  <si>
    <t>Slovanské gymnázium, Tř.J. z Poděbrad 13, Olomouc</t>
  </si>
  <si>
    <t xml:space="preserve">Odbor informačních technologií celkem </t>
  </si>
  <si>
    <t>Ing. Josef Veselský</t>
  </si>
  <si>
    <t>Hotelová škola V.Priessnitze, Dukelská 680, Jeseník</t>
  </si>
  <si>
    <t>Středisko pečovatelské služby Jeseník celkem</t>
  </si>
  <si>
    <t>příspěvky na mezinár.výměnné pobyty</t>
  </si>
  <si>
    <t>Domov důchodců Červenka</t>
  </si>
  <si>
    <t>Domov důchodců Červenka celkem</t>
  </si>
  <si>
    <t>Domov důchodců Hrubá Voda</t>
  </si>
  <si>
    <t>SPŠ stavební, Komenského sady 257, Lipník n.B.</t>
  </si>
  <si>
    <t xml:space="preserve">Odbor dopravy a silničního hospodářství celkem </t>
  </si>
  <si>
    <t>13) Odbor kultury a památkové péče</t>
  </si>
  <si>
    <t>ORJ - 13</t>
  </si>
  <si>
    <t>ORG - 1649</t>
  </si>
  <si>
    <t>ORG - 1650</t>
  </si>
  <si>
    <t>Domov Paprsek Olšany</t>
  </si>
  <si>
    <t>Domov Paprsek Olšany celkem</t>
  </si>
  <si>
    <t>ORG - 1651</t>
  </si>
  <si>
    <t>ORG - 1652</t>
  </si>
  <si>
    <t>ORG - 1653</t>
  </si>
  <si>
    <t>ORG - 1654</t>
  </si>
  <si>
    <t>ORG - 1655</t>
  </si>
  <si>
    <t>ORG - 1656</t>
  </si>
  <si>
    <t>ORG - 1657</t>
  </si>
  <si>
    <t>ORG - 1658</t>
  </si>
  <si>
    <t>Domov Alfreda Skeneho Pavlovice u Přerova</t>
  </si>
  <si>
    <t>okresní a krajské kolo soutěží</t>
  </si>
  <si>
    <t>6=5/4</t>
  </si>
  <si>
    <t>56) GG - 1.1. Zvyšování kvality ve vzdělávání v Olomouckém kraji</t>
  </si>
  <si>
    <t>ORJ - 56</t>
  </si>
  <si>
    <t>číslo účtu: 43-2020510277/0100</t>
  </si>
  <si>
    <t>Rezervy kapitálových výdajů</t>
  </si>
  <si>
    <t>vedoucí odboru informačních technologií</t>
  </si>
  <si>
    <t xml:space="preserve">DD Kobylá nad Vidnávkou - oprava 1 výtahu </t>
  </si>
  <si>
    <t xml:space="preserve">Domov důchodců Javorník  - Stravovací provoz </t>
  </si>
  <si>
    <t>Domov důchodců Kobylá -Kotelna - B1</t>
  </si>
  <si>
    <t>ÚSP pro mládež Jeseník -Střecha</t>
  </si>
  <si>
    <t xml:space="preserve">ÚSP pro mládež Jeseník -Zasklení oblouků v přízemí budovy </t>
  </si>
  <si>
    <t>ÚSP pro mládež Jeseník - Nákladní výtah</t>
  </si>
  <si>
    <t>Domov důchodců Červenka -Sociální zařízení na pokojích uživatelů</t>
  </si>
  <si>
    <t>Obchodní akademie, Olomouc, tř. Spojenců 11 - Výměna oken</t>
  </si>
  <si>
    <t>00000212</t>
  </si>
  <si>
    <t>Podpora kulturních aktivit v Olomouckém kraji</t>
  </si>
  <si>
    <t>Neinvest.transfery občan.sdruž.</t>
  </si>
  <si>
    <t>47) OP RLZ - 3.1.: Vzdělávání učitelů v přípravě a řízení projektů SF EU na středních školách v Olomouckém kraji</t>
  </si>
  <si>
    <t>Domov seniorů POHODA Chválkovice</t>
  </si>
  <si>
    <t>ORG - 1638</t>
  </si>
  <si>
    <t>ORG - 1639</t>
  </si>
  <si>
    <t>Ost.neinv.výdaje j.n.</t>
  </si>
  <si>
    <t>00000025</t>
  </si>
  <si>
    <t>Mateřská škola Sluníčko Olomouc, o.p.s., Blahoslavova 2, Olomouc</t>
  </si>
  <si>
    <t>Usnesením rady UR/5/7/2009 ze dne 22.1.2009 byly finanční prostředky schváleného rozpočtu na rok 2009 pro Odbor ekonomický-oddělení přípravy a realizace investic (ORJ 77)  převedeny na nově vzniklý Odbor investic a evropských programů (ORJ 17).</t>
  </si>
  <si>
    <t>ZŠ a MŠ při lázních Vel.Losiny, Lázeňská 240, Velké Losiny</t>
  </si>
  <si>
    <t>Základní škola a Mateřská škola, Masarykova 4, Mohelnice</t>
  </si>
  <si>
    <t>Zapojení prostředků z FV</t>
  </si>
  <si>
    <t xml:space="preserve">vedoucí odboru  správního a legislativního </t>
  </si>
  <si>
    <t>Neinv.transfery nefin.podnik.subj. - PO</t>
  </si>
  <si>
    <t>00000200</t>
  </si>
  <si>
    <t>Gymnázium, Šternberk, Horní náměstí 5-Oprava sociálního zařízení</t>
  </si>
  <si>
    <t xml:space="preserve">Střední odborná škola, Olomouc, Na Vlčinci 3- Oprava sociálního zařízení </t>
  </si>
  <si>
    <t>Gymnázium J. Wolkera, PV - rekonstrukce prostor pro činnost školního klubu</t>
  </si>
  <si>
    <t>Střední škola technická a obchodní Kosinova Olomouc - fasáda</t>
  </si>
  <si>
    <t>41) GS - 4.2.2 Podpora regionální a místní infrastruktury cestovního ruchu</t>
  </si>
  <si>
    <t xml:space="preserve"> v Olomouckém kraji</t>
  </si>
  <si>
    <t>Střední zdravotnická škola, Šumperk, Kladská 2 -domov mládeže, ul. ČSA 1, Šumperk - Oprava podlahy  v knihovně domova mládeže</t>
  </si>
  <si>
    <t xml:space="preserve">SPŠ elektrotechnická, Mohelnice -Oprava oken </t>
  </si>
  <si>
    <t>vedoucí odboru školství, mládežě a tělovýchovy</t>
  </si>
  <si>
    <t>Mgr. Miroslav Gajdůšek, MBA</t>
  </si>
  <si>
    <t>Výdaje celkem</t>
  </si>
  <si>
    <t xml:space="preserve"> -konsolidace</t>
  </si>
  <si>
    <t>Gymnázium Jeseník, Komenského 281 - rekonstrukce střechy tělocvičny</t>
  </si>
  <si>
    <t>ZŠ Jeseník, Fučíkova 312 - oprava kanalizace bud. Rudná 383</t>
  </si>
  <si>
    <t>RZ 151/05 - zapojení zůstatku fin.prostředků k 31.12.2004 Fondu na podporu výstavby a obnovy vodohosp.infr.</t>
  </si>
  <si>
    <t>RZ 507/05 - přesun z ORJ 99, § 2321, pol. 6341</t>
  </si>
  <si>
    <t>RZ 149/05 - přesun z ORJ 99, § 2399, pol. 6341</t>
  </si>
  <si>
    <t>GS - 4.2.2 Podpora regionální a místní infrastruktury cestovního ruchu v Olomouckém kraji celkem</t>
  </si>
  <si>
    <t>GG - Podpora nabídky dalšího vzdělávání v Olomouckém kraji</t>
  </si>
  <si>
    <t>SPŠ, Havlíčkova 2, Přerov</t>
  </si>
  <si>
    <t>Domov důchodců Prostějov</t>
  </si>
  <si>
    <t>Domov důchodců Prostějov celkem</t>
  </si>
  <si>
    <t>Domov důchodců Jesenec</t>
  </si>
  <si>
    <t>Odborný léčebný ústav neurologicko-geriatrický v Moravský Beroun celkem</t>
  </si>
  <si>
    <t>Dětské centrum Pavučinka Šumperk celkem</t>
  </si>
  <si>
    <t>Zdravotnická záchranná služba OK  celkem</t>
  </si>
  <si>
    <t>Archeologické centrum Olomouc celkem</t>
  </si>
  <si>
    <t>Výdaje odboru majetkového a právního</t>
  </si>
  <si>
    <t>Jazyková škola s právem státní jazykové zkoušky, Pöttingova 2, Olomouc</t>
  </si>
  <si>
    <t>Výdaje Kanceláře  ředitele</t>
  </si>
  <si>
    <t>Výdaje Kanceláře hejtmana</t>
  </si>
  <si>
    <t>Výdaje Zastupitelů</t>
  </si>
  <si>
    <t>Výdaje odboru správního a legislativního</t>
  </si>
  <si>
    <t>Ostatní platby za provedenou práci j.n.</t>
  </si>
  <si>
    <t>Nákup ostatních paliv a energie</t>
  </si>
  <si>
    <t>00000113</t>
  </si>
  <si>
    <t>ZŠ pro žáky se spec.poruchami učení a MŠ log. Schola-Viva o.p.s., Erbenova 16, Šumperk</t>
  </si>
  <si>
    <t>ZŠ a SŠ Poměnka, o.p.s., Šumavská 13, Šumperk</t>
  </si>
  <si>
    <t>Domov pro seniory Radkova Lhota celkem</t>
  </si>
  <si>
    <t>Střední odborná škola, s.r.o., Stromořadí 420, Uničov</t>
  </si>
  <si>
    <t>Silnice III/44921 Loučany - průtah</t>
  </si>
  <si>
    <t>Domov Větrný mlýn Skalička - revitalizace zámeckého parku</t>
  </si>
  <si>
    <t>ORG 100325</t>
  </si>
  <si>
    <t>ORG 100326</t>
  </si>
  <si>
    <t>Revitalizace zámeckého parku s přilehlými plochami v Nových Zámcích</t>
  </si>
  <si>
    <t>ORG 100336</t>
  </si>
  <si>
    <t>ORG 100416</t>
  </si>
  <si>
    <t>ORG 100441</t>
  </si>
  <si>
    <t>Realizace energeticky úsporných opatření - Sociální služby pro seniory Olomouc - ubytovací část</t>
  </si>
  <si>
    <t>ORG 100470</t>
  </si>
  <si>
    <t>Realizace energeticky úsporných opatření - Domov důchodců Šumperk</t>
  </si>
  <si>
    <t>ORG 100494</t>
  </si>
  <si>
    <t>Realizace energeticky úsporných opatření - Domov důchodců Hrubá Voda - budova žen</t>
  </si>
  <si>
    <t>ORG 100496</t>
  </si>
  <si>
    <t>Realizace energeticky úsporných opatření - Penzion pro důchodce Loštice</t>
  </si>
  <si>
    <t>ORG 100497</t>
  </si>
  <si>
    <t>Rekonstrukce zahrady v Domově důchodců Červenka</t>
  </si>
  <si>
    <t>ORG 100530</t>
  </si>
  <si>
    <t>II/150 Vícov - obchvat obce</t>
  </si>
  <si>
    <t>II/434, II/437 Lipník nad Bečvou - okružní křižovatka</t>
  </si>
  <si>
    <t>II/446, III/44613 Štěpánov - úprava křižovatky</t>
  </si>
  <si>
    <t>Základní škola, DD a Školní jídelna, Palackého 938, Litovel</t>
  </si>
  <si>
    <t>SPŠ elektrotechnická, gen.Svobody 2, Mohelnice</t>
  </si>
  <si>
    <t>Střední odborná škola, Zemědělská 3, Šumperk</t>
  </si>
  <si>
    <t>Obecní školy - provozní výdaje</t>
  </si>
  <si>
    <t>Obecní školy celkem</t>
  </si>
  <si>
    <t xml:space="preserve"> </t>
  </si>
  <si>
    <t>8a) Operační program Olomouckého kraje</t>
  </si>
  <si>
    <t>ORJ - 88XX</t>
  </si>
  <si>
    <t>Ing. Michaela Pruknerová</t>
  </si>
  <si>
    <t>MFČR - Účelová dotace krajům - TBC</t>
  </si>
  <si>
    <t>ZŠ a MŠ při lázních Bludov, Lázeňská 573, Bludov</t>
  </si>
  <si>
    <t xml:space="preserve">VOŠ a SŠ automobilní, U Dráhy 6, Zábřeh </t>
  </si>
  <si>
    <t>OA a Jazyková škola s právem st.jazyk.zkoušky, Bartošova 24, Přerov</t>
  </si>
  <si>
    <t>Domov "Na Zámku" Nezamyslice - rekonstrukce podlahy hl. budovy</t>
  </si>
  <si>
    <t>Domov důchodců a penzion Chválkovice - modernizace areálu</t>
  </si>
  <si>
    <t>Vlastivědné muzeum v Olomouci - Letní reflektář Klášterní Hradisko</t>
  </si>
  <si>
    <t>00098861</t>
  </si>
  <si>
    <t>MF - Výkupy pozemků pod krajskými komunikacemi</t>
  </si>
  <si>
    <t>Neinv.transfery regionálním radám</t>
  </si>
  <si>
    <t>EIB</t>
  </si>
  <si>
    <t>SOŠ a SOU, Moravské nám. 681, Uničov</t>
  </si>
  <si>
    <t>Muzeum Komenského v Přerově celkem</t>
  </si>
  <si>
    <t>Dětské centrum Pavučinka Šumperk</t>
  </si>
  <si>
    <t>Soukromá SOŠ,s.r.o.,  Jaselská 832, Hranice</t>
  </si>
  <si>
    <t>VOŠ živnostenská, s.r.o., Palackého 19, Přerov</t>
  </si>
  <si>
    <t>TRIVIS - střední škola veřejnoprávní, s.r.o., Havlíčkova 24/2920, Prostějov</t>
  </si>
  <si>
    <t>Střední škola stavební a podnikatelská, s.r.o., Štěpánovská 23, Olomouc-Chomoutov</t>
  </si>
  <si>
    <t>ORG 100660</t>
  </si>
  <si>
    <t>ORG 100531</t>
  </si>
  <si>
    <t>Projektové a procesní řízení na Krajském úřadě Olomouckého kraje</t>
  </si>
  <si>
    <t>Výdaje z finančního vypořádání minulých let mezi regionální radou a kraji, obcemi a dobrovolnými svazky obcí</t>
  </si>
  <si>
    <t>Investiční transfery nefinačním podnikatelským subjektům - právnickým osobám</t>
  </si>
  <si>
    <t xml:space="preserve">Investiční transfery církvím a náboženským společnostem </t>
  </si>
  <si>
    <t>Zapojení prostředků z finančního vypořádání</t>
  </si>
  <si>
    <t>ORG 1104</t>
  </si>
  <si>
    <t>ORG 1109</t>
  </si>
  <si>
    <t>Gymnázium. Svatopluka Čecha 683, Kojetín</t>
  </si>
  <si>
    <t>ORG 1110</t>
  </si>
  <si>
    <t>ORG 1130</t>
  </si>
  <si>
    <t>ORG 1132</t>
  </si>
  <si>
    <t>VOŠ a SPŠ, Gen. Krátkého 1, Šumperk</t>
  </si>
  <si>
    <t>ORG 1135</t>
  </si>
  <si>
    <t>ORG 1152</t>
  </si>
  <si>
    <t>Střední zdravotnická škola, Vápenice 3, Prostějov</t>
  </si>
  <si>
    <t>ORG 1161</t>
  </si>
  <si>
    <t>Střední škola technická, Kouřílkova 8, Přerov</t>
  </si>
  <si>
    <t>ORG 1173</t>
  </si>
  <si>
    <t>ORG 1204</t>
  </si>
  <si>
    <t>Střední škola polygrafická, Střední Novosadská 55, Olomouc</t>
  </si>
  <si>
    <t>ORG 1205</t>
  </si>
  <si>
    <t>Společný regionální operační program celkem</t>
  </si>
  <si>
    <t xml:space="preserve">vedoucí odboru životního prostředí a zemědělství </t>
  </si>
  <si>
    <t xml:space="preserve">Ing. Josef Veselský </t>
  </si>
  <si>
    <t xml:space="preserve">Mgr. Lenka Doleželová </t>
  </si>
  <si>
    <t>00000020</t>
  </si>
  <si>
    <t>00000804</t>
  </si>
  <si>
    <t>00000019</t>
  </si>
  <si>
    <t>Ostatní nein.transfery neziskovým</t>
  </si>
  <si>
    <t>a podobným organizacím</t>
  </si>
  <si>
    <t>00000006</t>
  </si>
  <si>
    <t>00013307</t>
  </si>
  <si>
    <t xml:space="preserve">MPSV - na výplatu st.přísp.pro zřiz.zařízení pro děti vyž.okamžitou pomoc </t>
  </si>
  <si>
    <t xml:space="preserve">Neinv.transfery obecně prospěš.spol. </t>
  </si>
  <si>
    <t>MŠMT - Vybav.škol pomůckami kompenz.a rehab.char.</t>
  </si>
  <si>
    <t>Domov Alfreda Skeneho Pavlovice u Přerova celkem</t>
  </si>
  <si>
    <t>ORG - 1659</t>
  </si>
  <si>
    <t>ORG - 1660</t>
  </si>
  <si>
    <t>Centrum Dominika Kokory</t>
  </si>
  <si>
    <t>ORG - 1661</t>
  </si>
  <si>
    <t>Centrum Dominika Kokory celkem</t>
  </si>
  <si>
    <t>ORG - 1662</t>
  </si>
  <si>
    <t>ORG - 1663</t>
  </si>
  <si>
    <t>investice</t>
  </si>
  <si>
    <t>dotace</t>
  </si>
  <si>
    <t>provozní příspěvky zřízeným PO- rezerva</t>
  </si>
  <si>
    <t xml:space="preserve">32) Společný regionální operační program </t>
  </si>
  <si>
    <t xml:space="preserve">Výdaje odboru ekonomického </t>
  </si>
  <si>
    <t>Stavební akce celkem</t>
  </si>
  <si>
    <t xml:space="preserve">Výdaje odboru strategického rozvoje kraje </t>
  </si>
  <si>
    <t>SMN a.s. - o.z. Nem. PV- Stavební úpravy laboratoří</t>
  </si>
  <si>
    <t>SMN a.s. - o.z. Nem. PV-Stavební úpravy dětského oddělení</t>
  </si>
  <si>
    <t>SMN a.s. - o.z. Nem. PV- Výměna oken v budově polikliniky - II. etapa</t>
  </si>
  <si>
    <t>Stavební akce</t>
  </si>
  <si>
    <t>Věcné dary</t>
  </si>
  <si>
    <t>Nákup kolků</t>
  </si>
  <si>
    <t>Platby daní a poplatků</t>
  </si>
  <si>
    <t>Nespecifikované rezervy</t>
  </si>
  <si>
    <t>Budovy, haly a stavby</t>
  </si>
  <si>
    <t>Stroje, přístroje a zařízení</t>
  </si>
  <si>
    <t xml:space="preserve">Zastupitelé celkem </t>
  </si>
  <si>
    <t>ORJ - 02</t>
  </si>
  <si>
    <t>Prádlo, oděv a obuv</t>
  </si>
  <si>
    <t>Knihy, učební pomůcky a tisk</t>
  </si>
  <si>
    <t>Konzultační, poradenské a právní služby</t>
  </si>
  <si>
    <t>Neinv.transfery občanským sdružením</t>
  </si>
  <si>
    <t>Neinvest.transfery nefin.podnik.subj.-FO</t>
  </si>
  <si>
    <t>00000550</t>
  </si>
  <si>
    <t>Přísp.na hosp.v lesích na území OK</t>
  </si>
  <si>
    <t>Neinvest.transfery nefin.podnik.subj.-PO</t>
  </si>
  <si>
    <t>00000552</t>
  </si>
  <si>
    <t>Přísp.obcím OK na řešení mimoř.událostí</t>
  </si>
  <si>
    <t>00098278</t>
  </si>
  <si>
    <t>MFČR - úhrada škod způs.kormoránem velkým</t>
  </si>
  <si>
    <t>Neinvestiční transfery vysokým školám</t>
  </si>
  <si>
    <t>Investiční transfery zřízeným PO</t>
  </si>
  <si>
    <t>ORJ 8835 celkem</t>
  </si>
  <si>
    <t>Ing. Zuzana Ochmanová</t>
  </si>
  <si>
    <t>Příspěvkové organizace</t>
  </si>
  <si>
    <t>ORG</t>
  </si>
  <si>
    <t>Nákup materiálu j.n.</t>
  </si>
  <si>
    <t>Příspěvkové organizace - provozní výdaje</t>
  </si>
  <si>
    <t>Soukromé školy - provozní výdaje</t>
  </si>
  <si>
    <t>Příspěvkové organizace - investiční výdaje</t>
  </si>
  <si>
    <t>Příspěvkové organizace celkem - investiční výdaje</t>
  </si>
  <si>
    <t>Rekapitulace</t>
  </si>
  <si>
    <t>Odbor (kancelář)</t>
  </si>
  <si>
    <t>schválený rozpočet</t>
  </si>
  <si>
    <t>upravený rozpočet</t>
  </si>
  <si>
    <t>ORJ</t>
  </si>
  <si>
    <t>Zastupitelé</t>
  </si>
  <si>
    <t xml:space="preserve"> - provozní výdaje</t>
  </si>
  <si>
    <t xml:space="preserve"> - investiční výdaje</t>
  </si>
  <si>
    <t>17) Odbor investic a evropských programů</t>
  </si>
  <si>
    <t>Příspěvky divadlům a filharmoniím</t>
  </si>
  <si>
    <t>Neinvestiční dotace pro knihovny</t>
  </si>
  <si>
    <t>Gymnázium, Masarykovo nám. 8, Šumperk</t>
  </si>
  <si>
    <t>provoz</t>
  </si>
  <si>
    <t xml:space="preserve"> - účelové neinvestiční dotace</t>
  </si>
  <si>
    <t xml:space="preserve"> - účelové investiční dotace</t>
  </si>
  <si>
    <t>odbor</t>
  </si>
  <si>
    <t>příspěvkové organizace</t>
  </si>
  <si>
    <t>soukromé školy</t>
  </si>
  <si>
    <t>obecní školy</t>
  </si>
  <si>
    <t>ZUŠ, Jungmannova  740, Litovel</t>
  </si>
  <si>
    <t>Náhrady mezd v době nemoci</t>
  </si>
  <si>
    <t>Ostatní neinvestiční výdaje j.n.</t>
  </si>
  <si>
    <t>Vincentinum Šternberk - Úprava venkovních prostor pro imobilní uživatele</t>
  </si>
  <si>
    <t>Vincentinum - poskytovatel soc. služeb Šternberk - Chlazený sklad nebezpečného odpadu</t>
  </si>
  <si>
    <t>Nákupy ostatních služeb</t>
  </si>
  <si>
    <t>ÚSP Nové Zámky - Střecha a římsy</t>
  </si>
  <si>
    <t>Domov důchodců Šumperk - Chlazený sklad nebezpečného odpadu</t>
  </si>
  <si>
    <t>Domov důchodců Šumperk - Stavební úpravy balkonů</t>
  </si>
  <si>
    <t xml:space="preserve">      infrastruktury na území Olomouckého kraje</t>
  </si>
  <si>
    <t>ORJ  - 99</t>
  </si>
  <si>
    <t>RZ 386/05 - přesun z ORJ 99, § 2399, pol. 6341</t>
  </si>
  <si>
    <t>RZ 507/05 - přesun na ORJ 99, § 2399, pol. 6341</t>
  </si>
  <si>
    <t>Penzion pro důchodce Loštice</t>
  </si>
  <si>
    <t>Penzion pro důchodce Loštice celkem</t>
  </si>
  <si>
    <t>Ost.neinv.transfery veř.rozp.úz.úrovně</t>
  </si>
  <si>
    <t>00000027</t>
  </si>
  <si>
    <t>Středisko volného času ATLAS a BIOS, Žižkova 12, Přerov</t>
  </si>
  <si>
    <t>Investiční a neinvestiční akce v obl.dopravy</t>
  </si>
  <si>
    <t>odkup pozemku</t>
  </si>
  <si>
    <t>Pohoštění</t>
  </si>
  <si>
    <t>RZ 301/05 - přesun z ORJ 199, 03, § 6172, pol. 5499, § 6172, pol. 5177</t>
  </si>
  <si>
    <t>Konzultační, porad.a právní služby</t>
  </si>
  <si>
    <t>00000412</t>
  </si>
  <si>
    <t>Střednědobý plán rozvoje soc.služeb OK</t>
  </si>
  <si>
    <t>Neinv.transfery nefin.pod.subj.-FO</t>
  </si>
  <si>
    <t>číslo účtu: 1701992/0800</t>
  </si>
  <si>
    <t xml:space="preserve">celkem </t>
  </si>
  <si>
    <t>inv.</t>
  </si>
  <si>
    <t>neinv.dot.</t>
  </si>
  <si>
    <t>DD a ŠJ, U Sportovní haly 1a, Olomouc</t>
  </si>
  <si>
    <t>DD a ŠJ, Vrchlického 369, Konice</t>
  </si>
  <si>
    <t>DD a ŠJ, Balkán 333, Plumlov</t>
  </si>
  <si>
    <t>DD a ŠJ, Purgešova 4, Hranice</t>
  </si>
  <si>
    <t>Spec.školy pro zrakově postižené Litovel - Areál Hejčín</t>
  </si>
  <si>
    <t>Dětský domov Konice - rekonstrukce domova</t>
  </si>
  <si>
    <t>SPŠ Přerov, Havlíčkova - výstavba tělocvičny</t>
  </si>
  <si>
    <t>OA Přerov - rekonstrukce hyg.zařízení</t>
  </si>
  <si>
    <t xml:space="preserve">Speciální školy Prostějov, Tetín - rek.vývařovny internátu </t>
  </si>
  <si>
    <t>DD a SŠ zemědělská Olomouc - stavební úpravy a opravy</t>
  </si>
  <si>
    <t>Obchodní akademie, Olomouc - Zateplení uliční a dvorní fasády</t>
  </si>
  <si>
    <t xml:space="preserve">Neinv.transfery obecně prospěšným  společnostem </t>
  </si>
  <si>
    <t>fin.příspěvek v obl.sportu</t>
  </si>
  <si>
    <t>Účel.neinvest.transfery nepodnik. FO</t>
  </si>
  <si>
    <t>Inv.transfery obč.sdružením</t>
  </si>
  <si>
    <t>odpisy</t>
  </si>
  <si>
    <t>32133019</t>
  </si>
  <si>
    <t>32533019</t>
  </si>
  <si>
    <t>Vědecká knihovna v Olomouci -Přístupový chodník a parkovací místa na ul. Bezručova</t>
  </si>
  <si>
    <t>Vlastivědné muzeum v Olomouci -Topný systém v budově sídla VMO</t>
  </si>
  <si>
    <t>Vlastivědné muzeum Jesenicka - Stálá expozice čarodějnických procesů</t>
  </si>
  <si>
    <t xml:space="preserve">Vlastivědné muzeum Jesenicka - Stálá expozice Z historie Jesenicka </t>
  </si>
  <si>
    <t>Brána poznání otevřena - údržba majetku</t>
  </si>
  <si>
    <t xml:space="preserve">Ostatní inv.transfery nezisk.a pod.org. </t>
  </si>
  <si>
    <t>Velký Kosíř - Rozhledna</t>
  </si>
  <si>
    <t xml:space="preserve">Loučany - Náměšť na Hané - rekonstrukce silnice </t>
  </si>
  <si>
    <t xml:space="preserve">UZ </t>
  </si>
  <si>
    <t>projekt PILOT G/GP</t>
  </si>
  <si>
    <t>Příspěvek na provoz PO-mzdové náklady</t>
  </si>
  <si>
    <t>9) Odbor životního prostředí a zemědělství</t>
  </si>
  <si>
    <t>ORJ - 09</t>
  </si>
  <si>
    <t>10) Odbor školství, mládeže a tělovýchovy</t>
  </si>
  <si>
    <t>ORJ - 10</t>
  </si>
  <si>
    <t>Investiční a neinvestiční akce v obl.školství</t>
  </si>
  <si>
    <t>ORJ 8832-Podpora sportovních volnočasových aktivit</t>
  </si>
  <si>
    <t>ORJ 8832 celkem</t>
  </si>
  <si>
    <t>ORJ 8803 celkem</t>
  </si>
  <si>
    <t>ORJ - 199</t>
  </si>
  <si>
    <t>SROP - individuální projekty</t>
  </si>
  <si>
    <t>Ostatní neinv.transfery ob.</t>
  </si>
  <si>
    <t>Domov důchodců Hrubá Voda celkem</t>
  </si>
  <si>
    <t>Vlastivědné muzeum Jesenicka</t>
  </si>
  <si>
    <t>Gymnázium, Svat.Čecha 683, Kojetín</t>
  </si>
  <si>
    <t>00000407</t>
  </si>
  <si>
    <t>Dotační program prevence kriminality</t>
  </si>
  <si>
    <t>a příspěvek na st.pol.zam.</t>
  </si>
  <si>
    <t>00000551</t>
  </si>
  <si>
    <t>Fond na podporu výst.a obn.vodohosp.infr.</t>
  </si>
  <si>
    <t>Ostatní neinv.výdaje j.n.</t>
  </si>
  <si>
    <t>Výdaje na dopravní územní obslužnnost</t>
  </si>
  <si>
    <t>8 = 7/ 6</t>
  </si>
  <si>
    <t>Výdaje na dopravní územní obslužnost</t>
  </si>
  <si>
    <t>Neinvestičbní transfery nefin.podnik.subj.-PO</t>
  </si>
  <si>
    <t>Investiční transfery nefin.podnik.subj.-FO</t>
  </si>
  <si>
    <t>odbor celkem</t>
  </si>
  <si>
    <t>RZ 187/05 - přesun z ORJ 99, § 2399, pol. 6341</t>
  </si>
  <si>
    <t>RZ 385/05 - přesun z ORJ 99, § 2399, pol. 6341</t>
  </si>
  <si>
    <t>Obecní školy celkem - provozní výdaje</t>
  </si>
  <si>
    <t>Zdravotnická záchranná služba Olomouckého kraje</t>
  </si>
  <si>
    <t>MŠ a ZŠ při FN Olomouc, I.P.Pavlova 6, Olomouc</t>
  </si>
  <si>
    <t>Základní škola prof.Z.Matějčka, Svatoplukova 11, Olomouc-Řepčín</t>
  </si>
  <si>
    <t>Střední škola, ZŠ a MŠ, Komenského 10, Prostějov</t>
  </si>
  <si>
    <t>Základní škola speciální Jasněnka, o.p.s., Jiráskova 772, Uničov</t>
  </si>
  <si>
    <t>ZŠ a MŠ Sluničko, s.r.o.,  Loučská  237, Lipník nad Bečvou</t>
  </si>
  <si>
    <t>MÚK R 35 - Tovačov , stavební úpravy</t>
  </si>
  <si>
    <t>Zábřeh - okružní křižovatka</t>
  </si>
  <si>
    <t>III/44620 Náklo - průtah</t>
  </si>
  <si>
    <t>III/43621, III/43622 Velký Týnec, Čechovice - rekonstrukce silnic</t>
  </si>
  <si>
    <t>III/4436, III/44310 Tovéř - okružní křižovatka</t>
  </si>
  <si>
    <t>58) GG - 1.3. Další vzdělávání pracovníků škol a školských zařízení v Olomouckém kraji</t>
  </si>
  <si>
    <t>ORJ - 58</t>
  </si>
  <si>
    <t>číslo účtu: 43-2020400297/0100</t>
  </si>
  <si>
    <t>Ostatní</t>
  </si>
  <si>
    <t>Platby daní a poplatků stát.rozpočtu</t>
  </si>
  <si>
    <t>00000000</t>
  </si>
  <si>
    <t>00000011</t>
  </si>
  <si>
    <t>00000014</t>
  </si>
  <si>
    <t>Středomoravská nemocniční a.s. Olomouc</t>
  </si>
  <si>
    <t>Platby daní a poplatků SR</t>
  </si>
  <si>
    <t>GG - 1.2. Rovné příležitosti dětí a žáků, včetně dětí a žáků se speciálními vzdělávacími potřebami v Olomouckém kraji</t>
  </si>
  <si>
    <t>DD a ŠJ, Tyršova 772, Lipník</t>
  </si>
  <si>
    <t>číslo účtu: 35-1843380237/0100</t>
  </si>
  <si>
    <t>položka</t>
  </si>
  <si>
    <t>9=8/7</t>
  </si>
  <si>
    <t>Celkem</t>
  </si>
  <si>
    <t>Konsolidace</t>
  </si>
  <si>
    <t>Nákup materiálu</t>
  </si>
  <si>
    <t xml:space="preserve">Ostatní náklady </t>
  </si>
  <si>
    <t>Převody vlastním rozpočtovým účtům</t>
  </si>
  <si>
    <t xml:space="preserve">Ostatní neinvestiční výdaje </t>
  </si>
  <si>
    <t xml:space="preserve">Celkem výdaje po konsolidaci </t>
  </si>
  <si>
    <t>GS - 1.1. Podpora malého a středního podnikání ve vybraných regionech Olomouckého kraje celkem</t>
  </si>
  <si>
    <t>38) GS - 3.2 Podpora sociální integrace v Olomouckém kraji</t>
  </si>
  <si>
    <t>GS - 3.2 Podpora sociální integrace v Olomouckém kraji celkem</t>
  </si>
  <si>
    <t>RZ 301/05 - přesun na ORJ 199, § 6113, pol. 5169</t>
  </si>
  <si>
    <t>Drobný hmotný a dlouhodobý majetek</t>
  </si>
  <si>
    <t>RZ 712/05 - přesun z ORJ 199, § 6172, pol. 5901</t>
  </si>
  <si>
    <t>Investiční a neinvestiční akce v obl.dopr.</t>
  </si>
  <si>
    <t>00000870</t>
  </si>
  <si>
    <t>Povinný podíl kraje (půjčka EIB)</t>
  </si>
  <si>
    <t>Nákup dlouhodob.hm.majetku j.n.</t>
  </si>
  <si>
    <t>Investiční a neinvestiční akce v obl.zdravotnictví</t>
  </si>
  <si>
    <t>Ostatní neinvestiční výdaje jinde nezařazené</t>
  </si>
  <si>
    <t>Vlastivědné muzeum v Olomouci - vybavení depozitářů Denisova ul. (po rekonstrukci budovy)</t>
  </si>
  <si>
    <t>Vlastivědné muzeum Jesenicka - rekonstrukce střešní krytiny na budově Vodní tvrze</t>
  </si>
  <si>
    <t>Archeologické centrum v Ol - rekonstrukce objektu U Hradiska 7/4 (včetně vnitřního vybavení)</t>
  </si>
  <si>
    <t xml:space="preserve">Vlastivědné muzeum Jesenicka - inženýrské sítě a fasáda </t>
  </si>
  <si>
    <t>Muzeum Komenského v Přerově - přístavba depozitáře</t>
  </si>
  <si>
    <t>Vlastivědné muzeum v Olomouci - revitalizace rybníka Bílá Lhota</t>
  </si>
  <si>
    <t>Vlastivědné muzeum Jesenicka - Zřízení prostor pro kavárnu, vinárna, galerie</t>
  </si>
  <si>
    <t>Vlastivědné muzeum v Olomouci - Úprava Václavkova sálu</t>
  </si>
  <si>
    <t>Soukromá výtvarná ZUŠ s.r.o., Alšova 243, Jeseník</t>
  </si>
  <si>
    <t>neinv.transfery na provoz škol-ZŠ Libavá</t>
  </si>
  <si>
    <t>přímé nákl.na vzdělání</t>
  </si>
  <si>
    <t xml:space="preserve">příspěvek na odpisy </t>
  </si>
  <si>
    <t>ZŠ a MŠ logopedická, Tř. Svornosti 37/900, Olomouc</t>
  </si>
  <si>
    <t>MŠ A a T, s.r.o.,  U Bečvy 2, Přerov</t>
  </si>
  <si>
    <t>Speciální  MŠ A a J, s.r.o.,  U Bečvy 2,  Přerov</t>
  </si>
  <si>
    <t xml:space="preserve">Nespecifikované rezervy </t>
  </si>
  <si>
    <t>Poskytnuté neinvestiční přísp.a náhrady</t>
  </si>
  <si>
    <t>00033457</t>
  </si>
  <si>
    <t>regionech Olomouckého kraje</t>
  </si>
  <si>
    <t>ORJ - 37</t>
  </si>
  <si>
    <t>číslo účtu: 1701482/0800</t>
  </si>
  <si>
    <t>ORJ - 38</t>
  </si>
  <si>
    <t>číslo účtu: 1701642/0800</t>
  </si>
  <si>
    <t>veřejné subjekty a neziskové organizace</t>
  </si>
  <si>
    <t>ORJ - 39</t>
  </si>
  <si>
    <t>30) Individuální projekty</t>
  </si>
  <si>
    <t>ORJ - 49</t>
  </si>
  <si>
    <t>Domov důchodců Hrubá Voda - Nákladní výtah na přepravu jídla</t>
  </si>
  <si>
    <t>Domov důchodců a penzion Chválkovice - Šatny zaměstnanců</t>
  </si>
  <si>
    <t>MF - Podpora koordinátorů romských poradců</t>
  </si>
  <si>
    <t>00000021</t>
  </si>
  <si>
    <t>Pojistné plnění KÚ</t>
  </si>
  <si>
    <t>GG - 5.3. Zvýšení absorpční kapacity subjektů v Olomouckém kraji</t>
  </si>
  <si>
    <t>Inv.transfery st.rozpočtu</t>
  </si>
  <si>
    <t>Zajištění dostupnosti vybraných sociálních služeb v Olomouckém kraji</t>
  </si>
  <si>
    <t>číslo účtu: 2702452/0800</t>
  </si>
  <si>
    <t>49) VILA DORIS ŠUMPERK - Podpora sociální integrace v Olomouckém kraji</t>
  </si>
  <si>
    <t>DD a Školní jídelna, Přerov, Sušilova 25 - Výměna oken</t>
  </si>
  <si>
    <t>Střední škola zemědělská, Přerov, Osmek 47-rekonstrukce budovy Kovárny, původně Výměna oken v tělocvičně</t>
  </si>
  <si>
    <t xml:space="preserve">Střední průmyslová škola, Přerov, Havlíčkova 2 - Výměna podlahové krytiny v učebnách  a kabinetech </t>
  </si>
  <si>
    <t xml:space="preserve">Švehlova SŠ, Prostějov - odloučené pracoviště Vrchlického 5 a Určická ul. 94, Prostějov - Oprava střechy </t>
  </si>
  <si>
    <t xml:space="preserve">5) Odbor správní a legislativní </t>
  </si>
  <si>
    <t>Sociální služby Šumperk</t>
  </si>
  <si>
    <t>Sociální služby Šumperk celkem</t>
  </si>
  <si>
    <t>Realizace energeticky úsporných opatření - SŠ zemědělská Přerov</t>
  </si>
  <si>
    <t>ORG 100469</t>
  </si>
  <si>
    <t>číslo účtu: 1701722/0800</t>
  </si>
  <si>
    <t>Neinvestiční transfery církvím a náboženským společnostem</t>
  </si>
  <si>
    <t xml:space="preserve">39) GS - Podpora regionálních a místních služeb cestovního ruchu - </t>
  </si>
  <si>
    <t>GS - Podpora regionálních a místních služeb cestovního ruchu - veřejné subjekty a neziskové organizace celkem</t>
  </si>
  <si>
    <t xml:space="preserve">37) GS - 1.1. Podpora malého a středního podnikání ve vybraných </t>
  </si>
  <si>
    <t>ostatní příspěvky</t>
  </si>
  <si>
    <t>00000210</t>
  </si>
  <si>
    <t>00000211</t>
  </si>
  <si>
    <t>Neinv.příspěvky zřízeným PO</t>
  </si>
  <si>
    <t>ORG - 1601</t>
  </si>
  <si>
    <t>ORG - 1602</t>
  </si>
  <si>
    <t>ORG - 1603</t>
  </si>
  <si>
    <t>ORG - 1604</t>
  </si>
  <si>
    <t>ORG - 1606</t>
  </si>
  <si>
    <t>ORG - 1607</t>
  </si>
  <si>
    <t>ORG - 1608</t>
  </si>
  <si>
    <t xml:space="preserve">ÚSP pro mládež Olšany - Rekonstrukce stávající koupelny </t>
  </si>
  <si>
    <t>Domov důchodců Prostějov - Zvětšení dveřních otvorů</t>
  </si>
  <si>
    <t>Domov "Na Zámku" (Nezamyslice) - Koupelna</t>
  </si>
  <si>
    <t>Centrum sociálních služeb Prostějov - Vybavení pavilonu A2</t>
  </si>
  <si>
    <t>Ústav sociální péče Rokytnice - Dispoziční úpravy pokojů</t>
  </si>
  <si>
    <t>00027355</t>
  </si>
  <si>
    <t>Ost.neinv.transfery nezisk.a podob.org.</t>
  </si>
  <si>
    <t>Dary obyvatelstvu</t>
  </si>
  <si>
    <t>Nákup ostatních služeb</t>
  </si>
  <si>
    <t>Investiční výdaje</t>
  </si>
  <si>
    <t>vedoucí odboru ekonomického</t>
  </si>
  <si>
    <t>Ing. Jiří Juřena</t>
  </si>
  <si>
    <t>Pozemky</t>
  </si>
  <si>
    <t>vedoucí odboru kultury a památkové péče</t>
  </si>
  <si>
    <t>PhDr. Jindřich Garčic</t>
  </si>
  <si>
    <t>SOU, Komenského 677, Litovel</t>
  </si>
  <si>
    <t>Studená voda</t>
  </si>
  <si>
    <t xml:space="preserve">7) Odbor ekonomický </t>
  </si>
  <si>
    <t>Odbor životního prostředí a zemědělství</t>
  </si>
  <si>
    <t>Teplo</t>
  </si>
  <si>
    <t>Služby telekomunikací a radiokomunikací</t>
  </si>
  <si>
    <t>Archeologické centrum Olomouc</t>
  </si>
  <si>
    <t>Ostatní poskytované zálohy a jistiny</t>
  </si>
  <si>
    <t>ORG 1170</t>
  </si>
  <si>
    <t>ORG 1200</t>
  </si>
  <si>
    <t>ORG 1465</t>
  </si>
  <si>
    <t>00033122</t>
  </si>
  <si>
    <t>50) ROP - Regionální dopravní infrastruktura - Silnice II. a III. třídy</t>
  </si>
  <si>
    <t>ORJ - 50</t>
  </si>
  <si>
    <t>číslo účtu: 2955812/0800</t>
  </si>
  <si>
    <t>SPŠ oděvní, Prostějov - Stavební úpravy  školy</t>
  </si>
  <si>
    <t>Základní škola Jeseník - Sociální zařízení</t>
  </si>
  <si>
    <t>Gymnázium Jana Blahoslava a Střední pedagogická škola, Přerov - Změna školní jídelny na výdejnu</t>
  </si>
  <si>
    <t>SŠ, ZŠ a MŠ JISTOTA, o.p.s., Tetín 1, Prostějov</t>
  </si>
  <si>
    <t>Neinvestičbní transfery nefin.podnik.subj.-FO</t>
  </si>
  <si>
    <t>11) Odbor sociálních věcí</t>
  </si>
  <si>
    <t>Střední zemědělská škola, Osmek 47, Přerov</t>
  </si>
  <si>
    <t>upravený rozp.</t>
  </si>
  <si>
    <t>skutečnost</t>
  </si>
  <si>
    <t>%</t>
  </si>
  <si>
    <t>Provozní výdaje</t>
  </si>
  <si>
    <t xml:space="preserve">Odbor školství, mládeže a tělovýchovy celkem </t>
  </si>
  <si>
    <t>ORJ - 11</t>
  </si>
  <si>
    <t>MKČR - veřejné informační služby knihoven</t>
  </si>
  <si>
    <t>MKČR - kulturní aktivity</t>
  </si>
  <si>
    <t>Investiční a neinvestiční akce v obl.kultury</t>
  </si>
  <si>
    <t>Investiční a neinvestiční akce v obl.sociální</t>
  </si>
  <si>
    <t>Ostatní příspěvky</t>
  </si>
  <si>
    <t>Služby peněžních ústavů</t>
  </si>
  <si>
    <t xml:space="preserve">Nájemné </t>
  </si>
  <si>
    <t>sníženo:</t>
  </si>
  <si>
    <t>Služby školení a vzdělávání</t>
  </si>
  <si>
    <t>Opravy a udržování</t>
  </si>
  <si>
    <t>Programové vybavení</t>
  </si>
  <si>
    <t>DD a ŠJ , Sušilova 25,  Přerov</t>
  </si>
  <si>
    <t>DD a ŠJ, Černá Voda 1</t>
  </si>
  <si>
    <t>DD a ŠJ , Priessnitzova 406, Jeseník</t>
  </si>
  <si>
    <t>celkem</t>
  </si>
  <si>
    <t>konsolidace</t>
  </si>
  <si>
    <t>Vědecká knihovna v Olomouci</t>
  </si>
  <si>
    <t>Vědecká knihovna v Olomouci celkem</t>
  </si>
  <si>
    <t>Vlastivědné muzeum v Olomouci</t>
  </si>
  <si>
    <t>Vlastivědné muzeum v Olomouci celkem</t>
  </si>
  <si>
    <t>Muzeum Prostějovska v Prostějově celkem</t>
  </si>
  <si>
    <t>Muzeum Komenského v Přerově</t>
  </si>
  <si>
    <t>Vlastivědné muzeum v Šumperku</t>
  </si>
  <si>
    <t>Vlastivědné muzeum v Šumperku celkem</t>
  </si>
  <si>
    <t>ORJ - 17</t>
  </si>
  <si>
    <t>RZ 807/05 - přesun z ORJ 199, § 6172, pol. 5901</t>
  </si>
  <si>
    <t>RZ 197/05 - zapojení přebytku hospodaření za rok 2004</t>
  </si>
  <si>
    <t>Neinvestiční příspěvky zřízeným PO</t>
  </si>
  <si>
    <t>Správa silnic Olomouckého kraje celkem</t>
  </si>
  <si>
    <t>52) Implementace a péče o území soustavy Natura 2000 v Olomouckém kraji</t>
  </si>
  <si>
    <t>ORJ - 52</t>
  </si>
  <si>
    <t>číslo účtu: 3078612/0800</t>
  </si>
  <si>
    <t>Implementace a péče o území soustavy Natura 2000 v Olomouckém kraji</t>
  </si>
  <si>
    <t>Neinv.transf.obyv.nemající charakter daru</t>
  </si>
  <si>
    <t>Ost.neinv.transfery veř.rozpočtům úz.úrovně</t>
  </si>
  <si>
    <t>fin.vypořádání s MŠMT za rok 2009</t>
  </si>
  <si>
    <t>Inv.transfery ostatním PO</t>
  </si>
  <si>
    <t>00000115</t>
  </si>
  <si>
    <t>Stipendia pro žáky učebních oborů</t>
  </si>
  <si>
    <t>00033025</t>
  </si>
  <si>
    <t>MŠMT - Projekty romské komunity</t>
  </si>
  <si>
    <t>MŠMT - Spolupráce s francouzskými, vlámskými a šp.školami</t>
  </si>
  <si>
    <t>MŠMT - Asistenti pedagogů pro děti, žáky a studenty se soc.znevýhodněním</t>
  </si>
  <si>
    <t>Neinv.dot.zřízeným PO</t>
  </si>
  <si>
    <t>32133123</t>
  </si>
  <si>
    <t>MŠMT - OPVK-oblast 1.4.EU peníze školám-EU</t>
  </si>
  <si>
    <t>32533123</t>
  </si>
  <si>
    <t>MŠMT - Individ.projekty ost.OP VK-EU</t>
  </si>
  <si>
    <t>MŠMT - Asistenti pedagogů v soukr.a církev.spec.školách</t>
  </si>
  <si>
    <t>MŠMT - progr.na podporu škol-vzdělávání dětí se sociokulturním znevýhodněním</t>
  </si>
  <si>
    <t>00033024</t>
  </si>
  <si>
    <t>Soukromé OU, s.r.o., Velký Újezd  321</t>
  </si>
  <si>
    <t>Střední škola automobilní, s.r.o., Vápenice 2977/9, Prostějov</t>
  </si>
  <si>
    <t>GG - 1.1. Zvyšování kvality ve vzdělávání v Olomouckém kraji</t>
  </si>
  <si>
    <t>57) GG - 1.2. Rovné příležitosti dětí a žáků, včetně dětí a žáků se speciálními vzdělávacími potřebami v Olomouckém kraji</t>
  </si>
  <si>
    <t>ORJ - 57</t>
  </si>
  <si>
    <t>číslo účtu: 43-2020470287/0100</t>
  </si>
  <si>
    <t xml:space="preserve"> GG - 1.2. Rovné příležitosti dětí a žáků, včetně dětí a žáků se speciálními vzdělávacími potřebami v Olomouckém kraji</t>
  </si>
  <si>
    <t>Mateřská škola, Blanická 16, Olomouc</t>
  </si>
  <si>
    <t>ORG 3006000002 - Společný nadregionální projekt pro podporu domác.cestovního ruchu</t>
  </si>
  <si>
    <t>RZ 659/04 - přesun z ORJ 08, § 2140, pol. 5169</t>
  </si>
  <si>
    <t>Úroky vlastní</t>
  </si>
  <si>
    <t>12) Odbor dopravy a silničního hospodářství</t>
  </si>
  <si>
    <t>ORJ - 12</t>
  </si>
  <si>
    <t xml:space="preserve">Neinvestiční příspěvky zřízeným PO </t>
  </si>
  <si>
    <t>Nájemné za půdu</t>
  </si>
  <si>
    <t>neinv.transfery na provoz škol</t>
  </si>
  <si>
    <t>Prostějov -  okružní křižovatka</t>
  </si>
  <si>
    <t xml:space="preserve">Olomouc, místní část Chomutov - průtah </t>
  </si>
  <si>
    <t>III/37349 Ptení - obchvat</t>
  </si>
  <si>
    <t>Velký Týnec - průtah, II. Etapa</t>
  </si>
  <si>
    <t>Dub - Tovačov, stavební úpravy (křižovatka s II/150 po křižovatku do Tovačova do II/433)</t>
  </si>
  <si>
    <t>Dub nad Moravou - hranice krajů OL/ZL silnice II/150 - Želátovice - Dřevohostice,</t>
  </si>
  <si>
    <t>Přerov - most u elektrárny event. Č. 04720-1</t>
  </si>
  <si>
    <t>61) Zvýšení přeshraniční dostupnosti Otmuchów - Mikulovice</t>
  </si>
  <si>
    <t>ORJ - 61</t>
  </si>
  <si>
    <t>číslo účtu: 3456222/0800</t>
  </si>
  <si>
    <t>Zvýšení přeshraniční dostupnosti Otmuchów - Mikulovice</t>
  </si>
  <si>
    <t>Soukromá SOŠ, s.r.o., Jaselská 832, Hranice</t>
  </si>
  <si>
    <t>ORG 1539</t>
  </si>
  <si>
    <t>ORG 1554</t>
  </si>
  <si>
    <t>ORG 3000</t>
  </si>
  <si>
    <t>Ostatní neinvestiční transfery neziskovým a podobným organizacím</t>
  </si>
  <si>
    <t>Brodek u Konice</t>
  </si>
  <si>
    <t>ORG 8106</t>
  </si>
  <si>
    <t>Dubicko</t>
  </si>
  <si>
    <t>ORG 8210</t>
  </si>
  <si>
    <t>Svazek obcí údolí Desné</t>
  </si>
  <si>
    <t>ORG 8278</t>
  </si>
  <si>
    <t>Ostatní neinvestiční transfery veřejným rozpočtům územní úrovně</t>
  </si>
  <si>
    <t>Ostatní investiční transfery neziskovým a podobným organizacím</t>
  </si>
  <si>
    <t>Ostatní investiční transfery veřejným rozpočtům územní úrovně</t>
  </si>
  <si>
    <t>Horka nad Moravou</t>
  </si>
  <si>
    <t>ORG 8327</t>
  </si>
  <si>
    <t>Statutární město Olomouc</t>
  </si>
  <si>
    <t>ORG 8357</t>
  </si>
  <si>
    <t>Velký Týnec</t>
  </si>
  <si>
    <t>ORG 8386</t>
  </si>
  <si>
    <t>Lobodice</t>
  </si>
  <si>
    <t>ORG 8446</t>
  </si>
  <si>
    <t>Soběchleby</t>
  </si>
  <si>
    <t>ORG 8480</t>
  </si>
  <si>
    <t>ORG 1014</t>
  </si>
  <si>
    <t>ORG 1035</t>
  </si>
  <si>
    <t>ORG 1040</t>
  </si>
  <si>
    <t>ORG 1041</t>
  </si>
  <si>
    <t>ORG 1127</t>
  </si>
  <si>
    <t>Gymnázium Jana Blahoslava a Střední pedagogická škola, Přerov</t>
  </si>
  <si>
    <t>Odborné učiliště a Praktická škola, Lipová - lázně</t>
  </si>
  <si>
    <t>Dům dětí a mládeže, tř. 17. listopadu 47, Olomouc</t>
  </si>
  <si>
    <t>ORG 1350</t>
  </si>
  <si>
    <t>Soukromá ZŠ Acorn´s a John´s school, s.r.o., U Bečvy 2, Přerov</t>
  </si>
  <si>
    <t>ORG 1516</t>
  </si>
  <si>
    <t>Neinvestiční transfery nefinančním podnikatelským subjektům -právnickým osobám</t>
  </si>
  <si>
    <t>Soukromá SOŠ, s.r.o.,Jaselská 832, Hranice</t>
  </si>
  <si>
    <t>Investiční transfery nefinannčím podnikatelským subjektům-právnickým osobám</t>
  </si>
  <si>
    <t>ORG 2220</t>
  </si>
  <si>
    <t>ORG 2256</t>
  </si>
  <si>
    <t>Uničov</t>
  </si>
  <si>
    <t>ORG 8383</t>
  </si>
  <si>
    <t>Statutární město Přerov</t>
  </si>
  <si>
    <t>ZŠ a MŠ, Malá Dlážka 4, Přerov</t>
  </si>
  <si>
    <t>SPŠ strojnická Olomouc, tř. 17. listopadu 49</t>
  </si>
  <si>
    <t>ORG 1151</t>
  </si>
  <si>
    <t>Střední odborná škola Litovel</t>
  </si>
  <si>
    <t>Střední odborná škola gastronomie a potravinářství, U Jatek 8, Jeseník</t>
  </si>
  <si>
    <t>ORG 1226</t>
  </si>
  <si>
    <t xml:space="preserve">Výdaje odboru strategického rozvoje kraje - operační program Olomouckého kraje </t>
  </si>
  <si>
    <t>Výdaje odboru dopravy a silničního hosp.</t>
  </si>
  <si>
    <t>00000017</t>
  </si>
  <si>
    <t>Neinv.transfery obecně prospěš.spol.</t>
  </si>
  <si>
    <t>00098297</t>
  </si>
  <si>
    <t>00098335</t>
  </si>
  <si>
    <t>MPSV - na výplatu st.přísp.pro zřiz.zařízení pro děti vyž.okamžitou pomoc</t>
  </si>
  <si>
    <t>ORJ 8803-Příprava projektů podnikatelů na čerpání prostř.ze SF EU</t>
  </si>
  <si>
    <t>ORJ 8835 - Příprava projektů NNO na čerpání prostř.ze SF EU</t>
  </si>
  <si>
    <t>Neinvestiční příspěvky zřízeným PO-rezerva</t>
  </si>
  <si>
    <t xml:space="preserve">Rezerva </t>
  </si>
  <si>
    <t>Odbory (kanceláře) Krajského úřadu Olomouckého kraje</t>
  </si>
  <si>
    <r>
      <t xml:space="preserve"> </t>
    </r>
    <r>
      <rPr>
        <b/>
        <sz val="11"/>
        <rFont val="Arial"/>
        <family val="2"/>
        <charset val="238"/>
      </rPr>
      <t>•</t>
    </r>
    <r>
      <rPr>
        <b/>
        <sz val="11"/>
        <rFont val="Arial"/>
        <family val="2"/>
        <charset val="238"/>
      </rPr>
      <t xml:space="preserve"> </t>
    </r>
  </si>
  <si>
    <t xml:space="preserve"> •</t>
  </si>
  <si>
    <t>00029517</t>
  </si>
  <si>
    <t>Půjčka z EIB-projekt modernizace silniční sítě</t>
  </si>
  <si>
    <t>00000813</t>
  </si>
  <si>
    <t>Půjčka z EIB - ROP</t>
  </si>
  <si>
    <t>Vratky veř.rozpočtům ústř.úr.tr.poskyt.v min.rozp.obd.</t>
  </si>
  <si>
    <t>Poskytnuté neinv. příspěvky a náhrady</t>
  </si>
  <si>
    <t>Program obnovy venkova</t>
  </si>
  <si>
    <t>6) Odbor informačních technologií</t>
  </si>
  <si>
    <t>Sociální služby Prostějov</t>
  </si>
  <si>
    <t>Ostatní neinvestiční transfery do zahraničí</t>
  </si>
  <si>
    <t>Neinvestiční transfery nefinančním podnikatelským subjektům - právnickým osobám</t>
  </si>
  <si>
    <t>Investiční transfery nefinančním podnikatelským subjektům - právnickým osobám</t>
  </si>
  <si>
    <t>ORG 1124</t>
  </si>
  <si>
    <t>ORG 1216</t>
  </si>
  <si>
    <t>ORG 3001</t>
  </si>
  <si>
    <t>Regionální agentura pro rozvoj Střední Moravy</t>
  </si>
  <si>
    <t>ORG 3028</t>
  </si>
  <si>
    <t>64) Operační program lidské zdroje a zaměstnanost</t>
  </si>
  <si>
    <t>ORJ - 64</t>
  </si>
  <si>
    <t>číslo účtu: 4167692/0800</t>
  </si>
  <si>
    <t xml:space="preserve">Pohoštění </t>
  </si>
  <si>
    <t>Vzdělání v eGON Centru Olomouckého kraje</t>
  </si>
  <si>
    <t>ORG 100350</t>
  </si>
  <si>
    <t>Operační program lidské zdroje a zaměstnanost</t>
  </si>
  <si>
    <t xml:space="preserve">ÚSP pro mládež Olšany - Výměna technologie lůžkového výtahu </t>
  </si>
  <si>
    <t>Gymnázium, Zábřeh, náměstí Osvobození 20 - Výměna rozvodů topení</t>
  </si>
  <si>
    <t xml:space="preserve">SŠ, ZŠ a MŠ Šumperk, Hanácká 3 - Oprava zídky a vjezdu </t>
  </si>
  <si>
    <t>Odborné učiliště, Křenovice 8 - Půdní vestavba</t>
  </si>
  <si>
    <t xml:space="preserve">SŠ technická, Přerov - Střecha areálu Bří Hovůrkových </t>
  </si>
  <si>
    <t>Střední zdravotnická škola, Hranice - Plynová kotelna</t>
  </si>
  <si>
    <t>Vyšší odborná škola a SPŠ, Šumperk - Modernizace školní kuchyně</t>
  </si>
  <si>
    <t>Sociální služby pro seniory Olomouc - oprava výtahů (4 ks)</t>
  </si>
  <si>
    <t>Sociální služby Šumperk - přístavba výtahu</t>
  </si>
  <si>
    <t>Domov Na zámečku Rokytnice - oprava výtahu</t>
  </si>
  <si>
    <t>výměna oken - I. a II. Etapa, DD Prostějov</t>
  </si>
  <si>
    <t>Oprava výtahu DD Prostějov, Nerudova (1osobní + 1nákladní, 6 pater)</t>
  </si>
  <si>
    <t>DD Chválkovice - úpravy výtahů</t>
  </si>
  <si>
    <t>ZUŠ Miloslava Stibora, výtvarný obor, Olomouc -Statické zajištění budovy</t>
  </si>
  <si>
    <t>číslo účtu: 35-1843390267/0100</t>
  </si>
  <si>
    <t xml:space="preserve">42) GS - 3.3. Rozvoj kapacit dalšího profesního vzdělávání         </t>
  </si>
  <si>
    <t>GS - 3.3. Rozvoj kapacit dalšího profesního vzdělávání   celkem</t>
  </si>
  <si>
    <t xml:space="preserve">SMN a.s. o.z. Nemocnice Prostějov – přemístění onkologie </t>
  </si>
  <si>
    <t>Konice - novostavba stanice HZS - příspěvek Konice ve výši 40%</t>
  </si>
  <si>
    <t>III/44311 Dolany - průtah, most</t>
  </si>
  <si>
    <t>ORG 100114</t>
  </si>
  <si>
    <t>ORG 100132</t>
  </si>
  <si>
    <t>Cestování časem</t>
  </si>
  <si>
    <t>ORG 100101</t>
  </si>
  <si>
    <t>ZUŠ I.Krejčího, Na Vozovce 32, Olomouc</t>
  </si>
  <si>
    <t>ZUŠ Žerotín, Kavaleristů 6, Olomouc</t>
  </si>
  <si>
    <t>ZUŠ, Potštát 36</t>
  </si>
  <si>
    <t>ZUŠ, Školní nám. 35, Hranice</t>
  </si>
  <si>
    <t>ZUŠ, Hanusíkova 197, Kojetín</t>
  </si>
  <si>
    <t>ZUŠ, nám. Svobody 15, Mohelnice</t>
  </si>
  <si>
    <t>ZUŠ, Žerotínova 11, Šumperk</t>
  </si>
  <si>
    <t>ZUŠ, Farní 9, Zábřeh na Moravě</t>
  </si>
  <si>
    <t>Gymnázium Olomouc - Hejčín - výstavba stravovacího pavilonu skuch.</t>
  </si>
  <si>
    <t>Gymnázium, Hranice - půdní vestavba</t>
  </si>
  <si>
    <t>SOU Litovel - rekonstrukce obv.pláště a výměna oken</t>
  </si>
  <si>
    <t>SOŠ a SOU zemědělské, Horní Heřmanice - rek.vytápění</t>
  </si>
  <si>
    <t>Provozní příspěvky zřízeným PO</t>
  </si>
  <si>
    <t>Rezerva pro příspěvkové organizace</t>
  </si>
  <si>
    <t>Neinvestiční rezerva pro PO</t>
  </si>
  <si>
    <t>pověřená vedením útvaru interního auditu</t>
  </si>
  <si>
    <t>Ing. Věra Štembírková</t>
  </si>
  <si>
    <t>EUO - SŠ polygrafická Olomouc</t>
  </si>
  <si>
    <t>ORG 100134</t>
  </si>
  <si>
    <t>obl.školství</t>
  </si>
  <si>
    <t>obl.sociální</t>
  </si>
  <si>
    <t>obl.dopravy</t>
  </si>
  <si>
    <t>obl.zdravotnictví</t>
  </si>
  <si>
    <t>obl.kriz.řízení</t>
  </si>
  <si>
    <t>obl.kultury</t>
  </si>
  <si>
    <t>Prostějov - přeložka silnice II/366 od Tesca</t>
  </si>
  <si>
    <t>Gymnázium, Komenského 281, Jeseník</t>
  </si>
  <si>
    <t>SPŠE a VOŠ, Božetěchova 3, Olomouc</t>
  </si>
  <si>
    <t>Ost.povinné poj.hrazené zaměstn.</t>
  </si>
  <si>
    <t>Neinvestiční příspěvky celkem</t>
  </si>
  <si>
    <t>Investiční příspěvky celkem</t>
  </si>
  <si>
    <t>II/366 Rekonstrukce silnice a most Kostelec na Hané</t>
  </si>
  <si>
    <t>Ohrozim obchvat</t>
  </si>
  <si>
    <t>Dub nad Moravou - hranice okresu PV - rekonstrukce silnice</t>
  </si>
  <si>
    <t>Kozlovice - obchvat</t>
  </si>
  <si>
    <t>Sušice - přeložka silnice</t>
  </si>
  <si>
    <t>Ostružná - obchvat, 1. a 2. etapa</t>
  </si>
  <si>
    <t>Protihluková opatření - Radslavice</t>
  </si>
  <si>
    <t>OA a Jazyková škola s právem st.jazyk.skoušky, Hlavní tř. 31, Šumperk</t>
  </si>
  <si>
    <t>příspěvek na mezinárodní výměnné pobyty</t>
  </si>
  <si>
    <t>enviromentální vzdělávání, výchova a osvěta</t>
  </si>
  <si>
    <t>talent Olomouckého kraje</t>
  </si>
  <si>
    <t>Dotace na JSDH z rozpočtu kraje</t>
  </si>
  <si>
    <t>PPP Olomouckého kraje , U sportovní haly 1, Olomouc</t>
  </si>
  <si>
    <t>Základní škola, Sladovní 492, Kojetín</t>
  </si>
  <si>
    <t>Vratky veř.rozpočtům ústř.úrovně transferů poskyt.v min.rozpočt.obd.</t>
  </si>
  <si>
    <t>00000109</t>
  </si>
  <si>
    <t>00000023</t>
  </si>
  <si>
    <t>00033353</t>
  </si>
  <si>
    <t>00000022</t>
  </si>
  <si>
    <t>00007131</t>
  </si>
  <si>
    <t>00033160</t>
  </si>
  <si>
    <t>00033166</t>
  </si>
  <si>
    <t>00033192</t>
  </si>
  <si>
    <t>00033155</t>
  </si>
  <si>
    <t xml:space="preserve">Neinv.transfery občanským sdružením </t>
  </si>
  <si>
    <t>Ostatní neinv.transfery nezisk.a pod.org.</t>
  </si>
  <si>
    <t>Pojistné plnění PO</t>
  </si>
  <si>
    <t>ORG 3009000001 - Silnice II. Třídy č. 446 Nová Seninka</t>
  </si>
  <si>
    <t>RZ 660/04 - přesun z ORJ 08, § 3639, pol. 5166</t>
  </si>
  <si>
    <t>Individuální projekty</t>
  </si>
  <si>
    <t>Provozní  výdaje celkem</t>
  </si>
  <si>
    <t>Provozní výdaje individuálních projektů celkem</t>
  </si>
  <si>
    <t xml:space="preserve">Investiční výdaje individuálních projektů celkem </t>
  </si>
  <si>
    <t>Investiční transfery obecně prospěšným společnostem</t>
  </si>
  <si>
    <t>ORG 1108</t>
  </si>
  <si>
    <t>Střední škola sociální péče a služeb, Zábřeh</t>
  </si>
  <si>
    <t>ORG 1223</t>
  </si>
  <si>
    <t>ORG 1225</t>
  </si>
  <si>
    <t>ORG 8400</t>
  </si>
  <si>
    <t>Investiční transfery občanským sdružením</t>
  </si>
  <si>
    <t xml:space="preserve"> -účelové investiční dotace</t>
  </si>
  <si>
    <t xml:space="preserve"> -provozní příspěvek</t>
  </si>
  <si>
    <t xml:space="preserve"> -investiční  příspěvek</t>
  </si>
  <si>
    <t>Výdaje odboru sociálních věcí</t>
  </si>
  <si>
    <t xml:space="preserve">Nákup ostatních služeb </t>
  </si>
  <si>
    <t>Cestovné (tuzemské i zahraniční)</t>
  </si>
  <si>
    <t>Odborný léčebný ústav neurologicko-geriatrický v Moravském Berouně</t>
  </si>
  <si>
    <t xml:space="preserve">Odbor kultury a památkové péče celkem </t>
  </si>
  <si>
    <t xml:space="preserve">Odbor ekonomický celkem </t>
  </si>
  <si>
    <t>8) Odbor strategického rozvoje kraje</t>
  </si>
  <si>
    <t>Kancelář ředitele</t>
  </si>
  <si>
    <t>Odbor majetkový a právní</t>
  </si>
  <si>
    <t>ORG 100014</t>
  </si>
  <si>
    <t>ZZS OK - přístrojové vybavení vozidel</t>
  </si>
  <si>
    <t>ORG 100015</t>
  </si>
  <si>
    <t>Investiční transfery do zahraničí</t>
  </si>
  <si>
    <t>ZZS OK, p.o. - Čerpací stanice pro heliport Olomouc</t>
  </si>
  <si>
    <t>OLÚ Moravský Beroun, p.o.- Box pro zemřelé pacienty</t>
  </si>
  <si>
    <t>OLÚ Paseka - Centrální jídelna a rozšíření prádelny (změna názvu k 17. 12. 2009)</t>
  </si>
  <si>
    <t>ZUŠ Franze Schuberta, Nádražní 280, Zlaté Hory</t>
  </si>
  <si>
    <t>Neinv.transfery nefin.podn.subj.-FO</t>
  </si>
  <si>
    <t>Ostatní povinné pojistné placené zaměstnavatelem</t>
  </si>
  <si>
    <t>00033018</t>
  </si>
  <si>
    <t>Investiční transfery nefin.podnik.subj.-PO</t>
  </si>
  <si>
    <t xml:space="preserve">Inv.transfery obč.sdružením </t>
  </si>
  <si>
    <t xml:space="preserve">Investiční transfery zřízeným PO </t>
  </si>
  <si>
    <t>Neinvest.transfery nefin.podnik.subjektům-PO</t>
  </si>
  <si>
    <t>Neinv.transfery obecně prospěš.společnostem</t>
  </si>
  <si>
    <t>Investiční transfery zřízeným  PO</t>
  </si>
  <si>
    <t>Povinné pojistné na sociální zabezpečení a příspěvěk na státní politiku zaměstnanosti</t>
  </si>
  <si>
    <t>Povinné pojistné na veřejné zdravotní pojištění</t>
  </si>
  <si>
    <t>Individuální projekty (před podáním výzvy)</t>
  </si>
  <si>
    <t xml:space="preserve"> - konsolidace</t>
  </si>
  <si>
    <t>ORJ - 32</t>
  </si>
  <si>
    <t xml:space="preserve">Výdaje Olomouckého kraje celkem </t>
  </si>
  <si>
    <t>Odpisy</t>
  </si>
  <si>
    <t>00000886</t>
  </si>
  <si>
    <t>Mgr. Jiří Šafránek</t>
  </si>
  <si>
    <t>14) Odbor zdravotnictví</t>
  </si>
  <si>
    <t xml:space="preserve">Odbor majetkový a právní celkem </t>
  </si>
  <si>
    <t xml:space="preserve">Odbor životního prostředí a zemědělství celkem </t>
  </si>
  <si>
    <t>3) Kancelář ředitele</t>
  </si>
  <si>
    <t xml:space="preserve">Kancelář ředitele celkem </t>
  </si>
  <si>
    <t>Výdaje Olomouckého kraje celkem                       (po konsolidaci)</t>
  </si>
  <si>
    <t>Sociální fond celkem</t>
  </si>
  <si>
    <t>Ústav sociální péče pro mládež Jeseník celkem</t>
  </si>
  <si>
    <t>Středisko pečovatelské služby Jeseník</t>
  </si>
  <si>
    <t>Odbor ivestic a evropských programů</t>
  </si>
  <si>
    <t>ORG - 1636</t>
  </si>
  <si>
    <t>ORG - 1637</t>
  </si>
  <si>
    <t>Neinv.transfery obecně prospěšným  spol.</t>
  </si>
  <si>
    <t>Obnova kult.památek v OK</t>
  </si>
  <si>
    <t>Obnova staveb drobné arch.mistního významu v OK</t>
  </si>
  <si>
    <t>Neinv.transfery církvím a nábož.společnost.</t>
  </si>
  <si>
    <t>Neinvestiční transfery obcím</t>
  </si>
  <si>
    <t>00000002</t>
  </si>
  <si>
    <t>Přebytek hospodaření OK</t>
  </si>
  <si>
    <t>00000008</t>
  </si>
  <si>
    <t>00000508</t>
  </si>
  <si>
    <t>Zastupování zájmů OK v Bruselu</t>
  </si>
  <si>
    <t>SOŠ průmyslová a SOU strojírenské, Lidická 4, Prostějov</t>
  </si>
  <si>
    <t>Střední škola gastronomie a služeb, Šířava 7, Přerov</t>
  </si>
  <si>
    <t>projekty romské komunity</t>
  </si>
  <si>
    <t>Individ.projekty ost.OP VK-EU</t>
  </si>
  <si>
    <t>Střední průmyslová škola Hranice, Studentská 1384, Hranice</t>
  </si>
  <si>
    <t>individ.projekty ost.OP VK-EU</t>
  </si>
  <si>
    <t>stipendia pro žáky učebních oborů</t>
  </si>
  <si>
    <t>SŠ elektrotechnická,Tyršova 781, Lipník n/B.</t>
  </si>
  <si>
    <t>rezerva</t>
  </si>
  <si>
    <t>Česko Britská Mezinárodní škola a MŠ s.r.o., Rooseveltova 101,   Olomouc</t>
  </si>
  <si>
    <t>Waldorfská ZŠ a MŠ Olomouc, s.r.o., Kosinova 876/3, Olomouc</t>
  </si>
  <si>
    <t>ORJ - 41</t>
  </si>
  <si>
    <t>ORJ - 42</t>
  </si>
  <si>
    <t>SROP 3.3 - Partnerství pro rozvoj kraje - 2. část</t>
  </si>
  <si>
    <t>ORG 4608000040</t>
  </si>
  <si>
    <t>ORJ - 46</t>
  </si>
  <si>
    <t>OP RLZ - 3.1.: Vzdělávání učitelů v přípravě a řízení projektů SF EU na středních školách v Olomouckém kraji</t>
  </si>
  <si>
    <t>ORJ - 47</t>
  </si>
  <si>
    <t>ORJ - 03</t>
  </si>
  <si>
    <t>Plyn</t>
  </si>
  <si>
    <t>v tis.Kč</t>
  </si>
  <si>
    <t>Poskytnuté neinv.příspěvky a náhrady</t>
  </si>
  <si>
    <t>Ostatní platy</t>
  </si>
  <si>
    <t>Ost.povinné pojistné placené zaměstn.</t>
  </si>
  <si>
    <t xml:space="preserve">Opravy a udržování </t>
  </si>
  <si>
    <t>Dopravní prostředky</t>
  </si>
  <si>
    <t>Centrum sociálních služeb Prostějov</t>
  </si>
  <si>
    <t xml:space="preserve">Centrum sociálních služeb Prostějov  celkem </t>
  </si>
  <si>
    <t>ORJ - 99</t>
  </si>
  <si>
    <t>Gymnázium, Zborovská 293, Hranice</t>
  </si>
  <si>
    <t>Neinv.transfery cizím PO</t>
  </si>
  <si>
    <t>Invest.transf.nefin.podn.subj.-PO</t>
  </si>
  <si>
    <t>MZeČR - Meliorace a hrazení bystřin v lesích podle § 35 odst. 1 a 3 lesního zákona (investice)</t>
  </si>
  <si>
    <t>Neinv.transfery církvím a nábož.společn.</t>
  </si>
  <si>
    <t>Kofinancování evrop.vzděláv.programů</t>
  </si>
  <si>
    <t>MOČR - neinv.transfery na provoz škol</t>
  </si>
  <si>
    <t>00033008</t>
  </si>
  <si>
    <t>Odborný léčebný ústav Paseka</t>
  </si>
  <si>
    <t>Odborný léčebný ústav Paseka celkem</t>
  </si>
  <si>
    <t>Vlastivědné muzeum Jesenicka celkem</t>
  </si>
  <si>
    <t>Účastnické poplatky na konference</t>
  </si>
  <si>
    <t>Investiční  výdaje</t>
  </si>
  <si>
    <t>2) Kancelář hejtmana</t>
  </si>
  <si>
    <t xml:space="preserve">Kancelář hejtmana celkem </t>
  </si>
  <si>
    <t>4) Odbor majetkový a právní</t>
  </si>
  <si>
    <t>OU  Křenovice 8, Kojetín</t>
  </si>
  <si>
    <t xml:space="preserve">Odbor zdravotnictví celkem </t>
  </si>
  <si>
    <t xml:space="preserve">Odbor sociálních věcí celkem </t>
  </si>
  <si>
    <t>ZŠ a MŠ při Priess.léčeb.lázních,a.s.,  Kalvodova 360, Jeseník</t>
  </si>
  <si>
    <t>VOŠ a SPŠ , gen. Krátkého 1, Šumperk</t>
  </si>
  <si>
    <t>Přísp.na úhr.prok.ztr.dopr.-veř.link.doprava</t>
  </si>
  <si>
    <t>Přísp.na úhr.prok.ztr.z poskyt.zlev.ŽJ-veř.link.dop.</t>
  </si>
  <si>
    <t>Provoz</t>
  </si>
  <si>
    <t>Příspěvek na odpisy</t>
  </si>
  <si>
    <t>Neinvestiční transfery nefininačním podnikatelským subjektům - právnickým osobám</t>
  </si>
  <si>
    <t>ORG 1102</t>
  </si>
  <si>
    <t>Neinvestiční transfery zřízeným příspěvkovým organizacím</t>
  </si>
  <si>
    <t>Gymnázium Olomouc - Hejčín</t>
  </si>
  <si>
    <t>ORG 1103</t>
  </si>
  <si>
    <t>ORG 1106</t>
  </si>
  <si>
    <t>Gymnázium Jeseník</t>
  </si>
  <si>
    <t>ORG 1113</t>
  </si>
  <si>
    <t>VOŠ a SPŠ elektrotechnická, Olomouc</t>
  </si>
  <si>
    <t>ORG 1120</t>
  </si>
  <si>
    <t>SPŠ strojnická, Olomouc</t>
  </si>
  <si>
    <t>ORG 1121</t>
  </si>
  <si>
    <t>SPŠ oděvní, Prostějov</t>
  </si>
  <si>
    <t>ORG 1125</t>
  </si>
  <si>
    <t>ORG 1153</t>
  </si>
  <si>
    <t>ORG 1160</t>
  </si>
  <si>
    <t>Investiční transfery zřízeným příspěvkovým organizacím</t>
  </si>
  <si>
    <t>Realizace energeticky úsporných opatření - Sigmundova střední škola strojírenská, Lutín - budova školy</t>
  </si>
  <si>
    <t>ORG 100553</t>
  </si>
  <si>
    <t>Realizace energeticky úsporných opatření - Sigmundova střední škola strojírenská, Lutín - domov mládeže</t>
  </si>
  <si>
    <t>ORG 100554</t>
  </si>
  <si>
    <t>Realizace energeticky úsporných opatření - Gymnázium Uničov</t>
  </si>
  <si>
    <t>ORG 100559</t>
  </si>
  <si>
    <t>Realizace energeticky úsporných opatření - VOŠ a SPŠ Šumperk - budova školy</t>
  </si>
  <si>
    <t>ORG 100561</t>
  </si>
  <si>
    <t>Realizace energeticky úsporných opatření - VOŠ a SPŠ Šumperk - domov mládeže</t>
  </si>
  <si>
    <t>ORG 100562</t>
  </si>
  <si>
    <t>Realizace energeticky úsporných opatření - VOŠ a SPŠ Šumperk - tělocvična</t>
  </si>
  <si>
    <t>ORG 100563</t>
  </si>
  <si>
    <t>Čechy pod Kosířem, revitalizace parku</t>
  </si>
  <si>
    <t>ORG 100571</t>
  </si>
  <si>
    <t>Silnice III/4469 Bohuňovice - průtah</t>
  </si>
  <si>
    <t>ORG 100489</t>
  </si>
  <si>
    <t>Příspěvek na provoz-mzdové náklady</t>
  </si>
  <si>
    <t>Výdaje</t>
  </si>
  <si>
    <t>Evropské programy</t>
  </si>
  <si>
    <t>číslo účtu:1695262/0800</t>
  </si>
  <si>
    <t>Společný regionální operační program</t>
  </si>
  <si>
    <t>Povinné pojistné na sociální zabezpečení a příspěvek na státní politiku zaměstnanosti</t>
  </si>
  <si>
    <t xml:space="preserve">Povinné pojistné na veřejné zdravotní pojištění </t>
  </si>
  <si>
    <t>VOŠ a SPŠ elektrotechnická, Olomouc-školní tělocvična</t>
  </si>
  <si>
    <t>Slovanské gymnázium, Olomouc - rek.soc.zařízení</t>
  </si>
  <si>
    <t>Gymnázium J. Opletala, Opletalova 189, Litovel</t>
  </si>
  <si>
    <t>Gymnázium, Čajkovského 9, Olomouc</t>
  </si>
  <si>
    <t>Gymnázium, Tomkova 45, Olomouc-Hejčín</t>
  </si>
  <si>
    <t>RZ 149/05 - přesun na ORJ 99, § 2399, pol. 5909</t>
  </si>
  <si>
    <t>RZ 187/05 - přesun na ORJ 99, § 2399, pol. 5909</t>
  </si>
  <si>
    <t>ORG - 1631</t>
  </si>
  <si>
    <t>Domov pro seniory Javorník</t>
  </si>
  <si>
    <t>ORG - 1632</t>
  </si>
  <si>
    <t>Domov pro seniory Javorník celkem</t>
  </si>
  <si>
    <t>ORG - 1633</t>
  </si>
  <si>
    <t>ORG - 1634</t>
  </si>
  <si>
    <t>ORG - 1635</t>
  </si>
  <si>
    <t>59) Projekty v rámci ROP</t>
  </si>
  <si>
    <t>Ostaní neinvestiční výdaje jinde nezařazené</t>
  </si>
  <si>
    <t>Neinvestiční transfery obecně prospěšným společnostem</t>
  </si>
  <si>
    <t>Neinv.transfery šk.PO zřízeným státem, kraji a obcemi</t>
  </si>
  <si>
    <t>00000112</t>
  </si>
  <si>
    <t>Domov seniorů POHODA Chvalkovice celkem</t>
  </si>
  <si>
    <t>ORG - 1640</t>
  </si>
  <si>
    <t>Klíč-centrum sociálních služeb</t>
  </si>
  <si>
    <t>ORG - 1641</t>
  </si>
  <si>
    <t>Klíč-centrum sociálních služeb celkem</t>
  </si>
  <si>
    <t>ORG - 1642</t>
  </si>
  <si>
    <t>Nové Zámky - poskytovatel sociálních služeb</t>
  </si>
  <si>
    <t>Nové Zámky-poskytovatel sociálních služeb celkem</t>
  </si>
  <si>
    <t>ORG - 1645</t>
  </si>
  <si>
    <t>ORG - 1646</t>
  </si>
  <si>
    <t>ORG - 1647</t>
  </si>
  <si>
    <t>ORG - 1644</t>
  </si>
  <si>
    <t>ORG - 1648</t>
  </si>
  <si>
    <t>Útvar interního auditu celkem</t>
  </si>
  <si>
    <t>Konsolidace *</t>
  </si>
  <si>
    <t>* Konsolidace</t>
  </si>
  <si>
    <t>Konsolidace je očištění údajů  rozpočtu a skutečnosti o interní přesuny peněžních prostředků uvnitř organizace mezi jednotlivými účty.</t>
  </si>
  <si>
    <t>Domov důchodců Jesenec celkem</t>
  </si>
  <si>
    <t>Sociální služby Prostějov celkem</t>
  </si>
  <si>
    <t>Talent Olomouckého kraje</t>
  </si>
  <si>
    <t>MŠMT - rozvoj.progr.MŠMT pro děti-cizince ze 3.zemí</t>
  </si>
  <si>
    <t>PO, SŠ, Obec.šk.</t>
  </si>
  <si>
    <t>celkem odbor +PO,SŠ,OŠ</t>
  </si>
  <si>
    <t>Výdaje odboru informačních technologií</t>
  </si>
  <si>
    <t>Neinvestiční transfery cizím PO</t>
  </si>
  <si>
    <t>00000510</t>
  </si>
  <si>
    <t>00000887</t>
  </si>
  <si>
    <t>Úvěr KB - čerpání a splátky</t>
  </si>
  <si>
    <t>00000553</t>
  </si>
  <si>
    <t>Program na podporu začínajících včelařů na území OK</t>
  </si>
  <si>
    <t>00000888</t>
  </si>
  <si>
    <t>Úvěr KB (investice kraje-výdaje)</t>
  </si>
  <si>
    <t>KB</t>
  </si>
  <si>
    <t>EIB celkem</t>
  </si>
  <si>
    <t>KB celkem</t>
  </si>
  <si>
    <t>33113233</t>
  </si>
  <si>
    <t>MPSV - OP lidské zdroje a zaměstnanost-CZ</t>
  </si>
  <si>
    <t>33513233</t>
  </si>
  <si>
    <t>MPSV - OP lidské zdroje a zaměstnanost-EU</t>
  </si>
  <si>
    <t>Dům seniorů FRANTIŠEK  Náměšť na Hané</t>
  </si>
  <si>
    <t>Dům seniorů FRANTIŠEK  Náměšť na Hané celkem</t>
  </si>
  <si>
    <t>Duha - centrum sociálních služeb Vikýřovice</t>
  </si>
  <si>
    <t>Duha - centrum sociálních služeb Vikýřovice Celkem</t>
  </si>
  <si>
    <t>ORG 100670</t>
  </si>
  <si>
    <t>SMN a.s. - o.z. Nemocnice Přerov - modernizace pavilonu operačních oborů - I. etapa</t>
  </si>
  <si>
    <t>ORG 100666</t>
  </si>
  <si>
    <t>Realizace energeticky úsporných opatření - SMN a.s. - o.z. Nemocnice Šternberk -pavilon pro dlouhodobě nemocné</t>
  </si>
  <si>
    <t>ORG 100665</t>
  </si>
  <si>
    <t>Realizace energeticky úsporných opatření - SMN a.s. - o.z. Nemocnice Přerov - LDN</t>
  </si>
  <si>
    <t>ORG 100664</t>
  </si>
  <si>
    <t>Realizace energeticky úsporných opatření - SMN a.s. - o.z. Nemocnice Přerov-pavilon interních oborů</t>
  </si>
  <si>
    <t>ORG 100171</t>
  </si>
  <si>
    <t>II/366 Kostelec na Hané - průtah (IV. Etapa)</t>
  </si>
  <si>
    <t>ORG 100027</t>
  </si>
  <si>
    <t>Čechy - Domaželice - obchvat</t>
  </si>
  <si>
    <t>Neinvestiční dotace zřízeným příspěvkovým organizacím</t>
  </si>
  <si>
    <t>ORG 1101</t>
  </si>
  <si>
    <t>ORG 1518</t>
  </si>
  <si>
    <t>Základní škola a střední škola Pomněnka, o. p. s., Šumavská 13, Šumperk</t>
  </si>
  <si>
    <t>ORG 1517</t>
  </si>
  <si>
    <t>ZŠ pro žáky se specifickými poruchami učení a MŠ logopedická Schola – Viva o. p. s., Erbenova 16, Šumperk</t>
  </si>
  <si>
    <t>ORG 1222</t>
  </si>
  <si>
    <t>ORG 1038</t>
  </si>
  <si>
    <t>ORG 1123</t>
  </si>
  <si>
    <t>SŠ zemědělská, U Hradiska 4, Olomouc</t>
  </si>
  <si>
    <t>ORG 100324</t>
  </si>
  <si>
    <t>Domov Na zámečku Rokytnice - rekonstrukce zámeckého parku a jeho zpřístupnění veřejnosti</t>
  </si>
  <si>
    <t>38500881</t>
  </si>
  <si>
    <t>38100880</t>
  </si>
  <si>
    <t>41100880</t>
  </si>
  <si>
    <t>ORG 100016</t>
  </si>
  <si>
    <t>Revitalizace území areálu staré nemocnice v Prostějově</t>
  </si>
  <si>
    <t>Nepecifikované rezervy</t>
  </si>
  <si>
    <t>ORG 8022</t>
  </si>
  <si>
    <t>Zlaté Hory</t>
  </si>
  <si>
    <t>číslo účtu: 43-6947880247/0100</t>
  </si>
  <si>
    <t>ORJ - 66</t>
  </si>
  <si>
    <t>66) Zvyšování kvality ve vzdělávání v Olomouckém kraji II</t>
  </si>
  <si>
    <t>Rovné příležitosti dětí a žáků v Olomouckém kraji II</t>
  </si>
  <si>
    <t>číslo účtu: 43-6947900287/0100</t>
  </si>
  <si>
    <t>ORJ - 67</t>
  </si>
  <si>
    <t>67) Rovné  příležitosti  dětí  a  žáků v Olomouckém kraji II</t>
  </si>
  <si>
    <t>číslo účtu: 43-6947910207/0100</t>
  </si>
  <si>
    <t>ORJ - 68</t>
  </si>
  <si>
    <t>68) Další  vzdělávání pracovníků škol a  školských zařízení v Olomouckém kraji II</t>
  </si>
  <si>
    <t>OP - VK - Zvyšování kvality ve vzdělávání</t>
  </si>
  <si>
    <t>číslo účtu: 43-6948010227/0100</t>
  </si>
  <si>
    <t>ORJ - 69</t>
  </si>
  <si>
    <t>69) OP VK - Zvyšování kvality ve vzdělávání</t>
  </si>
  <si>
    <t>číslo účtu: 107-81230237/0100</t>
  </si>
  <si>
    <t>OP - VK - Řízení, kontrola, monitorování a hodnocení programu v Olomouckém kraji II</t>
  </si>
  <si>
    <t>číslo účtu: 107-83900257/0100</t>
  </si>
  <si>
    <t>ORJ - 71</t>
  </si>
  <si>
    <t>71) OP VK - Řízení, kontrola, monitorování a hodnocení programu v Olomouckém kraji II</t>
  </si>
  <si>
    <t>inv.dot.</t>
  </si>
  <si>
    <t>Zvyšování kvality ve vzdělávání v Olomouckém kraji II</t>
  </si>
  <si>
    <t>Rovné  příležitosti  dětí  a  žáků v Olomouckém kraji II</t>
  </si>
  <si>
    <t>Další  vzdělávání pracovníků škol a  školských zařízení v Olomouckém kraji II</t>
  </si>
  <si>
    <t>OP VK - Zvyšování kvality ve vzdělávání</t>
  </si>
  <si>
    <t>OP VK - Řízení, kontrola, monitorování a hodnocení programu v Olomouckém kraji II</t>
  </si>
  <si>
    <t>investice+inv.dot</t>
  </si>
  <si>
    <t>ORG - 1600</t>
  </si>
  <si>
    <t>Provozní příspěvky zřízeným PO včetně rezervy</t>
  </si>
  <si>
    <t>Přímá podpora významných kulturních akcí</t>
  </si>
  <si>
    <t>00000213</t>
  </si>
  <si>
    <t>Příspěvek na záchranný arch. výzkum</t>
  </si>
  <si>
    <t>00000201</t>
  </si>
  <si>
    <t>Vzdělávání lékařů</t>
  </si>
  <si>
    <t>00000258</t>
  </si>
  <si>
    <t>00033034</t>
  </si>
  <si>
    <t>MŠMT - Podpora organizace a ukonč.středního vzděl.maturitní zkouškou</t>
  </si>
  <si>
    <t>00033035</t>
  </si>
  <si>
    <t>MŠMT - Dotace dvojjazyčným gymnáziím s výukou francouštiny</t>
  </si>
  <si>
    <t xml:space="preserve">Příspěvky vysokým školám </t>
  </si>
  <si>
    <t>00000116</t>
  </si>
  <si>
    <t xml:space="preserve">Odbory </t>
  </si>
  <si>
    <t>Fond voda</t>
  </si>
  <si>
    <t>Kapitálové výdaje</t>
  </si>
  <si>
    <t>celkem (po konsolidaci)</t>
  </si>
  <si>
    <t>provozní</t>
  </si>
  <si>
    <t>kapitálové</t>
  </si>
  <si>
    <t xml:space="preserve">Neinvestiční dotace zřízeným PO </t>
  </si>
  <si>
    <t>OP VK- obl.podpory 1.4. EU peníze školám-EU,CZ</t>
  </si>
  <si>
    <t>OP VK-obl.podpory 1.4. EU peníze školám-EU,EU</t>
  </si>
  <si>
    <t>Základní škola a Mateřská škola, Nová 1820, Hranice</t>
  </si>
  <si>
    <t>Střední škola a Základní škola, Osecká 301, Lipník n/B</t>
  </si>
  <si>
    <t>dot.dvojjazyčným gymnáziím s výukou franc.</t>
  </si>
  <si>
    <t>Gymnázium, Nám.Osvobození 20, Zábřeh na Moravě</t>
  </si>
  <si>
    <t>Podpora organizace a ukončování středního vzdělávání maturitní zkouškou na vybraných školách v podzimním zkušebním období</t>
  </si>
  <si>
    <t>Střední škola designu a módy, Vápenice 1, Prostějov</t>
  </si>
  <si>
    <t>Střední škola logistiky a chemie, U Hradiska 29, Olomouc</t>
  </si>
  <si>
    <t>SOŠ strojírenská a lesnická, Opavská 8,  Šternberk</t>
  </si>
  <si>
    <t>Střední škola železniční a stavební, Bulharská 8, Šumperk</t>
  </si>
  <si>
    <t>Školní jídelna, Tomkova 45, Olomouc-Hejčín</t>
  </si>
  <si>
    <t>SCHOLA-SERVIS zařízení pro DVPP a středisko služeb, Olomoucká 25, Prostějov</t>
  </si>
  <si>
    <t>5xxx +  6xxx</t>
  </si>
  <si>
    <t>Celkem 5xxx+6xxx+rezerva</t>
  </si>
  <si>
    <t>MŠ 1.olomoucká sportovní, s.r.o., Karafiátova 895/3a, Olomouc-Neředín</t>
  </si>
  <si>
    <t>SOŠ podnikání a obchodu, s.r.o., Rejskova 2987/4, Prostějov</t>
  </si>
  <si>
    <t>Odměny členů zastupitelstva obcí a krajů</t>
  </si>
  <si>
    <t>Povinné poj.na veřejné zdravotní pojištění</t>
  </si>
  <si>
    <t>Platby daní a poplatků státnímu rozpočtu</t>
  </si>
  <si>
    <t>Převody FKSP a sociálnímu fondu obcí a krajů</t>
  </si>
  <si>
    <t>42100880</t>
  </si>
  <si>
    <t>42500881</t>
  </si>
  <si>
    <t>OP MS, CZ, povin.podíl kraj uzn. N (z rozpočtu OK)</t>
  </si>
  <si>
    <t>OP MS,EU, Předfinancování EU (z rozpočtu OK)</t>
  </si>
  <si>
    <t>EUROPE DIRECT</t>
  </si>
  <si>
    <t>00000501</t>
  </si>
  <si>
    <t>00000504</t>
  </si>
  <si>
    <t>Finanční příspěvek sdružení  Jeseníky-Sdružení CR</t>
  </si>
  <si>
    <t>Cestovní ruch</t>
  </si>
  <si>
    <t>00000500</t>
  </si>
  <si>
    <t>Fin.příspěvky Klubu českých turistů</t>
  </si>
  <si>
    <t>00000503</t>
  </si>
  <si>
    <t>Úhrada za plnění firmě RNDr.Ivan Marek</t>
  </si>
  <si>
    <t>00000505</t>
  </si>
  <si>
    <t>Neinv.transfery nefin.podnik.subj.-FO</t>
  </si>
  <si>
    <t>00000511</t>
  </si>
  <si>
    <t>Podpora akcí nadregionálůního významu</t>
  </si>
  <si>
    <t>00000512</t>
  </si>
  <si>
    <t>Podpora zkvalitnění služeb tur.inform.center v OK</t>
  </si>
  <si>
    <t>00000513</t>
  </si>
  <si>
    <t>Podpora rozvoje zahr.vztahů OK</t>
  </si>
  <si>
    <t>Povinný podíl kraje - uzn.náklady (z rozpočtu kraje)</t>
  </si>
  <si>
    <t>Předfinancování SR (z rozpočtu kraje)</t>
  </si>
  <si>
    <t xml:space="preserve">Předfinancování EU (z rozpočtu OK) </t>
  </si>
  <si>
    <t>Poplatky dluhové služby</t>
  </si>
  <si>
    <t xml:space="preserve">Regionální inovační strategie OK </t>
  </si>
  <si>
    <t>00000035</t>
  </si>
  <si>
    <t>00000015</t>
  </si>
  <si>
    <t xml:space="preserve">Investiční a neinvestiční akce ostatní   </t>
  </si>
  <si>
    <t>00000414</t>
  </si>
  <si>
    <t>Podpora aktivit zaměřených na sociální začleňování - oblast podpory terénních a ambulantních služeb</t>
  </si>
  <si>
    <t>Příspěvek na provoz PO - mzdové náklady</t>
  </si>
  <si>
    <t>Koordinátor Integrovaného dopravního systému Olomouckého kraje</t>
  </si>
  <si>
    <t xml:space="preserve"> ORG 1599</t>
  </si>
  <si>
    <t>Ost.inv.transfery veř.rozp.územní úrovně</t>
  </si>
  <si>
    <t>dot.neinv.</t>
  </si>
  <si>
    <t>dot.inv.</t>
  </si>
  <si>
    <t>Koordinátor Integrovaného dopravního systému Olomouckého kraje celkem</t>
  </si>
  <si>
    <t>KB 888</t>
  </si>
  <si>
    <t>Neinvest.transfery cizím PO</t>
  </si>
  <si>
    <t>MŠMT - Excelence středních škol</t>
  </si>
  <si>
    <t>00033038</t>
  </si>
  <si>
    <t>00033435</t>
  </si>
  <si>
    <t>MPSV - OP Lidské zdroje a zaměstnanost</t>
  </si>
  <si>
    <t>Realizace energeticky úsporných opatření - SOŠ Šumperk - domov mládeže</t>
  </si>
  <si>
    <t>ORG 100694</t>
  </si>
  <si>
    <t>Podpora technického vybavení dílen - 1. část</t>
  </si>
  <si>
    <t>ORG 100792</t>
  </si>
  <si>
    <t>Podpora technického vybavení dílen - 2. část</t>
  </si>
  <si>
    <t>ORG 100793</t>
  </si>
  <si>
    <t>Technické vybavení dílen Střední škola polygrafická Olomouc</t>
  </si>
  <si>
    <t>ORG 100794</t>
  </si>
  <si>
    <t>Strojní vybavení dílen pro praktickou výuku (SOŠ a SOU Uničov)</t>
  </si>
  <si>
    <t>ORG 100795</t>
  </si>
  <si>
    <t>Podpora technického vybavení dílen - 3. část</t>
  </si>
  <si>
    <t>ORG 100815</t>
  </si>
  <si>
    <t>Domov seniorů POHODA Chválkovice - rekonstrukce budovy B</t>
  </si>
  <si>
    <t>ORG 100317</t>
  </si>
  <si>
    <t>Domov seniorů POHODA Chválkovice - Modernizace hlavní budovy, část A</t>
  </si>
  <si>
    <t>ORG 100407</t>
  </si>
  <si>
    <t>Domov Sněženka Jeseník - Rekonstrukce soc. zařízení a vodoléčby</t>
  </si>
  <si>
    <t>ORG 100518</t>
  </si>
  <si>
    <t>Realizace energeticky úsporných opatření - Domov seniorů POHODA Chválkovice - pavilony A a B</t>
  </si>
  <si>
    <t>ORG 100550</t>
  </si>
  <si>
    <t>Centrum sociálních služeb Prostějov - rekonstrukce budovy 6F - zřízení odlehčovací služby a denního stacionáře</t>
  </si>
  <si>
    <t>ORG 100790</t>
  </si>
  <si>
    <t>Vybrané služby sociální prevence v Olomouckém kraji</t>
  </si>
  <si>
    <t>ORG 100796</t>
  </si>
  <si>
    <t>II/448, II/446 Olomouc, Dobrovského - okruž.křižovatka</t>
  </si>
  <si>
    <t>ORG 100149</t>
  </si>
  <si>
    <t>Uničov - Šternberk - II/444</t>
  </si>
  <si>
    <t>ORG 100535</t>
  </si>
  <si>
    <t>ORG 100798</t>
  </si>
  <si>
    <t>Marketingové aktivity Olomouckého kraje II</t>
  </si>
  <si>
    <t>ORG 100812</t>
  </si>
  <si>
    <t>Rozvoj služeb eGovernmentu</t>
  </si>
  <si>
    <t>ORG 100558</t>
  </si>
  <si>
    <t>Individuální projekty celkem</t>
  </si>
  <si>
    <t xml:space="preserve">ROP - Regionální dopravní infrastruktura - Silnice II. a III. třídy </t>
  </si>
  <si>
    <t>Úhrady sankcí jiným rozpočtům</t>
  </si>
  <si>
    <t>Transformace Vincentina Šternberk - I. Etapa</t>
  </si>
  <si>
    <t xml:space="preserve">SMN a.s. - o.z. Nemocnice Přerov - modernizace pavilonu interních oborů - I. etapa </t>
  </si>
  <si>
    <t>00000036</t>
  </si>
  <si>
    <t>Transformace Vincentina Šternberk - II. Etapa</t>
  </si>
  <si>
    <t>ORG 100814</t>
  </si>
  <si>
    <t>Ostatní neinvestiční výdaje</t>
  </si>
  <si>
    <t>Podpora plánování rozvoje sociálních služeb v Olomouckém kraji</t>
  </si>
  <si>
    <t>ORG 100806</t>
  </si>
  <si>
    <t>ORG 1100</t>
  </si>
  <si>
    <t>Gymnázium Jiřího Wolkera, Kollárova 3, Prostějov</t>
  </si>
  <si>
    <t>VOŠ a SPŠ elektrotechnická, Božetěchova 3, Olomouc</t>
  </si>
  <si>
    <t>Střední průmyslová škola, Havlíčkova 2, Přerov</t>
  </si>
  <si>
    <t>ORG 1142</t>
  </si>
  <si>
    <t>ORG 1202</t>
  </si>
  <si>
    <t xml:space="preserve">Střední škola polygrafická, Střední Novosadská 55, Olomouc </t>
  </si>
  <si>
    <t>SŠ automobilní, Vápenice 2977/9, Prostějov</t>
  </si>
  <si>
    <t>Javorník</t>
  </si>
  <si>
    <t>ORG 8006</t>
  </si>
  <si>
    <t>Velký Újezd</t>
  </si>
  <si>
    <t>ORG 8387</t>
  </si>
  <si>
    <t>Hranice</t>
  </si>
  <si>
    <t>ORG 8401</t>
  </si>
  <si>
    <t>SŠ, ZŠ a MŠ, Hanácká 3, Šumperk</t>
  </si>
  <si>
    <t>Základní škola a Dětský domov, Sušilova 40, Zábřeh</t>
  </si>
  <si>
    <t>Odborné učiliště a Praktická škola, Lipová-lázně 458</t>
  </si>
  <si>
    <t xml:space="preserve">Štěpánov </t>
  </si>
  <si>
    <t>ORG 8374</t>
  </si>
  <si>
    <t>ORG 1138</t>
  </si>
  <si>
    <t>Schola servis, Palackého 8-10,Prostějov</t>
  </si>
  <si>
    <t>Další vzdělávání pracovníků škol a školských zařízení v Olomouckém kraji II</t>
  </si>
  <si>
    <t>Inovace výuky československých a českých dějin 20. století na středních školách v Olomouckém a Moravskoslezském kraji - přímé náklady</t>
  </si>
  <si>
    <t>ORG 100692</t>
  </si>
  <si>
    <t>Inovace výuky československých a českých dějin 20. století na středních školách v Olomouckém a Moravskoslezském kraji - nepřímé náklady</t>
  </si>
  <si>
    <t>ORG 100799</t>
  </si>
  <si>
    <t>72) Informovanost a publicita programu v Olomouckém kraji II</t>
  </si>
  <si>
    <t>ORJ - 72</t>
  </si>
  <si>
    <t>Informovanost a publicita programu v Olomouckém kraji II</t>
  </si>
  <si>
    <t>ORG 0050001000000</t>
  </si>
  <si>
    <t>73) Zvýšení absorpční kapacity subjektů v Olomouckém kraji II</t>
  </si>
  <si>
    <t>ORJ - 73</t>
  </si>
  <si>
    <t>číslo účtu: 107-106030267/0100</t>
  </si>
  <si>
    <t>Zvýšení absorpční kapacity subjektů v Olomouckém kraji II</t>
  </si>
  <si>
    <t>74) Podpora rozvoje Olomouckého kraje 2012 - 2015</t>
  </si>
  <si>
    <t>ORJ - 74</t>
  </si>
  <si>
    <t>číslo účtu: 107-110270247/0100</t>
  </si>
  <si>
    <t xml:space="preserve">Projekt technické pomoci Olomouckého kraje </t>
  </si>
  <si>
    <t>ORG 100345</t>
  </si>
  <si>
    <t>Inovační vouchery v Olomouckém kraji</t>
  </si>
  <si>
    <t>ORG 100813</t>
  </si>
  <si>
    <t>Ostatní činnosti jinde nezařazené</t>
  </si>
  <si>
    <t>Podpora rozvoje Olomouckého kraje                   2012 - 2015</t>
  </si>
  <si>
    <t>37) Podpora malého a středního podnikání ve vybraných regionech Olomouckého kraje</t>
  </si>
  <si>
    <t>Podpora malého a středního podnikání ve vybraných regionech Olomouckého kraje</t>
  </si>
  <si>
    <t xml:space="preserve"> Informovanost a publicita programu v Olomouckém kraji II</t>
  </si>
  <si>
    <t>Podpora rozvoje Olomouckého kraje 2012 - 2015</t>
  </si>
  <si>
    <t>investice včetně inv.dot ORJ 30-75</t>
  </si>
  <si>
    <t>Podrobnější údaje o celém fondu, ORJ - 99, tedy příjmy, výdaje a zůstatek na zvláštním bankovním účtu, jsou uvedeny v Příloze č. 7.</t>
  </si>
  <si>
    <t>Podrobnější údaje o celém fondu, ORJ - 199, tedy příjmy, výdaje a zůstatek na zvláštním bankovním účtu, jsou uvedeny v Příloze č. 6.</t>
  </si>
  <si>
    <t>ZŠ a MŠ  prof.V.Vejdovského, Tomkova 42, Olomouc</t>
  </si>
  <si>
    <t>Vybav.škol pomůckami kompenz.a rehab.char.</t>
  </si>
  <si>
    <t>Projekty romské komunity</t>
  </si>
  <si>
    <t>Excelence středních škol</t>
  </si>
  <si>
    <t>OP Lidské zdroje a zaměstnanost</t>
  </si>
  <si>
    <t>Mateřská škola UPOL Olomouc, Šmeralova 1116/10, Olomouc</t>
  </si>
  <si>
    <t>Střední škola a  ZŠ  DC 90, s.r.o., Nedbalova 36,  Olomouc-Topolany</t>
  </si>
  <si>
    <t>ZŠ a SŠ CREDO o.p.s., Mozartova 43, Olomouc</t>
  </si>
  <si>
    <t>SŠ obchodu, gastronomie a desingu  Praktik, s.r.o.,  Pasteurova 935/8a, Olomouc</t>
  </si>
  <si>
    <t>Základní umělecká škola Campanella, Slovenská 587/5, Olomouc</t>
  </si>
  <si>
    <t>Neinvest.transfery nefin.podnik.subjektům-FO</t>
  </si>
  <si>
    <t>Realizace energeticky úsporných opatření - SŠ designu a módy Prostějov - domov mládeže Palečkova</t>
  </si>
  <si>
    <t>III/44311 Dolany - průtah, most - I. Etapa</t>
  </si>
  <si>
    <t>Slovanské gymnázium, tř. J. z Poděbrad 13, Olomouc</t>
  </si>
  <si>
    <t>Střední škola gastronomie a služeb, Šírava 7, Přerov</t>
  </si>
  <si>
    <t>Gymnázium Jana Blahoslava a Střední pedagogická škola, Denisova 3, Přerov</t>
  </si>
  <si>
    <t>Obchodní akademie a jazyková škola s právem státní jazykové zkoušky Bartošova 24, Přerov</t>
  </si>
  <si>
    <t>Střední zdravotnická škola a Vyšší odborná škola zdravotnická Emanuela Pöttinga, Pöttingova 2, Olomouc</t>
  </si>
  <si>
    <t>SCHOLA SERVIS - zařízení pro DVPP a středisko služeb školám, Palackého 8 - 10, Olomouc</t>
  </si>
  <si>
    <t>Gymnázium Palackého a SOŠ živnostenská, s.r.o., Přerov, Palackého 19, Přerov</t>
  </si>
  <si>
    <t>Jeseníky - Sdružení cestovního ruchu, Kladská 1, Šumperk</t>
  </si>
  <si>
    <t xml:space="preserve">Střední škola a Základní škola prof. Z. Matějčka, Svatoplukova 11, Olomouc </t>
  </si>
  <si>
    <t>Střední škola a Základní škola, Osecká 301, Lipník nad Bečvou</t>
  </si>
  <si>
    <t>Základní škola a dětský domov, Sušilova 40, Zábřeh na Moravě</t>
  </si>
  <si>
    <t xml:space="preserve">Švehlova střední škola polytechnická, nám. Spojenců 17, Prostějov </t>
  </si>
  <si>
    <t>Odborné učiliště a praktická škola, Vodní 27, Mohelnice</t>
  </si>
  <si>
    <t>PONTIS Šumperk, o.p.s., Temenická 5, Šumperk</t>
  </si>
  <si>
    <t>KAPPA - HELP, nám. Přerovského povstání 1, Přerov</t>
  </si>
  <si>
    <t>Gymnázium, Tomkova 45, Olomouc - Hejčín</t>
  </si>
  <si>
    <t>Střední odborná škola, Komenského 677, Litovel</t>
  </si>
  <si>
    <t>Střední Morava - Sdružení cestovního ruchu, Horní náměstí 5, Olomouc</t>
  </si>
  <si>
    <t>Gymnázium Jana Opletala, Opletalova 189, Litovel</t>
  </si>
  <si>
    <t>Střední odborná škola a střední odborné učiliště strojírenské a stavební, Dukelská 1240, Jeseník</t>
  </si>
  <si>
    <t>Ing. Ladislav Růžička</t>
  </si>
  <si>
    <t>Příspěvky do 25 tis. Kč</t>
  </si>
  <si>
    <t>00029009</t>
  </si>
  <si>
    <t>MZeČR - Meliorace a hrazení bystřin v lesích podle § 35 odst. 1 a 3 lesního zákona</t>
  </si>
  <si>
    <t>18) Odbor tajemníka hejtmana</t>
  </si>
  <si>
    <t>ORJ - 18</t>
  </si>
  <si>
    <t>Mgr. Lucie Štěpánková</t>
  </si>
  <si>
    <t>vedoucí odboru tajemníka hejtmana</t>
  </si>
  <si>
    <t>Komunikační, publikační a propagační činnost</t>
  </si>
  <si>
    <t>Koordinační služby</t>
  </si>
  <si>
    <t>00000350</t>
  </si>
  <si>
    <t>00000351</t>
  </si>
  <si>
    <t>Produkční služby</t>
  </si>
  <si>
    <t>Výdaje odboru tajemníka hejtmana</t>
  </si>
  <si>
    <t xml:space="preserve">Odbor tajemníka hejtmana celkem </t>
  </si>
  <si>
    <t>Fond sociálních potřeb Olomouckého kraje celkem</t>
  </si>
  <si>
    <t xml:space="preserve">Výdaje Fondu sociálních potřeb Olomouckého kraje </t>
  </si>
  <si>
    <t xml:space="preserve">Výdaje Fondu na podporu výstavby a obnovy vodohospodářské infrastruktury na území Olomouckého kraje </t>
  </si>
  <si>
    <t>Fond na podporu výstavby a obnovy vodohospodářské infrastruktury na území Olomouckého kraje  celkem</t>
  </si>
  <si>
    <t>Mgr. Irena Sonntagová</t>
  </si>
  <si>
    <t>Ing. Radek Dosoudil</t>
  </si>
  <si>
    <t>vedoucí odboru životního prostředí a zemědělství</t>
  </si>
  <si>
    <t>vedoucí odboru sociálních věcí</t>
  </si>
  <si>
    <t>00000415</t>
  </si>
  <si>
    <t>Dotační program pro oblast prevence kriminality</t>
  </si>
  <si>
    <t>Neinv.transfery zřízeným PO</t>
  </si>
  <si>
    <t>Domov Sněženka Jeseník</t>
  </si>
  <si>
    <t>Příspěvek na záchranný arch.výzkum</t>
  </si>
  <si>
    <t>vedoucí  odboru zdravotnictví</t>
  </si>
  <si>
    <t>Ing. Bohuslav Kolář, MBA</t>
  </si>
  <si>
    <t>Dětské centrum Ostrůvek Olomouc</t>
  </si>
  <si>
    <t>Dětské centrum Ostrůvek celkem</t>
  </si>
  <si>
    <t>00035018</t>
  </si>
  <si>
    <t>00033040</t>
  </si>
  <si>
    <t>MŠMT - Podpora zavádění diagnostických nástrojů</t>
  </si>
  <si>
    <t>00033044</t>
  </si>
  <si>
    <t>MŠMT - Rozvojový program Podpora logopedické prevence v předškolním vzdělávání</t>
  </si>
  <si>
    <t>00033244</t>
  </si>
  <si>
    <t>MŠMT - Podpora odborného vzdělávání</t>
  </si>
  <si>
    <t>investice celkem</t>
  </si>
  <si>
    <t>provoz celkem</t>
  </si>
  <si>
    <t>00000117</t>
  </si>
  <si>
    <t>Olympiáda dětí a mládeže</t>
  </si>
  <si>
    <t>Realizace energeticky úsporných opatření – Střední škola polytechnická Olomouc</t>
  </si>
  <si>
    <t>ORG 100821</t>
  </si>
  <si>
    <t>Energetická úspora na objektu Gymnázia Šternberk</t>
  </si>
  <si>
    <t>ORG 100822</t>
  </si>
  <si>
    <t>ORG 100828</t>
  </si>
  <si>
    <t>SŠTZ Mohelnice - přístavba strojních dílen</t>
  </si>
  <si>
    <t>ORG 100829</t>
  </si>
  <si>
    <t>SŠ polytechnická Olomouc - nástavba dílen</t>
  </si>
  <si>
    <t>ORG 100830</t>
  </si>
  <si>
    <t>Domov seniorů POHODA Chválkovice - Modernizace hlavní budovy, část B a C</t>
  </si>
  <si>
    <t>ORG 100823</t>
  </si>
  <si>
    <t>II/150 Dub nad Moravou – hranice okresu PV – rekonstrukce silnice</t>
  </si>
  <si>
    <t>ORG 100032</t>
  </si>
  <si>
    <t>II/570 Hněvotín - rekonstrukce silnice</t>
  </si>
  <si>
    <t>ORG 100106</t>
  </si>
  <si>
    <t>ORG 100110</t>
  </si>
  <si>
    <t xml:space="preserve">II/447, II/446, III/44621 Pňovice - průtah </t>
  </si>
  <si>
    <t>ORG 100532</t>
  </si>
  <si>
    <t>Valšovský Žleb - Dlouhá Loučka - II/449</t>
  </si>
  <si>
    <t>ORG 100534</t>
  </si>
  <si>
    <t>II/449 Senice - průtah</t>
  </si>
  <si>
    <t>ORG 100676</t>
  </si>
  <si>
    <t>III/44029 Drahotuše - průtah</t>
  </si>
  <si>
    <t>ORG 100677</t>
  </si>
  <si>
    <t>III/37354 Holubice - Hrochov</t>
  </si>
  <si>
    <t>ORG 100678</t>
  </si>
  <si>
    <t>III/36719 Pivín - rekonstrukce silnice</t>
  </si>
  <si>
    <t>ORG 100679</t>
  </si>
  <si>
    <t>II/433, III/36711 Výšovice průtah</t>
  </si>
  <si>
    <t>ORG 100831</t>
  </si>
  <si>
    <t>III/3679 Čechůvky – Kralice na Hané</t>
  </si>
  <si>
    <t>ORG 100863</t>
  </si>
  <si>
    <t>III/43415 Radslavice – Grymov</t>
  </si>
  <si>
    <t>ORG 100864</t>
  </si>
  <si>
    <t>Silnice II/444 Uničov – Šternberk, intravilány obcí</t>
  </si>
  <si>
    <t>ORG 100865</t>
  </si>
  <si>
    <t>Komplexní program modernizace geriatrického oddělení OLÚ Moravský Beroun</t>
  </si>
  <si>
    <t>Značení kulturních a turistických cílů v Olomouckém kraji III</t>
  </si>
  <si>
    <t>ORG 100825</t>
  </si>
  <si>
    <t>SMN a. s. – o. z. Nemocnice Přerov – modernizace pavilonu radiodiagnostiky</t>
  </si>
  <si>
    <t>ORG 100832</t>
  </si>
  <si>
    <t xml:space="preserve">Krajský standardizovaný projekt ZZS Olomouckého kraje </t>
  </si>
  <si>
    <t>ORG 100581</t>
  </si>
  <si>
    <t>Realizace energeticky úsporných opatření - Gymnázium,Olomouc, Čajkovského 9</t>
  </si>
  <si>
    <t>Modernizace dílen Střední školy železniční a stavební, Šumperk, Bulharská 8</t>
  </si>
  <si>
    <t>53500881</t>
  </si>
  <si>
    <t xml:space="preserve">„Léto v pohraničí“ </t>
  </si>
  <si>
    <t>ORG 100836</t>
  </si>
  <si>
    <t>53100880</t>
  </si>
  <si>
    <t>53100882</t>
  </si>
  <si>
    <t>53100884</t>
  </si>
  <si>
    <t>IP a NP - oblast cestovního ruchu</t>
  </si>
  <si>
    <t>Vratky VRÚU transferů poskytnutých v minulých rozpočtových obdobích</t>
  </si>
  <si>
    <t>Neinvestiční transfery obecně prospěšných společnostem</t>
  </si>
  <si>
    <t>Neinvestiční transfery spolkům</t>
  </si>
  <si>
    <t>Zajištění integrace příslušníků romských komunit v OK II</t>
  </si>
  <si>
    <t>ORG 100861</t>
  </si>
  <si>
    <t>Slovanské gymnázium, tř. Jiřího z Poděbrad 13, Olomouc</t>
  </si>
  <si>
    <t>ORG 1105</t>
  </si>
  <si>
    <t>Střední zdravotnická škola a Vyšší odborná škola zdravotní E. Pöttinga, Pöttingova 2, Olomouc</t>
  </si>
  <si>
    <t>Střední zdravotnická škola, Kladská 2, Šumperk</t>
  </si>
  <si>
    <t>ORG 1163</t>
  </si>
  <si>
    <t>ORG 1207</t>
  </si>
  <si>
    <t>Střední odborné učiliště obchodní, nám. E. Husserla 1, Prostějov</t>
  </si>
  <si>
    <t>ORG 1212</t>
  </si>
  <si>
    <t>Střední odborná škola podnikání a obchodu, s.r.o., Rejskova 2987/4, Prostějov</t>
  </si>
  <si>
    <t>ORG 1537</t>
  </si>
  <si>
    <t>Soukromá střední odborná škola živnostenská, s.r.o., Palackého 19, Přerov</t>
  </si>
  <si>
    <t>Němčice nad Hanou</t>
  </si>
  <si>
    <t>ORG 8148</t>
  </si>
  <si>
    <t>Hanušovice</t>
  </si>
  <si>
    <t>ORG 8271</t>
  </si>
  <si>
    <t>Mohelnice</t>
  </si>
  <si>
    <t>ORG 8277</t>
  </si>
  <si>
    <t>Náklo</t>
  </si>
  <si>
    <t>ORG 8353</t>
  </si>
  <si>
    <t>Slatinice</t>
  </si>
  <si>
    <t>ORG 8367</t>
  </si>
  <si>
    <t>Přerov</t>
  </si>
  <si>
    <t>Olomouc</t>
  </si>
  <si>
    <t>Neinvestiční transfery cizím příspěvkovým organizacím</t>
  </si>
  <si>
    <t>Střední zdravotnická škola, Studentská 1095, Hranice</t>
  </si>
  <si>
    <t>ORG 1162</t>
  </si>
  <si>
    <t>Šumperk</t>
  </si>
  <si>
    <t>ORG 8275</t>
  </si>
  <si>
    <t>Strategie integrované spolupráce česko-polského příhraničí</t>
  </si>
  <si>
    <t>ORG 100788</t>
  </si>
  <si>
    <t>Spolupráce v oblasti zaměstnanosti a služeb ve venkovských oblastech</t>
  </si>
  <si>
    <t>ORG 100791</t>
  </si>
  <si>
    <t>Podpora rozvoje Olomouckého kraje 2012-2015</t>
  </si>
  <si>
    <t>ORG 100807</t>
  </si>
  <si>
    <t>75) Podpora technického a přírodovědného vzdělávání v Olomouckém kraji</t>
  </si>
  <si>
    <t>ORJ - 75</t>
  </si>
  <si>
    <t>číslo účtu: 107-5424970258/0100</t>
  </si>
  <si>
    <t>ORG 1111</t>
  </si>
  <si>
    <t>Jiné investiční transfery zřízeným příspěvkovým organizacím</t>
  </si>
  <si>
    <t>Vyšší odborná škola a střední průmyslová škola elektrotechnická, Božetěchova 3, Olomouc</t>
  </si>
  <si>
    <t>Střední průmyslová škola strojnická, tř. 17. listopadu 49, Olomouc</t>
  </si>
  <si>
    <t xml:space="preserve">Střední průmyslová škola a Střední odborné učiliště, Školní 164, Uničov </t>
  </si>
  <si>
    <t>ORG 1122</t>
  </si>
  <si>
    <t>Střední průmyslová škola, Studentská 1384, Hranice</t>
  </si>
  <si>
    <t>ORG 1128</t>
  </si>
  <si>
    <t>Vyšší odborná škola a střední průmyslová škola, gen. Krátkého 1, Šumperk</t>
  </si>
  <si>
    <t>Vyšší odborná škola a střední škola automobilní, U Dráhy 6, Zábřeh na Moravě</t>
  </si>
  <si>
    <t>ORG 1136</t>
  </si>
  <si>
    <t>Střední průmyslová škola elektrotechnická, gen. Svobody 2, Mohelnice</t>
  </si>
  <si>
    <t>ORG 1137</t>
  </si>
  <si>
    <t>Střední odborná škola a střední odborné učiliště, gen. Krátkého 30, Šumperk</t>
  </si>
  <si>
    <t>ORG 1140</t>
  </si>
  <si>
    <t xml:space="preserve">Střední škola technická a zemědělská, 1. máje 2, Mohelnice </t>
  </si>
  <si>
    <t>ORG 1174</t>
  </si>
  <si>
    <t>Sigmundova střední škola strojírenská, J. Sigmunda 242, Lutín</t>
  </si>
  <si>
    <t>ORG 1201</t>
  </si>
  <si>
    <t xml:space="preserve">Střední škola polygrafická, Střední Novosadská 87/53, Olomouc </t>
  </si>
  <si>
    <t>Střední odborná škola obchodu a služeb, Štursova 14, Olomouc</t>
  </si>
  <si>
    <t>ORG 1206</t>
  </si>
  <si>
    <t>Střední odborná škola lesnická a strojírenská, Opavská 4, Šternberk</t>
  </si>
  <si>
    <t>ORG 1208</t>
  </si>
  <si>
    <t>ORG 1221</t>
  </si>
  <si>
    <t>Odborné učiliště a praktická škola, Lipová - lázně 458</t>
  </si>
  <si>
    <t>Střední odborná škola a Střední odborné učiliště zemědělské, Horní Heřmanice 47, Bernartice</t>
  </si>
  <si>
    <t>ORG 1227</t>
  </si>
  <si>
    <t>Soukromá střední odborná škola, s.r.o., Jaselská 832, Hranice</t>
  </si>
  <si>
    <t>Neinvestiční transfery nefinančním podnikatelským subjektům-právnickým osobám</t>
  </si>
  <si>
    <t>Podpora technického a přírodovědného vzdělávání v Olomouckém kraji</t>
  </si>
  <si>
    <t>Povinné pojistné na úrazové pojištění</t>
  </si>
  <si>
    <t xml:space="preserve">36) GS - 1.1. Podpora drobného podnikání ve vybraných regionech </t>
  </si>
  <si>
    <t>Olomouckého kraje</t>
  </si>
  <si>
    <t>ORJ - 36</t>
  </si>
  <si>
    <t>vratky veřejným rozpočtům ústření úrovně transferů poskytnutých v minulých rozpočtových obdobích</t>
  </si>
  <si>
    <t>GS - 1.1. Podpora drobného podnikání ve vybraných regionech Olomouckého kraje celkem</t>
  </si>
  <si>
    <t>Podpora drobného podnikání ve vybraných regionech Olomouckého kraje celkem</t>
  </si>
  <si>
    <t>ORJ 30-75</t>
  </si>
  <si>
    <t>Odbor tajemníka hejtmana</t>
  </si>
  <si>
    <t>splátky</t>
  </si>
  <si>
    <t>splátky celkem</t>
  </si>
  <si>
    <t>provoz orj 30 - 75</t>
  </si>
  <si>
    <t>investice orj 30 - 75</t>
  </si>
  <si>
    <t>konsolidace  30 - 75</t>
  </si>
  <si>
    <t>celkem ORJ 30 - 75</t>
  </si>
  <si>
    <t>ART ECON - SŠ, s.r.o., Husovo nám.2061/91, Prostějov</t>
  </si>
  <si>
    <t>Příspěvky do 25 tis.Kč</t>
  </si>
  <si>
    <t>SOŠ a SOU služeb Velký Újezd, s.r.o.,Navrátilova 321, Velký Újezd</t>
  </si>
  <si>
    <t>Účelové neinvest.transf.nepodnik.fyz.osobám</t>
  </si>
  <si>
    <t>Rezerva-uvedeno v provozních výdajích  ORJ 10 a SŠ</t>
  </si>
  <si>
    <t>Vyšší odborná škola hotelnictví a turismu, o.p.s., Stromořadí 420, Uničov</t>
  </si>
  <si>
    <t>Střední škola, Základní škola a Dětský domov, Lidická 86, Prostějov</t>
  </si>
  <si>
    <t>Podpora zavádění diagnostických nástrojů</t>
  </si>
  <si>
    <t>progr.na podporu škol-vzdělávání dětí se sociokulturním znevýhodněním</t>
  </si>
  <si>
    <t xml:space="preserve">na výplatu st.přísp.pro zřiz.zařízení pro děti vyž.okamžitou pomoc </t>
  </si>
  <si>
    <t>Podpora odborného vzdělávání</t>
  </si>
  <si>
    <t>Odbor informačních technologií</t>
  </si>
  <si>
    <t xml:space="preserve">Odbor dopravy a silničního hospodářství </t>
  </si>
  <si>
    <t xml:space="preserve">Fond na podporu výstavby a obnovy vodohospodářské infrastruktury na území Olomouckého kraje </t>
  </si>
  <si>
    <t>Odměna za užití duševního vlastnictví</t>
  </si>
  <si>
    <t>Kursové rozdíly ve výdajích</t>
  </si>
  <si>
    <t>Neinv.transfery obecně prospěným společ.</t>
  </si>
  <si>
    <t>Neinv.transfery církvím a nábož.společ.</t>
  </si>
  <si>
    <t>Poznámka: od 2.5.2014  přerozděleno mezi kancelář ředitele a odbor tajemníka hejtmana</t>
  </si>
  <si>
    <t>Zpracování dat a služby související s inform.a komunikač.technologiemi</t>
  </si>
  <si>
    <t>Poštovní služby</t>
  </si>
  <si>
    <t>MF-Účel.dot.na výdaje spojené se společnými volbami do Parlamentu ČR a zastupitelstev v obcích</t>
  </si>
  <si>
    <t>00098187</t>
  </si>
  <si>
    <t>MF-Účelové dotace na výdaje spojené s volbami do zastupitelstev v obcích</t>
  </si>
  <si>
    <t>00098074</t>
  </si>
  <si>
    <t>00098348</t>
  </si>
  <si>
    <t>Účelové dotace na výdaje spojené s přípravou a konáním voleb do Evropského Parlamentu</t>
  </si>
  <si>
    <t>MPSV-Operační program Lidské zdroje a zaměstnan.</t>
  </si>
  <si>
    <t>Odstupné</t>
  </si>
  <si>
    <t>Ochranné pomůcky</t>
  </si>
  <si>
    <t>41500881</t>
  </si>
  <si>
    <t>Poskytnuté náhrady</t>
  </si>
  <si>
    <t>00000040</t>
  </si>
  <si>
    <t xml:space="preserve">Rozpočet OK - financování investičních akcí      </t>
  </si>
  <si>
    <t>Nákup materiálu jinde nezařazený</t>
  </si>
  <si>
    <t>00000038</t>
  </si>
  <si>
    <t xml:space="preserve">Příspěvek pro MAS v Olomouckém kraji     </t>
  </si>
  <si>
    <t>Invest.transf.obecně prospěš.společnostem</t>
  </si>
  <si>
    <t>Investiční transfery spolkům</t>
  </si>
  <si>
    <t>Platby daní a popl.krajům, obcím a stát.fondům</t>
  </si>
  <si>
    <t>Investiční transfery nefinančním podnikatelským subjektům-fyzickým osobám</t>
  </si>
  <si>
    <r>
      <t>Kancelář hejtmana-</t>
    </r>
    <r>
      <rPr>
        <b/>
        <sz val="8"/>
        <rFont val="Arial"/>
        <family val="2"/>
        <charset val="238"/>
      </rPr>
      <t>od 2.5.2014  přerozděleno mezi kancelář ředitele a odbor tajemníka hejtmana</t>
    </r>
  </si>
  <si>
    <t>Pohotění</t>
  </si>
  <si>
    <t>Platby daní a popl.krajům, obcím a st.fondům</t>
  </si>
  <si>
    <t>38100884</t>
  </si>
  <si>
    <t>Neuznatelné náklady (z rozpočtu kraje)</t>
  </si>
  <si>
    <t xml:space="preserve">Odbor investic a evropských programů- celkem </t>
  </si>
  <si>
    <t xml:space="preserve">Výdaje odboru investic a evropských programů </t>
  </si>
  <si>
    <t>Povinné poj.na soc.zab.a přísp.na st.pol.zaměstnanosti</t>
  </si>
  <si>
    <t>Akce NNO</t>
  </si>
  <si>
    <t>00000352</t>
  </si>
  <si>
    <t xml:space="preserve">Financování ZS IZS-z rezervy hejtmana pro kriz.řízení  </t>
  </si>
  <si>
    <t>Neinvestiční transfery státnímu rozpočtu</t>
  </si>
  <si>
    <t>00013305</t>
  </si>
  <si>
    <t>MPSV-Neinv.nedávkové transf.-zákona č. 108/2006 Sb.</t>
  </si>
  <si>
    <t>MZdr.-Připravenost poskytovatele ZZS na řešení mimořádných událostí a krizových situací</t>
  </si>
  <si>
    <t>PO - předfinancování (půjčka EIB - projekt evr.fondy)</t>
  </si>
  <si>
    <t>Předfinancování PO - z rozpočtu kraje</t>
  </si>
  <si>
    <t>00000883</t>
  </si>
  <si>
    <t>00000612</t>
  </si>
  <si>
    <t>Příspěvek na úhradu protarif. ztráty - drážní doprava</t>
  </si>
  <si>
    <t>00000605</t>
  </si>
  <si>
    <t>Příspěvek obcím na podporu výstavby cysklostezek</t>
  </si>
  <si>
    <t>00000608</t>
  </si>
  <si>
    <t>Příspěvek na bezpečnostní prvky na silnicích</t>
  </si>
  <si>
    <t>00000613</t>
  </si>
  <si>
    <t>KIDSOK-účelově určené příspěvky</t>
  </si>
  <si>
    <t xml:space="preserve">Investiční a neinvestiční akce v oblasti dopravy  </t>
  </si>
  <si>
    <t>38587505</t>
  </si>
  <si>
    <t>RSSM-ROP RS Střední Morava – IV – EU</t>
  </si>
  <si>
    <t>00034013</t>
  </si>
  <si>
    <t>MKČR-ISO D Preventivní ochrana před vlivy prostředí</t>
  </si>
  <si>
    <t>Muzeum a galerie v Prostějově</t>
  </si>
  <si>
    <t>00034012</t>
  </si>
  <si>
    <t>MKČR-ISO C Výkupy předmětů</t>
  </si>
  <si>
    <t>Investiční transfery ostatním PO</t>
  </si>
  <si>
    <t>00014018</t>
  </si>
  <si>
    <t xml:space="preserve">MVČR-Podpora prevence kriminality </t>
  </si>
  <si>
    <t>Služby kolení a vzdělávání</t>
  </si>
  <si>
    <t>Neinv.transf.nefin.podnikatelským subj.-FO</t>
  </si>
  <si>
    <t>MPSV-Neinvestiční nedávkové transfery</t>
  </si>
  <si>
    <t>dotace celkem</t>
  </si>
  <si>
    <t>dotace PO</t>
  </si>
  <si>
    <t>MŠMT-Rozvojový progr.MŠMT pro děti-cizince ze 3.Zemí</t>
  </si>
  <si>
    <t>MŠMT-Vybavení škol pomůckami kompenzačního a rehabilitačního charakteru</t>
  </si>
  <si>
    <t>MŠMT-Podpora zavádění diagnostických nástrojů</t>
  </si>
  <si>
    <t>00033047</t>
  </si>
  <si>
    <t>MŠMT-Další cizí jazyk</t>
  </si>
  <si>
    <t>00033049</t>
  </si>
  <si>
    <t>MŠMT-Podpora odborného vzdělávání</t>
  </si>
  <si>
    <t>Environmentální vzdělávání, výchova a osvěta (EVVO)</t>
  </si>
  <si>
    <t>Studijní stipendium Olomouckého kraje</t>
  </si>
  <si>
    <t>00033050</t>
  </si>
  <si>
    <t>MŠMT-Rozvojový program na podporu školních psychologů, speciálních pedagogů a metodiků - specialistů</t>
  </si>
  <si>
    <t>00033051</t>
  </si>
  <si>
    <t>MŠMT-Rozvojový program Zvýšení platů pedagogických pracovníků RgŠ</t>
  </si>
  <si>
    <t>00033052</t>
  </si>
  <si>
    <t>MŠMT-Zvýšení platů pracovníků regionálního školství</t>
  </si>
  <si>
    <t>MŠMT-Soutěže</t>
  </si>
  <si>
    <t>MŠMT-Bezplatná příprava dětí azylantů, účastníků řízení o azyl a dětí osob se státní příslušností jiného členského státu EU k začlenění do základního vzdělávání</t>
  </si>
  <si>
    <t>00000118</t>
  </si>
  <si>
    <t>Stipendia pro žáky technických oborů</t>
  </si>
  <si>
    <t>00029015</t>
  </si>
  <si>
    <t>MZem-Příspěvek na ekologické a k přírodě šetrné technologie, podle písm. D pravidel</t>
  </si>
  <si>
    <t>00029096</t>
  </si>
  <si>
    <t>MZem-Příspěvek na podporu ohrožených druhů zvířat, podle písm. G pravidel</t>
  </si>
  <si>
    <t>MŠMT-Rozvoj.progr.MŠMT pro děti-cizince ze 3. Zemí</t>
  </si>
  <si>
    <t>00033042</t>
  </si>
  <si>
    <t>MŠMT-Podpora dalšího vzdělávání učitelů odborných předmětů v prostředí reálné praxe</t>
  </si>
  <si>
    <t>MŠMT-Program sociální prevence a prevence kriminality</t>
  </si>
  <si>
    <t>00033264</t>
  </si>
  <si>
    <t>MŠMT-Evropská jazyková cena</t>
  </si>
  <si>
    <t>00033339</t>
  </si>
  <si>
    <t>MŠMT-Program podpory vzdělávání národnostních menšin</t>
  </si>
  <si>
    <t>PO - předfinancování (půjčka EIB - projekt evrop.fondy)</t>
  </si>
  <si>
    <t>Zpracování dat a služby související s informačními a komunikačními technologiemi</t>
  </si>
  <si>
    <t>00015340</t>
  </si>
  <si>
    <t>MŽP-Ostatní neinvestiční dotace obcím a krajům</t>
  </si>
  <si>
    <t>dotace MŽP 15340</t>
  </si>
  <si>
    <t>celkem inv.+provoz</t>
  </si>
  <si>
    <t>Inv.transfery obecně prospěš.společnostem</t>
  </si>
  <si>
    <t>Investiční příspěvky a neinvestiční příspěvky - oblast dopravy</t>
  </si>
  <si>
    <t>ORG 000000</t>
  </si>
  <si>
    <t>II/436 Přerov - úprava křižovatky silnic, Dluhonská</t>
  </si>
  <si>
    <t>ORG 100041</t>
  </si>
  <si>
    <t>II/315 a III/31527 Zábřeh na Moravě - okružní křižovatka ul. Postřelmovská, Čsl. armády</t>
  </si>
  <si>
    <t>II/433 Prostějov- Mořice</t>
  </si>
  <si>
    <t>ORG 100913</t>
  </si>
  <si>
    <t>II/449 MÚK Unčovice - Litovel</t>
  </si>
  <si>
    <t>ORG 100914</t>
  </si>
  <si>
    <t>II/446 Uničov - Strukov</t>
  </si>
  <si>
    <t>ORG 100915</t>
  </si>
  <si>
    <t xml:space="preserve">II/439 Ústí - průtah - hr. okresu Vsetín </t>
  </si>
  <si>
    <t>ORG 100916</t>
  </si>
  <si>
    <t>II/150 Prostějov - Přerov</t>
  </si>
  <si>
    <t>ORG 100917</t>
  </si>
  <si>
    <t>II/570 Slatinice - Olomouc</t>
  </si>
  <si>
    <t>ORG 100918</t>
  </si>
  <si>
    <t>II/447 Strukov - Šternberk</t>
  </si>
  <si>
    <t>ORG 100919</t>
  </si>
  <si>
    <t xml:space="preserve">II/444 kř. R35 Mohelnice - Úsov </t>
  </si>
  <si>
    <t>ORG 100920</t>
  </si>
  <si>
    <t>Investiční příspěvky a neinvestiční příspěvky - oblast školství a vzdělávání</t>
  </si>
  <si>
    <t>Realizace energeticky úsporných opatření - SŠ Logistiky a chemie Olomouc</t>
  </si>
  <si>
    <t>ORG 100466</t>
  </si>
  <si>
    <t>Realizace energeticky úsporných opatření - SOŠ gastronomie a potravinářství Jeseník</t>
  </si>
  <si>
    <t>Realizace energeticky úsporných opatření - SPŠ Hranice</t>
  </si>
  <si>
    <t>ORG 100661</t>
  </si>
  <si>
    <t>Realizace energeticky úsporných opatření – SŠ sociální péče a služeb Zábřeh</t>
  </si>
  <si>
    <t>ORG 100873</t>
  </si>
  <si>
    <t>Realizace energeticky úsporných opatření – ZŠ a MŠ Hranice</t>
  </si>
  <si>
    <t>ORG 100875</t>
  </si>
  <si>
    <t>Realizace energeticky úsporných opatření – OU a praktická škola Lipová - lázně</t>
  </si>
  <si>
    <t>ORG 100876</t>
  </si>
  <si>
    <t>Realizace energeticky úsporných opatření – SOŠ obchodu a služeb Olomouc</t>
  </si>
  <si>
    <t>ORG 100877</t>
  </si>
  <si>
    <t>Realizace energeticky úsporných opatření – SŠ technická a obchodní Olomouc</t>
  </si>
  <si>
    <t>ORG 100878</t>
  </si>
  <si>
    <t>Realizace energeticky úsporných opatření – SOŠ a SOU Šumperk, Gen. Krátkého 30</t>
  </si>
  <si>
    <t>ORG 100879</t>
  </si>
  <si>
    <t>Realizace energeticky úsporných opatření – Slovanské gymnázium Olomouc - Pasteurova</t>
  </si>
  <si>
    <t>ORG 100880</t>
  </si>
  <si>
    <t>Realizace energeticky úsporných opatření – SOŠ gastronomie a potravinářství - tělocvična</t>
  </si>
  <si>
    <t>ORG 100881</t>
  </si>
  <si>
    <t>Realizace energeticky úsporných opatření – SOŠ a SOU strojírenské a stavební Jeseník - dílny</t>
  </si>
  <si>
    <t>ORG 100882</t>
  </si>
  <si>
    <t>Realizace energeticky úsporných opatření – Domov důchodců Prostějov</t>
  </si>
  <si>
    <t>ORG 100883</t>
  </si>
  <si>
    <t>Realizace energeticky úsporných opatření – Sociální služby pro seniory Olomouc II</t>
  </si>
  <si>
    <t>ORG 100884</t>
  </si>
  <si>
    <t>Realizace energeticky úsporných opatření - Nemocnice Šternberk – budova ZZS OK</t>
  </si>
  <si>
    <t>ORG 100885</t>
  </si>
  <si>
    <t>Realizace energeticky úsporných opatření – Nemocnice Šternberk – budova gynekologie</t>
  </si>
  <si>
    <t>ORG 100886</t>
  </si>
  <si>
    <t>Realizace energeticky úsporných opatření – Nemocnice Prostějov – budova LDN</t>
  </si>
  <si>
    <t>ORG 100887</t>
  </si>
  <si>
    <t xml:space="preserve">Implementace a péče o území soustavy Natura 2000 v Olomouckém kraji II. část </t>
  </si>
  <si>
    <t>ORG 100837</t>
  </si>
  <si>
    <t>38100870</t>
  </si>
  <si>
    <t>38500871</t>
  </si>
  <si>
    <t>38100874</t>
  </si>
  <si>
    <t>Pořízení technologického vybavení a vozidel pro ZZS OK</t>
  </si>
  <si>
    <t>ORG 100889</t>
  </si>
  <si>
    <t>Rekonstrukce pavilonu CSS Prostějov – zřízení zařízení pro nemocné Alzeimerovou chorobou</t>
  </si>
  <si>
    <t>Domov seniorů POHODA Chválkovice - rekonstrukce budovy A</t>
  </si>
  <si>
    <t>Zaplacené sankce</t>
  </si>
  <si>
    <t>Stroje, přaístroje a zařízení</t>
  </si>
  <si>
    <t>Zámek Čechy pod Kosířem - rekonstrukce a využití objektů, III. etapa</t>
  </si>
  <si>
    <t>ORG 100872</t>
  </si>
  <si>
    <t>Zajištění vybraných služeb sociální prevence v Olomouckém kraji</t>
  </si>
  <si>
    <t>ORG 100922</t>
  </si>
  <si>
    <t>Šternberk</t>
  </si>
  <si>
    <t>ORG 301000008375</t>
  </si>
  <si>
    <t>62) Zvýšení přeshraniční dostupnosti Vidnava - Paczków</t>
  </si>
  <si>
    <t>ORJ - 62</t>
  </si>
  <si>
    <t>číslo účtu: 3456062/0800</t>
  </si>
  <si>
    <t>Zvýšení přeshraniční dostupnosti Vidnava - Paczków</t>
  </si>
  <si>
    <t>Střední průmyslová škola, Studenská 1 384, Hranice</t>
  </si>
  <si>
    <t>Odborné učiliště a praktická škola, Lipová-lázně 458</t>
  </si>
  <si>
    <t>Zvýšení efektivity Krajského úřadu Olomouckého kraje-přímé náklady</t>
  </si>
  <si>
    <t>ORG 100808</t>
  </si>
  <si>
    <t>Převody vlastním rozpočotovým účtům</t>
  </si>
  <si>
    <t>Investční příspěvky a neinvestiční příspěvky - krajský úřad a zastupitelé</t>
  </si>
  <si>
    <t>ORG 60013000000</t>
  </si>
  <si>
    <t>Podpora zajištění dostupnosti a kvality sociálních služeb v Olomouckém kraji</t>
  </si>
  <si>
    <t>ORG 100888</t>
  </si>
  <si>
    <t>Zvýšení efektivity Krajského úřadu Olomouckého kraje-nepřímé náklady</t>
  </si>
  <si>
    <t>ORG 100912</t>
  </si>
  <si>
    <t>Neinvestiční příspěvky církvím a náboženským společnostem</t>
  </si>
  <si>
    <t>Obchodní akademie, tř. Spojenců 11, Olomouc</t>
  </si>
  <si>
    <t>Inovační vouchery v Olomouckém kraji - II. etapa</t>
  </si>
  <si>
    <t>ORG 100860</t>
  </si>
  <si>
    <t>Výdaje finančního vypořádání minulých let mezi krajem a obcemi</t>
  </si>
  <si>
    <t>MŠ jazyková a umělecká, s.r.o., Petelinova 593/17, Olomouc, Nová Ulice</t>
  </si>
  <si>
    <t>Vyb.škol pomůckami kompenzač.a rehab.char.</t>
  </si>
  <si>
    <t>Další cizí jazyk</t>
  </si>
  <si>
    <t>Rozvoj.progr.MŠMT pro děti-cizince ze 3. Zemí</t>
  </si>
  <si>
    <t>Zdravá anglická mateřská škola, s.r.o., Olomouc, Rybniční 158/3, Olomouc-Nedvězí</t>
  </si>
  <si>
    <t>Prima mateřská škola, s.r.o., Komenského 262,  Hranice</t>
  </si>
  <si>
    <t>ZŠ a MŠ Dětské centrum,  Struhlovsko 1424, Hranice</t>
  </si>
  <si>
    <t>Mateřská škola Borůvka, Revoluční 3138/32a, 787 01 Šumperk</t>
  </si>
  <si>
    <t>Soukromá mateřská škola Medová školka, Moravičany 175, 789 82</t>
  </si>
  <si>
    <t>Střední odborná škola služeb, s.r.o., Pavlovická 16/51, Olomouc</t>
  </si>
  <si>
    <t>Gymnázium Palackého  a SOŠ živnostenská, s.r.o.,  Palackého  19, Přerov</t>
  </si>
  <si>
    <t>Střední škola gastronomie a farmářství Jeseník</t>
  </si>
  <si>
    <t>ORJ 14-18</t>
  </si>
  <si>
    <t>ORJ 30-52</t>
  </si>
  <si>
    <t>ORJ 68-75</t>
  </si>
  <si>
    <t>ORJ 53-67</t>
  </si>
  <si>
    <t>ORJ 99,199</t>
  </si>
  <si>
    <t>dotace ORJ 30-75</t>
  </si>
  <si>
    <t>dotace ostatní</t>
  </si>
  <si>
    <t>3. Plnění rozpočtu výdajů Olomouckého kraje k 31.12.2014</t>
  </si>
  <si>
    <t>3. Plnění rozpočtu výdajů Olomouckého kraje k 31. 12. 2014</t>
  </si>
  <si>
    <t>Rozvojový program Zvýšení platů pedagogických pracovníků RgŠ</t>
  </si>
  <si>
    <t>Zvýšení platů pracovníků regionálního školství</t>
  </si>
  <si>
    <t>Střední škola, B.Dvorského 17, Olomouc-Svatý Kopeček</t>
  </si>
  <si>
    <t xml:space="preserve">Neinvestiční transfery zřízeným PO </t>
  </si>
  <si>
    <t xml:space="preserve">Asistenti pedagogů pro děti, žáky a studenty se sociálním znevýhodněním </t>
  </si>
  <si>
    <t>Program podpory vzdělávání národnostních menšin</t>
  </si>
  <si>
    <t>Střední škola, Základní škola, Mateřská škola  a Dětský domov, Sušilova 40, Zábřeh</t>
  </si>
  <si>
    <t>Rozvojový program na podporu školních psychologů, speciálních pedagogů a metodiků - specialistů</t>
  </si>
  <si>
    <t>Spolupráce s francouzskými, vlámskými a šp.školami</t>
  </si>
  <si>
    <t>PO - předfinancování (půjčka EIB - projekt EF)</t>
  </si>
  <si>
    <t>rezrva</t>
  </si>
  <si>
    <t>Podpora dalšího vzdělávání učitelů odborných předmětů v prostředí reálné praxe</t>
  </si>
  <si>
    <t>SPŠ a SOA Uničov, Školní 164, Uničov</t>
  </si>
  <si>
    <t>Příspěvek na ekologické a k přírodě šetrné technologie, podle písm. D pravidel</t>
  </si>
  <si>
    <t>Příspěvek na podporu ohrožených druhů zvířat, podle písm. G pravidel</t>
  </si>
  <si>
    <t>Střední škola železniční, technická a služeb, gen. Krátkého 30, Šumperk</t>
  </si>
  <si>
    <t>SZŠ a VOŠ zdravotnická E.Pöttinga a JŠ s právem st.jaz.zkoušky, Pöttingova 2, Olomouc</t>
  </si>
  <si>
    <t>Evropská jazyková cena</t>
  </si>
  <si>
    <t>Program sociální prevence a prevence kriminality</t>
  </si>
  <si>
    <t>Střední škola technická a zemědělská, 1.máje 2, Mohelnice</t>
  </si>
  <si>
    <t>Soutěže</t>
  </si>
  <si>
    <t>MŠMT - soutěže</t>
  </si>
  <si>
    <t>Střední škola gastronomie a farmářství, U Jatek 8, Jeseník</t>
  </si>
  <si>
    <t>soutěže</t>
  </si>
  <si>
    <t>Jiné investiční transfery zřízeným PO</t>
  </si>
  <si>
    <t>JUDr.  Marie Mazánková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</si>
</sst>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0#,##0"/>
    <numFmt numFmtId="165" formatCode="00000"/>
    <numFmt numFmtId="166" formatCode="#,##0.0"/>
    <numFmt numFmtId="167" formatCode="0.0"/>
    <numFmt numFmtId="168" formatCode="00,000"/>
    <numFmt numFmtId="169" formatCode="000"/>
    <numFmt numFmtId="170" formatCode="\ \-\ "/>
    <numFmt numFmtId="171" formatCode="0\9\1\3\3\4\3\9"/>
    <numFmt numFmtId="172" formatCode="0\9\5\3\3\4\3\9"/>
    <numFmt numFmtId="173" formatCode="00000000"/>
  </numFmts>
  <fonts count="129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2"/>
      <name val="Arial CE"/>
      <family val="2"/>
      <charset val="238"/>
    </font>
    <font>
      <sz val="8"/>
      <name val="Arial CE"/>
      <family val="2"/>
      <charset val="238"/>
    </font>
    <font>
      <b/>
      <sz val="14"/>
      <name val="Arial CE"/>
      <family val="2"/>
      <charset val="238"/>
    </font>
    <font>
      <b/>
      <sz val="11"/>
      <name val="Arial CE"/>
      <family val="2"/>
      <charset val="238"/>
    </font>
    <font>
      <sz val="9"/>
      <name val="Arial CE"/>
      <family val="2"/>
      <charset val="238"/>
    </font>
    <font>
      <i/>
      <u/>
      <sz val="10"/>
      <name val="Arial CE"/>
      <charset val="238"/>
    </font>
    <font>
      <sz val="11"/>
      <name val="Arial CE"/>
      <charset val="238"/>
    </font>
    <font>
      <sz val="10"/>
      <name val="Arial CE"/>
      <charset val="238"/>
    </font>
    <font>
      <b/>
      <sz val="11"/>
      <name val="Arial CE"/>
      <charset val="238"/>
    </font>
    <font>
      <sz val="11"/>
      <name val="Arial CE"/>
      <family val="2"/>
      <charset val="238"/>
    </font>
    <font>
      <b/>
      <sz val="10"/>
      <name val="Arial CE"/>
      <charset val="238"/>
    </font>
    <font>
      <b/>
      <i/>
      <sz val="12"/>
      <name val="Arial CE"/>
      <charset val="238"/>
    </font>
    <font>
      <b/>
      <sz val="12"/>
      <name val="Arial CE"/>
      <charset val="238"/>
    </font>
    <font>
      <b/>
      <sz val="10"/>
      <name val="Arial CE"/>
      <family val="2"/>
      <charset val="238"/>
    </font>
    <font>
      <b/>
      <i/>
      <sz val="10"/>
      <name val="Arial CE"/>
      <charset val="238"/>
    </font>
    <font>
      <b/>
      <sz val="9"/>
      <name val="Arial CE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sz val="11"/>
      <name val="Arial CE"/>
      <family val="2"/>
      <charset val="238"/>
    </font>
    <font>
      <b/>
      <sz val="13"/>
      <name val="Arial CE"/>
      <family val="2"/>
      <charset val="238"/>
    </font>
    <font>
      <sz val="9"/>
      <name val="Arial CE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Arial CE"/>
      <family val="2"/>
      <charset val="238"/>
    </font>
    <font>
      <b/>
      <i/>
      <sz val="18"/>
      <name val="Arial CE"/>
      <charset val="238"/>
    </font>
    <font>
      <b/>
      <sz val="18"/>
      <name val="Arial CE"/>
      <charset val="238"/>
    </font>
    <font>
      <sz val="18"/>
      <name val="Arial CE"/>
      <charset val="238"/>
    </font>
    <font>
      <b/>
      <i/>
      <sz val="16"/>
      <name val="Arial CE"/>
      <charset val="238"/>
    </font>
    <font>
      <sz val="8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b/>
      <u/>
      <sz val="12"/>
      <name val="Arial"/>
      <family val="2"/>
      <charset val="238"/>
    </font>
    <font>
      <b/>
      <sz val="14"/>
      <name val="Arial"/>
      <family val="2"/>
      <charset val="238"/>
    </font>
    <font>
      <sz val="9"/>
      <name val="Arial"/>
      <family val="2"/>
      <charset val="238"/>
    </font>
    <font>
      <b/>
      <sz val="13"/>
      <name val="Arial"/>
      <family val="2"/>
      <charset val="238"/>
    </font>
    <font>
      <b/>
      <sz val="18"/>
      <name val="Arial"/>
      <family val="2"/>
      <charset val="238"/>
    </font>
    <font>
      <b/>
      <i/>
      <sz val="18"/>
      <name val="Arial"/>
      <family val="2"/>
      <charset val="238"/>
    </font>
    <font>
      <sz val="18"/>
      <color indexed="9"/>
      <name val="Arial CE"/>
      <charset val="238"/>
    </font>
    <font>
      <i/>
      <u/>
      <sz val="11"/>
      <name val="Arial CE"/>
      <charset val="238"/>
    </font>
    <font>
      <b/>
      <sz val="8"/>
      <name val="Arial CE"/>
      <family val="2"/>
      <charset val="238"/>
    </font>
    <font>
      <b/>
      <sz val="16"/>
      <name val="Arial CE"/>
      <charset val="238"/>
    </font>
    <font>
      <sz val="16"/>
      <name val="Arial CE"/>
      <charset val="238"/>
    </font>
    <font>
      <b/>
      <sz val="13"/>
      <name val="Arial CE"/>
      <charset val="238"/>
    </font>
    <font>
      <b/>
      <i/>
      <sz val="17"/>
      <name val="Arial CE"/>
      <charset val="238"/>
    </font>
    <font>
      <b/>
      <sz val="12"/>
      <name val="Arial"/>
      <family val="2"/>
      <charset val="238"/>
    </font>
    <font>
      <b/>
      <sz val="12"/>
      <name val="Arial CE"/>
      <family val="2"/>
      <charset val="238"/>
    </font>
    <font>
      <sz val="12"/>
      <name val="Arial"/>
      <family val="2"/>
      <charset val="238"/>
    </font>
    <font>
      <sz val="12"/>
      <name val="Arial"/>
      <family val="2"/>
      <charset val="238"/>
    </font>
    <font>
      <b/>
      <sz val="14"/>
      <name val="Arial CE"/>
      <charset val="238"/>
    </font>
    <font>
      <sz val="8"/>
      <name val="Arial CE"/>
      <charset val="238"/>
    </font>
    <font>
      <b/>
      <sz val="12"/>
      <name val="Arial"/>
      <family val="2"/>
      <charset val="238"/>
    </font>
    <font>
      <sz val="14"/>
      <name val="Arial"/>
      <family val="2"/>
      <charset val="238"/>
    </font>
    <font>
      <sz val="14"/>
      <name val="Arial CE"/>
      <charset val="238"/>
    </font>
    <font>
      <sz val="10"/>
      <name val="Arial"/>
      <family val="2"/>
      <charset val="238"/>
    </font>
    <font>
      <b/>
      <u/>
      <sz val="12"/>
      <name val="Arial CE"/>
      <charset val="238"/>
    </font>
    <font>
      <b/>
      <sz val="9"/>
      <name val="Arial"/>
      <family val="2"/>
      <charset val="238"/>
    </font>
    <font>
      <i/>
      <sz val="11"/>
      <name val="Arial CE"/>
      <charset val="238"/>
    </font>
    <font>
      <sz val="13"/>
      <name val="Arial"/>
      <family val="2"/>
      <charset val="238"/>
    </font>
    <font>
      <sz val="16"/>
      <name val="Arial"/>
      <family val="2"/>
      <charset val="238"/>
    </font>
    <font>
      <i/>
      <sz val="10"/>
      <name val="Arial CE"/>
      <charset val="238"/>
    </font>
    <font>
      <sz val="12"/>
      <name val="Arial CE"/>
      <charset val="238"/>
    </font>
    <font>
      <b/>
      <i/>
      <sz val="14"/>
      <name val="Arial CE"/>
      <charset val="238"/>
    </font>
    <font>
      <i/>
      <sz val="12"/>
      <name val="Arial CE"/>
      <charset val="238"/>
    </font>
    <font>
      <b/>
      <sz val="9"/>
      <name val="Arial CE"/>
      <charset val="238"/>
    </font>
    <font>
      <b/>
      <i/>
      <sz val="14"/>
      <name val="Arial CE"/>
      <family val="2"/>
      <charset val="238"/>
    </font>
    <font>
      <i/>
      <sz val="10"/>
      <name val="Arial"/>
      <family val="2"/>
      <charset val="238"/>
    </font>
    <font>
      <b/>
      <i/>
      <sz val="16"/>
      <name val="Arial"/>
      <family val="2"/>
      <charset val="238"/>
    </font>
    <font>
      <i/>
      <sz val="11"/>
      <name val="Arial"/>
      <family val="2"/>
      <charset val="238"/>
    </font>
    <font>
      <b/>
      <u/>
      <sz val="11"/>
      <name val="Arial"/>
      <family val="2"/>
      <charset val="238"/>
    </font>
    <font>
      <sz val="10"/>
      <color indexed="9"/>
      <name val="Arial"/>
      <family val="2"/>
      <charset val="238"/>
    </font>
    <font>
      <sz val="11"/>
      <color indexed="9"/>
      <name val="Arial"/>
      <family val="2"/>
      <charset val="238"/>
    </font>
    <font>
      <sz val="10.5"/>
      <name val="Arial"/>
      <family val="2"/>
      <charset val="238"/>
    </font>
    <font>
      <b/>
      <u/>
      <sz val="13"/>
      <name val="Arial"/>
      <family val="2"/>
      <charset val="238"/>
    </font>
    <font>
      <u/>
      <sz val="10"/>
      <name val="Arial"/>
      <family val="2"/>
      <charset val="238"/>
    </font>
    <font>
      <b/>
      <i/>
      <sz val="14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sz val="10"/>
      <color indexed="14"/>
      <name val="Arial"/>
      <family val="2"/>
      <charset val="238"/>
    </font>
    <font>
      <sz val="8"/>
      <color indexed="14"/>
      <name val="Arial"/>
      <family val="2"/>
      <charset val="238"/>
    </font>
    <font>
      <sz val="11"/>
      <color indexed="14"/>
      <name val="Arial"/>
      <family val="2"/>
      <charset val="238"/>
    </font>
    <font>
      <b/>
      <sz val="11"/>
      <color indexed="14"/>
      <name val="Arial"/>
      <family val="2"/>
      <charset val="238"/>
    </font>
    <font>
      <sz val="11"/>
      <color indexed="14"/>
      <name val="Arial CE"/>
      <family val="2"/>
      <charset val="238"/>
    </font>
    <font>
      <b/>
      <sz val="11"/>
      <color indexed="14"/>
      <name val="Arial CE"/>
      <charset val="238"/>
    </font>
    <font>
      <i/>
      <sz val="18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name val="Trebuchet MS"/>
      <family val="2"/>
      <charset val="238"/>
    </font>
    <font>
      <sz val="10"/>
      <color rgb="FFFF0000"/>
      <name val="Arial CE"/>
      <charset val="238"/>
    </font>
    <font>
      <sz val="11"/>
      <color rgb="FFFF0000"/>
      <name val="Arial CE"/>
      <charset val="238"/>
    </font>
    <font>
      <sz val="12"/>
      <color rgb="FFFF0000"/>
      <name val="Arial CE"/>
      <family val="2"/>
      <charset val="238"/>
    </font>
    <font>
      <b/>
      <i/>
      <sz val="11"/>
      <name val="Arial"/>
      <family val="2"/>
      <charset val="238"/>
    </font>
    <font>
      <u/>
      <sz val="12"/>
      <name val="Arial"/>
      <family val="2"/>
      <charset val="238"/>
    </font>
    <font>
      <b/>
      <sz val="16"/>
      <name val="Arial"/>
      <family val="2"/>
      <charset val="238"/>
    </font>
    <font>
      <sz val="10"/>
      <color rgb="FFFF00FF"/>
      <name val="Arial"/>
      <family val="2"/>
      <charset val="238"/>
    </font>
    <font>
      <sz val="11"/>
      <color rgb="FFFF00FF"/>
      <name val="Arial"/>
      <family val="2"/>
      <charset val="238"/>
    </font>
    <font>
      <sz val="8"/>
      <color rgb="FFFF00FF"/>
      <name val="Arial"/>
      <family val="2"/>
      <charset val="238"/>
    </font>
    <font>
      <sz val="12"/>
      <color rgb="FFFF00FF"/>
      <name val="Arial CE"/>
      <family val="2"/>
      <charset val="238"/>
    </font>
    <font>
      <sz val="9"/>
      <color indexed="81"/>
      <name val="Tahoma"/>
      <family val="2"/>
      <charset val="238"/>
    </font>
    <font>
      <b/>
      <i/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i/>
      <sz val="11"/>
      <color rgb="FFFF0000"/>
      <name val="Arial"/>
      <family val="2"/>
      <charset val="238"/>
    </font>
    <font>
      <b/>
      <sz val="8"/>
      <name val="Arial"/>
      <family val="2"/>
      <charset val="238"/>
    </font>
    <font>
      <b/>
      <sz val="9"/>
      <color indexed="81"/>
      <name val="Tahoma"/>
      <family val="2"/>
      <charset val="238"/>
    </font>
    <font>
      <b/>
      <i/>
      <sz val="11"/>
      <color rgb="FFFF0000"/>
      <name val="Arial"/>
      <family val="2"/>
      <charset val="238"/>
    </font>
    <font>
      <b/>
      <u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0"/>
      <color rgb="FF00FF00"/>
      <name val="Arial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</borders>
  <cellStyleXfs count="66">
    <xf numFmtId="0" fontId="0" fillId="0" borderId="0"/>
    <xf numFmtId="0" fontId="22" fillId="0" borderId="0"/>
    <xf numFmtId="3" fontId="12" fillId="0" borderId="0"/>
    <xf numFmtId="3" fontId="12" fillId="0" borderId="0"/>
    <xf numFmtId="3" fontId="12" fillId="0" borderId="0"/>
    <xf numFmtId="3" fontId="12" fillId="0" borderId="0"/>
    <xf numFmtId="3" fontId="12" fillId="0" borderId="0"/>
    <xf numFmtId="3" fontId="12" fillId="0" borderId="0"/>
    <xf numFmtId="0" fontId="12" fillId="0" borderId="0"/>
    <xf numFmtId="0" fontId="3" fillId="0" borderId="0"/>
    <xf numFmtId="0" fontId="104" fillId="0" borderId="0" applyNumberFormat="0" applyFill="0" applyBorder="0" applyAlignment="0" applyProtection="0"/>
    <xf numFmtId="0" fontId="105" fillId="0" borderId="66" applyNumberFormat="0" applyFill="0" applyAlignment="0" applyProtection="0"/>
    <xf numFmtId="0" fontId="106" fillId="0" borderId="67" applyNumberFormat="0" applyFill="0" applyAlignment="0" applyProtection="0"/>
    <xf numFmtId="0" fontId="107" fillId="0" borderId="68" applyNumberFormat="0" applyFill="0" applyAlignment="0" applyProtection="0"/>
    <xf numFmtId="0" fontId="107" fillId="0" borderId="0" applyNumberFormat="0" applyFill="0" applyBorder="0" applyAlignment="0" applyProtection="0"/>
    <xf numFmtId="0" fontId="108" fillId="6" borderId="0" applyNumberFormat="0" applyBorder="0" applyAlignment="0" applyProtection="0"/>
    <xf numFmtId="0" fontId="109" fillId="7" borderId="0" applyNumberFormat="0" applyBorder="0" applyAlignment="0" applyProtection="0"/>
    <xf numFmtId="0" fontId="110" fillId="8" borderId="0" applyNumberFormat="0" applyBorder="0" applyAlignment="0" applyProtection="0"/>
    <xf numFmtId="0" fontId="111" fillId="9" borderId="69" applyNumberFormat="0" applyAlignment="0" applyProtection="0"/>
    <xf numFmtId="0" fontId="112" fillId="10" borderId="70" applyNumberFormat="0" applyAlignment="0" applyProtection="0"/>
    <xf numFmtId="0" fontId="113" fillId="10" borderId="69" applyNumberFormat="0" applyAlignment="0" applyProtection="0"/>
    <xf numFmtId="0" fontId="114" fillId="0" borderId="71" applyNumberFormat="0" applyFill="0" applyAlignment="0" applyProtection="0"/>
    <xf numFmtId="0" fontId="115" fillId="11" borderId="72" applyNumberFormat="0" applyAlignment="0" applyProtection="0"/>
    <xf numFmtId="0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74" applyNumberFormat="0" applyFill="0" applyAlignment="0" applyProtection="0"/>
    <xf numFmtId="0" fontId="119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19" fillId="16" borderId="0" applyNumberFormat="0" applyBorder="0" applyAlignment="0" applyProtection="0"/>
    <xf numFmtId="0" fontId="119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19" fillId="20" borderId="0" applyNumberFormat="0" applyBorder="0" applyAlignment="0" applyProtection="0"/>
    <xf numFmtId="0" fontId="119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19" fillId="24" borderId="0" applyNumberFormat="0" applyBorder="0" applyAlignment="0" applyProtection="0"/>
    <xf numFmtId="0" fontId="119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19" fillId="28" borderId="0" applyNumberFormat="0" applyBorder="0" applyAlignment="0" applyProtection="0"/>
    <xf numFmtId="0" fontId="119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19" fillId="32" borderId="0" applyNumberFormat="0" applyBorder="0" applyAlignment="0" applyProtection="0"/>
    <xf numFmtId="0" fontId="119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119" fillId="36" borderId="0" applyNumberFormat="0" applyBorder="0" applyAlignment="0" applyProtection="0"/>
    <xf numFmtId="0" fontId="2" fillId="0" borderId="0"/>
    <xf numFmtId="0" fontId="2" fillId="12" borderId="73" applyNumberFormat="0" applyFont="0" applyAlignment="0" applyProtection="0"/>
    <xf numFmtId="0" fontId="1" fillId="0" borderId="0"/>
    <xf numFmtId="0" fontId="1" fillId="12" borderId="73" applyNumberFormat="0" applyFont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2787">
    <xf numFmtId="0" fontId="0" fillId="0" borderId="0" xfId="0"/>
    <xf numFmtId="1" fontId="4" fillId="0" borderId="0" xfId="0" applyNumberFormat="1" applyFont="1" applyAlignment="1">
      <alignment horizontal="left"/>
    </xf>
    <xf numFmtId="1" fontId="7" fillId="2" borderId="1" xfId="0" applyNumberFormat="1" applyFont="1" applyFill="1" applyBorder="1" applyAlignment="1">
      <alignment horizontal="left"/>
    </xf>
    <xf numFmtId="1" fontId="9" fillId="0" borderId="0" xfId="0" applyNumberFormat="1" applyFont="1" applyAlignment="1">
      <alignment horizontal="left"/>
    </xf>
    <xf numFmtId="0" fontId="4" fillId="0" borderId="0" xfId="0" applyFont="1"/>
    <xf numFmtId="1" fontId="12" fillId="0" borderId="0" xfId="0" applyNumberFormat="1" applyFont="1" applyAlignment="1">
      <alignment horizontal="left"/>
    </xf>
    <xf numFmtId="1" fontId="7" fillId="0" borderId="0" xfId="0" applyNumberFormat="1" applyFont="1" applyFill="1" applyBorder="1" applyAlignment="1">
      <alignment horizontal="left"/>
    </xf>
    <xf numFmtId="0" fontId="0" fillId="0" borderId="0" xfId="0" applyFill="1" applyBorder="1"/>
    <xf numFmtId="0" fontId="5" fillId="0" borderId="0" xfId="0" applyFont="1"/>
    <xf numFmtId="0" fontId="20" fillId="2" borderId="1" xfId="0" applyFont="1" applyFill="1" applyBorder="1"/>
    <xf numFmtId="0" fontId="20" fillId="0" borderId="0" xfId="0" applyFont="1" applyFill="1" applyBorder="1"/>
    <xf numFmtId="3" fontId="7" fillId="2" borderId="1" xfId="0" applyNumberFormat="1" applyFont="1" applyFill="1" applyBorder="1"/>
    <xf numFmtId="3" fontId="0" fillId="0" borderId="0" xfId="0" applyNumberFormat="1"/>
    <xf numFmtId="3" fontId="18" fillId="0" borderId="0" xfId="0" applyNumberFormat="1" applyFont="1"/>
    <xf numFmtId="3" fontId="18" fillId="0" borderId="0" xfId="0" applyNumberFormat="1" applyFont="1" applyAlignment="1">
      <alignment horizontal="right"/>
    </xf>
    <xf numFmtId="3" fontId="0" fillId="0" borderId="0" xfId="0" applyNumberFormat="1" applyFill="1" applyBorder="1"/>
    <xf numFmtId="3" fontId="7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Border="1"/>
    <xf numFmtId="3" fontId="7" fillId="3" borderId="0" xfId="0" applyNumberFormat="1" applyFont="1" applyFill="1" applyBorder="1"/>
    <xf numFmtId="1" fontId="4" fillId="0" borderId="2" xfId="0" applyNumberFormat="1" applyFont="1" applyBorder="1" applyAlignment="1">
      <alignment horizontal="left"/>
    </xf>
    <xf numFmtId="1" fontId="4" fillId="0" borderId="3" xfId="0" applyNumberFormat="1" applyFont="1" applyBorder="1" applyAlignment="1">
      <alignment horizontal="left"/>
    </xf>
    <xf numFmtId="0" fontId="6" fillId="2" borderId="4" xfId="0" applyFont="1" applyFill="1" applyBorder="1" applyAlignment="1">
      <alignment horizontal="center" vertical="center"/>
    </xf>
    <xf numFmtId="1" fontId="6" fillId="2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0" borderId="0" xfId="0" applyFont="1"/>
    <xf numFmtId="1" fontId="4" fillId="0" borderId="0" xfId="0" applyNumberFormat="1" applyFont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28" fillId="0" borderId="0" xfId="0" applyFont="1" applyAlignment="1">
      <alignment horizontal="center"/>
    </xf>
    <xf numFmtId="0" fontId="18" fillId="0" borderId="0" xfId="0" applyFont="1" applyFill="1" applyBorder="1" applyAlignment="1">
      <alignment horizontal="center"/>
    </xf>
    <xf numFmtId="3" fontId="8" fillId="0" borderId="2" xfId="0" applyNumberFormat="1" applyFont="1" applyBorder="1"/>
    <xf numFmtId="3" fontId="8" fillId="0" borderId="3" xfId="0" applyNumberFormat="1" applyFont="1" applyBorder="1"/>
    <xf numFmtId="1" fontId="12" fillId="0" borderId="2" xfId="0" applyNumberFormat="1" applyFont="1" applyBorder="1" applyAlignment="1">
      <alignment horizontal="left"/>
    </xf>
    <xf numFmtId="1" fontId="12" fillId="0" borderId="3" xfId="0" applyNumberFormat="1" applyFont="1" applyBorder="1" applyAlignment="1">
      <alignment horizontal="left"/>
    </xf>
    <xf numFmtId="1" fontId="29" fillId="0" borderId="0" xfId="0" applyNumberFormat="1" applyFont="1" applyFill="1" applyBorder="1" applyAlignment="1">
      <alignment horizontal="left"/>
    </xf>
    <xf numFmtId="1" fontId="4" fillId="0" borderId="6" xfId="0" applyNumberFormat="1" applyFont="1" applyBorder="1" applyAlignment="1">
      <alignment horizontal="left"/>
    </xf>
    <xf numFmtId="0" fontId="25" fillId="2" borderId="7" xfId="0" applyFont="1" applyFill="1" applyBorder="1" applyAlignment="1">
      <alignment horizontal="left"/>
    </xf>
    <xf numFmtId="0" fontId="5" fillId="2" borderId="8" xfId="0" applyFont="1" applyFill="1" applyBorder="1"/>
    <xf numFmtId="3" fontId="7" fillId="2" borderId="5" xfId="0" applyNumberFormat="1" applyFont="1" applyFill="1" applyBorder="1"/>
    <xf numFmtId="3" fontId="13" fillId="0" borderId="9" xfId="0" applyNumberFormat="1" applyFont="1" applyBorder="1"/>
    <xf numFmtId="3" fontId="13" fillId="0" borderId="2" xfId="0" applyNumberFormat="1" applyFont="1" applyBorder="1"/>
    <xf numFmtId="0" fontId="30" fillId="2" borderId="10" xfId="0" applyFont="1" applyFill="1" applyBorder="1" applyAlignment="1">
      <alignment horizontal="left"/>
    </xf>
    <xf numFmtId="1" fontId="31" fillId="2" borderId="10" xfId="0" applyNumberFormat="1" applyFont="1" applyFill="1" applyBorder="1" applyAlignment="1">
      <alignment horizontal="center"/>
    </xf>
    <xf numFmtId="1" fontId="31" fillId="2" borderId="10" xfId="0" applyNumberFormat="1" applyFont="1" applyFill="1" applyBorder="1" applyAlignment="1">
      <alignment horizontal="left"/>
    </xf>
    <xf numFmtId="0" fontId="31" fillId="2" borderId="10" xfId="0" applyFont="1" applyFill="1" applyBorder="1"/>
    <xf numFmtId="3" fontId="30" fillId="2" borderId="10" xfId="0" applyNumberFormat="1" applyFont="1" applyFill="1" applyBorder="1"/>
    <xf numFmtId="0" fontId="32" fillId="2" borderId="0" xfId="0" applyFont="1" applyFill="1"/>
    <xf numFmtId="3" fontId="6" fillId="2" borderId="5" xfId="0" applyNumberFormat="1" applyFont="1" applyFill="1" applyBorder="1" applyAlignment="1">
      <alignment horizontal="center" vertical="center"/>
    </xf>
    <xf numFmtId="3" fontId="6" fillId="2" borderId="9" xfId="0" applyNumberFormat="1" applyFont="1" applyFill="1" applyBorder="1" applyAlignment="1">
      <alignment horizontal="center" vertical="center"/>
    </xf>
    <xf numFmtId="3" fontId="8" fillId="0" borderId="2" xfId="0" applyNumberFormat="1" applyFont="1" applyBorder="1" applyAlignment="1">
      <alignment horizontal="right"/>
    </xf>
    <xf numFmtId="1" fontId="4" fillId="0" borderId="11" xfId="0" applyNumberFormat="1" applyFont="1" applyBorder="1" applyAlignment="1">
      <alignment horizontal="left"/>
    </xf>
    <xf numFmtId="1" fontId="4" fillId="0" borderId="12" xfId="0" applyNumberFormat="1" applyFont="1" applyBorder="1" applyAlignment="1">
      <alignment horizontal="left"/>
    </xf>
    <xf numFmtId="0" fontId="5" fillId="2" borderId="7" xfId="0" applyFont="1" applyFill="1" applyBorder="1"/>
    <xf numFmtId="0" fontId="20" fillId="0" borderId="0" xfId="0" applyFont="1" applyFill="1" applyBorder="1" applyAlignment="1">
      <alignment horizontal="center"/>
    </xf>
    <xf numFmtId="3" fontId="4" fillId="0" borderId="0" xfId="0" applyNumberFormat="1" applyFont="1"/>
    <xf numFmtId="3" fontId="6" fillId="0" borderId="0" xfId="0" applyNumberFormat="1" applyFont="1"/>
    <xf numFmtId="3" fontId="11" fillId="0" borderId="2" xfId="0" applyNumberFormat="1" applyFont="1" applyBorder="1" applyAlignment="1">
      <alignment horizontal="right"/>
    </xf>
    <xf numFmtId="3" fontId="4" fillId="0" borderId="0" xfId="0" applyNumberFormat="1" applyFont="1" applyAlignment="1">
      <alignment horizontal="right"/>
    </xf>
    <xf numFmtId="3" fontId="20" fillId="0" borderId="0" xfId="0" applyNumberFormat="1" applyFont="1" applyFill="1" applyBorder="1" applyAlignment="1">
      <alignment horizontal="center"/>
    </xf>
    <xf numFmtId="0" fontId="32" fillId="0" borderId="0" xfId="0" applyFont="1" applyFill="1"/>
    <xf numFmtId="3" fontId="8" fillId="3" borderId="0" xfId="0" applyNumberFormat="1" applyFont="1" applyFill="1" applyBorder="1" applyAlignment="1">
      <alignment horizontal="right"/>
    </xf>
    <xf numFmtId="3" fontId="13" fillId="3" borderId="2" xfId="0" applyNumberFormat="1" applyFont="1" applyFill="1" applyBorder="1" applyAlignment="1">
      <alignment horizontal="right"/>
    </xf>
    <xf numFmtId="3" fontId="8" fillId="3" borderId="9" xfId="0" applyNumberFormat="1" applyFont="1" applyFill="1" applyBorder="1" applyAlignment="1">
      <alignment horizontal="right"/>
    </xf>
    <xf numFmtId="0" fontId="13" fillId="0" borderId="9" xfId="0" applyFont="1" applyBorder="1"/>
    <xf numFmtId="3" fontId="9" fillId="0" borderId="0" xfId="0" applyNumberFormat="1" applyFont="1" applyFill="1" applyBorder="1" applyAlignment="1">
      <alignment horizontal="center"/>
    </xf>
    <xf numFmtId="3" fontId="8" fillId="2" borderId="5" xfId="0" applyNumberFormat="1" applyFont="1" applyFill="1" applyBorder="1"/>
    <xf numFmtId="0" fontId="35" fillId="0" borderId="0" xfId="0" applyFont="1"/>
    <xf numFmtId="0" fontId="3" fillId="0" borderId="0" xfId="0" applyFont="1"/>
    <xf numFmtId="1" fontId="11" fillId="0" borderId="0" xfId="0" applyNumberFormat="1" applyFont="1" applyFill="1" applyBorder="1" applyAlignment="1">
      <alignment horizontal="left"/>
    </xf>
    <xf numFmtId="0" fontId="13" fillId="3" borderId="2" xfId="0" applyFont="1" applyFill="1" applyBorder="1"/>
    <xf numFmtId="0" fontId="21" fillId="0" borderId="0" xfId="0" applyFont="1"/>
    <xf numFmtId="0" fontId="36" fillId="0" borderId="0" xfId="0" applyFont="1"/>
    <xf numFmtId="3" fontId="13" fillId="0" borderId="2" xfId="0" applyNumberFormat="1" applyFont="1" applyBorder="1" applyAlignment="1">
      <alignment horizontal="right"/>
    </xf>
    <xf numFmtId="0" fontId="13" fillId="0" borderId="2" xfId="0" applyFont="1" applyBorder="1"/>
    <xf numFmtId="0" fontId="37" fillId="0" borderId="0" xfId="0" applyFont="1"/>
    <xf numFmtId="0" fontId="38" fillId="0" borderId="0" xfId="0" applyFont="1"/>
    <xf numFmtId="1" fontId="39" fillId="0" borderId="0" xfId="0" applyNumberFormat="1" applyFont="1"/>
    <xf numFmtId="1" fontId="38" fillId="2" borderId="1" xfId="0" applyNumberFormat="1" applyFont="1" applyFill="1" applyBorder="1"/>
    <xf numFmtId="0" fontId="38" fillId="2" borderId="1" xfId="0" applyFont="1" applyFill="1" applyBorder="1"/>
    <xf numFmtId="0" fontId="40" fillId="0" borderId="0" xfId="0" applyFont="1"/>
    <xf numFmtId="3" fontId="38" fillId="2" borderId="1" xfId="0" applyNumberFormat="1" applyFont="1" applyFill="1" applyBorder="1"/>
    <xf numFmtId="3" fontId="38" fillId="0" borderId="0" xfId="0" applyNumberFormat="1" applyFont="1"/>
    <xf numFmtId="0" fontId="43" fillId="3" borderId="0" xfId="0" applyFont="1" applyFill="1"/>
    <xf numFmtId="0" fontId="32" fillId="3" borderId="0" xfId="0" applyFont="1" applyFill="1"/>
    <xf numFmtId="1" fontId="10" fillId="0" borderId="0" xfId="0" applyNumberFormat="1" applyFont="1" applyBorder="1" applyAlignment="1">
      <alignment horizontal="left"/>
    </xf>
    <xf numFmtId="0" fontId="13" fillId="0" borderId="2" xfId="0" applyFont="1" applyBorder="1" applyAlignment="1">
      <alignment horizontal="right"/>
    </xf>
    <xf numFmtId="1" fontId="12" fillId="0" borderId="0" xfId="0" applyNumberFormat="1" applyFont="1" applyBorder="1" applyAlignment="1">
      <alignment horizontal="left"/>
    </xf>
    <xf numFmtId="3" fontId="13" fillId="0" borderId="0" xfId="0" applyNumberFormat="1" applyFont="1" applyAlignment="1">
      <alignment horizontal="right"/>
    </xf>
    <xf numFmtId="0" fontId="13" fillId="0" borderId="0" xfId="0" applyFont="1" applyBorder="1"/>
    <xf numFmtId="3" fontId="13" fillId="0" borderId="9" xfId="0" applyNumberFormat="1" applyFont="1" applyBorder="1" applyAlignment="1">
      <alignment horizontal="right"/>
    </xf>
    <xf numFmtId="3" fontId="11" fillId="0" borderId="3" xfId="0" applyNumberFormat="1" applyFont="1" applyBorder="1" applyAlignment="1">
      <alignment horizontal="right"/>
    </xf>
    <xf numFmtId="0" fontId="10" fillId="0" borderId="2" xfId="0" applyFont="1" applyBorder="1" applyAlignment="1"/>
    <xf numFmtId="0" fontId="12" fillId="0" borderId="2" xfId="0" applyFont="1" applyBorder="1" applyAlignment="1"/>
    <xf numFmtId="0" fontId="0" fillId="3" borderId="0" xfId="0" applyFill="1"/>
    <xf numFmtId="1" fontId="18" fillId="0" borderId="0" xfId="0" applyNumberFormat="1" applyFont="1" applyFill="1" applyBorder="1" applyAlignment="1">
      <alignment horizontal="left"/>
    </xf>
    <xf numFmtId="3" fontId="13" fillId="0" borderId="0" xfId="0" applyNumberFormat="1" applyFont="1" applyBorder="1" applyAlignment="1">
      <alignment horizontal="right"/>
    </xf>
    <xf numFmtId="1" fontId="12" fillId="3" borderId="3" xfId="0" applyNumberFormat="1" applyFont="1" applyFill="1" applyBorder="1" applyAlignment="1">
      <alignment horizontal="left"/>
    </xf>
    <xf numFmtId="1" fontId="12" fillId="3" borderId="2" xfId="0" applyNumberFormat="1" applyFont="1" applyFill="1" applyBorder="1" applyAlignment="1">
      <alignment horizontal="left"/>
    </xf>
    <xf numFmtId="3" fontId="11" fillId="3" borderId="3" xfId="0" applyNumberFormat="1" applyFont="1" applyFill="1" applyBorder="1" applyAlignment="1">
      <alignment horizontal="right"/>
    </xf>
    <xf numFmtId="1" fontId="51" fillId="0" borderId="0" xfId="0" applyNumberFormat="1" applyFont="1" applyFill="1" applyBorder="1" applyAlignment="1">
      <alignment horizontal="left"/>
    </xf>
    <xf numFmtId="0" fontId="50" fillId="0" borderId="0" xfId="0" applyFont="1"/>
    <xf numFmtId="3" fontId="50" fillId="0" borderId="0" xfId="0" applyNumberFormat="1" applyFont="1"/>
    <xf numFmtId="1" fontId="53" fillId="0" borderId="0" xfId="0" applyNumberFormat="1" applyFont="1" applyAlignment="1">
      <alignment horizontal="left"/>
    </xf>
    <xf numFmtId="1" fontId="53" fillId="0" borderId="0" xfId="0" applyNumberFormat="1" applyFont="1" applyAlignment="1">
      <alignment horizontal="center"/>
    </xf>
    <xf numFmtId="164" fontId="53" fillId="0" borderId="0" xfId="0" applyNumberFormat="1" applyFont="1" applyAlignment="1">
      <alignment horizontal="center"/>
    </xf>
    <xf numFmtId="0" fontId="53" fillId="0" borderId="0" xfId="0" applyFont="1"/>
    <xf numFmtId="164" fontId="53" fillId="0" borderId="0" xfId="0" applyNumberFormat="1" applyFont="1" applyAlignment="1">
      <alignment horizontal="left"/>
    </xf>
    <xf numFmtId="0" fontId="53" fillId="0" borderId="0" xfId="0" applyFont="1" applyAlignment="1">
      <alignment horizontal="left"/>
    </xf>
    <xf numFmtId="0" fontId="6" fillId="0" borderId="0" xfId="0" applyFont="1" applyFill="1"/>
    <xf numFmtId="0" fontId="6" fillId="0" borderId="0" xfId="0" applyFont="1" applyFill="1" applyBorder="1"/>
    <xf numFmtId="0" fontId="13" fillId="3" borderId="13" xfId="0" applyFont="1" applyFill="1" applyBorder="1"/>
    <xf numFmtId="1" fontId="53" fillId="0" borderId="0" xfId="0" applyNumberFormat="1" applyFont="1"/>
    <xf numFmtId="3" fontId="13" fillId="2" borderId="5" xfId="0" applyNumberFormat="1" applyFont="1" applyFill="1" applyBorder="1"/>
    <xf numFmtId="3" fontId="8" fillId="2" borderId="14" xfId="0" applyNumberFormat="1" applyFont="1" applyFill="1" applyBorder="1"/>
    <xf numFmtId="167" fontId="0" fillId="0" borderId="0" xfId="0" applyNumberFormat="1"/>
    <xf numFmtId="166" fontId="0" fillId="0" borderId="0" xfId="0" applyNumberFormat="1"/>
    <xf numFmtId="166" fontId="32" fillId="0" borderId="0" xfId="0" applyNumberFormat="1" applyFont="1" applyFill="1"/>
    <xf numFmtId="1" fontId="12" fillId="0" borderId="2" xfId="0" applyNumberFormat="1" applyFont="1" applyBorder="1" applyAlignment="1">
      <alignment horizontal="center"/>
    </xf>
    <xf numFmtId="0" fontId="12" fillId="0" borderId="2" xfId="0" applyFont="1" applyBorder="1"/>
    <xf numFmtId="0" fontId="12" fillId="0" borderId="3" xfId="0" applyFont="1" applyBorder="1"/>
    <xf numFmtId="0" fontId="12" fillId="0" borderId="0" xfId="0" applyFont="1" applyFill="1" applyBorder="1" applyAlignment="1"/>
    <xf numFmtId="0" fontId="28" fillId="0" borderId="0" xfId="0" applyFont="1"/>
    <xf numFmtId="3" fontId="28" fillId="0" borderId="0" xfId="0" applyNumberFormat="1" applyFont="1"/>
    <xf numFmtId="168" fontId="9" fillId="0" borderId="2" xfId="0" applyNumberFormat="1" applyFont="1" applyBorder="1" applyAlignment="1">
      <alignment horizontal="left"/>
    </xf>
    <xf numFmtId="3" fontId="11" fillId="3" borderId="0" xfId="0" applyNumberFormat="1" applyFont="1" applyFill="1" applyBorder="1" applyAlignment="1">
      <alignment horizontal="right"/>
    </xf>
    <xf numFmtId="3" fontId="11" fillId="3" borderId="2" xfId="0" applyNumberFormat="1" applyFont="1" applyFill="1" applyBorder="1" applyAlignment="1">
      <alignment horizontal="right"/>
    </xf>
    <xf numFmtId="3" fontId="14" fillId="3" borderId="2" xfId="0" applyNumberFormat="1" applyFont="1" applyFill="1" applyBorder="1" applyAlignment="1">
      <alignment horizontal="right"/>
    </xf>
    <xf numFmtId="3" fontId="13" fillId="3" borderId="3" xfId="0" applyNumberFormat="1" applyFont="1" applyFill="1" applyBorder="1" applyAlignment="1">
      <alignment horizontal="right"/>
    </xf>
    <xf numFmtId="168" fontId="9" fillId="0" borderId="3" xfId="0" applyNumberFormat="1" applyFont="1" applyBorder="1" applyAlignment="1">
      <alignment horizontal="left"/>
    </xf>
    <xf numFmtId="0" fontId="13" fillId="3" borderId="0" xfId="0" applyFont="1" applyFill="1" applyBorder="1"/>
    <xf numFmtId="168" fontId="9" fillId="0" borderId="15" xfId="0" applyNumberFormat="1" applyFont="1" applyBorder="1" applyAlignment="1">
      <alignment horizontal="left"/>
    </xf>
    <xf numFmtId="3" fontId="58" fillId="3" borderId="2" xfId="0" applyNumberFormat="1" applyFont="1" applyFill="1" applyBorder="1" applyAlignment="1">
      <alignment horizontal="right"/>
    </xf>
    <xf numFmtId="3" fontId="20" fillId="0" borderId="0" xfId="0" applyNumberFormat="1" applyFont="1" applyFill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1" fontId="59" fillId="2" borderId="1" xfId="0" applyNumberFormat="1" applyFont="1" applyFill="1" applyBorder="1"/>
    <xf numFmtId="0" fontId="59" fillId="2" borderId="1" xfId="0" applyFont="1" applyFill="1" applyBorder="1"/>
    <xf numFmtId="3" fontId="59" fillId="0" borderId="0" xfId="0" applyNumberFormat="1" applyFont="1"/>
    <xf numFmtId="0" fontId="59" fillId="0" borderId="0" xfId="0" applyFont="1"/>
    <xf numFmtId="3" fontId="28" fillId="0" borderId="0" xfId="0" applyNumberFormat="1" applyFont="1" applyFill="1" applyBorder="1"/>
    <xf numFmtId="3" fontId="59" fillId="0" borderId="0" xfId="0" applyNumberFormat="1" applyFont="1" applyFill="1" applyBorder="1"/>
    <xf numFmtId="0" fontId="28" fillId="0" borderId="0" xfId="0" applyFont="1" applyFill="1" applyBorder="1"/>
    <xf numFmtId="3" fontId="28" fillId="0" borderId="0" xfId="0" applyNumberFormat="1" applyFont="1" applyAlignment="1">
      <alignment horizontal="right"/>
    </xf>
    <xf numFmtId="168" fontId="20" fillId="2" borderId="1" xfId="0" applyNumberFormat="1" applyFont="1" applyFill="1" applyBorder="1" applyAlignment="1">
      <alignment horizontal="center"/>
    </xf>
    <xf numFmtId="168" fontId="20" fillId="0" borderId="0" xfId="0" applyNumberFormat="1" applyFont="1" applyFill="1" applyBorder="1" applyAlignment="1">
      <alignment horizontal="center"/>
    </xf>
    <xf numFmtId="168" fontId="35" fillId="0" borderId="0" xfId="0" applyNumberFormat="1" applyFont="1"/>
    <xf numFmtId="168" fontId="9" fillId="0" borderId="0" xfId="0" applyNumberFormat="1" applyFont="1" applyAlignment="1">
      <alignment horizontal="center"/>
    </xf>
    <xf numFmtId="168" fontId="20" fillId="2" borderId="8" xfId="0" applyNumberFormat="1" applyFont="1" applyFill="1" applyBorder="1" applyAlignment="1">
      <alignment horizontal="center"/>
    </xf>
    <xf numFmtId="168" fontId="27" fillId="0" borderId="0" xfId="0" applyNumberFormat="1" applyFont="1"/>
    <xf numFmtId="168" fontId="9" fillId="0" borderId="0" xfId="0" applyNumberFormat="1" applyFont="1" applyAlignment="1">
      <alignment horizontal="left"/>
    </xf>
    <xf numFmtId="3" fontId="13" fillId="3" borderId="9" xfId="0" applyNumberFormat="1" applyFont="1" applyFill="1" applyBorder="1" applyAlignment="1">
      <alignment horizontal="right"/>
    </xf>
    <xf numFmtId="3" fontId="13" fillId="3" borderId="0" xfId="0" applyNumberFormat="1" applyFont="1" applyFill="1" applyBorder="1" applyAlignment="1">
      <alignment horizontal="right"/>
    </xf>
    <xf numFmtId="3" fontId="58" fillId="3" borderId="0" xfId="0" applyNumberFormat="1" applyFont="1" applyFill="1" applyBorder="1" applyAlignment="1">
      <alignment horizontal="right"/>
    </xf>
    <xf numFmtId="3" fontId="11" fillId="3" borderId="16" xfId="0" applyNumberFormat="1" applyFont="1" applyFill="1" applyBorder="1" applyAlignment="1">
      <alignment horizontal="right"/>
    </xf>
    <xf numFmtId="3" fontId="28" fillId="2" borderId="1" xfId="0" applyNumberFormat="1" applyFont="1" applyFill="1" applyBorder="1"/>
    <xf numFmtId="166" fontId="28" fillId="0" borderId="0" xfId="0" applyNumberFormat="1" applyFont="1"/>
    <xf numFmtId="1" fontId="4" fillId="0" borderId="17" xfId="0" applyNumberFormat="1" applyFont="1" applyBorder="1" applyAlignment="1">
      <alignment horizontal="left"/>
    </xf>
    <xf numFmtId="1" fontId="4" fillId="0" borderId="18" xfId="0" applyNumberFormat="1" applyFont="1" applyBorder="1" applyAlignment="1">
      <alignment horizontal="left"/>
    </xf>
    <xf numFmtId="168" fontId="9" fillId="0" borderId="17" xfId="0" applyNumberFormat="1" applyFont="1" applyBorder="1" applyAlignment="1">
      <alignment horizontal="left"/>
    </xf>
    <xf numFmtId="0" fontId="21" fillId="3" borderId="19" xfId="0" applyFont="1" applyFill="1" applyBorder="1" applyAlignment="1"/>
    <xf numFmtId="168" fontId="39" fillId="3" borderId="17" xfId="0" applyNumberFormat="1" applyFont="1" applyFill="1" applyBorder="1" applyAlignment="1"/>
    <xf numFmtId="168" fontId="27" fillId="2" borderId="1" xfId="0" applyNumberFormat="1" applyFont="1" applyFill="1" applyBorder="1"/>
    <xf numFmtId="168" fontId="39" fillId="0" borderId="0" xfId="0" applyNumberFormat="1" applyFont="1"/>
    <xf numFmtId="1" fontId="60" fillId="0" borderId="0" xfId="0" applyNumberFormat="1" applyFont="1" applyAlignment="1">
      <alignment horizontal="left"/>
    </xf>
    <xf numFmtId="0" fontId="28" fillId="2" borderId="1" xfId="0" applyFont="1" applyFill="1" applyBorder="1"/>
    <xf numFmtId="1" fontId="59" fillId="0" borderId="0" xfId="0" applyNumberFormat="1" applyFont="1"/>
    <xf numFmtId="0" fontId="28" fillId="3" borderId="0" xfId="0" applyFont="1" applyFill="1"/>
    <xf numFmtId="0" fontId="8" fillId="0" borderId="2" xfId="0" applyFont="1" applyBorder="1" applyAlignment="1">
      <alignment horizontal="right"/>
    </xf>
    <xf numFmtId="0" fontId="12" fillId="3" borderId="0" xfId="0" applyFont="1" applyFill="1" applyBorder="1"/>
    <xf numFmtId="3" fontId="35" fillId="0" borderId="0" xfId="0" applyNumberFormat="1" applyFont="1" applyFill="1" applyBorder="1"/>
    <xf numFmtId="3" fontId="8" fillId="0" borderId="0" xfId="0" applyNumberFormat="1" applyFont="1" applyFill="1" applyBorder="1" applyAlignment="1">
      <alignment horizontal="right"/>
    </xf>
    <xf numFmtId="168" fontId="6" fillId="2" borderId="9" xfId="0" applyNumberFormat="1" applyFont="1" applyFill="1" applyBorder="1" applyAlignment="1">
      <alignment horizontal="center" vertical="center"/>
    </xf>
    <xf numFmtId="168" fontId="18" fillId="0" borderId="0" xfId="0" applyNumberFormat="1" applyFont="1" applyFill="1" applyBorder="1" applyAlignment="1">
      <alignment horizontal="center"/>
    </xf>
    <xf numFmtId="168" fontId="53" fillId="0" borderId="0" xfId="0" applyNumberFormat="1" applyFont="1" applyAlignment="1">
      <alignment horizontal="center"/>
    </xf>
    <xf numFmtId="0" fontId="12" fillId="3" borderId="3" xfId="0" applyFont="1" applyFill="1" applyBorder="1"/>
    <xf numFmtId="168" fontId="6" fillId="2" borderId="5" xfId="0" applyNumberFormat="1" applyFont="1" applyFill="1" applyBorder="1" applyAlignment="1">
      <alignment horizontal="center" vertical="center"/>
    </xf>
    <xf numFmtId="0" fontId="13" fillId="0" borderId="2" xfId="0" applyFont="1" applyBorder="1" applyAlignment="1"/>
    <xf numFmtId="168" fontId="26" fillId="3" borderId="0" xfId="0" applyNumberFormat="1" applyFont="1" applyFill="1" applyBorder="1" applyAlignment="1">
      <alignment horizontal="left"/>
    </xf>
    <xf numFmtId="168" fontId="26" fillId="3" borderId="19" xfId="0" applyNumberFormat="1" applyFont="1" applyFill="1" applyBorder="1" applyAlignment="1">
      <alignment horizontal="left"/>
    </xf>
    <xf numFmtId="3" fontId="14" fillId="3" borderId="0" xfId="0" applyNumberFormat="1" applyFont="1" applyFill="1" applyBorder="1" applyAlignment="1">
      <alignment horizontal="right"/>
    </xf>
    <xf numFmtId="3" fontId="14" fillId="3" borderId="3" xfId="0" applyNumberFormat="1" applyFont="1" applyFill="1" applyBorder="1" applyAlignment="1">
      <alignment horizontal="right"/>
    </xf>
    <xf numFmtId="3" fontId="14" fillId="3" borderId="16" xfId="0" applyNumberFormat="1" applyFont="1" applyFill="1" applyBorder="1" applyAlignment="1">
      <alignment horizontal="right"/>
    </xf>
    <xf numFmtId="0" fontId="28" fillId="0" borderId="6" xfId="0" applyFont="1" applyBorder="1" applyAlignment="1">
      <alignment horizontal="left"/>
    </xf>
    <xf numFmtId="3" fontId="8" fillId="0" borderId="0" xfId="0" applyNumberFormat="1" applyFont="1" applyFill="1" applyBorder="1"/>
    <xf numFmtId="3" fontId="18" fillId="0" borderId="0" xfId="0" applyNumberFormat="1" applyFont="1" applyFill="1" applyBorder="1" applyAlignment="1">
      <alignment horizontal="right"/>
    </xf>
    <xf numFmtId="3" fontId="18" fillId="0" borderId="0" xfId="0" applyNumberFormat="1" applyFont="1" applyFill="1" applyBorder="1"/>
    <xf numFmtId="3" fontId="11" fillId="3" borderId="14" xfId="0" applyNumberFormat="1" applyFont="1" applyFill="1" applyBorder="1" applyAlignment="1">
      <alignment horizontal="right"/>
    </xf>
    <xf numFmtId="3" fontId="11" fillId="0" borderId="0" xfId="0" applyNumberFormat="1" applyFont="1" applyBorder="1" applyAlignment="1"/>
    <xf numFmtId="3" fontId="13" fillId="3" borderId="13" xfId="0" applyNumberFormat="1" applyFont="1" applyFill="1" applyBorder="1" applyAlignment="1">
      <alignment horizontal="right"/>
    </xf>
    <xf numFmtId="3" fontId="13" fillId="3" borderId="20" xfId="0" applyNumberFormat="1" applyFont="1" applyFill="1" applyBorder="1" applyAlignment="1">
      <alignment horizontal="right"/>
    </xf>
    <xf numFmtId="166" fontId="23" fillId="0" borderId="0" xfId="0" applyNumberFormat="1" applyFont="1" applyFill="1" applyBorder="1"/>
    <xf numFmtId="167" fontId="14" fillId="0" borderId="21" xfId="0" applyNumberFormat="1" applyFont="1" applyBorder="1"/>
    <xf numFmtId="167" fontId="8" fillId="0" borderId="21" xfId="0" applyNumberFormat="1" applyFont="1" applyBorder="1"/>
    <xf numFmtId="167" fontId="7" fillId="2" borderId="22" xfId="0" applyNumberFormat="1" applyFont="1" applyFill="1" applyBorder="1"/>
    <xf numFmtId="167" fontId="30" fillId="2" borderId="10" xfId="0" applyNumberFormat="1" applyFont="1" applyFill="1" applyBorder="1" applyAlignment="1">
      <alignment shrinkToFit="1"/>
    </xf>
    <xf numFmtId="167" fontId="11" fillId="0" borderId="21" xfId="0" applyNumberFormat="1" applyFont="1" applyBorder="1"/>
    <xf numFmtId="167" fontId="7" fillId="0" borderId="0" xfId="0" applyNumberFormat="1" applyFont="1" applyFill="1" applyBorder="1"/>
    <xf numFmtId="167" fontId="7" fillId="3" borderId="0" xfId="0" applyNumberFormat="1" applyFont="1" applyFill="1" applyBorder="1"/>
    <xf numFmtId="167" fontId="6" fillId="2" borderId="23" xfId="0" applyNumberFormat="1" applyFont="1" applyFill="1" applyBorder="1" applyAlignment="1">
      <alignment horizontal="center" vertical="center"/>
    </xf>
    <xf numFmtId="167" fontId="6" fillId="2" borderId="24" xfId="0" applyNumberFormat="1" applyFont="1" applyFill="1" applyBorder="1" applyAlignment="1">
      <alignment horizontal="center" vertical="center"/>
    </xf>
    <xf numFmtId="167" fontId="13" fillId="0" borderId="21" xfId="0" applyNumberFormat="1" applyFont="1" applyBorder="1"/>
    <xf numFmtId="167" fontId="13" fillId="0" borderId="25" xfId="0" applyNumberFormat="1" applyFont="1" applyBorder="1"/>
    <xf numFmtId="167" fontId="12" fillId="0" borderId="0" xfId="0" applyNumberFormat="1" applyFont="1" applyFill="1" applyBorder="1"/>
    <xf numFmtId="167" fontId="59" fillId="0" borderId="0" xfId="0" applyNumberFormat="1" applyFont="1"/>
    <xf numFmtId="167" fontId="28" fillId="0" borderId="0" xfId="0" applyNumberFormat="1" applyFont="1"/>
    <xf numFmtId="167" fontId="13" fillId="0" borderId="25" xfId="0" applyNumberFormat="1" applyFont="1" applyBorder="1" applyAlignment="1">
      <alignment horizontal="right"/>
    </xf>
    <xf numFmtId="166" fontId="6" fillId="2" borderId="24" xfId="0" applyNumberFormat="1" applyFont="1" applyFill="1" applyBorder="1" applyAlignment="1">
      <alignment horizontal="center" vertical="center"/>
    </xf>
    <xf numFmtId="167" fontId="18" fillId="0" borderId="0" xfId="0" applyNumberFormat="1" applyFont="1"/>
    <xf numFmtId="167" fontId="13" fillId="0" borderId="23" xfId="0" applyNumberFormat="1" applyFont="1" applyBorder="1"/>
    <xf numFmtId="167" fontId="8" fillId="2" borderId="24" xfId="0" applyNumberFormat="1" applyFont="1" applyFill="1" applyBorder="1"/>
    <xf numFmtId="167" fontId="13" fillId="2" borderId="24" xfId="0" applyNumberFormat="1" applyFont="1" applyFill="1" applyBorder="1"/>
    <xf numFmtId="167" fontId="50" fillId="0" borderId="0" xfId="0" applyNumberFormat="1" applyFont="1"/>
    <xf numFmtId="166" fontId="8" fillId="0" borderId="0" xfId="0" applyNumberFormat="1" applyFont="1" applyFill="1" applyBorder="1"/>
    <xf numFmtId="166" fontId="8" fillId="3" borderId="25" xfId="0" applyNumberFormat="1" applyFont="1" applyFill="1" applyBorder="1" applyAlignment="1">
      <alignment horizontal="right"/>
    </xf>
    <xf numFmtId="166" fontId="13" fillId="0" borderId="25" xfId="0" applyNumberFormat="1" applyFont="1" applyBorder="1" applyAlignment="1">
      <alignment horizontal="right"/>
    </xf>
    <xf numFmtId="167" fontId="8" fillId="0" borderId="0" xfId="0" applyNumberFormat="1" applyFont="1" applyFill="1" applyBorder="1"/>
    <xf numFmtId="166" fontId="18" fillId="0" borderId="0" xfId="0" applyNumberFormat="1" applyFont="1" applyFill="1" applyBorder="1"/>
    <xf numFmtId="167" fontId="53" fillId="0" borderId="0" xfId="0" applyNumberFormat="1" applyFont="1"/>
    <xf numFmtId="166" fontId="38" fillId="0" borderId="0" xfId="0" applyNumberFormat="1" applyFont="1"/>
    <xf numFmtId="0" fontId="12" fillId="0" borderId="3" xfId="0" applyFont="1" applyBorder="1" applyAlignment="1">
      <alignment wrapText="1"/>
    </xf>
    <xf numFmtId="3" fontId="13" fillId="3" borderId="19" xfId="0" applyNumberFormat="1" applyFont="1" applyFill="1" applyBorder="1" applyAlignment="1">
      <alignment horizontal="right"/>
    </xf>
    <xf numFmtId="1" fontId="12" fillId="3" borderId="9" xfId="0" applyNumberFormat="1" applyFont="1" applyFill="1" applyBorder="1" applyAlignment="1">
      <alignment horizontal="left"/>
    </xf>
    <xf numFmtId="1" fontId="12" fillId="3" borderId="13" xfId="0" applyNumberFormat="1" applyFont="1" applyFill="1" applyBorder="1" applyAlignment="1">
      <alignment horizontal="left"/>
    </xf>
    <xf numFmtId="0" fontId="13" fillId="3" borderId="9" xfId="0" applyFont="1" applyFill="1" applyBorder="1"/>
    <xf numFmtId="1" fontId="4" fillId="0" borderId="26" xfId="0" applyNumberFormat="1" applyFont="1" applyBorder="1" applyAlignment="1">
      <alignment horizontal="left"/>
    </xf>
    <xf numFmtId="1" fontId="12" fillId="3" borderId="12" xfId="0" applyNumberFormat="1" applyFont="1" applyFill="1" applyBorder="1" applyAlignment="1">
      <alignment horizontal="left"/>
    </xf>
    <xf numFmtId="0" fontId="10" fillId="3" borderId="2" xfId="0" applyFont="1" applyFill="1" applyBorder="1"/>
    <xf numFmtId="0" fontId="12" fillId="3" borderId="2" xfId="0" applyFont="1" applyFill="1" applyBorder="1"/>
    <xf numFmtId="0" fontId="12" fillId="3" borderId="14" xfId="0" applyFont="1" applyFill="1" applyBorder="1"/>
    <xf numFmtId="3" fontId="13" fillId="3" borderId="27" xfId="0" applyNumberFormat="1" applyFont="1" applyFill="1" applyBorder="1" applyAlignment="1">
      <alignment horizontal="right"/>
    </xf>
    <xf numFmtId="0" fontId="12" fillId="0" borderId="19" xfId="0" applyFont="1" applyFill="1" applyBorder="1" applyAlignment="1"/>
    <xf numFmtId="168" fontId="26" fillId="3" borderId="27" xfId="0" applyNumberFormat="1" applyFont="1" applyFill="1" applyBorder="1" applyAlignment="1">
      <alignment horizontal="center"/>
    </xf>
    <xf numFmtId="168" fontId="26" fillId="0" borderId="19" xfId="0" applyNumberFormat="1" applyFont="1" applyBorder="1" applyAlignment="1">
      <alignment horizontal="center"/>
    </xf>
    <xf numFmtId="168" fontId="26" fillId="0" borderId="0" xfId="0" applyNumberFormat="1" applyFont="1" applyBorder="1" applyAlignment="1">
      <alignment horizontal="center"/>
    </xf>
    <xf numFmtId="168" fontId="26" fillId="3" borderId="0" xfId="0" applyNumberFormat="1" applyFont="1" applyFill="1" applyBorder="1" applyAlignment="1">
      <alignment horizontal="center"/>
    </xf>
    <xf numFmtId="3" fontId="13" fillId="0" borderId="27" xfId="0" applyNumberFormat="1" applyFont="1" applyBorder="1" applyAlignment="1">
      <alignment horizontal="right"/>
    </xf>
    <xf numFmtId="0" fontId="12" fillId="0" borderId="0" xfId="0" applyFont="1" applyFill="1" applyBorder="1" applyAlignment="1">
      <alignment wrapText="1"/>
    </xf>
    <xf numFmtId="1" fontId="12" fillId="3" borderId="26" xfId="0" applyNumberFormat="1" applyFont="1" applyFill="1" applyBorder="1" applyAlignment="1">
      <alignment horizontal="left"/>
    </xf>
    <xf numFmtId="168" fontId="26" fillId="3" borderId="27" xfId="0" applyNumberFormat="1" applyFont="1" applyFill="1" applyBorder="1" applyAlignment="1">
      <alignment horizontal="left"/>
    </xf>
    <xf numFmtId="0" fontId="11" fillId="0" borderId="25" xfId="0" applyFont="1" applyBorder="1" applyAlignment="1">
      <alignment horizontal="right"/>
    </xf>
    <xf numFmtId="1" fontId="12" fillId="3" borderId="28" xfId="0" applyNumberFormat="1" applyFont="1" applyFill="1" applyBorder="1" applyAlignment="1">
      <alignment horizontal="left"/>
    </xf>
    <xf numFmtId="0" fontId="11" fillId="0" borderId="29" xfId="0" applyFont="1" applyBorder="1" applyAlignment="1">
      <alignment horizontal="right"/>
    </xf>
    <xf numFmtId="166" fontId="13" fillId="0" borderId="30" xfId="0" applyNumberFormat="1" applyFont="1" applyBorder="1" applyAlignment="1">
      <alignment horizontal="right"/>
    </xf>
    <xf numFmtId="1" fontId="12" fillId="0" borderId="9" xfId="0" applyNumberFormat="1" applyFont="1" applyBorder="1" applyAlignment="1">
      <alignment horizontal="left"/>
    </xf>
    <xf numFmtId="168" fontId="9" fillId="0" borderId="18" xfId="0" applyNumberFormat="1" applyFont="1" applyBorder="1" applyAlignment="1">
      <alignment horizontal="left"/>
    </xf>
    <xf numFmtId="1" fontId="15" fillId="0" borderId="0" xfId="0" applyNumberFormat="1" applyFont="1" applyAlignment="1">
      <alignment horizontal="left"/>
    </xf>
    <xf numFmtId="0" fontId="59" fillId="0" borderId="0" xfId="0" applyFont="1" applyBorder="1"/>
    <xf numFmtId="168" fontId="27" fillId="0" borderId="17" xfId="0" applyNumberFormat="1" applyFont="1" applyBorder="1"/>
    <xf numFmtId="3" fontId="22" fillId="0" borderId="0" xfId="0" applyNumberFormat="1" applyFont="1"/>
    <xf numFmtId="0" fontId="22" fillId="0" borderId="0" xfId="0" applyFont="1"/>
    <xf numFmtId="166" fontId="13" fillId="0" borderId="29" xfId="0" applyNumberFormat="1" applyFont="1" applyBorder="1" applyAlignment="1">
      <alignment horizontal="right"/>
    </xf>
    <xf numFmtId="0" fontId="12" fillId="3" borderId="3" xfId="0" applyFont="1" applyFill="1" applyBorder="1" applyAlignment="1"/>
    <xf numFmtId="1" fontId="12" fillId="3" borderId="14" xfId="0" applyNumberFormat="1" applyFont="1" applyFill="1" applyBorder="1" applyAlignment="1">
      <alignment horizontal="left"/>
    </xf>
    <xf numFmtId="1" fontId="12" fillId="3" borderId="31" xfId="0" applyNumberFormat="1" applyFont="1" applyFill="1" applyBorder="1" applyAlignment="1">
      <alignment horizontal="left"/>
    </xf>
    <xf numFmtId="168" fontId="26" fillId="3" borderId="20" xfId="0" applyNumberFormat="1" applyFont="1" applyFill="1" applyBorder="1" applyAlignment="1">
      <alignment horizontal="left"/>
    </xf>
    <xf numFmtId="3" fontId="62" fillId="0" borderId="2" xfId="0" applyNumberFormat="1" applyFont="1" applyBorder="1" applyAlignment="1">
      <alignment horizontal="right"/>
    </xf>
    <xf numFmtId="3" fontId="33" fillId="2" borderId="10" xfId="0" applyNumberFormat="1" applyFont="1" applyFill="1" applyBorder="1"/>
    <xf numFmtId="0" fontId="13" fillId="0" borderId="25" xfId="0" applyFont="1" applyBorder="1" applyAlignment="1">
      <alignment horizontal="right"/>
    </xf>
    <xf numFmtId="0" fontId="13" fillId="3" borderId="2" xfId="0" applyFont="1" applyFill="1" applyBorder="1" applyAlignment="1"/>
    <xf numFmtId="166" fontId="13" fillId="0" borderId="32" xfId="0" applyNumberFormat="1" applyFont="1" applyBorder="1" applyAlignment="1">
      <alignment horizontal="right"/>
    </xf>
    <xf numFmtId="166" fontId="7" fillId="3" borderId="25" xfId="0" applyNumberFormat="1" applyFont="1" applyFill="1" applyBorder="1" applyAlignment="1">
      <alignment horizontal="right"/>
    </xf>
    <xf numFmtId="166" fontId="7" fillId="3" borderId="29" xfId="0" applyNumberFormat="1" applyFont="1" applyFill="1" applyBorder="1" applyAlignment="1">
      <alignment horizontal="right"/>
    </xf>
    <xf numFmtId="0" fontId="66" fillId="0" borderId="0" xfId="0" applyFont="1"/>
    <xf numFmtId="3" fontId="53" fillId="0" borderId="0" xfId="0" applyNumberFormat="1" applyFont="1"/>
    <xf numFmtId="3" fontId="52" fillId="0" borderId="0" xfId="0" applyNumberFormat="1" applyFont="1"/>
    <xf numFmtId="1" fontId="12" fillId="3" borderId="33" xfId="0" applyNumberFormat="1" applyFont="1" applyFill="1" applyBorder="1" applyAlignment="1">
      <alignment horizontal="left"/>
    </xf>
    <xf numFmtId="168" fontId="26" fillId="3" borderId="34" xfId="0" applyNumberFormat="1" applyFont="1" applyFill="1" applyBorder="1" applyAlignment="1">
      <alignment horizontal="left"/>
    </xf>
    <xf numFmtId="3" fontId="13" fillId="3" borderId="34" xfId="0" applyNumberFormat="1" applyFont="1" applyFill="1" applyBorder="1" applyAlignment="1">
      <alignment horizontal="right"/>
    </xf>
    <xf numFmtId="3" fontId="13" fillId="3" borderId="14" xfId="0" applyNumberFormat="1" applyFont="1" applyFill="1" applyBorder="1" applyAlignment="1">
      <alignment horizontal="right"/>
    </xf>
    <xf numFmtId="166" fontId="13" fillId="0" borderId="35" xfId="0" applyNumberFormat="1" applyFont="1" applyBorder="1" applyAlignment="1">
      <alignment horizontal="right"/>
    </xf>
    <xf numFmtId="1" fontId="12" fillId="3" borderId="0" xfId="0" applyNumberFormat="1" applyFont="1" applyFill="1" applyBorder="1" applyAlignment="1">
      <alignment horizontal="left"/>
    </xf>
    <xf numFmtId="166" fontId="13" fillId="0" borderId="0" xfId="0" applyNumberFormat="1" applyFont="1" applyBorder="1" applyAlignment="1">
      <alignment horizontal="right"/>
    </xf>
    <xf numFmtId="1" fontId="7" fillId="2" borderId="0" xfId="0" applyNumberFormat="1" applyFont="1" applyFill="1" applyBorder="1" applyAlignment="1">
      <alignment horizontal="left"/>
    </xf>
    <xf numFmtId="0" fontId="7" fillId="2" borderId="0" xfId="0" applyFont="1" applyFill="1" applyBorder="1"/>
    <xf numFmtId="0" fontId="12" fillId="2" borderId="0" xfId="0" applyFont="1" applyFill="1" applyBorder="1"/>
    <xf numFmtId="0" fontId="12" fillId="2" borderId="0" xfId="0" applyFont="1" applyFill="1" applyBorder="1" applyAlignment="1">
      <alignment horizontal="right"/>
    </xf>
    <xf numFmtId="0" fontId="58" fillId="2" borderId="0" xfId="0" applyFont="1" applyFill="1" applyBorder="1" applyAlignment="1">
      <alignment horizontal="right"/>
    </xf>
    <xf numFmtId="0" fontId="54" fillId="2" borderId="19" xfId="0" applyFont="1" applyFill="1" applyBorder="1"/>
    <xf numFmtId="1" fontId="17" fillId="2" borderId="19" xfId="0" applyNumberFormat="1" applyFont="1" applyFill="1" applyBorder="1" applyAlignment="1">
      <alignment horizontal="left"/>
    </xf>
    <xf numFmtId="0" fontId="17" fillId="2" borderId="19" xfId="0" applyFont="1" applyFill="1" applyBorder="1"/>
    <xf numFmtId="0" fontId="68" fillId="2" borderId="19" xfId="0" applyFont="1" applyFill="1" applyBorder="1" applyAlignment="1">
      <alignment horizontal="right"/>
    </xf>
    <xf numFmtId="0" fontId="54" fillId="3" borderId="0" xfId="0" applyFont="1" applyFill="1" applyBorder="1"/>
    <xf numFmtId="1" fontId="17" fillId="3" borderId="0" xfId="0" applyNumberFormat="1" applyFont="1" applyFill="1" applyBorder="1" applyAlignment="1">
      <alignment horizontal="left"/>
    </xf>
    <xf numFmtId="0" fontId="17" fillId="3" borderId="0" xfId="0" applyFont="1" applyFill="1" applyBorder="1"/>
    <xf numFmtId="0" fontId="68" fillId="3" borderId="0" xfId="0" applyFont="1" applyFill="1" applyBorder="1" applyAlignment="1">
      <alignment horizontal="right"/>
    </xf>
    <xf numFmtId="0" fontId="58" fillId="3" borderId="0" xfId="0" applyFont="1" applyFill="1" applyBorder="1" applyAlignment="1">
      <alignment horizontal="right"/>
    </xf>
    <xf numFmtId="166" fontId="0" fillId="3" borderId="0" xfId="0" applyNumberFormat="1" applyFill="1"/>
    <xf numFmtId="0" fontId="13" fillId="0" borderId="30" xfId="0" applyFont="1" applyBorder="1" applyAlignment="1">
      <alignment horizontal="right"/>
    </xf>
    <xf numFmtId="0" fontId="16" fillId="0" borderId="12" xfId="0" applyFont="1" applyBorder="1"/>
    <xf numFmtId="0" fontId="16" fillId="0" borderId="25" xfId="0" applyFont="1" applyBorder="1" applyAlignment="1">
      <alignment horizontal="right"/>
    </xf>
    <xf numFmtId="0" fontId="7" fillId="3" borderId="25" xfId="0" applyFont="1" applyFill="1" applyBorder="1" applyAlignment="1">
      <alignment horizontal="right"/>
    </xf>
    <xf numFmtId="0" fontId="7" fillId="3" borderId="29" xfId="0" applyFont="1" applyFill="1" applyBorder="1" applyAlignment="1">
      <alignment horizontal="right"/>
    </xf>
    <xf numFmtId="1" fontId="17" fillId="0" borderId="2" xfId="0" applyNumberFormat="1" applyFont="1" applyBorder="1" applyAlignment="1">
      <alignment horizontal="left"/>
    </xf>
    <xf numFmtId="168" fontId="69" fillId="0" borderId="0" xfId="0" applyNumberFormat="1" applyFont="1" applyBorder="1" applyAlignment="1">
      <alignment horizontal="center"/>
    </xf>
    <xf numFmtId="3" fontId="62" fillId="0" borderId="27" xfId="0" applyNumberFormat="1" applyFont="1" applyBorder="1" applyAlignment="1">
      <alignment horizontal="right"/>
    </xf>
    <xf numFmtId="3" fontId="62" fillId="0" borderId="0" xfId="0" applyNumberFormat="1" applyFont="1" applyBorder="1" applyAlignment="1">
      <alignment horizontal="right"/>
    </xf>
    <xf numFmtId="3" fontId="11" fillId="0" borderId="19" xfId="0" applyNumberFormat="1" applyFont="1" applyBorder="1" applyAlignment="1">
      <alignment wrapText="1"/>
    </xf>
    <xf numFmtId="0" fontId="16" fillId="0" borderId="28" xfId="0" applyFont="1" applyBorder="1"/>
    <xf numFmtId="1" fontId="17" fillId="0" borderId="3" xfId="0" applyNumberFormat="1" applyFont="1" applyBorder="1" applyAlignment="1">
      <alignment horizontal="left"/>
    </xf>
    <xf numFmtId="3" fontId="62" fillId="0" borderId="19" xfId="0" applyNumberFormat="1" applyFont="1" applyBorder="1" applyAlignment="1">
      <alignment horizontal="right"/>
    </xf>
    <xf numFmtId="167" fontId="8" fillId="3" borderId="25" xfId="0" applyNumberFormat="1" applyFont="1" applyFill="1" applyBorder="1" applyAlignment="1">
      <alignment horizontal="right"/>
    </xf>
    <xf numFmtId="167" fontId="54" fillId="2" borderId="36" xfId="0" applyNumberFormat="1" applyFont="1" applyFill="1" applyBorder="1" applyAlignment="1">
      <alignment horizontal="right"/>
    </xf>
    <xf numFmtId="0" fontId="54" fillId="2" borderId="19" xfId="0" applyFont="1" applyFill="1" applyBorder="1" applyAlignment="1">
      <alignment horizontal="right"/>
    </xf>
    <xf numFmtId="166" fontId="54" fillId="2" borderId="36" xfId="0" applyNumberFormat="1" applyFont="1" applyFill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2" fillId="0" borderId="0" xfId="0" applyNumberFormat="1" applyFont="1" applyAlignment="1">
      <alignment horizontal="right"/>
    </xf>
    <xf numFmtId="3" fontId="50" fillId="3" borderId="0" xfId="0" applyNumberFormat="1" applyFont="1" applyFill="1" applyBorder="1" applyAlignment="1">
      <alignment horizontal="right"/>
    </xf>
    <xf numFmtId="167" fontId="51" fillId="0" borderId="0" xfId="0" applyNumberFormat="1" applyFont="1" applyFill="1" applyBorder="1" applyAlignment="1">
      <alignment horizontal="right" vertical="center"/>
    </xf>
    <xf numFmtId="167" fontId="66" fillId="0" borderId="0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/>
    <xf numFmtId="0" fontId="18" fillId="0" borderId="0" xfId="0" applyFont="1" applyFill="1" applyBorder="1" applyAlignment="1">
      <alignment horizontal="left"/>
    </xf>
    <xf numFmtId="0" fontId="13" fillId="0" borderId="0" xfId="0" applyFont="1" applyFill="1" applyBorder="1"/>
    <xf numFmtId="0" fontId="8" fillId="0" borderId="18" xfId="0" applyFont="1" applyBorder="1" applyAlignment="1">
      <alignment horizontal="right"/>
    </xf>
    <xf numFmtId="0" fontId="0" fillId="0" borderId="0" xfId="0" applyAlignment="1"/>
    <xf numFmtId="0" fontId="12" fillId="0" borderId="0" xfId="0" applyFont="1" applyFill="1" applyBorder="1"/>
    <xf numFmtId="3" fontId="13" fillId="0" borderId="0" xfId="0" applyNumberFormat="1" applyFont="1" applyFill="1" applyBorder="1" applyAlignment="1">
      <alignment horizontal="right"/>
    </xf>
    <xf numFmtId="3" fontId="11" fillId="0" borderId="0" xfId="0" applyNumberFormat="1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right"/>
    </xf>
    <xf numFmtId="3" fontId="11" fillId="0" borderId="2" xfId="0" applyNumberFormat="1" applyFont="1" applyFill="1" applyBorder="1" applyAlignment="1">
      <alignment horizontal="right"/>
    </xf>
    <xf numFmtId="0" fontId="13" fillId="0" borderId="0" xfId="0" applyFont="1" applyAlignment="1"/>
    <xf numFmtId="0" fontId="0" fillId="0" borderId="0" xfId="0" applyAlignment="1">
      <alignment horizontal="center"/>
    </xf>
    <xf numFmtId="0" fontId="34" fillId="2" borderId="4" xfId="0" applyFont="1" applyFill="1" applyBorder="1" applyAlignment="1">
      <alignment horizontal="center" vertical="center"/>
    </xf>
    <xf numFmtId="0" fontId="34" fillId="2" borderId="5" xfId="0" applyFont="1" applyFill="1" applyBorder="1" applyAlignment="1">
      <alignment horizontal="center" vertical="center"/>
    </xf>
    <xf numFmtId="1" fontId="34" fillId="2" borderId="5" xfId="0" applyNumberFormat="1" applyFont="1" applyFill="1" applyBorder="1" applyAlignment="1">
      <alignment horizontal="center" vertical="center" wrapText="1"/>
    </xf>
    <xf numFmtId="1" fontId="34" fillId="2" borderId="37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3" fontId="34" fillId="2" borderId="24" xfId="0" applyNumberFormat="1" applyFont="1" applyFill="1" applyBorder="1" applyAlignment="1">
      <alignment horizontal="center" vertical="center"/>
    </xf>
    <xf numFmtId="0" fontId="38" fillId="0" borderId="0" xfId="0" applyFont="1" applyAlignment="1"/>
    <xf numFmtId="0" fontId="38" fillId="0" borderId="0" xfId="0" applyFont="1" applyAlignment="1">
      <alignment horizontal="right"/>
    </xf>
    <xf numFmtId="4" fontId="0" fillId="0" borderId="0" xfId="0" applyNumberFormat="1"/>
    <xf numFmtId="0" fontId="27" fillId="2" borderId="4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vertical="center"/>
    </xf>
    <xf numFmtId="4" fontId="27" fillId="2" borderId="5" xfId="0" applyNumberFormat="1" applyFont="1" applyFill="1" applyBorder="1" applyAlignment="1">
      <alignment horizontal="center" vertical="center" wrapText="1"/>
    </xf>
    <xf numFmtId="4" fontId="27" fillId="2" borderId="37" xfId="0" applyNumberFormat="1" applyFont="1" applyFill="1" applyBorder="1" applyAlignment="1">
      <alignment horizontal="center" vertical="center" wrapText="1"/>
    </xf>
    <xf numFmtId="3" fontId="0" fillId="2" borderId="24" xfId="0" applyNumberFormat="1" applyFill="1" applyBorder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0" borderId="9" xfId="0" applyBorder="1" applyAlignment="1">
      <alignment horizontal="center"/>
    </xf>
    <xf numFmtId="4" fontId="21" fillId="2" borderId="5" xfId="0" applyNumberFormat="1" applyFont="1" applyFill="1" applyBorder="1"/>
    <xf numFmtId="0" fontId="21" fillId="0" borderId="12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/>
    </xf>
    <xf numFmtId="0" fontId="21" fillId="0" borderId="17" xfId="0" applyFont="1" applyFill="1" applyBorder="1" applyAlignment="1">
      <alignment horizontal="left"/>
    </xf>
    <xf numFmtId="0" fontId="21" fillId="0" borderId="0" xfId="0" applyFont="1" applyFill="1"/>
    <xf numFmtId="0" fontId="21" fillId="2" borderId="39" xfId="0" applyFont="1" applyFill="1" applyBorder="1" applyAlignment="1">
      <alignment horizontal="left"/>
    </xf>
    <xf numFmtId="0" fontId="21" fillId="2" borderId="10" xfId="0" applyFont="1" applyFill="1" applyBorder="1" applyAlignment="1">
      <alignment horizontal="left"/>
    </xf>
    <xf numFmtId="0" fontId="21" fillId="2" borderId="40" xfId="0" applyFont="1" applyFill="1" applyBorder="1" applyAlignment="1">
      <alignment horizontal="left"/>
    </xf>
    <xf numFmtId="3" fontId="0" fillId="0" borderId="0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6" fontId="21" fillId="0" borderId="0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/>
    <xf numFmtId="0" fontId="3" fillId="0" borderId="0" xfId="0" applyFont="1" applyFill="1" applyAlignment="1">
      <alignment vertical="center"/>
    </xf>
    <xf numFmtId="4" fontId="21" fillId="0" borderId="0" xfId="0" applyNumberFormat="1" applyFont="1" applyFill="1" applyBorder="1"/>
    <xf numFmtId="3" fontId="21" fillId="0" borderId="41" xfId="0" applyNumberFormat="1" applyFont="1" applyFill="1" applyBorder="1" applyAlignment="1">
      <alignment horizontal="right"/>
    </xf>
    <xf numFmtId="0" fontId="50" fillId="0" borderId="0" xfId="0" applyFont="1" applyAlignment="1"/>
    <xf numFmtId="166" fontId="21" fillId="2" borderId="42" xfId="0" applyNumberFormat="1" applyFont="1" applyFill="1" applyBorder="1" applyAlignment="1">
      <alignment horizontal="right" vertical="center"/>
    </xf>
    <xf numFmtId="0" fontId="34" fillId="0" borderId="0" xfId="0" applyFont="1" applyAlignment="1">
      <alignment vertical="center"/>
    </xf>
    <xf numFmtId="3" fontId="11" fillId="0" borderId="2" xfId="0" applyNumberFormat="1" applyFont="1" applyFill="1" applyBorder="1"/>
    <xf numFmtId="1" fontId="34" fillId="2" borderId="24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5" fillId="0" borderId="0" xfId="0" applyFont="1" applyFill="1"/>
    <xf numFmtId="1" fontId="40" fillId="0" borderId="0" xfId="0" applyNumberFormat="1" applyFont="1" applyFill="1" applyBorder="1" applyAlignment="1">
      <alignment horizontal="left"/>
    </xf>
    <xf numFmtId="1" fontId="40" fillId="0" borderId="0" xfId="0" applyNumberFormat="1" applyFont="1" applyFill="1" applyBorder="1" applyAlignment="1">
      <alignment horizontal="center"/>
    </xf>
    <xf numFmtId="168" fontId="4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/>
    <xf numFmtId="3" fontId="40" fillId="0" borderId="0" xfId="0" applyNumberFormat="1" applyFont="1" applyFill="1" applyBorder="1" applyAlignment="1"/>
    <xf numFmtId="167" fontId="40" fillId="0" borderId="0" xfId="0" applyNumberFormat="1" applyFont="1" applyFill="1" applyBorder="1"/>
    <xf numFmtId="0" fontId="40" fillId="0" borderId="0" xfId="0" applyFont="1" applyFill="1"/>
    <xf numFmtId="0" fontId="21" fillId="0" borderId="0" xfId="0" applyFont="1" applyFill="1" applyBorder="1" applyAlignment="1"/>
    <xf numFmtId="167" fontId="30" fillId="2" borderId="10" xfId="0" applyNumberFormat="1" applyFont="1" applyFill="1" applyBorder="1" applyAlignment="1">
      <alignment horizontal="right" shrinkToFit="1"/>
    </xf>
    <xf numFmtId="3" fontId="13" fillId="0" borderId="9" xfId="0" applyNumberFormat="1" applyFont="1" applyFill="1" applyBorder="1" applyAlignment="1">
      <alignment horizontal="right"/>
    </xf>
    <xf numFmtId="1" fontId="7" fillId="0" borderId="0" xfId="0" applyNumberFormat="1" applyFont="1" applyFill="1" applyBorder="1" applyAlignment="1">
      <alignment horizontal="right"/>
    </xf>
    <xf numFmtId="167" fontId="7" fillId="0" borderId="0" xfId="0" applyNumberFormat="1" applyFont="1" applyFill="1" applyBorder="1" applyAlignment="1">
      <alignment horizontal="right"/>
    </xf>
    <xf numFmtId="166" fontId="21" fillId="0" borderId="43" xfId="0" applyNumberFormat="1" applyFont="1" applyFill="1" applyBorder="1" applyAlignment="1">
      <alignment horizontal="right" vertical="center"/>
    </xf>
    <xf numFmtId="166" fontId="21" fillId="2" borderId="44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justify" wrapText="1"/>
    </xf>
    <xf numFmtId="166" fontId="11" fillId="0" borderId="25" xfId="0" applyNumberFormat="1" applyFont="1" applyFill="1" applyBorder="1"/>
    <xf numFmtId="3" fontId="8" fillId="2" borderId="24" xfId="0" applyNumberFormat="1" applyFont="1" applyFill="1" applyBorder="1"/>
    <xf numFmtId="3" fontId="8" fillId="2" borderId="42" xfId="0" applyNumberFormat="1" applyFont="1" applyFill="1" applyBorder="1"/>
    <xf numFmtId="0" fontId="8" fillId="0" borderId="0" xfId="0" applyFont="1" applyFill="1" applyBorder="1"/>
    <xf numFmtId="0" fontId="13" fillId="0" borderId="2" xfId="0" applyFont="1" applyFill="1" applyBorder="1"/>
    <xf numFmtId="0" fontId="3" fillId="0" borderId="0" xfId="0" applyFont="1" applyFill="1"/>
    <xf numFmtId="3" fontId="3" fillId="0" borderId="0" xfId="0" applyNumberFormat="1" applyFont="1" applyFill="1"/>
    <xf numFmtId="0" fontId="27" fillId="0" borderId="0" xfId="0" applyFont="1" applyFill="1" applyAlignment="1">
      <alignment vertical="center"/>
    </xf>
    <xf numFmtId="4" fontId="21" fillId="0" borderId="41" xfId="0" applyNumberFormat="1" applyFont="1" applyFill="1" applyBorder="1" applyAlignment="1">
      <alignment horizontal="right"/>
    </xf>
    <xf numFmtId="4" fontId="21" fillId="2" borderId="45" xfId="0" applyNumberFormat="1" applyFont="1" applyFill="1" applyBorder="1" applyAlignment="1">
      <alignment horizontal="right"/>
    </xf>
    <xf numFmtId="0" fontId="21" fillId="0" borderId="2" xfId="0" applyFont="1" applyBorder="1" applyAlignment="1">
      <alignment vertical="center" wrapText="1"/>
    </xf>
    <xf numFmtId="0" fontId="21" fillId="0" borderId="2" xfId="0" applyFont="1" applyBorder="1" applyAlignment="1"/>
    <xf numFmtId="3" fontId="21" fillId="0" borderId="9" xfId="0" applyNumberFormat="1" applyFont="1" applyFill="1" applyBorder="1"/>
    <xf numFmtId="3" fontId="21" fillId="0" borderId="2" xfId="0" applyNumberFormat="1" applyFont="1" applyFill="1" applyBorder="1"/>
    <xf numFmtId="3" fontId="21" fillId="0" borderId="2" xfId="0" applyNumberFormat="1" applyFont="1" applyFill="1" applyBorder="1" applyAlignment="1">
      <alignment vertical="center"/>
    </xf>
    <xf numFmtId="3" fontId="7" fillId="3" borderId="0" xfId="0" applyNumberFormat="1" applyFont="1" applyFill="1" applyBorder="1" applyAlignment="1">
      <alignment horizontal="right"/>
    </xf>
    <xf numFmtId="173" fontId="0" fillId="0" borderId="2" xfId="0" applyNumberFormat="1" applyBorder="1" applyAlignment="1">
      <alignment horizontal="center" vertical="center"/>
    </xf>
    <xf numFmtId="4" fontId="21" fillId="2" borderId="37" xfId="0" applyNumberFormat="1" applyFont="1" applyFill="1" applyBorder="1"/>
    <xf numFmtId="1" fontId="78" fillId="3" borderId="0" xfId="0" applyNumberFormat="1" applyFont="1" applyFill="1" applyBorder="1" applyAlignment="1">
      <alignment horizontal="left"/>
    </xf>
    <xf numFmtId="1" fontId="78" fillId="3" borderId="0" xfId="0" applyNumberFormat="1" applyFont="1" applyFill="1" applyBorder="1" applyAlignment="1">
      <alignment horizontal="center"/>
    </xf>
    <xf numFmtId="168" fontId="78" fillId="3" borderId="0" xfId="0" applyNumberFormat="1" applyFont="1" applyFill="1" applyBorder="1" applyAlignment="1">
      <alignment horizontal="center"/>
    </xf>
    <xf numFmtId="0" fontId="78" fillId="3" borderId="0" xfId="0" applyFont="1" applyFill="1" applyBorder="1"/>
    <xf numFmtId="0" fontId="79" fillId="0" borderId="0" xfId="0" applyFont="1"/>
    <xf numFmtId="0" fontId="38" fillId="0" borderId="0" xfId="0" applyFont="1" applyFill="1" applyBorder="1" applyAlignment="1">
      <alignment horizontal="left" wrapText="1"/>
    </xf>
    <xf numFmtId="0" fontId="0" fillId="0" borderId="0" xfId="0" applyFill="1" applyBorder="1" applyAlignment="1">
      <alignment wrapText="1"/>
    </xf>
    <xf numFmtId="0" fontId="28" fillId="0" borderId="0" xfId="0" applyFont="1" applyAlignment="1">
      <alignment horizontal="right"/>
    </xf>
    <xf numFmtId="173" fontId="0" fillId="0" borderId="9" xfId="0" applyNumberFormat="1" applyBorder="1" applyAlignment="1">
      <alignment horizontal="center"/>
    </xf>
    <xf numFmtId="3" fontId="21" fillId="0" borderId="2" xfId="0" applyNumberFormat="1" applyFont="1" applyBorder="1" applyAlignment="1">
      <alignment horizontal="right" vertical="center"/>
    </xf>
    <xf numFmtId="3" fontId="21" fillId="0" borderId="15" xfId="0" applyNumberFormat="1" applyFont="1" applyBorder="1" applyAlignment="1">
      <alignment horizontal="right" vertical="center"/>
    </xf>
    <xf numFmtId="3" fontId="21" fillId="0" borderId="9" xfId="0" applyNumberFormat="1" applyFont="1" applyBorder="1" applyAlignment="1">
      <alignment horizontal="right"/>
    </xf>
    <xf numFmtId="3" fontId="21" fillId="0" borderId="46" xfId="0" applyNumberFormat="1" applyFont="1" applyBorder="1" applyAlignment="1">
      <alignment horizontal="right"/>
    </xf>
    <xf numFmtId="166" fontId="21" fillId="0" borderId="21" xfId="0" applyNumberFormat="1" applyFont="1" applyBorder="1" applyAlignment="1">
      <alignment horizontal="right" vertical="center"/>
    </xf>
    <xf numFmtId="166" fontId="21" fillId="0" borderId="42" xfId="0" applyNumberFormat="1" applyFont="1" applyBorder="1" applyAlignment="1">
      <alignment horizontal="right" vertical="center"/>
    </xf>
    <xf numFmtId="0" fontId="38" fillId="2" borderId="1" xfId="0" applyFont="1" applyFill="1" applyBorder="1" applyAlignment="1">
      <alignment horizontal="left"/>
    </xf>
    <xf numFmtId="0" fontId="0" fillId="2" borderId="1" xfId="0" applyFill="1" applyBorder="1" applyAlignment="1"/>
    <xf numFmtId="0" fontId="0" fillId="0" borderId="0" xfId="0" applyFill="1" applyAlignment="1">
      <alignment horizontal="center"/>
    </xf>
    <xf numFmtId="3" fontId="21" fillId="0" borderId="9" xfId="0" applyNumberFormat="1" applyFont="1" applyFill="1" applyBorder="1" applyAlignment="1">
      <alignment horizontal="right" vertical="center" wrapText="1"/>
    </xf>
    <xf numFmtId="3" fontId="21" fillId="0" borderId="2" xfId="0" applyNumberFormat="1" applyFont="1" applyFill="1" applyBorder="1" applyAlignment="1">
      <alignment horizontal="right" vertical="center" wrapText="1"/>
    </xf>
    <xf numFmtId="3" fontId="21" fillId="0" borderId="9" xfId="0" applyNumberFormat="1" applyFont="1" applyFill="1" applyBorder="1" applyAlignment="1">
      <alignment horizontal="right" vertical="center"/>
    </xf>
    <xf numFmtId="3" fontId="21" fillId="0" borderId="2" xfId="0" applyNumberFormat="1" applyFont="1" applyFill="1" applyBorder="1" applyAlignment="1">
      <alignment horizontal="right" vertical="center"/>
    </xf>
    <xf numFmtId="0" fontId="0" fillId="0" borderId="0" xfId="0" applyFill="1" applyAlignment="1"/>
    <xf numFmtId="0" fontId="38" fillId="0" borderId="0" xfId="0" applyFont="1" applyFill="1" applyAlignment="1"/>
    <xf numFmtId="0" fontId="0" fillId="0" borderId="0" xfId="0" applyFill="1" applyAlignment="1">
      <alignment vertical="center"/>
    </xf>
    <xf numFmtId="0" fontId="0" fillId="0" borderId="6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173" fontId="0" fillId="0" borderId="2" xfId="0" applyNumberFormat="1" applyFill="1" applyBorder="1" applyAlignment="1">
      <alignment horizontal="center" vertical="center"/>
    </xf>
    <xf numFmtId="0" fontId="21" fillId="0" borderId="2" xfId="0" applyFont="1" applyFill="1" applyBorder="1" applyAlignment="1">
      <alignment vertical="center" wrapText="1"/>
    </xf>
    <xf numFmtId="3" fontId="0" fillId="0" borderId="0" xfId="0" applyNumberFormat="1" applyFill="1" applyAlignment="1">
      <alignment horizontal="right"/>
    </xf>
    <xf numFmtId="3" fontId="38" fillId="0" borderId="0" xfId="0" applyNumberFormat="1" applyFont="1" applyFill="1" applyAlignment="1">
      <alignment horizontal="right"/>
    </xf>
    <xf numFmtId="3" fontId="21" fillId="0" borderId="0" xfId="0" applyNumberFormat="1" applyFont="1" applyFill="1" applyAlignment="1">
      <alignment horizontal="right" vertical="center"/>
    </xf>
    <xf numFmtId="0" fontId="21" fillId="0" borderId="2" xfId="0" applyFont="1" applyFill="1" applyBorder="1"/>
    <xf numFmtId="166" fontId="21" fillId="0" borderId="21" xfId="0" applyNumberFormat="1" applyFont="1" applyBorder="1" applyAlignment="1">
      <alignment horizontal="right"/>
    </xf>
    <xf numFmtId="167" fontId="13" fillId="0" borderId="0" xfId="0" applyNumberFormat="1" applyFont="1" applyBorder="1" applyAlignment="1">
      <alignment horizontal="right"/>
    </xf>
    <xf numFmtId="167" fontId="11" fillId="0" borderId="0" xfId="0" applyNumberFormat="1" applyFont="1" applyBorder="1" applyAlignment="1">
      <alignment horizontal="right"/>
    </xf>
    <xf numFmtId="164" fontId="23" fillId="0" borderId="2" xfId="0" applyNumberFormat="1" applyFont="1" applyFill="1" applyBorder="1" applyAlignment="1">
      <alignment horizontal="right" vertical="center" wrapText="1"/>
    </xf>
    <xf numFmtId="0" fontId="3" fillId="0" borderId="6" xfId="0" applyFont="1" applyFill="1" applyBorder="1"/>
    <xf numFmtId="0" fontId="36" fillId="0" borderId="0" xfId="0" applyFont="1" applyFill="1"/>
    <xf numFmtId="0" fontId="21" fillId="0" borderId="12" xfId="0" applyFont="1" applyFill="1" applyBorder="1"/>
    <xf numFmtId="0" fontId="3" fillId="0" borderId="12" xfId="0" applyFont="1" applyFill="1" applyBorder="1"/>
    <xf numFmtId="3" fontId="23" fillId="0" borderId="2" xfId="0" applyNumberFormat="1" applyFont="1" applyFill="1" applyBorder="1"/>
    <xf numFmtId="3" fontId="0" fillId="0" borderId="0" xfId="0" applyNumberFormat="1" applyFill="1"/>
    <xf numFmtId="166" fontId="21" fillId="0" borderId="42" xfId="0" applyNumberFormat="1" applyFont="1" applyFill="1" applyBorder="1" applyAlignment="1">
      <alignment horizontal="right" vertical="center"/>
    </xf>
    <xf numFmtId="166" fontId="21" fillId="0" borderId="21" xfId="0" applyNumberFormat="1" applyFont="1" applyFill="1" applyBorder="1" applyAlignment="1">
      <alignment horizontal="right" vertical="center"/>
    </xf>
    <xf numFmtId="0" fontId="12" fillId="0" borderId="0" xfId="0" applyFont="1" applyFill="1"/>
    <xf numFmtId="3" fontId="11" fillId="0" borderId="34" xfId="0" applyNumberFormat="1" applyFont="1" applyFill="1" applyBorder="1" applyAlignment="1">
      <alignment horizontal="right"/>
    </xf>
    <xf numFmtId="3" fontId="11" fillId="0" borderId="14" xfId="0" applyNumberFormat="1" applyFont="1" applyFill="1" applyBorder="1" applyAlignment="1">
      <alignment horizontal="right"/>
    </xf>
    <xf numFmtId="3" fontId="13" fillId="0" borderId="14" xfId="0" applyNumberFormat="1" applyFont="1" applyFill="1" applyBorder="1" applyAlignment="1">
      <alignment horizontal="right"/>
    </xf>
    <xf numFmtId="3" fontId="8" fillId="0" borderId="34" xfId="0" applyNumberFormat="1" applyFont="1" applyFill="1" applyBorder="1" applyAlignment="1">
      <alignment horizontal="right"/>
    </xf>
    <xf numFmtId="3" fontId="13" fillId="0" borderId="34" xfId="0" applyNumberFormat="1" applyFont="1" applyFill="1" applyBorder="1" applyAlignment="1">
      <alignment horizontal="right"/>
    </xf>
    <xf numFmtId="3" fontId="11" fillId="0" borderId="17" xfId="0" applyNumberFormat="1" applyFont="1" applyFill="1" applyBorder="1" applyAlignment="1">
      <alignment horizontal="right"/>
    </xf>
    <xf numFmtId="3" fontId="8" fillId="0" borderId="2" xfId="0" applyNumberFormat="1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right" vertical="top"/>
    </xf>
    <xf numFmtId="3" fontId="14" fillId="0" borderId="0" xfId="0" applyNumberFormat="1" applyFont="1" applyFill="1" applyBorder="1" applyAlignment="1">
      <alignment horizontal="right"/>
    </xf>
    <xf numFmtId="3" fontId="13" fillId="0" borderId="27" xfId="0" applyNumberFormat="1" applyFont="1" applyFill="1" applyBorder="1" applyAlignment="1">
      <alignment horizontal="right"/>
    </xf>
    <xf numFmtId="3" fontId="8" fillId="0" borderId="9" xfId="0" applyNumberFormat="1" applyFont="1" applyFill="1" applyBorder="1" applyAlignment="1">
      <alignment horizontal="right"/>
    </xf>
    <xf numFmtId="3" fontId="14" fillId="0" borderId="2" xfId="0" applyNumberFormat="1" applyFont="1" applyFill="1" applyBorder="1" applyAlignment="1">
      <alignment horizontal="right"/>
    </xf>
    <xf numFmtId="3" fontId="11" fillId="0" borderId="14" xfId="0" applyNumberFormat="1" applyFont="1" applyFill="1" applyBorder="1"/>
    <xf numFmtId="4" fontId="0" fillId="0" borderId="0" xfId="0" applyNumberFormat="1" applyFill="1"/>
    <xf numFmtId="0" fontId="11" fillId="0" borderId="2" xfId="0" applyFont="1" applyFill="1" applyBorder="1" applyAlignment="1"/>
    <xf numFmtId="1" fontId="11" fillId="0" borderId="2" xfId="0" applyNumberFormat="1" applyFont="1" applyFill="1" applyBorder="1" applyAlignment="1">
      <alignment horizontal="left"/>
    </xf>
    <xf numFmtId="1" fontId="11" fillId="0" borderId="14" xfId="0" applyNumberFormat="1" applyFont="1" applyFill="1" applyBorder="1" applyAlignment="1">
      <alignment horizontal="left"/>
    </xf>
    <xf numFmtId="0" fontId="11" fillId="0" borderId="0" xfId="0" applyFont="1" applyFill="1" applyBorder="1"/>
    <xf numFmtId="0" fontId="11" fillId="0" borderId="2" xfId="0" applyFont="1" applyFill="1" applyBorder="1"/>
    <xf numFmtId="0" fontId="11" fillId="0" borderId="17" xfId="0" applyFont="1" applyFill="1" applyBorder="1"/>
    <xf numFmtId="3" fontId="21" fillId="0" borderId="14" xfId="0" applyNumberFormat="1" applyFont="1" applyFill="1" applyBorder="1"/>
    <xf numFmtId="3" fontId="23" fillId="0" borderId="0" xfId="0" applyNumberFormat="1" applyFont="1" applyFill="1" applyBorder="1"/>
    <xf numFmtId="0" fontId="0" fillId="0" borderId="0" xfId="0" applyFill="1" applyAlignment="1">
      <alignment wrapText="1"/>
    </xf>
    <xf numFmtId="1" fontId="7" fillId="0" borderId="1" xfId="0" applyNumberFormat="1" applyFont="1" applyFill="1" applyBorder="1" applyAlignment="1">
      <alignment horizontal="left"/>
    </xf>
    <xf numFmtId="0" fontId="18" fillId="0" borderId="1" xfId="0" applyFont="1" applyFill="1" applyBorder="1" applyAlignment="1">
      <alignment horizontal="center"/>
    </xf>
    <xf numFmtId="168" fontId="20" fillId="0" borderId="1" xfId="0" applyNumberFormat="1" applyFont="1" applyFill="1" applyBorder="1" applyAlignment="1">
      <alignment horizontal="center"/>
    </xf>
    <xf numFmtId="3" fontId="3" fillId="0" borderId="1" xfId="0" applyNumberFormat="1" applyFont="1" applyFill="1" applyBorder="1"/>
    <xf numFmtId="3" fontId="7" fillId="0" borderId="1" xfId="0" applyNumberFormat="1" applyFont="1" applyFill="1" applyBorder="1"/>
    <xf numFmtId="3" fontId="3" fillId="0" borderId="1" xfId="0" applyNumberFormat="1" applyFont="1" applyFill="1" applyBorder="1" applyAlignment="1">
      <alignment horizontal="right"/>
    </xf>
    <xf numFmtId="0" fontId="38" fillId="0" borderId="1" xfId="0" applyFont="1" applyFill="1" applyBorder="1" applyAlignment="1">
      <alignment horizontal="left"/>
    </xf>
    <xf numFmtId="0" fontId="0" fillId="0" borderId="1" xfId="0" applyFill="1" applyBorder="1" applyAlignment="1"/>
    <xf numFmtId="0" fontId="38" fillId="0" borderId="0" xfId="0" applyFont="1" applyFill="1" applyBorder="1" applyAlignment="1">
      <alignment horizontal="left"/>
    </xf>
    <xf numFmtId="0" fontId="0" fillId="0" borderId="0" xfId="0" applyFill="1" applyBorder="1" applyAlignment="1"/>
    <xf numFmtId="3" fontId="0" fillId="0" borderId="1" xfId="0" applyNumberFormat="1" applyFill="1" applyBorder="1" applyAlignment="1">
      <alignment horizontal="right"/>
    </xf>
    <xf numFmtId="0" fontId="38" fillId="0" borderId="1" xfId="0" applyFont="1" applyFill="1" applyBorder="1" applyAlignment="1"/>
    <xf numFmtId="0" fontId="20" fillId="0" borderId="1" xfId="0" applyFont="1" applyFill="1" applyBorder="1"/>
    <xf numFmtId="3" fontId="0" fillId="0" borderId="1" xfId="0" applyNumberFormat="1" applyFill="1" applyBorder="1"/>
    <xf numFmtId="1" fontId="38" fillId="0" borderId="1" xfId="0" applyNumberFormat="1" applyFont="1" applyFill="1" applyBorder="1" applyAlignment="1">
      <alignment horizontal="left"/>
    </xf>
    <xf numFmtId="1" fontId="38" fillId="0" borderId="1" xfId="0" applyNumberFormat="1" applyFont="1" applyFill="1" applyBorder="1" applyAlignment="1">
      <alignment horizontal="center"/>
    </xf>
    <xf numFmtId="168" fontId="38" fillId="0" borderId="1" xfId="0" applyNumberFormat="1" applyFont="1" applyFill="1" applyBorder="1" applyAlignment="1">
      <alignment horizontal="center"/>
    </xf>
    <xf numFmtId="0" fontId="38" fillId="0" borderId="1" xfId="0" applyFont="1" applyFill="1" applyBorder="1"/>
    <xf numFmtId="3" fontId="38" fillId="0" borderId="1" xfId="0" applyNumberFormat="1" applyFont="1" applyFill="1" applyBorder="1"/>
    <xf numFmtId="3" fontId="38" fillId="0" borderId="0" xfId="0" applyNumberFormat="1" applyFont="1" applyFill="1"/>
    <xf numFmtId="168" fontId="18" fillId="0" borderId="1" xfId="0" applyNumberFormat="1" applyFont="1" applyFill="1" applyBorder="1" applyAlignment="1">
      <alignment horizontal="center"/>
    </xf>
    <xf numFmtId="168" fontId="61" fillId="0" borderId="1" xfId="0" applyNumberFormat="1" applyFont="1" applyFill="1" applyBorder="1" applyAlignment="1">
      <alignment horizontal="center"/>
    </xf>
    <xf numFmtId="3" fontId="21" fillId="0" borderId="1" xfId="0" applyNumberFormat="1" applyFont="1" applyFill="1" applyBorder="1" applyAlignment="1"/>
    <xf numFmtId="3" fontId="38" fillId="0" borderId="1" xfId="0" applyNumberFormat="1" applyFont="1" applyFill="1" applyBorder="1" applyAlignment="1"/>
    <xf numFmtId="3" fontId="21" fillId="0" borderId="0" xfId="0" applyNumberFormat="1" applyFont="1" applyFill="1" applyAlignment="1"/>
    <xf numFmtId="3" fontId="20" fillId="0" borderId="1" xfId="0" applyNumberFormat="1" applyFont="1" applyFill="1" applyBorder="1" applyAlignment="1">
      <alignment horizontal="center"/>
    </xf>
    <xf numFmtId="0" fontId="9" fillId="0" borderId="1" xfId="0" applyFont="1" applyFill="1" applyBorder="1"/>
    <xf numFmtId="3" fontId="35" fillId="0" borderId="1" xfId="0" applyNumberFormat="1" applyFont="1" applyFill="1" applyBorder="1"/>
    <xf numFmtId="3" fontId="35" fillId="0" borderId="0" xfId="0" applyNumberFormat="1" applyFont="1" applyFill="1"/>
    <xf numFmtId="3" fontId="28" fillId="0" borderId="1" xfId="0" applyNumberFormat="1" applyFont="1" applyFill="1" applyBorder="1"/>
    <xf numFmtId="3" fontId="28" fillId="0" borderId="0" xfId="0" applyNumberFormat="1" applyFont="1" applyFill="1"/>
    <xf numFmtId="1" fontId="38" fillId="0" borderId="1" xfId="0" applyNumberFormat="1" applyFont="1" applyFill="1" applyBorder="1"/>
    <xf numFmtId="1" fontId="59" fillId="0" borderId="1" xfId="0" applyNumberFormat="1" applyFont="1" applyFill="1" applyBorder="1"/>
    <xf numFmtId="0" fontId="59" fillId="0" borderId="1" xfId="0" applyFont="1" applyFill="1" applyBorder="1"/>
    <xf numFmtId="3" fontId="59" fillId="0" borderId="1" xfId="0" applyNumberFormat="1" applyFont="1" applyFill="1" applyBorder="1"/>
    <xf numFmtId="0" fontId="59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0" fontId="50" fillId="0" borderId="0" xfId="0" applyFont="1" applyFill="1"/>
    <xf numFmtId="0" fontId="35" fillId="0" borderId="0" xfId="0" applyFont="1" applyFill="1"/>
    <xf numFmtId="164" fontId="0" fillId="0" borderId="0" xfId="0" applyNumberFormat="1" applyFill="1" applyAlignment="1">
      <alignment horizontal="center"/>
    </xf>
    <xf numFmtId="3" fontId="34" fillId="0" borderId="5" xfId="0" applyNumberFormat="1" applyFont="1" applyFill="1" applyBorder="1" applyAlignment="1">
      <alignment horizontal="center" vertical="center" wrapText="1"/>
    </xf>
    <xf numFmtId="3" fontId="3" fillId="0" borderId="5" xfId="0" applyNumberFormat="1" applyFont="1" applyFill="1" applyBorder="1" applyAlignment="1">
      <alignment horizontal="center" vertical="center" wrapText="1"/>
    </xf>
    <xf numFmtId="3" fontId="3" fillId="0" borderId="24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3" fontId="34" fillId="0" borderId="23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horizontal="center" vertical="center"/>
    </xf>
    <xf numFmtId="170" fontId="35" fillId="0" borderId="26" xfId="0" applyNumberFormat="1" applyFont="1" applyFill="1" applyBorder="1" applyAlignment="1">
      <alignment vertical="top" wrapText="1"/>
    </xf>
    <xf numFmtId="0" fontId="23" fillId="0" borderId="18" xfId="0" applyFont="1" applyFill="1" applyBorder="1" applyAlignment="1">
      <alignment vertical="center" wrapText="1"/>
    </xf>
    <xf numFmtId="166" fontId="23" fillId="0" borderId="23" xfId="0" applyNumberFormat="1" applyFont="1" applyFill="1" applyBorder="1" applyAlignment="1">
      <alignment vertical="center" wrapText="1"/>
    </xf>
    <xf numFmtId="0" fontId="21" fillId="0" borderId="0" xfId="0" applyFont="1" applyFill="1" applyAlignment="1">
      <alignment vertical="center" wrapText="1"/>
    </xf>
    <xf numFmtId="0" fontId="23" fillId="0" borderId="17" xfId="0" applyFont="1" applyFill="1" applyBorder="1"/>
    <xf numFmtId="166" fontId="23" fillId="0" borderId="25" xfId="0" applyNumberFormat="1" applyFont="1" applyFill="1" applyBorder="1"/>
    <xf numFmtId="166" fontId="23" fillId="0" borderId="25" xfId="0" applyNumberFormat="1" applyFont="1" applyFill="1" applyBorder="1" applyAlignment="1">
      <alignment vertical="center" wrapText="1"/>
    </xf>
    <xf numFmtId="164" fontId="50" fillId="0" borderId="45" xfId="0" applyNumberFormat="1" applyFont="1" applyFill="1" applyBorder="1" applyAlignment="1"/>
    <xf numFmtId="166" fontId="50" fillId="0" borderId="44" xfId="0" applyNumberFormat="1" applyFont="1" applyFill="1" applyBorder="1"/>
    <xf numFmtId="3" fontId="17" fillId="0" borderId="45" xfId="0" applyNumberFormat="1" applyFont="1" applyFill="1" applyBorder="1"/>
    <xf numFmtId="166" fontId="17" fillId="0" borderId="36" xfId="0" applyNumberFormat="1" applyFont="1" applyFill="1" applyBorder="1"/>
    <xf numFmtId="0" fontId="23" fillId="0" borderId="0" xfId="0" applyFont="1" applyFill="1"/>
    <xf numFmtId="3" fontId="23" fillId="0" borderId="0" xfId="0" applyNumberFormat="1" applyFont="1" applyFill="1"/>
    <xf numFmtId="3" fontId="76" fillId="0" borderId="0" xfId="0" applyNumberFormat="1" applyFont="1" applyFill="1" applyBorder="1" applyAlignment="1">
      <alignment horizontal="right"/>
    </xf>
    <xf numFmtId="3" fontId="76" fillId="0" borderId="0" xfId="0" applyNumberFormat="1" applyFont="1" applyFill="1" applyBorder="1"/>
    <xf numFmtId="166" fontId="35" fillId="0" borderId="0" xfId="0" applyNumberFormat="1" applyFont="1" applyFill="1" applyBorder="1"/>
    <xf numFmtId="3" fontId="75" fillId="0" borderId="0" xfId="0" applyNumberFormat="1" applyFont="1" applyFill="1" applyBorder="1"/>
    <xf numFmtId="3" fontId="34" fillId="0" borderId="24" xfId="0" applyNumberFormat="1" applyFont="1" applyFill="1" applyBorder="1" applyAlignment="1">
      <alignment horizontal="center" vertical="center"/>
    </xf>
    <xf numFmtId="0" fontId="50" fillId="0" borderId="0" xfId="0" applyFont="1" applyFill="1" applyAlignment="1">
      <alignment wrapText="1"/>
    </xf>
    <xf numFmtId="168" fontId="35" fillId="0" borderId="0" xfId="0" applyNumberFormat="1" applyFont="1" applyFill="1"/>
    <xf numFmtId="0" fontId="28" fillId="0" borderId="0" xfId="0" applyFont="1" applyFill="1"/>
    <xf numFmtId="0" fontId="21" fillId="0" borderId="0" xfId="0" applyFont="1" applyFill="1" applyAlignment="1">
      <alignment horizontal="left"/>
    </xf>
    <xf numFmtId="167" fontId="0" fillId="0" borderId="0" xfId="0" applyNumberFormat="1" applyFill="1" applyAlignment="1">
      <alignment horizontal="right"/>
    </xf>
    <xf numFmtId="0" fontId="27" fillId="0" borderId="4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vertical="center"/>
    </xf>
    <xf numFmtId="4" fontId="27" fillId="0" borderId="5" xfId="0" applyNumberFormat="1" applyFont="1" applyFill="1" applyBorder="1" applyAlignment="1">
      <alignment horizontal="center" vertical="center" wrapText="1"/>
    </xf>
    <xf numFmtId="4" fontId="27" fillId="0" borderId="37" xfId="0" applyNumberFormat="1" applyFont="1" applyFill="1" applyBorder="1" applyAlignment="1">
      <alignment horizontal="center" vertical="center" wrapText="1"/>
    </xf>
    <xf numFmtId="3" fontId="0" fillId="0" borderId="24" xfId="0" applyNumberFormat="1" applyFill="1" applyBorder="1" applyAlignment="1">
      <alignment horizontal="center" vertical="center"/>
    </xf>
    <xf numFmtId="1" fontId="34" fillId="0" borderId="5" xfId="0" applyNumberFormat="1" applyFont="1" applyFill="1" applyBorder="1" applyAlignment="1">
      <alignment horizontal="center" vertical="center" wrapText="1"/>
    </xf>
    <xf numFmtId="1" fontId="34" fillId="0" borderId="37" xfId="0" applyNumberFormat="1" applyFont="1" applyFill="1" applyBorder="1" applyAlignment="1">
      <alignment horizontal="center" vertical="center" wrapText="1"/>
    </xf>
    <xf numFmtId="166" fontId="34" fillId="0" borderId="24" xfId="0" applyNumberFormat="1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168" fontId="26" fillId="0" borderId="9" xfId="0" applyNumberFormat="1" applyFont="1" applyFill="1" applyBorder="1" applyAlignment="1">
      <alignment horizontal="left"/>
    </xf>
    <xf numFmtId="0" fontId="13" fillId="0" borderId="46" xfId="0" applyFont="1" applyFill="1" applyBorder="1"/>
    <xf numFmtId="167" fontId="13" fillId="0" borderId="30" xfId="0" applyNumberFormat="1" applyFont="1" applyFill="1" applyBorder="1" applyAlignment="1">
      <alignment horizontal="right"/>
    </xf>
    <xf numFmtId="1" fontId="12" fillId="0" borderId="2" xfId="0" applyNumberFormat="1" applyFont="1" applyFill="1" applyBorder="1" applyAlignment="1">
      <alignment horizontal="left"/>
    </xf>
    <xf numFmtId="168" fontId="26" fillId="0" borderId="2" xfId="0" applyNumberFormat="1" applyFont="1" applyFill="1" applyBorder="1" applyAlignment="1">
      <alignment horizontal="left"/>
    </xf>
    <xf numFmtId="0" fontId="13" fillId="0" borderId="15" xfId="0" applyFont="1" applyFill="1" applyBorder="1"/>
    <xf numFmtId="167" fontId="13" fillId="0" borderId="25" xfId="0" applyNumberFormat="1" applyFont="1" applyFill="1" applyBorder="1" applyAlignment="1">
      <alignment horizontal="right"/>
    </xf>
    <xf numFmtId="49" fontId="9" fillId="0" borderId="2" xfId="0" applyNumberFormat="1" applyFont="1" applyFill="1" applyBorder="1" applyAlignment="1">
      <alignment horizontal="left"/>
    </xf>
    <xf numFmtId="0" fontId="12" fillId="0" borderId="15" xfId="0" applyFont="1" applyFill="1" applyBorder="1"/>
    <xf numFmtId="167" fontId="11" fillId="0" borderId="25" xfId="0" applyNumberFormat="1" applyFont="1" applyFill="1" applyBorder="1" applyAlignment="1">
      <alignment horizontal="right"/>
    </xf>
    <xf numFmtId="0" fontId="66" fillId="0" borderId="0" xfId="0" applyFont="1" applyFill="1"/>
    <xf numFmtId="1" fontId="12" fillId="0" borderId="14" xfId="0" applyNumberFormat="1" applyFont="1" applyFill="1" applyBorder="1" applyAlignment="1">
      <alignment horizontal="left"/>
    </xf>
    <xf numFmtId="167" fontId="13" fillId="0" borderId="35" xfId="0" applyNumberFormat="1" applyFont="1" applyFill="1" applyBorder="1" applyAlignment="1">
      <alignment horizontal="right"/>
    </xf>
    <xf numFmtId="0" fontId="0" fillId="0" borderId="0" xfId="0" applyFill="1" applyAlignment="1">
      <alignment horizontal="right"/>
    </xf>
    <xf numFmtId="0" fontId="11" fillId="0" borderId="0" xfId="0" applyFont="1" applyFill="1"/>
    <xf numFmtId="0" fontId="21" fillId="0" borderId="10" xfId="0" applyFont="1" applyFill="1" applyBorder="1" applyAlignment="1">
      <alignment horizontal="left"/>
    </xf>
    <xf numFmtId="0" fontId="75" fillId="0" borderId="0" xfId="0" applyFont="1" applyFill="1"/>
    <xf numFmtId="0" fontId="35" fillId="0" borderId="0" xfId="0" applyFont="1" applyFill="1" applyAlignment="1">
      <alignment horizontal="left"/>
    </xf>
    <xf numFmtId="0" fontId="35" fillId="0" borderId="0" xfId="0" applyFont="1" applyFill="1" applyAlignment="1">
      <alignment horizontal="center"/>
    </xf>
    <xf numFmtId="0" fontId="76" fillId="0" borderId="0" xfId="0" applyFont="1" applyFill="1"/>
    <xf numFmtId="4" fontId="50" fillId="0" borderId="0" xfId="0" applyNumberFormat="1" applyFont="1" applyFill="1"/>
    <xf numFmtId="0" fontId="34" fillId="0" borderId="4" xfId="0" applyFont="1" applyFill="1" applyBorder="1" applyAlignment="1">
      <alignment horizontal="center" vertical="center"/>
    </xf>
    <xf numFmtId="0" fontId="34" fillId="0" borderId="5" xfId="0" applyFont="1" applyFill="1" applyBorder="1" applyAlignment="1">
      <alignment horizontal="center" vertical="center"/>
    </xf>
    <xf numFmtId="49" fontId="9" fillId="0" borderId="17" xfId="0" applyNumberFormat="1" applyFont="1" applyFill="1" applyBorder="1" applyAlignment="1">
      <alignment horizontal="left"/>
    </xf>
    <xf numFmtId="1" fontId="12" fillId="0" borderId="17" xfId="0" applyNumberFormat="1" applyFont="1" applyFill="1" applyBorder="1" applyAlignment="1">
      <alignment horizontal="left"/>
    </xf>
    <xf numFmtId="3" fontId="21" fillId="0" borderId="5" xfId="0" applyNumberFormat="1" applyFont="1" applyFill="1" applyBorder="1" applyAlignment="1">
      <alignment horizontal="right"/>
    </xf>
    <xf numFmtId="166" fontId="21" fillId="0" borderId="22" xfId="0" applyNumberFormat="1" applyFont="1" applyFill="1" applyBorder="1" applyAlignment="1">
      <alignment horizontal="right"/>
    </xf>
    <xf numFmtId="0" fontId="38" fillId="0" borderId="0" xfId="0" applyFont="1" applyFill="1" applyAlignment="1">
      <alignment horizontal="right"/>
    </xf>
    <xf numFmtId="0" fontId="50" fillId="0" borderId="0" xfId="0" applyFont="1" applyFill="1" applyAlignment="1"/>
    <xf numFmtId="4" fontId="0" fillId="0" borderId="0" xfId="0" applyNumberFormat="1" applyFill="1" applyAlignment="1">
      <alignment horizontal="right"/>
    </xf>
    <xf numFmtId="166" fontId="21" fillId="0" borderId="24" xfId="0" applyNumberFormat="1" applyFont="1" applyFill="1" applyBorder="1" applyAlignment="1">
      <alignment horizontal="center" vertical="center"/>
    </xf>
    <xf numFmtId="3" fontId="21" fillId="0" borderId="5" xfId="0" applyNumberFormat="1" applyFont="1" applyFill="1" applyBorder="1"/>
    <xf numFmtId="166" fontId="21" fillId="0" borderId="42" xfId="0" applyNumberFormat="1" applyFont="1" applyFill="1" applyBorder="1" applyAlignment="1">
      <alignment horizontal="center" vertical="center"/>
    </xf>
    <xf numFmtId="4" fontId="21" fillId="0" borderId="0" xfId="0" applyNumberFormat="1" applyFont="1" applyFill="1"/>
    <xf numFmtId="1" fontId="78" fillId="0" borderId="0" xfId="0" applyNumberFormat="1" applyFont="1" applyFill="1" applyBorder="1" applyAlignment="1">
      <alignment horizontal="left"/>
    </xf>
    <xf numFmtId="1" fontId="78" fillId="0" borderId="0" xfId="0" applyNumberFormat="1" applyFont="1" applyFill="1" applyBorder="1" applyAlignment="1">
      <alignment horizontal="center"/>
    </xf>
    <xf numFmtId="168" fontId="78" fillId="0" borderId="0" xfId="0" applyNumberFormat="1" applyFont="1" applyFill="1" applyBorder="1" applyAlignment="1">
      <alignment horizontal="center"/>
    </xf>
    <xf numFmtId="0" fontId="78" fillId="0" borderId="0" xfId="0" applyFont="1" applyFill="1" applyBorder="1"/>
    <xf numFmtId="3" fontId="50" fillId="0" borderId="0" xfId="0" applyNumberFormat="1" applyFont="1" applyFill="1"/>
    <xf numFmtId="167" fontId="13" fillId="0" borderId="0" xfId="0" applyNumberFormat="1" applyFont="1" applyFill="1" applyBorder="1" applyAlignment="1">
      <alignment horizontal="right"/>
    </xf>
    <xf numFmtId="1" fontId="53" fillId="0" borderId="0" xfId="0" applyNumberFormat="1" applyFont="1" applyFill="1" applyAlignment="1">
      <alignment horizontal="center"/>
    </xf>
    <xf numFmtId="168" fontId="53" fillId="0" borderId="0" xfId="0" applyNumberFormat="1" applyFont="1" applyFill="1" applyAlignment="1">
      <alignment horizontal="center"/>
    </xf>
    <xf numFmtId="0" fontId="53" fillId="0" borderId="0" xfId="0" applyFont="1" applyFill="1"/>
    <xf numFmtId="3" fontId="52" fillId="0" borderId="0" xfId="0" applyNumberFormat="1" applyFont="1" applyFill="1"/>
    <xf numFmtId="167" fontId="11" fillId="0" borderId="0" xfId="0" applyNumberFormat="1" applyFont="1" applyFill="1" applyBorder="1" applyAlignment="1">
      <alignment horizontal="right"/>
    </xf>
    <xf numFmtId="1" fontId="53" fillId="0" borderId="0" xfId="0" applyNumberFormat="1" applyFont="1" applyFill="1" applyAlignment="1">
      <alignment horizontal="left"/>
    </xf>
    <xf numFmtId="0" fontId="53" fillId="0" borderId="0" xfId="0" applyFont="1" applyFill="1" applyAlignment="1">
      <alignment horizontal="left"/>
    </xf>
    <xf numFmtId="3" fontId="52" fillId="0" borderId="0" xfId="0" applyNumberFormat="1" applyFont="1" applyFill="1" applyAlignment="1">
      <alignment horizontal="right"/>
    </xf>
    <xf numFmtId="3" fontId="30" fillId="0" borderId="10" xfId="0" applyNumberFormat="1" applyFont="1" applyFill="1" applyBorder="1"/>
    <xf numFmtId="167" fontId="30" fillId="0" borderId="10" xfId="0" applyNumberFormat="1" applyFont="1" applyFill="1" applyBorder="1" applyAlignment="1">
      <alignment horizontal="right" shrinkToFit="1"/>
    </xf>
    <xf numFmtId="0" fontId="21" fillId="0" borderId="39" xfId="0" applyFont="1" applyFill="1" applyBorder="1" applyAlignment="1">
      <alignment horizontal="left"/>
    </xf>
    <xf numFmtId="0" fontId="21" fillId="0" borderId="40" xfId="0" applyFont="1" applyFill="1" applyBorder="1" applyAlignment="1">
      <alignment horizontal="left"/>
    </xf>
    <xf numFmtId="3" fontId="21" fillId="0" borderId="45" xfId="0" applyNumberFormat="1" applyFont="1" applyFill="1" applyBorder="1" applyAlignment="1">
      <alignment horizontal="right"/>
    </xf>
    <xf numFmtId="3" fontId="21" fillId="0" borderId="15" xfId="0" applyNumberFormat="1" applyFont="1" applyFill="1" applyBorder="1" applyAlignment="1">
      <alignment vertical="center"/>
    </xf>
    <xf numFmtId="3" fontId="21" fillId="0" borderId="37" xfId="0" applyNumberFormat="1" applyFont="1" applyFill="1" applyBorder="1"/>
    <xf numFmtId="0" fontId="79" fillId="0" borderId="0" xfId="0" applyFont="1" applyFill="1"/>
    <xf numFmtId="0" fontId="3" fillId="0" borderId="0" xfId="0" applyFont="1" applyFill="1" applyAlignment="1">
      <alignment horizontal="right"/>
    </xf>
    <xf numFmtId="0" fontId="0" fillId="0" borderId="2" xfId="0" applyFill="1" applyBorder="1" applyAlignment="1">
      <alignment horizontal="right" vertical="center"/>
    </xf>
    <xf numFmtId="3" fontId="21" fillId="0" borderId="15" xfId="0" applyNumberFormat="1" applyFont="1" applyFill="1" applyBorder="1" applyAlignment="1">
      <alignment horizontal="right" vertical="center"/>
    </xf>
    <xf numFmtId="166" fontId="21" fillId="0" borderId="44" xfId="0" applyNumberFormat="1" applyFont="1" applyFill="1" applyBorder="1" applyAlignment="1">
      <alignment horizontal="right" vertical="center"/>
    </xf>
    <xf numFmtId="167" fontId="5" fillId="0" borderId="0" xfId="0" applyNumberFormat="1" applyFont="1" applyFill="1" applyBorder="1" applyAlignment="1">
      <alignment horizontal="right"/>
    </xf>
    <xf numFmtId="0" fontId="22" fillId="0" borderId="0" xfId="0" applyFont="1" applyFill="1" applyAlignment="1">
      <alignment horizontal="right"/>
    </xf>
    <xf numFmtId="167" fontId="67" fillId="0" borderId="10" xfId="0" applyNumberFormat="1" applyFont="1" applyFill="1" applyBorder="1" applyAlignment="1">
      <alignment horizontal="right" shrinkToFit="1"/>
    </xf>
    <xf numFmtId="0" fontId="64" fillId="0" borderId="0" xfId="0" applyFont="1" applyFill="1"/>
    <xf numFmtId="167" fontId="16" fillId="0" borderId="10" xfId="0" applyNumberFormat="1" applyFont="1" applyFill="1" applyBorder="1" applyAlignment="1">
      <alignment horizontal="right" shrinkToFit="1"/>
    </xf>
    <xf numFmtId="166" fontId="0" fillId="0" borderId="0" xfId="0" applyNumberFormat="1" applyFill="1" applyAlignment="1">
      <alignment horizontal="center"/>
    </xf>
    <xf numFmtId="166" fontId="38" fillId="0" borderId="0" xfId="0" applyNumberFormat="1" applyFont="1" applyFill="1" applyAlignment="1">
      <alignment horizontal="right"/>
    </xf>
    <xf numFmtId="166" fontId="38" fillId="0" borderId="0" xfId="0" applyNumberFormat="1" applyFont="1" applyFill="1" applyAlignment="1">
      <alignment horizontal="center"/>
    </xf>
    <xf numFmtId="166" fontId="22" fillId="0" borderId="0" xfId="0" applyNumberFormat="1" applyFont="1" applyFill="1" applyAlignment="1">
      <alignment horizontal="center"/>
    </xf>
    <xf numFmtId="166" fontId="0" fillId="0" borderId="24" xfId="0" applyNumberForma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3" fontId="21" fillId="0" borderId="0" xfId="0" applyNumberFormat="1" applyFont="1" applyFill="1" applyAlignment="1">
      <alignment horizontal="right"/>
    </xf>
    <xf numFmtId="3" fontId="3" fillId="0" borderId="0" xfId="0" applyNumberFormat="1" applyFont="1" applyFill="1" applyAlignment="1">
      <alignment horizontal="right"/>
    </xf>
    <xf numFmtId="3" fontId="27" fillId="0" borderId="5" xfId="0" applyNumberFormat="1" applyFont="1" applyFill="1" applyBorder="1" applyAlignment="1">
      <alignment horizontal="center" vertical="center" wrapText="1"/>
    </xf>
    <xf numFmtId="3" fontId="27" fillId="0" borderId="37" xfId="0" applyNumberFormat="1" applyFont="1" applyFill="1" applyBorder="1" applyAlignment="1">
      <alignment horizontal="center" vertical="center" wrapText="1"/>
    </xf>
    <xf numFmtId="3" fontId="34" fillId="0" borderId="37" xfId="0" applyNumberFormat="1" applyFont="1" applyFill="1" applyBorder="1" applyAlignment="1">
      <alignment horizontal="center" vertical="center" wrapText="1"/>
    </xf>
    <xf numFmtId="0" fontId="38" fillId="0" borderId="19" xfId="0" applyFont="1" applyFill="1" applyBorder="1" applyAlignment="1"/>
    <xf numFmtId="0" fontId="0" fillId="0" borderId="19" xfId="0" applyFill="1" applyBorder="1" applyAlignment="1"/>
    <xf numFmtId="3" fontId="21" fillId="0" borderId="37" xfId="0" applyNumberFormat="1" applyFont="1" applyFill="1" applyBorder="1" applyAlignment="1">
      <alignment horizontal="right"/>
    </xf>
    <xf numFmtId="0" fontId="21" fillId="0" borderId="9" xfId="0" applyFont="1" applyFill="1" applyBorder="1"/>
    <xf numFmtId="167" fontId="17" fillId="0" borderId="0" xfId="0" applyNumberFormat="1" applyFont="1" applyFill="1" applyBorder="1" applyAlignment="1">
      <alignment horizontal="right"/>
    </xf>
    <xf numFmtId="166" fontId="21" fillId="0" borderId="24" xfId="0" applyNumberFormat="1" applyFont="1" applyFill="1" applyBorder="1" applyAlignment="1">
      <alignment horizontal="right" vertical="center"/>
    </xf>
    <xf numFmtId="3" fontId="18" fillId="0" borderId="0" xfId="0" applyNumberFormat="1" applyFont="1" applyFill="1" applyAlignment="1">
      <alignment horizontal="right"/>
    </xf>
    <xf numFmtId="167" fontId="0" fillId="0" borderId="0" xfId="0" applyNumberFormat="1" applyFill="1"/>
    <xf numFmtId="1" fontId="4" fillId="0" borderId="0" xfId="0" applyNumberFormat="1" applyFont="1" applyFill="1" applyAlignment="1">
      <alignment horizontal="center"/>
    </xf>
    <xf numFmtId="1" fontId="9" fillId="0" borderId="0" xfId="0" applyNumberFormat="1" applyFont="1" applyFill="1" applyAlignment="1">
      <alignment horizontal="left"/>
    </xf>
    <xf numFmtId="0" fontId="6" fillId="0" borderId="4" xfId="0" applyFont="1" applyFill="1" applyBorder="1" applyAlignment="1">
      <alignment horizontal="center" vertical="center"/>
    </xf>
    <xf numFmtId="1" fontId="6" fillId="0" borderId="5" xfId="0" applyNumberFormat="1" applyFont="1" applyFill="1" applyBorder="1" applyAlignment="1">
      <alignment horizontal="center" vertical="center"/>
    </xf>
    <xf numFmtId="3" fontId="9" fillId="0" borderId="5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167" fontId="6" fillId="0" borderId="24" xfId="0" applyNumberFormat="1" applyFont="1" applyFill="1" applyBorder="1" applyAlignment="1">
      <alignment horizontal="center" vertical="center"/>
    </xf>
    <xf numFmtId="1" fontId="34" fillId="0" borderId="24" xfId="0" applyNumberFormat="1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left"/>
    </xf>
    <xf numFmtId="0" fontId="5" fillId="0" borderId="7" xfId="0" applyFont="1" applyFill="1" applyBorder="1"/>
    <xf numFmtId="3" fontId="20" fillId="0" borderId="8" xfId="0" applyNumberFormat="1" applyFont="1" applyFill="1" applyBorder="1" applyAlignment="1">
      <alignment horizontal="center"/>
    </xf>
    <xf numFmtId="0" fontId="5" fillId="0" borderId="8" xfId="0" applyFont="1" applyFill="1" applyBorder="1"/>
    <xf numFmtId="3" fontId="7" fillId="0" borderId="5" xfId="0" applyNumberFormat="1" applyFont="1" applyFill="1" applyBorder="1"/>
    <xf numFmtId="167" fontId="7" fillId="0" borderId="22" xfId="0" applyNumberFormat="1" applyFont="1" applyFill="1" applyBorder="1"/>
    <xf numFmtId="1" fontId="4" fillId="0" borderId="0" xfId="0" applyNumberFormat="1" applyFont="1" applyFill="1" applyAlignment="1">
      <alignment horizontal="left"/>
    </xf>
    <xf numFmtId="0" fontId="4" fillId="0" borderId="0" xfId="0" applyFont="1" applyFill="1"/>
    <xf numFmtId="0" fontId="4" fillId="0" borderId="0" xfId="0" applyFont="1" applyFill="1" applyAlignment="1">
      <alignment horizontal="right"/>
    </xf>
    <xf numFmtId="0" fontId="8" fillId="0" borderId="0" xfId="0" applyFont="1" applyFill="1"/>
    <xf numFmtId="167" fontId="8" fillId="0" borderId="0" xfId="0" applyNumberFormat="1" applyFont="1" applyFill="1"/>
    <xf numFmtId="0" fontId="30" fillId="0" borderId="10" xfId="0" applyFont="1" applyFill="1" applyBorder="1" applyAlignment="1">
      <alignment horizontal="left"/>
    </xf>
    <xf numFmtId="1" fontId="31" fillId="0" borderId="10" xfId="0" applyNumberFormat="1" applyFont="1" applyFill="1" applyBorder="1" applyAlignment="1">
      <alignment horizontal="center"/>
    </xf>
    <xf numFmtId="1" fontId="31" fillId="0" borderId="10" xfId="0" applyNumberFormat="1" applyFont="1" applyFill="1" applyBorder="1" applyAlignment="1">
      <alignment horizontal="left"/>
    </xf>
    <xf numFmtId="0" fontId="31" fillId="0" borderId="10" xfId="0" applyFont="1" applyFill="1" applyBorder="1"/>
    <xf numFmtId="167" fontId="30" fillId="0" borderId="10" xfId="0" applyNumberFormat="1" applyFont="1" applyFill="1" applyBorder="1" applyAlignment="1"/>
    <xf numFmtId="0" fontId="43" fillId="0" borderId="0" xfId="0" applyFont="1" applyFill="1"/>
    <xf numFmtId="1" fontId="4" fillId="0" borderId="27" xfId="0" applyNumberFormat="1" applyFont="1" applyFill="1" applyBorder="1" applyAlignment="1">
      <alignment horizontal="left"/>
    </xf>
    <xf numFmtId="0" fontId="8" fillId="0" borderId="27" xfId="0" applyFont="1" applyFill="1" applyBorder="1"/>
    <xf numFmtId="167" fontId="7" fillId="0" borderId="22" xfId="0" applyNumberFormat="1" applyFont="1" applyFill="1" applyBorder="1" applyAlignment="1">
      <alignment shrinkToFit="1"/>
    </xf>
    <xf numFmtId="167" fontId="8" fillId="0" borderId="0" xfId="0" applyNumberFormat="1" applyFont="1" applyFill="1" applyAlignment="1">
      <alignment shrinkToFit="1"/>
    </xf>
    <xf numFmtId="167" fontId="0" fillId="0" borderId="0" xfId="0" applyNumberFormat="1" applyFill="1" applyAlignment="1">
      <alignment shrinkToFit="1"/>
    </xf>
    <xf numFmtId="3" fontId="33" fillId="0" borderId="10" xfId="0" applyNumberFormat="1" applyFont="1" applyFill="1" applyBorder="1"/>
    <xf numFmtId="167" fontId="33" fillId="0" borderId="10" xfId="0" applyNumberFormat="1" applyFont="1" applyFill="1" applyBorder="1" applyAlignment="1">
      <alignment shrinkToFit="1"/>
    </xf>
    <xf numFmtId="167" fontId="38" fillId="0" borderId="0" xfId="0" applyNumberFormat="1" applyFont="1" applyFill="1"/>
    <xf numFmtId="0" fontId="38" fillId="0" borderId="0" xfId="0" applyFont="1" applyFill="1"/>
    <xf numFmtId="168" fontId="27" fillId="0" borderId="0" xfId="0" applyNumberFormat="1" applyFont="1" applyFill="1" applyAlignment="1">
      <alignment horizontal="center"/>
    </xf>
    <xf numFmtId="167" fontId="28" fillId="0" borderId="0" xfId="0" applyNumberFormat="1" applyFont="1" applyFill="1"/>
    <xf numFmtId="0" fontId="59" fillId="0" borderId="0" xfId="0" applyFont="1" applyFill="1"/>
    <xf numFmtId="168" fontId="35" fillId="0" borderId="0" xfId="0" applyNumberFormat="1" applyFont="1" applyFill="1" applyAlignment="1">
      <alignment horizontal="left"/>
    </xf>
    <xf numFmtId="3" fontId="59" fillId="0" borderId="0" xfId="0" applyNumberFormat="1" applyFont="1" applyFill="1"/>
    <xf numFmtId="167" fontId="59" fillId="0" borderId="0" xfId="0" applyNumberFormat="1" applyFont="1" applyFill="1"/>
    <xf numFmtId="1" fontId="37" fillId="0" borderId="0" xfId="0" applyNumberFormat="1" applyFont="1" applyFill="1" applyAlignment="1">
      <alignment horizontal="left"/>
    </xf>
    <xf numFmtId="168" fontId="6" fillId="0" borderId="5" xfId="0" applyNumberFormat="1" applyFont="1" applyFill="1" applyBorder="1" applyAlignment="1">
      <alignment horizontal="center" vertical="center"/>
    </xf>
    <xf numFmtId="0" fontId="14" fillId="0" borderId="0" xfId="0" applyFont="1" applyFill="1"/>
    <xf numFmtId="0" fontId="8" fillId="0" borderId="17" xfId="0" applyFont="1" applyFill="1" applyBorder="1"/>
    <xf numFmtId="1" fontId="4" fillId="0" borderId="2" xfId="0" applyNumberFormat="1" applyFont="1" applyFill="1" applyBorder="1" applyAlignment="1">
      <alignment horizontal="left"/>
    </xf>
    <xf numFmtId="1" fontId="4" fillId="0" borderId="14" xfId="0" applyNumberFormat="1" applyFont="1" applyFill="1" applyBorder="1" applyAlignment="1">
      <alignment horizontal="left"/>
    </xf>
    <xf numFmtId="168" fontId="20" fillId="0" borderId="8" xfId="0" applyNumberFormat="1" applyFont="1" applyFill="1" applyBorder="1" applyAlignment="1">
      <alignment horizontal="center"/>
    </xf>
    <xf numFmtId="168" fontId="9" fillId="0" borderId="0" xfId="0" applyNumberFormat="1" applyFont="1" applyFill="1" applyAlignment="1">
      <alignment horizontal="center"/>
    </xf>
    <xf numFmtId="0" fontId="4" fillId="0" borderId="0" xfId="0" applyFont="1" applyFill="1" applyBorder="1"/>
    <xf numFmtId="3" fontId="8" fillId="0" borderId="0" xfId="0" applyNumberFormat="1" applyFont="1" applyFill="1"/>
    <xf numFmtId="3" fontId="14" fillId="0" borderId="0" xfId="0" applyNumberFormat="1" applyFont="1" applyFill="1"/>
    <xf numFmtId="3" fontId="24" fillId="0" borderId="0" xfId="0" applyNumberFormat="1" applyFont="1" applyFill="1"/>
    <xf numFmtId="166" fontId="8" fillId="0" borderId="0" xfId="0" applyNumberFormat="1" applyFont="1" applyFill="1"/>
    <xf numFmtId="0" fontId="6" fillId="0" borderId="38" xfId="0" applyFont="1" applyFill="1" applyBorder="1" applyAlignment="1">
      <alignment horizontal="center" vertical="center"/>
    </xf>
    <xf numFmtId="1" fontId="6" fillId="0" borderId="9" xfId="0" applyNumberFormat="1" applyFont="1" applyFill="1" applyBorder="1" applyAlignment="1">
      <alignment horizontal="center" vertical="center"/>
    </xf>
    <xf numFmtId="168" fontId="6" fillId="0" borderId="9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3" fontId="6" fillId="0" borderId="9" xfId="0" applyNumberFormat="1" applyFont="1" applyFill="1" applyBorder="1" applyAlignment="1">
      <alignment horizontal="center" vertical="center"/>
    </xf>
    <xf numFmtId="166" fontId="6" fillId="0" borderId="23" xfId="0" applyNumberFormat="1" applyFont="1" applyFill="1" applyBorder="1" applyAlignment="1">
      <alignment horizontal="center" vertical="center"/>
    </xf>
    <xf numFmtId="0" fontId="25" fillId="0" borderId="33" xfId="0" applyFont="1" applyFill="1" applyBorder="1" applyAlignment="1">
      <alignment horizontal="left"/>
    </xf>
    <xf numFmtId="0" fontId="5" fillId="0" borderId="34" xfId="0" applyFont="1" applyFill="1" applyBorder="1"/>
    <xf numFmtId="168" fontId="20" fillId="0" borderId="34" xfId="0" applyNumberFormat="1" applyFont="1" applyFill="1" applyBorder="1" applyAlignment="1">
      <alignment horizontal="center"/>
    </xf>
    <xf numFmtId="3" fontId="7" fillId="0" borderId="14" xfId="0" applyNumberFormat="1" applyFont="1" applyFill="1" applyBorder="1"/>
    <xf numFmtId="166" fontId="51" fillId="0" borderId="35" xfId="0" applyNumberFormat="1" applyFont="1" applyFill="1" applyBorder="1"/>
    <xf numFmtId="3" fontId="5" fillId="0" borderId="0" xfId="0" applyNumberFormat="1" applyFont="1" applyFill="1"/>
    <xf numFmtId="1" fontId="28" fillId="0" borderId="0" xfId="0" applyNumberFormat="1" applyFont="1" applyFill="1" applyAlignment="1">
      <alignment horizontal="center"/>
    </xf>
    <xf numFmtId="1" fontId="50" fillId="0" borderId="0" xfId="0" applyNumberFormat="1" applyFont="1" applyFill="1" applyAlignment="1">
      <alignment horizontal="left"/>
    </xf>
    <xf numFmtId="1" fontId="34" fillId="0" borderId="34" xfId="0" applyNumberFormat="1" applyFont="1" applyFill="1" applyBorder="1" applyAlignment="1">
      <alignment horizontal="center"/>
    </xf>
    <xf numFmtId="1" fontId="34" fillId="0" borderId="50" xfId="0" applyNumberFormat="1" applyFont="1" applyFill="1" applyBorder="1" applyAlignment="1">
      <alignment horizontal="center"/>
    </xf>
    <xf numFmtId="1" fontId="34" fillId="0" borderId="5" xfId="0" applyNumberFormat="1" applyFont="1" applyFill="1" applyBorder="1" applyAlignment="1">
      <alignment horizontal="center"/>
    </xf>
    <xf numFmtId="168" fontId="34" fillId="0" borderId="5" xfId="0" applyNumberFormat="1" applyFont="1" applyFill="1" applyBorder="1" applyAlignment="1">
      <alignment horizontal="center"/>
    </xf>
    <xf numFmtId="0" fontId="34" fillId="0" borderId="5" xfId="0" applyFont="1" applyFill="1" applyBorder="1"/>
    <xf numFmtId="3" fontId="34" fillId="0" borderId="5" xfId="0" applyNumberFormat="1" applyFont="1" applyFill="1" applyBorder="1" applyAlignment="1">
      <alignment horizontal="center"/>
    </xf>
    <xf numFmtId="167" fontId="34" fillId="0" borderId="24" xfId="0" applyNumberFormat="1" applyFont="1" applyFill="1" applyBorder="1" applyAlignment="1">
      <alignment horizontal="center"/>
    </xf>
    <xf numFmtId="0" fontId="34" fillId="0" borderId="0" xfId="0" applyFont="1" applyFill="1"/>
    <xf numFmtId="168" fontId="27" fillId="0" borderId="9" xfId="0" applyNumberFormat="1" applyFont="1" applyFill="1" applyBorder="1" applyAlignment="1">
      <alignment horizontal="center"/>
    </xf>
    <xf numFmtId="167" fontId="21" fillId="0" borderId="23" xfId="0" applyNumberFormat="1" applyFont="1" applyFill="1" applyBorder="1"/>
    <xf numFmtId="167" fontId="14" fillId="0" borderId="25" xfId="0" applyNumberFormat="1" applyFont="1" applyFill="1" applyBorder="1" applyAlignment="1">
      <alignment horizontal="right"/>
    </xf>
    <xf numFmtId="49" fontId="9" fillId="0" borderId="0" xfId="0" applyNumberFormat="1" applyFont="1" applyFill="1" applyAlignment="1">
      <alignment horizontal="left"/>
    </xf>
    <xf numFmtId="1" fontId="40" fillId="0" borderId="4" xfId="0" applyNumberFormat="1" applyFont="1" applyFill="1" applyBorder="1" applyAlignment="1">
      <alignment horizontal="left"/>
    </xf>
    <xf numFmtId="1" fontId="40" fillId="0" borderId="5" xfId="0" applyNumberFormat="1" applyFont="1" applyFill="1" applyBorder="1" applyAlignment="1">
      <alignment horizontal="center"/>
    </xf>
    <xf numFmtId="168" fontId="40" fillId="0" borderId="5" xfId="0" applyNumberFormat="1" applyFont="1" applyFill="1" applyBorder="1" applyAlignment="1">
      <alignment horizontal="center"/>
    </xf>
    <xf numFmtId="0" fontId="40" fillId="0" borderId="5" xfId="0" applyFont="1" applyFill="1" applyBorder="1"/>
    <xf numFmtId="3" fontId="40" fillId="0" borderId="5" xfId="0" applyNumberFormat="1" applyFont="1" applyFill="1" applyBorder="1"/>
    <xf numFmtId="167" fontId="17" fillId="0" borderId="24" xfId="0" applyNumberFormat="1" applyFont="1" applyFill="1" applyBorder="1" applyAlignment="1">
      <alignment horizontal="right"/>
    </xf>
    <xf numFmtId="3" fontId="21" fillId="0" borderId="9" xfId="0" applyNumberFormat="1" applyFont="1" applyFill="1" applyBorder="1" applyAlignment="1"/>
    <xf numFmtId="49" fontId="26" fillId="0" borderId="2" xfId="0" applyNumberFormat="1" applyFont="1" applyFill="1" applyBorder="1" applyAlignment="1">
      <alignment horizontal="left"/>
    </xf>
    <xf numFmtId="3" fontId="11" fillId="0" borderId="2" xfId="5" applyFont="1" applyFill="1" applyBorder="1" applyAlignment="1">
      <alignment horizontal="right"/>
    </xf>
    <xf numFmtId="3" fontId="14" fillId="0" borderId="2" xfId="5" applyFont="1" applyFill="1" applyBorder="1" applyAlignment="1">
      <alignment horizontal="right"/>
    </xf>
    <xf numFmtId="49" fontId="9" fillId="0" borderId="14" xfId="0" applyNumberFormat="1" applyFont="1" applyFill="1" applyBorder="1" applyAlignment="1">
      <alignment horizontal="left"/>
    </xf>
    <xf numFmtId="1" fontId="12" fillId="0" borderId="0" xfId="0" applyNumberFormat="1" applyFont="1" applyFill="1" applyAlignment="1">
      <alignment horizontal="left"/>
    </xf>
    <xf numFmtId="3" fontId="40" fillId="0" borderId="5" xfId="0" applyNumberFormat="1" applyFont="1" applyFill="1" applyBorder="1" applyAlignment="1"/>
    <xf numFmtId="167" fontId="13" fillId="0" borderId="24" xfId="0" applyNumberFormat="1" applyFont="1" applyFill="1" applyBorder="1" applyAlignment="1">
      <alignment horizontal="right"/>
    </xf>
    <xf numFmtId="1" fontId="40" fillId="0" borderId="19" xfId="0" applyNumberFormat="1" applyFont="1" applyFill="1" applyBorder="1" applyAlignment="1">
      <alignment horizontal="left"/>
    </xf>
    <xf numFmtId="3" fontId="40" fillId="0" borderId="0" xfId="0" applyNumberFormat="1" applyFont="1" applyFill="1" applyBorder="1"/>
    <xf numFmtId="1" fontId="40" fillId="0" borderId="34" xfId="0" applyNumberFormat="1" applyFont="1" applyFill="1" applyBorder="1" applyAlignment="1">
      <alignment horizontal="left"/>
    </xf>
    <xf numFmtId="1" fontId="40" fillId="0" borderId="10" xfId="0" applyNumberFormat="1" applyFont="1" applyFill="1" applyBorder="1" applyAlignment="1">
      <alignment horizontal="center"/>
    </xf>
    <xf numFmtId="168" fontId="40" fillId="0" borderId="10" xfId="0" applyNumberFormat="1" applyFont="1" applyFill="1" applyBorder="1" applyAlignment="1">
      <alignment horizontal="center"/>
    </xf>
    <xf numFmtId="0" fontId="40" fillId="0" borderId="10" xfId="0" applyFont="1" applyFill="1" applyBorder="1"/>
    <xf numFmtId="3" fontId="40" fillId="0" borderId="10" xfId="0" applyNumberFormat="1" applyFont="1" applyFill="1" applyBorder="1"/>
    <xf numFmtId="167" fontId="50" fillId="0" borderId="0" xfId="0" applyNumberFormat="1" applyFont="1" applyFill="1"/>
    <xf numFmtId="1" fontId="36" fillId="0" borderId="34" xfId="0" applyNumberFormat="1" applyFont="1" applyFill="1" applyBorder="1" applyAlignment="1">
      <alignment horizontal="left"/>
    </xf>
    <xf numFmtId="3" fontId="23" fillId="0" borderId="2" xfId="0" applyNumberFormat="1" applyFont="1" applyFill="1" applyBorder="1" applyAlignment="1"/>
    <xf numFmtId="1" fontId="40" fillId="0" borderId="51" xfId="0" applyNumberFormat="1" applyFont="1" applyFill="1" applyBorder="1" applyAlignment="1">
      <alignment horizontal="left"/>
    </xf>
    <xf numFmtId="168" fontId="27" fillId="0" borderId="51" xfId="0" applyNumberFormat="1" applyFont="1" applyFill="1" applyBorder="1" applyAlignment="1">
      <alignment horizontal="center"/>
    </xf>
    <xf numFmtId="3" fontId="40" fillId="0" borderId="34" xfId="0" applyNumberFormat="1" applyFont="1" applyFill="1" applyBorder="1"/>
    <xf numFmtId="1" fontId="50" fillId="0" borderId="0" xfId="0" applyNumberFormat="1" applyFont="1" applyFill="1" applyAlignment="1">
      <alignment horizontal="center"/>
    </xf>
    <xf numFmtId="168" fontId="50" fillId="0" borderId="0" xfId="0" applyNumberFormat="1" applyFont="1" applyFill="1" applyAlignment="1">
      <alignment horizontal="center"/>
    </xf>
    <xf numFmtId="3" fontId="11" fillId="0" borderId="2" xfId="6" applyFont="1" applyFill="1" applyBorder="1" applyAlignment="1">
      <alignment wrapText="1"/>
    </xf>
    <xf numFmtId="3" fontId="11" fillId="0" borderId="0" xfId="6" applyFont="1" applyFill="1" applyAlignment="1">
      <alignment horizontal="right"/>
    </xf>
    <xf numFmtId="167" fontId="14" fillId="0" borderId="25" xfId="0" applyNumberFormat="1" applyFont="1" applyFill="1" applyBorder="1" applyAlignment="1">
      <alignment horizontal="right" vertical="center" wrapText="1"/>
    </xf>
    <xf numFmtId="3" fontId="63" fillId="0" borderId="0" xfId="0" applyNumberFormat="1" applyFont="1" applyFill="1" applyBorder="1"/>
    <xf numFmtId="0" fontId="48" fillId="0" borderId="0" xfId="0" applyFont="1" applyFill="1"/>
    <xf numFmtId="1" fontId="81" fillId="0" borderId="0" xfId="0" applyNumberFormat="1" applyFont="1" applyFill="1" applyAlignment="1">
      <alignment horizontal="center"/>
    </xf>
    <xf numFmtId="0" fontId="52" fillId="0" borderId="0" xfId="0" applyNumberFormat="1" applyFont="1" applyFill="1" applyAlignment="1">
      <alignment horizontal="left"/>
    </xf>
    <xf numFmtId="0" fontId="30" fillId="0" borderId="34" xfId="0" applyFont="1" applyFill="1" applyBorder="1" applyAlignment="1">
      <alignment horizontal="left"/>
    </xf>
    <xf numFmtId="167" fontId="30" fillId="0" borderId="10" xfId="0" applyNumberFormat="1" applyFont="1" applyFill="1" applyBorder="1" applyAlignment="1">
      <alignment shrinkToFit="1"/>
    </xf>
    <xf numFmtId="1" fontId="4" fillId="0" borderId="0" xfId="0" applyNumberFormat="1" applyFont="1" applyFill="1" applyBorder="1" applyAlignment="1">
      <alignment horizontal="left"/>
    </xf>
    <xf numFmtId="1" fontId="4" fillId="0" borderId="6" xfId="0" applyNumberFormat="1" applyFont="1" applyFill="1" applyBorder="1" applyAlignment="1">
      <alignment horizontal="left"/>
    </xf>
    <xf numFmtId="49" fontId="9" fillId="0" borderId="2" xfId="0" applyNumberFormat="1" applyFont="1" applyFill="1" applyBorder="1" applyAlignment="1">
      <alignment horizontal="left" vertical="top"/>
    </xf>
    <xf numFmtId="1" fontId="4" fillId="0" borderId="34" xfId="0" applyNumberFormat="1" applyFont="1" applyFill="1" applyBorder="1" applyAlignment="1">
      <alignment horizontal="left"/>
    </xf>
    <xf numFmtId="1" fontId="4" fillId="0" borderId="17" xfId="0" applyNumberFormat="1" applyFont="1" applyFill="1" applyBorder="1" applyAlignment="1">
      <alignment horizontal="left"/>
    </xf>
    <xf numFmtId="0" fontId="5" fillId="0" borderId="5" xfId="0" applyFont="1" applyFill="1" applyBorder="1"/>
    <xf numFmtId="3" fontId="7" fillId="0" borderId="8" xfId="0" applyNumberFormat="1" applyFont="1" applyFill="1" applyBorder="1"/>
    <xf numFmtId="167" fontId="51" fillId="0" borderId="24" xfId="0" applyNumberFormat="1" applyFont="1" applyFill="1" applyBorder="1"/>
    <xf numFmtId="1" fontId="36" fillId="0" borderId="0" xfId="0" applyNumberFormat="1" applyFont="1" applyFill="1" applyAlignment="1">
      <alignment horizontal="left"/>
    </xf>
    <xf numFmtId="1" fontId="34" fillId="0" borderId="4" xfId="0" applyNumberFormat="1" applyFont="1" applyFill="1" applyBorder="1" applyAlignment="1">
      <alignment horizontal="center"/>
    </xf>
    <xf numFmtId="167" fontId="21" fillId="0" borderId="30" xfId="0" applyNumberFormat="1" applyFont="1" applyFill="1" applyBorder="1"/>
    <xf numFmtId="3" fontId="12" fillId="0" borderId="17" xfId="5" applyFont="1" applyFill="1" applyBorder="1" applyAlignment="1">
      <alignment horizontal="left" vertical="center" wrapText="1"/>
    </xf>
    <xf numFmtId="1" fontId="40" fillId="0" borderId="10" xfId="0" applyNumberFormat="1" applyFont="1" applyFill="1" applyBorder="1" applyAlignment="1">
      <alignment horizontal="left"/>
    </xf>
    <xf numFmtId="167" fontId="21" fillId="0" borderId="10" xfId="0" applyNumberFormat="1" applyFont="1" applyFill="1" applyBorder="1"/>
    <xf numFmtId="168" fontId="27" fillId="0" borderId="46" xfId="0" applyNumberFormat="1" applyFont="1" applyFill="1" applyBorder="1" applyAlignment="1">
      <alignment horizontal="center"/>
    </xf>
    <xf numFmtId="3" fontId="21" fillId="0" borderId="18" xfId="0" applyNumberFormat="1" applyFont="1" applyFill="1" applyBorder="1"/>
    <xf numFmtId="3" fontId="12" fillId="0" borderId="0" xfId="5" applyFont="1" applyFill="1" applyAlignment="1"/>
    <xf numFmtId="167" fontId="40" fillId="0" borderId="10" xfId="0" applyNumberFormat="1" applyFont="1" applyFill="1" applyBorder="1"/>
    <xf numFmtId="167" fontId="21" fillId="0" borderId="0" xfId="0" applyNumberFormat="1" applyFont="1" applyFill="1" applyBorder="1"/>
    <xf numFmtId="167" fontId="23" fillId="0" borderId="0" xfId="0" applyNumberFormat="1" applyFont="1" applyFill="1"/>
    <xf numFmtId="167" fontId="13" fillId="0" borderId="10" xfId="0" applyNumberFormat="1" applyFont="1" applyFill="1" applyBorder="1" applyAlignment="1">
      <alignment horizontal="right"/>
    </xf>
    <xf numFmtId="167" fontId="21" fillId="0" borderId="24" xfId="0" applyNumberFormat="1" applyFont="1" applyFill="1" applyBorder="1"/>
    <xf numFmtId="166" fontId="50" fillId="0" borderId="0" xfId="0" applyNumberFormat="1" applyFont="1" applyFill="1"/>
    <xf numFmtId="167" fontId="52" fillId="0" borderId="0" xfId="0" applyNumberFormat="1" applyFont="1" applyFill="1"/>
    <xf numFmtId="168" fontId="4" fillId="0" borderId="0" xfId="0" applyNumberFormat="1" applyFont="1" applyFill="1" applyAlignment="1">
      <alignment horizontal="center"/>
    </xf>
    <xf numFmtId="3" fontId="7" fillId="0" borderId="5" xfId="0" applyNumberFormat="1" applyFont="1" applyFill="1" applyBorder="1" applyAlignment="1"/>
    <xf numFmtId="168" fontId="12" fillId="0" borderId="0" xfId="0" applyNumberFormat="1" applyFont="1" applyFill="1" applyAlignment="1">
      <alignment horizontal="left"/>
    </xf>
    <xf numFmtId="3" fontId="11" fillId="0" borderId="0" xfId="0" applyNumberFormat="1" applyFont="1" applyFill="1"/>
    <xf numFmtId="0" fontId="6" fillId="0" borderId="5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left"/>
    </xf>
    <xf numFmtId="3" fontId="25" fillId="0" borderId="5" xfId="0" applyNumberFormat="1" applyFont="1" applyFill="1" applyBorder="1"/>
    <xf numFmtId="167" fontId="8" fillId="0" borderId="22" xfId="0" applyNumberFormat="1" applyFont="1" applyFill="1" applyBorder="1"/>
    <xf numFmtId="0" fontId="16" fillId="0" borderId="0" xfId="0" applyFont="1" applyFill="1" applyBorder="1"/>
    <xf numFmtId="1" fontId="17" fillId="0" borderId="0" xfId="0" applyNumberFormat="1" applyFont="1" applyFill="1" applyBorder="1" applyAlignment="1">
      <alignment horizontal="left"/>
    </xf>
    <xf numFmtId="168" fontId="17" fillId="0" borderId="0" xfId="0" applyNumberFormat="1" applyFont="1" applyFill="1" applyBorder="1" applyAlignment="1">
      <alignment horizontal="left"/>
    </xf>
    <xf numFmtId="0" fontId="17" fillId="0" borderId="0" xfId="0" applyFont="1" applyFill="1" applyBorder="1"/>
    <xf numFmtId="3" fontId="16" fillId="0" borderId="0" xfId="0" applyNumberFormat="1" applyFont="1" applyFill="1" applyBorder="1"/>
    <xf numFmtId="167" fontId="16" fillId="0" borderId="0" xfId="0" applyNumberFormat="1" applyFont="1" applyFill="1" applyBorder="1"/>
    <xf numFmtId="3" fontId="56" fillId="0" borderId="0" xfId="0" applyNumberFormat="1" applyFont="1" applyFill="1"/>
    <xf numFmtId="167" fontId="51" fillId="0" borderId="0" xfId="0" applyNumberFormat="1" applyFont="1" applyFill="1" applyBorder="1"/>
    <xf numFmtId="167" fontId="5" fillId="0" borderId="0" xfId="0" applyNumberFormat="1" applyFont="1" applyFill="1" applyBorder="1"/>
    <xf numFmtId="167" fontId="52" fillId="0" borderId="0" xfId="0" applyNumberFormat="1" applyFont="1" applyFill="1" applyBorder="1"/>
    <xf numFmtId="3" fontId="67" fillId="0" borderId="10" xfId="0" applyNumberFormat="1" applyFont="1" applyFill="1" applyBorder="1"/>
    <xf numFmtId="167" fontId="21" fillId="0" borderId="0" xfId="0" applyNumberFormat="1" applyFont="1" applyFill="1"/>
    <xf numFmtId="0" fontId="13" fillId="0" borderId="9" xfId="0" applyFont="1" applyFill="1" applyBorder="1"/>
    <xf numFmtId="49" fontId="9" fillId="0" borderId="0" xfId="0" applyNumberFormat="1" applyFont="1" applyFill="1" applyBorder="1" applyAlignment="1">
      <alignment horizontal="left"/>
    </xf>
    <xf numFmtId="0" fontId="8" fillId="0" borderId="2" xfId="0" applyFont="1" applyFill="1" applyBorder="1"/>
    <xf numFmtId="167" fontId="11" fillId="0" borderId="21" xfId="0" applyNumberFormat="1" applyFont="1" applyFill="1" applyBorder="1"/>
    <xf numFmtId="167" fontId="40" fillId="0" borderId="24" xfId="0" applyNumberFormat="1" applyFont="1" applyFill="1" applyBorder="1"/>
    <xf numFmtId="0" fontId="63" fillId="0" borderId="0" xfId="0" applyFont="1" applyFill="1"/>
    <xf numFmtId="3" fontId="40" fillId="0" borderId="10" xfId="0" applyNumberFormat="1" applyFont="1" applyFill="1" applyBorder="1" applyAlignment="1"/>
    <xf numFmtId="3" fontId="40" fillId="0" borderId="0" xfId="0" applyNumberFormat="1" applyFont="1" applyFill="1"/>
    <xf numFmtId="168" fontId="61" fillId="0" borderId="0" xfId="0" applyNumberFormat="1" applyFont="1" applyFill="1" applyAlignment="1">
      <alignment horizontal="center"/>
    </xf>
    <xf numFmtId="3" fontId="23" fillId="0" borderId="0" xfId="0" applyNumberFormat="1" applyFont="1" applyFill="1" applyBorder="1" applyAlignment="1"/>
    <xf numFmtId="167" fontId="13" fillId="0" borderId="21" xfId="0" applyNumberFormat="1" applyFont="1" applyFill="1" applyBorder="1"/>
    <xf numFmtId="0" fontId="40" fillId="0" borderId="14" xfId="0" applyFont="1" applyFill="1" applyBorder="1"/>
    <xf numFmtId="3" fontId="63" fillId="0" borderId="0" xfId="0" applyNumberFormat="1" applyFont="1" applyFill="1"/>
    <xf numFmtId="3" fontId="40" fillId="0" borderId="34" xfId="0" applyNumberFormat="1" applyFont="1" applyFill="1" applyBorder="1" applyAlignment="1"/>
    <xf numFmtId="167" fontId="40" fillId="0" borderId="34" xfId="0" applyNumberFormat="1" applyFont="1" applyFill="1" applyBorder="1"/>
    <xf numFmtId="1" fontId="50" fillId="0" borderId="0" xfId="0" applyNumberFormat="1" applyFont="1" applyFill="1" applyAlignment="1">
      <alignment horizontal="left" vertical="top"/>
    </xf>
    <xf numFmtId="3" fontId="50" fillId="0" borderId="0" xfId="0" applyNumberFormat="1" applyFont="1" applyFill="1" applyBorder="1" applyAlignment="1"/>
    <xf numFmtId="167" fontId="13" fillId="0" borderId="0" xfId="0" applyNumberFormat="1" applyFont="1" applyFill="1" applyBorder="1"/>
    <xf numFmtId="167" fontId="11" fillId="0" borderId="0" xfId="0" applyNumberFormat="1" applyFont="1" applyFill="1" applyBorder="1"/>
    <xf numFmtId="1" fontId="52" fillId="0" borderId="0" xfId="0" applyNumberFormat="1" applyFont="1" applyFill="1" applyAlignment="1">
      <alignment horizontal="center"/>
    </xf>
    <xf numFmtId="0" fontId="52" fillId="0" borderId="0" xfId="0" applyFont="1" applyFill="1"/>
    <xf numFmtId="3" fontId="33" fillId="0" borderId="10" xfId="0" applyNumberFormat="1" applyFont="1" applyFill="1" applyBorder="1" applyAlignment="1"/>
    <xf numFmtId="166" fontId="35" fillId="0" borderId="0" xfId="0" applyNumberFormat="1" applyFont="1" applyFill="1"/>
    <xf numFmtId="3" fontId="20" fillId="0" borderId="0" xfId="0" applyNumberFormat="1" applyFont="1" applyFill="1" applyAlignment="1">
      <alignment horizontal="right"/>
    </xf>
    <xf numFmtId="3" fontId="27" fillId="0" borderId="0" xfId="0" applyNumberFormat="1" applyFont="1" applyFill="1"/>
    <xf numFmtId="3" fontId="9" fillId="0" borderId="0" xfId="0" applyNumberFormat="1" applyFont="1" applyFill="1" applyAlignment="1">
      <alignment horizontal="center"/>
    </xf>
    <xf numFmtId="3" fontId="35" fillId="0" borderId="0" xfId="0" applyNumberFormat="1" applyFont="1" applyFill="1" applyAlignment="1">
      <alignment horizontal="right"/>
    </xf>
    <xf numFmtId="166" fontId="27" fillId="0" borderId="0" xfId="0" applyNumberFormat="1" applyFont="1" applyFill="1"/>
    <xf numFmtId="166" fontId="6" fillId="0" borderId="24" xfId="0" applyNumberFormat="1" applyFont="1" applyFill="1" applyBorder="1" applyAlignment="1">
      <alignment horizontal="center" vertical="center"/>
    </xf>
    <xf numFmtId="3" fontId="9" fillId="0" borderId="2" xfId="0" applyNumberFormat="1" applyFont="1" applyFill="1" applyBorder="1" applyAlignment="1">
      <alignment horizontal="left"/>
    </xf>
    <xf numFmtId="3" fontId="8" fillId="0" borderId="2" xfId="0" applyNumberFormat="1" applyFont="1" applyFill="1" applyBorder="1"/>
    <xf numFmtId="166" fontId="8" fillId="0" borderId="21" xfId="0" applyNumberFormat="1" applyFont="1" applyFill="1" applyBorder="1"/>
    <xf numFmtId="3" fontId="11" fillId="0" borderId="15" xfId="0" applyNumberFormat="1" applyFont="1" applyFill="1" applyBorder="1"/>
    <xf numFmtId="166" fontId="14" fillId="0" borderId="21" xfId="0" applyNumberFormat="1" applyFont="1" applyFill="1" applyBorder="1"/>
    <xf numFmtId="3" fontId="8" fillId="0" borderId="5" xfId="0" applyNumberFormat="1" applyFont="1" applyFill="1" applyBorder="1"/>
    <xf numFmtId="166" fontId="8" fillId="0" borderId="24" xfId="0" applyNumberFormat="1" applyFont="1" applyFill="1" applyBorder="1"/>
    <xf numFmtId="166" fontId="8" fillId="0" borderId="23" xfId="0" applyNumberFormat="1" applyFont="1" applyFill="1" applyBorder="1"/>
    <xf numFmtId="3" fontId="14" fillId="0" borderId="2" xfId="0" applyNumberFormat="1" applyFont="1" applyFill="1" applyBorder="1"/>
    <xf numFmtId="166" fontId="14" fillId="0" borderId="25" xfId="0" applyNumberFormat="1" applyFont="1" applyFill="1" applyBorder="1"/>
    <xf numFmtId="3" fontId="26" fillId="0" borderId="2" xfId="0" applyNumberFormat="1" applyFont="1" applyFill="1" applyBorder="1" applyAlignment="1">
      <alignment horizontal="left"/>
    </xf>
    <xf numFmtId="1" fontId="4" fillId="0" borderId="3" xfId="0" applyNumberFormat="1" applyFont="1" applyFill="1" applyBorder="1" applyAlignment="1">
      <alignment horizontal="left"/>
    </xf>
    <xf numFmtId="3" fontId="14" fillId="0" borderId="3" xfId="0" applyNumberFormat="1" applyFont="1" applyFill="1" applyBorder="1"/>
    <xf numFmtId="166" fontId="14" fillId="0" borderId="49" xfId="0" applyNumberFormat="1" applyFont="1" applyFill="1" applyBorder="1"/>
    <xf numFmtId="3" fontId="14" fillId="0" borderId="17" xfId="0" applyNumberFormat="1" applyFont="1" applyFill="1" applyBorder="1"/>
    <xf numFmtId="0" fontId="14" fillId="0" borderId="17" xfId="0" applyFont="1" applyFill="1" applyBorder="1"/>
    <xf numFmtId="3" fontId="8" fillId="0" borderId="17" xfId="0" applyNumberFormat="1" applyFont="1" applyFill="1" applyBorder="1"/>
    <xf numFmtId="166" fontId="8" fillId="0" borderId="25" xfId="0" applyNumberFormat="1" applyFont="1" applyFill="1" applyBorder="1"/>
    <xf numFmtId="3" fontId="11" fillId="0" borderId="17" xfId="0" applyNumberFormat="1" applyFont="1" applyFill="1" applyBorder="1"/>
    <xf numFmtId="166" fontId="13" fillId="0" borderId="25" xfId="0" applyNumberFormat="1" applyFont="1" applyFill="1" applyBorder="1"/>
    <xf numFmtId="3" fontId="9" fillId="0" borderId="9" xfId="0" applyNumberFormat="1" applyFont="1" applyFill="1" applyBorder="1" applyAlignment="1">
      <alignment horizontal="left"/>
    </xf>
    <xf numFmtId="1" fontId="4" fillId="0" borderId="15" xfId="0" applyNumberFormat="1" applyFont="1" applyFill="1" applyBorder="1" applyAlignment="1">
      <alignment horizontal="left"/>
    </xf>
    <xf numFmtId="3" fontId="14" fillId="0" borderId="0" xfId="0" applyNumberFormat="1" applyFont="1" applyFill="1" applyBorder="1"/>
    <xf numFmtId="3" fontId="26" fillId="0" borderId="17" xfId="0" applyNumberFormat="1" applyFont="1" applyFill="1" applyBorder="1" applyAlignment="1">
      <alignment horizontal="left"/>
    </xf>
    <xf numFmtId="0" fontId="14" fillId="0" borderId="15" xfId="0" applyFont="1" applyFill="1" applyBorder="1"/>
    <xf numFmtId="49" fontId="9" fillId="0" borderId="17" xfId="0" applyNumberFormat="1" applyFont="1" applyFill="1" applyBorder="1" applyAlignment="1">
      <alignment horizontal="left" vertical="center"/>
    </xf>
    <xf numFmtId="3" fontId="8" fillId="0" borderId="41" xfId="0" applyNumberFormat="1" applyFont="1" applyFill="1" applyBorder="1"/>
    <xf numFmtId="3" fontId="13" fillId="0" borderId="17" xfId="0" applyNumberFormat="1" applyFont="1" applyFill="1" applyBorder="1"/>
    <xf numFmtId="1" fontId="4" fillId="0" borderId="41" xfId="0" applyNumberFormat="1" applyFont="1" applyFill="1" applyBorder="1" applyAlignment="1">
      <alignment horizontal="left"/>
    </xf>
    <xf numFmtId="0" fontId="8" fillId="0" borderId="52" xfId="0" applyFont="1" applyFill="1" applyBorder="1"/>
    <xf numFmtId="166" fontId="8" fillId="0" borderId="43" xfId="0" applyNumberFormat="1" applyFont="1" applyFill="1" applyBorder="1"/>
    <xf numFmtId="3" fontId="9" fillId="0" borderId="18" xfId="0" applyNumberFormat="1" applyFont="1" applyFill="1" applyBorder="1" applyAlignment="1">
      <alignment horizontal="left"/>
    </xf>
    <xf numFmtId="3" fontId="13" fillId="0" borderId="2" xfId="0" applyNumberFormat="1" applyFont="1" applyFill="1" applyBorder="1"/>
    <xf numFmtId="3" fontId="9" fillId="0" borderId="41" xfId="0" applyNumberFormat="1" applyFont="1" applyFill="1" applyBorder="1" applyAlignment="1">
      <alignment horizontal="left"/>
    </xf>
    <xf numFmtId="166" fontId="13" fillId="0" borderId="21" xfId="0" applyNumberFormat="1" applyFont="1" applyFill="1" applyBorder="1"/>
    <xf numFmtId="166" fontId="11" fillId="0" borderId="21" xfId="0" applyNumberFormat="1" applyFont="1" applyFill="1" applyBorder="1"/>
    <xf numFmtId="166" fontId="14" fillId="0" borderId="42" xfId="0" applyNumberFormat="1" applyFont="1" applyFill="1" applyBorder="1"/>
    <xf numFmtId="166" fontId="8" fillId="0" borderId="42" xfId="0" applyNumberFormat="1" applyFont="1" applyFill="1" applyBorder="1"/>
    <xf numFmtId="49" fontId="9" fillId="0" borderId="0" xfId="0" applyNumberFormat="1" applyFont="1" applyFill="1" applyAlignment="1">
      <alignment horizontal="left" vertical="top"/>
    </xf>
    <xf numFmtId="3" fontId="8" fillId="0" borderId="15" xfId="0" applyNumberFormat="1" applyFont="1" applyFill="1" applyBorder="1"/>
    <xf numFmtId="3" fontId="9" fillId="0" borderId="17" xfId="0" applyNumberFormat="1" applyFont="1" applyFill="1" applyBorder="1" applyAlignment="1">
      <alignment horizontal="left"/>
    </xf>
    <xf numFmtId="0" fontId="8" fillId="0" borderId="9" xfId="0" applyFont="1" applyFill="1" applyBorder="1"/>
    <xf numFmtId="3" fontId="8" fillId="0" borderId="9" xfId="0" applyNumberFormat="1" applyFont="1" applyFill="1" applyBorder="1"/>
    <xf numFmtId="3" fontId="51" fillId="0" borderId="5" xfId="0" applyNumberFormat="1" applyFont="1" applyFill="1" applyBorder="1"/>
    <xf numFmtId="166" fontId="51" fillId="0" borderId="24" xfId="0" applyNumberFormat="1" applyFont="1" applyFill="1" applyBorder="1"/>
    <xf numFmtId="1" fontId="4" fillId="0" borderId="18" xfId="0" applyNumberFormat="1" applyFont="1" applyFill="1" applyBorder="1" applyAlignment="1">
      <alignment horizontal="left"/>
    </xf>
    <xf numFmtId="1" fontId="21" fillId="0" borderId="9" xfId="0" applyNumberFormat="1" applyFont="1" applyFill="1" applyBorder="1" applyAlignment="1">
      <alignment horizontal="right" vertical="center" wrapText="1"/>
    </xf>
    <xf numFmtId="0" fontId="34" fillId="0" borderId="6" xfId="0" applyFont="1" applyFill="1" applyBorder="1" applyAlignment="1">
      <alignment horizontal="center" vertical="center"/>
    </xf>
    <xf numFmtId="0" fontId="34" fillId="0" borderId="17" xfId="0" applyFont="1" applyFill="1" applyBorder="1" applyAlignment="1">
      <alignment horizontal="center" vertical="center"/>
    </xf>
    <xf numFmtId="1" fontId="11" fillId="0" borderId="17" xfId="0" applyNumberFormat="1" applyFont="1" applyFill="1" applyBorder="1" applyAlignment="1">
      <alignment horizontal="left"/>
    </xf>
    <xf numFmtId="1" fontId="11" fillId="0" borderId="15" xfId="0" applyNumberFormat="1" applyFont="1" applyFill="1" applyBorder="1" applyAlignment="1">
      <alignment horizontal="left"/>
    </xf>
    <xf numFmtId="3" fontId="8" fillId="0" borderId="53" xfId="0" applyNumberFormat="1" applyFont="1" applyFill="1" applyBorder="1"/>
    <xf numFmtId="3" fontId="14" fillId="0" borderId="14" xfId="0" applyNumberFormat="1" applyFont="1" applyFill="1" applyBorder="1"/>
    <xf numFmtId="166" fontId="14" fillId="0" borderId="35" xfId="0" applyNumberFormat="1" applyFont="1" applyFill="1" applyBorder="1"/>
    <xf numFmtId="3" fontId="8" fillId="0" borderId="14" xfId="0" applyNumberFormat="1" applyFont="1" applyFill="1" applyBorder="1"/>
    <xf numFmtId="3" fontId="26" fillId="0" borderId="15" xfId="0" applyNumberFormat="1" applyFont="1" applyFill="1" applyBorder="1" applyAlignment="1">
      <alignment horizontal="left"/>
    </xf>
    <xf numFmtId="0" fontId="4" fillId="0" borderId="3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3" fontId="13" fillId="0" borderId="9" xfId="0" applyNumberFormat="1" applyFont="1" applyFill="1" applyBorder="1" applyAlignment="1">
      <alignment horizontal="right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center" vertical="center"/>
    </xf>
    <xf numFmtId="3" fontId="11" fillId="0" borderId="2" xfId="0" applyNumberFormat="1" applyFont="1" applyFill="1" applyBorder="1" applyAlignment="1">
      <alignment horizontal="right" vertical="center"/>
    </xf>
    <xf numFmtId="3" fontId="11" fillId="0" borderId="0" xfId="0" applyNumberFormat="1" applyFont="1" applyFill="1" applyBorder="1"/>
    <xf numFmtId="3" fontId="13" fillId="0" borderId="14" xfId="0" applyNumberFormat="1" applyFont="1" applyFill="1" applyBorder="1"/>
    <xf numFmtId="166" fontId="13" fillId="0" borderId="42" xfId="0" applyNumberFormat="1" applyFont="1" applyFill="1" applyBorder="1"/>
    <xf numFmtId="0" fontId="8" fillId="0" borderId="41" xfId="0" applyFont="1" applyFill="1" applyBorder="1"/>
    <xf numFmtId="1" fontId="26" fillId="0" borderId="17" xfId="0" applyNumberFormat="1" applyFont="1" applyFill="1" applyBorder="1" applyAlignment="1">
      <alignment horizontal="right"/>
    </xf>
    <xf numFmtId="3" fontId="13" fillId="0" borderId="2" xfId="0" applyNumberFormat="1" applyFont="1" applyFill="1" applyBorder="1" applyAlignment="1">
      <alignment horizontal="right" vertical="center"/>
    </xf>
    <xf numFmtId="3" fontId="13" fillId="0" borderId="5" xfId="0" applyNumberFormat="1" applyFont="1" applyFill="1" applyBorder="1"/>
    <xf numFmtId="166" fontId="13" fillId="0" borderId="24" xfId="0" applyNumberFormat="1" applyFont="1" applyFill="1" applyBorder="1"/>
    <xf numFmtId="1" fontId="4" fillId="0" borderId="48" xfId="0" applyNumberFormat="1" applyFont="1" applyFill="1" applyBorder="1" applyAlignment="1">
      <alignment horizontal="left"/>
    </xf>
    <xf numFmtId="3" fontId="14" fillId="0" borderId="48" xfId="0" applyNumberFormat="1" applyFont="1" applyFill="1" applyBorder="1"/>
    <xf numFmtId="166" fontId="14" fillId="0" borderId="0" xfId="0" applyNumberFormat="1" applyFont="1" applyFill="1" applyBorder="1"/>
    <xf numFmtId="171" fontId="9" fillId="0" borderId="0" xfId="0" applyNumberFormat="1" applyFont="1" applyFill="1" applyBorder="1" applyAlignment="1">
      <alignment horizontal="left" vertical="top"/>
    </xf>
    <xf numFmtId="168" fontId="9" fillId="0" borderId="0" xfId="0" applyNumberFormat="1" applyFont="1" applyFill="1" applyBorder="1" applyAlignment="1">
      <alignment horizontal="left"/>
    </xf>
    <xf numFmtId="172" fontId="9" fillId="0" borderId="0" xfId="0" applyNumberFormat="1" applyFont="1" applyFill="1" applyBorder="1" applyAlignment="1">
      <alignment horizontal="left" vertical="top"/>
    </xf>
    <xf numFmtId="3" fontId="12" fillId="0" borderId="0" xfId="0" applyNumberFormat="1" applyFont="1" applyFill="1" applyBorder="1"/>
    <xf numFmtId="166" fontId="8" fillId="0" borderId="54" xfId="0" applyNumberFormat="1" applyFont="1" applyFill="1" applyBorder="1"/>
    <xf numFmtId="3" fontId="27" fillId="0" borderId="0" xfId="0" applyNumberFormat="1" applyFont="1" applyFill="1" applyBorder="1"/>
    <xf numFmtId="0" fontId="6" fillId="0" borderId="17" xfId="0" applyFont="1" applyFill="1" applyBorder="1" applyAlignment="1">
      <alignment horizontal="center" vertical="center"/>
    </xf>
    <xf numFmtId="1" fontId="6" fillId="0" borderId="17" xfId="0" applyNumberFormat="1" applyFont="1" applyFill="1" applyBorder="1" applyAlignment="1">
      <alignment horizontal="center" vertical="center"/>
    </xf>
    <xf numFmtId="3" fontId="8" fillId="0" borderId="17" xfId="0" applyNumberFormat="1" applyFont="1" applyFill="1" applyBorder="1" applyAlignment="1">
      <alignment horizontal="right" vertical="center"/>
    </xf>
    <xf numFmtId="3" fontId="14" fillId="0" borderId="17" xfId="0" applyNumberFormat="1" applyFont="1" applyFill="1" applyBorder="1" applyAlignment="1">
      <alignment horizontal="right"/>
    </xf>
    <xf numFmtId="3" fontId="11" fillId="0" borderId="48" xfId="0" applyNumberFormat="1" applyFont="1" applyFill="1" applyBorder="1"/>
    <xf numFmtId="166" fontId="11" fillId="0" borderId="35" xfId="0" applyNumberFormat="1" applyFont="1" applyFill="1" applyBorder="1"/>
    <xf numFmtId="3" fontId="6" fillId="0" borderId="0" xfId="0" applyNumberFormat="1" applyFont="1" applyFill="1"/>
    <xf numFmtId="1" fontId="4" fillId="0" borderId="55" xfId="0" applyNumberFormat="1" applyFont="1" applyFill="1" applyBorder="1" applyAlignment="1">
      <alignment horizontal="left"/>
    </xf>
    <xf numFmtId="3" fontId="13" fillId="0" borderId="41" xfId="0" applyNumberFormat="1" applyFont="1" applyFill="1" applyBorder="1"/>
    <xf numFmtId="166" fontId="13" fillId="0" borderId="43" xfId="0" applyNumberFormat="1" applyFont="1" applyFill="1" applyBorder="1"/>
    <xf numFmtId="1" fontId="18" fillId="0" borderId="0" xfId="0" applyNumberFormat="1" applyFont="1" applyFill="1" applyAlignment="1">
      <alignment horizontal="left"/>
    </xf>
    <xf numFmtId="3" fontId="36" fillId="0" borderId="0" xfId="0" applyNumberFormat="1" applyFont="1" applyFill="1"/>
    <xf numFmtId="166" fontId="8" fillId="0" borderId="25" xfId="0" applyNumberFormat="1" applyFont="1" applyFill="1" applyBorder="1" applyAlignment="1">
      <alignment horizontal="right"/>
    </xf>
    <xf numFmtId="0" fontId="5" fillId="0" borderId="33" xfId="0" applyFont="1" applyFill="1" applyBorder="1"/>
    <xf numFmtId="3" fontId="4" fillId="0" borderId="0" xfId="0" applyNumberFormat="1" applyFont="1" applyFill="1"/>
    <xf numFmtId="0" fontId="13" fillId="0" borderId="0" xfId="0" applyFont="1" applyFill="1"/>
    <xf numFmtId="3" fontId="13" fillId="0" borderId="0" xfId="0" applyNumberFormat="1" applyFont="1" applyFill="1"/>
    <xf numFmtId="167" fontId="51" fillId="0" borderId="35" xfId="0" applyNumberFormat="1" applyFont="1" applyFill="1" applyBorder="1"/>
    <xf numFmtId="168" fontId="26" fillId="0" borderId="0" xfId="0" applyNumberFormat="1" applyFont="1" applyFill="1" applyAlignment="1">
      <alignment horizontal="center"/>
    </xf>
    <xf numFmtId="0" fontId="12" fillId="0" borderId="2" xfId="0" applyFont="1" applyFill="1" applyBorder="1" applyAlignment="1">
      <alignment horizontal="center"/>
    </xf>
    <xf numFmtId="3" fontId="13" fillId="0" borderId="0" xfId="0" applyNumberFormat="1" applyFont="1" applyFill="1" applyBorder="1"/>
    <xf numFmtId="167" fontId="7" fillId="0" borderId="0" xfId="0" applyNumberFormat="1" applyFont="1" applyFill="1" applyBorder="1" applyAlignment="1">
      <alignment shrinkToFit="1"/>
    </xf>
    <xf numFmtId="167" fontId="7" fillId="0" borderId="35" xfId="0" applyNumberFormat="1" applyFont="1" applyFill="1" applyBorder="1" applyAlignment="1"/>
    <xf numFmtId="1" fontId="17" fillId="0" borderId="0" xfId="0" applyNumberFormat="1" applyFont="1" applyFill="1" applyAlignment="1">
      <alignment horizontal="left"/>
    </xf>
    <xf numFmtId="0" fontId="6" fillId="0" borderId="56" xfId="0" applyFont="1" applyFill="1" applyBorder="1" applyAlignment="1">
      <alignment horizontal="center" vertical="center"/>
    </xf>
    <xf numFmtId="0" fontId="40" fillId="0" borderId="4" xfId="0" applyFont="1" applyFill="1" applyBorder="1" applyAlignment="1"/>
    <xf numFmtId="0" fontId="38" fillId="0" borderId="5" xfId="0" applyFont="1" applyFill="1" applyBorder="1" applyAlignment="1"/>
    <xf numFmtId="168" fontId="61" fillId="0" borderId="5" xfId="0" applyNumberFormat="1" applyFont="1" applyFill="1" applyBorder="1" applyAlignment="1">
      <alignment horizontal="center"/>
    </xf>
    <xf numFmtId="167" fontId="7" fillId="0" borderId="22" xfId="0" applyNumberFormat="1" applyFont="1" applyFill="1" applyBorder="1" applyAlignment="1"/>
    <xf numFmtId="0" fontId="57" fillId="0" borderId="0" xfId="0" applyFont="1" applyFill="1"/>
    <xf numFmtId="167" fontId="66" fillId="0" borderId="0" xfId="0" applyNumberFormat="1" applyFont="1" applyFill="1" applyBorder="1"/>
    <xf numFmtId="1" fontId="51" fillId="0" borderId="0" xfId="0" applyNumberFormat="1" applyFont="1" applyFill="1" applyAlignment="1">
      <alignment horizontal="left"/>
    </xf>
    <xf numFmtId="166" fontId="7" fillId="0" borderId="22" xfId="0" applyNumberFormat="1" applyFont="1" applyFill="1" applyBorder="1"/>
    <xf numFmtId="166" fontId="7" fillId="0" borderId="35" xfId="0" applyNumberFormat="1" applyFont="1" applyFill="1" applyBorder="1"/>
    <xf numFmtId="3" fontId="50" fillId="0" borderId="0" xfId="0" applyNumberFormat="1" applyFont="1" applyFill="1" applyBorder="1" applyAlignment="1">
      <alignment horizontal="right"/>
    </xf>
    <xf numFmtId="3" fontId="53" fillId="0" borderId="0" xfId="0" applyNumberFormat="1" applyFont="1" applyFill="1" applyAlignment="1">
      <alignment horizontal="right"/>
    </xf>
    <xf numFmtId="3" fontId="66" fillId="0" borderId="0" xfId="0" applyNumberFormat="1" applyFont="1" applyFill="1" applyBorder="1"/>
    <xf numFmtId="1" fontId="6" fillId="0" borderId="0" xfId="0" applyNumberFormat="1" applyFont="1" applyFill="1" applyBorder="1" applyAlignment="1">
      <alignment horizontal="left"/>
    </xf>
    <xf numFmtId="168" fontId="9" fillId="0" borderId="0" xfId="0" applyNumberFormat="1" applyFont="1" applyFill="1" applyBorder="1" applyAlignment="1">
      <alignment horizontal="center"/>
    </xf>
    <xf numFmtId="166" fontId="30" fillId="0" borderId="10" xfId="0" applyNumberFormat="1" applyFont="1" applyFill="1" applyBorder="1" applyAlignment="1">
      <alignment shrinkToFit="1"/>
    </xf>
    <xf numFmtId="3" fontId="28" fillId="0" borderId="0" xfId="0" applyNumberFormat="1" applyFont="1" applyFill="1" applyAlignment="1">
      <alignment horizontal="right"/>
    </xf>
    <xf numFmtId="168" fontId="26" fillId="0" borderId="0" xfId="0" applyNumberFormat="1" applyFont="1" applyFill="1" applyAlignment="1">
      <alignment horizontal="left" vertical="top"/>
    </xf>
    <xf numFmtId="3" fontId="11" fillId="0" borderId="0" xfId="0" applyNumberFormat="1" applyFont="1" applyFill="1" applyAlignment="1">
      <alignment horizontal="right" vertical="top"/>
    </xf>
    <xf numFmtId="0" fontId="8" fillId="0" borderId="0" xfId="0" applyFont="1" applyFill="1" applyAlignment="1">
      <alignment horizontal="right"/>
    </xf>
    <xf numFmtId="0" fontId="5" fillId="0" borderId="8" xfId="0" applyFont="1" applyFill="1" applyBorder="1" applyAlignment="1">
      <alignment horizontal="center"/>
    </xf>
    <xf numFmtId="167" fontId="7" fillId="0" borderId="24" xfId="0" applyNumberFormat="1" applyFont="1" applyFill="1" applyBorder="1"/>
    <xf numFmtId="166" fontId="5" fillId="0" borderId="0" xfId="0" applyNumberFormat="1" applyFont="1" applyFill="1"/>
    <xf numFmtId="0" fontId="28" fillId="0" borderId="0" xfId="0" applyFont="1" applyFill="1" applyAlignment="1">
      <alignment horizontal="center"/>
    </xf>
    <xf numFmtId="168" fontId="27" fillId="0" borderId="0" xfId="0" applyNumberFormat="1" applyFont="1" applyFill="1"/>
    <xf numFmtId="166" fontId="28" fillId="0" borderId="0" xfId="0" applyNumberFormat="1" applyFont="1" applyFill="1"/>
    <xf numFmtId="168" fontId="9" fillId="0" borderId="0" xfId="0" applyNumberFormat="1" applyFont="1" applyFill="1" applyAlignment="1">
      <alignment horizontal="left"/>
    </xf>
    <xf numFmtId="3" fontId="4" fillId="0" borderId="0" xfId="0" applyNumberFormat="1" applyFont="1" applyFill="1" applyAlignment="1">
      <alignment horizontal="right"/>
    </xf>
    <xf numFmtId="3" fontId="18" fillId="0" borderId="0" xfId="0" applyNumberFormat="1" applyFont="1" applyFill="1"/>
    <xf numFmtId="167" fontId="18" fillId="0" borderId="0" xfId="0" applyNumberFormat="1" applyFont="1" applyFill="1"/>
    <xf numFmtId="166" fontId="59" fillId="0" borderId="0" xfId="0" applyNumberFormat="1" applyFont="1" applyFill="1"/>
    <xf numFmtId="1" fontId="39" fillId="0" borderId="0" xfId="0" applyNumberFormat="1" applyFont="1" applyFill="1"/>
    <xf numFmtId="1" fontId="59" fillId="0" borderId="0" xfId="0" applyNumberFormat="1" applyFont="1" applyFill="1"/>
    <xf numFmtId="0" fontId="28" fillId="0" borderId="26" xfId="0" applyFont="1" applyFill="1" applyBorder="1"/>
    <xf numFmtId="173" fontId="9" fillId="0" borderId="2" xfId="0" applyNumberFormat="1" applyFont="1" applyFill="1" applyBorder="1" applyAlignment="1">
      <alignment horizontal="center"/>
    </xf>
    <xf numFmtId="0" fontId="28" fillId="0" borderId="38" xfId="0" applyFont="1" applyFill="1" applyBorder="1"/>
    <xf numFmtId="3" fontId="13" fillId="0" borderId="9" xfId="0" applyNumberFormat="1" applyFont="1" applyFill="1" applyBorder="1"/>
    <xf numFmtId="3" fontId="22" fillId="0" borderId="0" xfId="0" applyNumberFormat="1" applyFont="1" applyFill="1"/>
    <xf numFmtId="166" fontId="8" fillId="0" borderId="30" xfId="0" applyNumberFormat="1" applyFont="1" applyFill="1" applyBorder="1"/>
    <xf numFmtId="0" fontId="28" fillId="0" borderId="50" xfId="0" applyFont="1" applyFill="1" applyBorder="1"/>
    <xf numFmtId="173" fontId="9" fillId="0" borderId="14" xfId="0" applyNumberFormat="1" applyFont="1" applyFill="1" applyBorder="1" applyAlignment="1">
      <alignment horizontal="center"/>
    </xf>
    <xf numFmtId="3" fontId="13" fillId="0" borderId="34" xfId="0" applyNumberFormat="1" applyFont="1" applyFill="1" applyBorder="1"/>
    <xf numFmtId="0" fontId="28" fillId="0" borderId="4" xfId="0" applyFont="1" applyFill="1" applyBorder="1"/>
    <xf numFmtId="1" fontId="4" fillId="0" borderId="5" xfId="0" applyNumberFormat="1" applyFont="1" applyFill="1" applyBorder="1" applyAlignment="1">
      <alignment horizontal="left"/>
    </xf>
    <xf numFmtId="173" fontId="9" fillId="0" borderId="5" xfId="0" applyNumberFormat="1" applyFont="1" applyFill="1" applyBorder="1" applyAlignment="1">
      <alignment horizontal="center"/>
    </xf>
    <xf numFmtId="0" fontId="13" fillId="0" borderId="5" xfId="0" applyFont="1" applyFill="1" applyBorder="1"/>
    <xf numFmtId="3" fontId="8" fillId="0" borderId="27" xfId="0" applyNumberFormat="1" applyFont="1" applyFill="1" applyBorder="1"/>
    <xf numFmtId="0" fontId="28" fillId="0" borderId="33" xfId="0" applyFont="1" applyFill="1" applyBorder="1"/>
    <xf numFmtId="166" fontId="8" fillId="0" borderId="35" xfId="0" applyNumberFormat="1" applyFont="1" applyFill="1" applyBorder="1"/>
    <xf numFmtId="173" fontId="9" fillId="0" borderId="9" xfId="0" applyNumberFormat="1" applyFont="1" applyFill="1" applyBorder="1" applyAlignment="1">
      <alignment horizontal="center"/>
    </xf>
    <xf numFmtId="166" fontId="13" fillId="0" borderId="35" xfId="0" applyNumberFormat="1" applyFont="1" applyFill="1" applyBorder="1"/>
    <xf numFmtId="3" fontId="27" fillId="0" borderId="0" xfId="0" applyNumberFormat="1" applyFont="1" applyFill="1" applyAlignment="1">
      <alignment vertical="center"/>
    </xf>
    <xf numFmtId="1" fontId="42" fillId="0" borderId="34" xfId="0" applyNumberFormat="1" applyFont="1" applyFill="1" applyBorder="1" applyAlignment="1"/>
    <xf numFmtId="0" fontId="59" fillId="0" borderId="34" xfId="0" applyFont="1" applyFill="1" applyBorder="1" applyAlignment="1"/>
    <xf numFmtId="3" fontId="42" fillId="0" borderId="34" xfId="0" applyNumberFormat="1" applyFont="1" applyFill="1" applyBorder="1" applyAlignment="1"/>
    <xf numFmtId="3" fontId="80" fillId="0" borderId="34" xfId="0" applyNumberFormat="1" applyFont="1" applyFill="1" applyBorder="1" applyAlignment="1"/>
    <xf numFmtId="166" fontId="67" fillId="0" borderId="34" xfId="0" applyNumberFormat="1" applyFont="1" applyFill="1" applyBorder="1"/>
    <xf numFmtId="0" fontId="42" fillId="0" borderId="0" xfId="0" applyFont="1" applyFill="1" applyAlignment="1">
      <alignment wrapText="1"/>
    </xf>
    <xf numFmtId="3" fontId="22" fillId="0" borderId="0" xfId="0" applyNumberFormat="1" applyFont="1" applyFill="1" applyAlignment="1">
      <alignment wrapText="1"/>
    </xf>
    <xf numFmtId="0" fontId="36" fillId="0" borderId="0" xfId="0" applyFont="1" applyFill="1" applyAlignment="1">
      <alignment wrapText="1"/>
    </xf>
    <xf numFmtId="0" fontId="55" fillId="0" borderId="4" xfId="0" applyFont="1" applyFill="1" applyBorder="1" applyAlignment="1">
      <alignment horizontal="center" vertical="center"/>
    </xf>
    <xf numFmtId="1" fontId="55" fillId="0" borderId="5" xfId="0" applyNumberFormat="1" applyFont="1" applyFill="1" applyBorder="1" applyAlignment="1">
      <alignment horizontal="center" vertical="center"/>
    </xf>
    <xf numFmtId="3" fontId="55" fillId="0" borderId="5" xfId="0" applyNumberFormat="1" applyFont="1" applyFill="1" applyBorder="1" applyAlignment="1">
      <alignment horizontal="center" vertical="center"/>
    </xf>
    <xf numFmtId="3" fontId="55" fillId="0" borderId="56" xfId="0" applyNumberFormat="1" applyFont="1" applyFill="1" applyBorder="1" applyAlignment="1">
      <alignment horizontal="center" vertical="center"/>
    </xf>
    <xf numFmtId="167" fontId="55" fillId="0" borderId="24" xfId="0" applyNumberFormat="1" applyFont="1" applyFill="1" applyBorder="1" applyAlignment="1">
      <alignment horizontal="center" vertical="center"/>
    </xf>
    <xf numFmtId="3" fontId="55" fillId="0" borderId="0" xfId="0" applyNumberFormat="1" applyFont="1" applyFill="1"/>
    <xf numFmtId="0" fontId="55" fillId="0" borderId="0" xfId="0" applyFont="1" applyFill="1"/>
    <xf numFmtId="0" fontId="48" fillId="0" borderId="7" xfId="0" applyFont="1" applyFill="1" applyBorder="1" applyAlignment="1">
      <alignment horizontal="left"/>
    </xf>
    <xf numFmtId="0" fontId="47" fillId="0" borderId="8" xfId="0" applyFont="1" applyFill="1" applyBorder="1"/>
    <xf numFmtId="3" fontId="46" fillId="0" borderId="8" xfId="0" applyNumberFormat="1" applyFont="1" applyFill="1" applyBorder="1" applyAlignment="1">
      <alignment horizontal="center"/>
    </xf>
    <xf numFmtId="0" fontId="33" fillId="0" borderId="56" xfId="0" applyFont="1" applyFill="1" applyBorder="1"/>
    <xf numFmtId="3" fontId="27" fillId="0" borderId="0" xfId="0" applyNumberFormat="1" applyFont="1" applyFill="1" applyAlignment="1">
      <alignment horizontal="left"/>
    </xf>
    <xf numFmtId="3" fontId="46" fillId="0" borderId="8" xfId="0" applyNumberFormat="1" applyFont="1" applyFill="1" applyBorder="1" applyAlignment="1">
      <alignment horizontal="left"/>
    </xf>
    <xf numFmtId="168" fontId="26" fillId="0" borderId="0" xfId="0" applyNumberFormat="1" applyFont="1" applyFill="1" applyBorder="1"/>
    <xf numFmtId="3" fontId="12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Border="1" applyAlignment="1">
      <alignment horizontal="right"/>
    </xf>
    <xf numFmtId="1" fontId="4" fillId="0" borderId="19" xfId="0" applyNumberFormat="1" applyFont="1" applyFill="1" applyBorder="1" applyAlignment="1">
      <alignment horizontal="left"/>
    </xf>
    <xf numFmtId="168" fontId="26" fillId="0" borderId="19" xfId="0" applyNumberFormat="1" applyFont="1" applyFill="1" applyBorder="1"/>
    <xf numFmtId="3" fontId="12" fillId="0" borderId="19" xfId="0" applyNumberFormat="1" applyFont="1" applyFill="1" applyBorder="1" applyAlignment="1">
      <alignment horizontal="right"/>
    </xf>
    <xf numFmtId="3" fontId="11" fillId="0" borderId="19" xfId="0" applyNumberFormat="1" applyFont="1" applyFill="1" applyBorder="1" applyAlignment="1">
      <alignment horizontal="right"/>
    </xf>
    <xf numFmtId="3" fontId="58" fillId="0" borderId="19" xfId="0" applyNumberFormat="1" applyFont="1" applyFill="1" applyBorder="1" applyAlignment="1">
      <alignment horizontal="right"/>
    </xf>
    <xf numFmtId="167" fontId="8" fillId="0" borderId="19" xfId="0" applyNumberFormat="1" applyFont="1" applyFill="1" applyBorder="1" applyAlignment="1">
      <alignment horizontal="right"/>
    </xf>
    <xf numFmtId="3" fontId="72" fillId="0" borderId="34" xfId="0" applyNumberFormat="1" applyFont="1" applyFill="1" applyBorder="1" applyAlignment="1"/>
    <xf numFmtId="3" fontId="42" fillId="0" borderId="0" xfId="0" applyNumberFormat="1" applyFont="1" applyFill="1" applyBorder="1" applyAlignment="1">
      <alignment wrapText="1"/>
    </xf>
    <xf numFmtId="167" fontId="33" fillId="0" borderId="10" xfId="0" applyNumberFormat="1" applyFont="1" applyFill="1" applyBorder="1"/>
    <xf numFmtId="1" fontId="9" fillId="0" borderId="0" xfId="0" applyNumberFormat="1" applyFont="1" applyFill="1" applyAlignment="1">
      <alignment horizontal="center"/>
    </xf>
    <xf numFmtId="3" fontId="7" fillId="0" borderId="37" xfId="0" applyNumberFormat="1" applyFont="1" applyFill="1" applyBorder="1"/>
    <xf numFmtId="0" fontId="27" fillId="0" borderId="0" xfId="0" applyFont="1" applyFill="1"/>
    <xf numFmtId="1" fontId="4" fillId="0" borderId="38" xfId="2" applyNumberFormat="1" applyFont="1" applyFill="1" applyBorder="1" applyAlignment="1">
      <alignment horizontal="left"/>
    </xf>
    <xf numFmtId="1" fontId="4" fillId="0" borderId="18" xfId="2" applyNumberFormat="1" applyFont="1" applyFill="1" applyBorder="1" applyAlignment="1">
      <alignment horizontal="left"/>
    </xf>
    <xf numFmtId="1" fontId="9" fillId="0" borderId="18" xfId="2" applyNumberFormat="1" applyFont="1" applyFill="1" applyBorder="1" applyAlignment="1">
      <alignment horizontal="left"/>
    </xf>
    <xf numFmtId="3" fontId="8" fillId="0" borderId="18" xfId="2" applyFont="1" applyFill="1" applyBorder="1"/>
    <xf numFmtId="3" fontId="8" fillId="0" borderId="18" xfId="2" applyFont="1" applyFill="1" applyBorder="1" applyAlignment="1">
      <alignment horizontal="right"/>
    </xf>
    <xf numFmtId="3" fontId="13" fillId="0" borderId="18" xfId="2" applyFont="1" applyFill="1" applyBorder="1" applyAlignment="1">
      <alignment horizontal="right"/>
    </xf>
    <xf numFmtId="1" fontId="4" fillId="0" borderId="50" xfId="2" applyNumberFormat="1" applyFont="1" applyFill="1" applyBorder="1" applyAlignment="1">
      <alignment horizontal="left"/>
    </xf>
    <xf numFmtId="1" fontId="4" fillId="0" borderId="48" xfId="2" applyNumberFormat="1" applyFont="1" applyFill="1" applyBorder="1" applyAlignment="1">
      <alignment horizontal="left"/>
    </xf>
    <xf numFmtId="1" fontId="9" fillId="0" borderId="48" xfId="2" applyNumberFormat="1" applyFont="1" applyFill="1" applyBorder="1" applyAlignment="1">
      <alignment horizontal="left"/>
    </xf>
    <xf numFmtId="3" fontId="13" fillId="0" borderId="48" xfId="2" applyFont="1" applyFill="1" applyBorder="1"/>
    <xf numFmtId="3" fontId="8" fillId="0" borderId="48" xfId="2" applyFont="1" applyFill="1" applyBorder="1" applyAlignment="1">
      <alignment horizontal="right"/>
    </xf>
    <xf numFmtId="3" fontId="13" fillId="0" borderId="48" xfId="2" applyFont="1" applyFill="1" applyBorder="1" applyAlignment="1">
      <alignment horizontal="right"/>
    </xf>
    <xf numFmtId="166" fontId="8" fillId="0" borderId="35" xfId="0" applyNumberFormat="1" applyFont="1" applyFill="1" applyBorder="1" applyAlignment="1">
      <alignment horizontal="right"/>
    </xf>
    <xf numFmtId="3" fontId="20" fillId="0" borderId="34" xfId="0" applyNumberFormat="1" applyFont="1" applyFill="1" applyBorder="1" applyAlignment="1">
      <alignment horizontal="center"/>
    </xf>
    <xf numFmtId="166" fontId="51" fillId="0" borderId="0" xfId="0" applyNumberFormat="1" applyFont="1" applyFill="1" applyBorder="1" applyAlignment="1">
      <alignment horizontal="right"/>
    </xf>
    <xf numFmtId="166" fontId="66" fillId="0" borderId="0" xfId="0" applyNumberFormat="1" applyFont="1" applyFill="1" applyBorder="1" applyAlignment="1">
      <alignment horizontal="right"/>
    </xf>
    <xf numFmtId="0" fontId="17" fillId="0" borderId="0" xfId="0" applyFont="1" applyFill="1"/>
    <xf numFmtId="0" fontId="19" fillId="0" borderId="0" xfId="0" applyFont="1" applyFill="1" applyBorder="1"/>
    <xf numFmtId="1" fontId="15" fillId="0" borderId="0" xfId="0" applyNumberFormat="1" applyFont="1" applyFill="1" applyBorder="1" applyAlignment="1">
      <alignment horizontal="left"/>
    </xf>
    <xf numFmtId="0" fontId="15" fillId="0" borderId="0" xfId="0" applyFont="1" applyFill="1" applyBorder="1"/>
    <xf numFmtId="3" fontId="19" fillId="0" borderId="0" xfId="0" applyNumberFormat="1" applyFont="1" applyFill="1" applyBorder="1"/>
    <xf numFmtId="167" fontId="19" fillId="0" borderId="0" xfId="0" applyNumberFormat="1" applyFont="1" applyFill="1" applyBorder="1"/>
    <xf numFmtId="168" fontId="50" fillId="0" borderId="0" xfId="0" applyNumberFormat="1" applyFont="1" applyFill="1" applyBorder="1" applyAlignment="1">
      <alignment horizontal="right"/>
    </xf>
    <xf numFmtId="168" fontId="53" fillId="0" borderId="0" xfId="0" applyNumberFormat="1" applyFont="1" applyFill="1" applyAlignment="1">
      <alignment horizontal="right"/>
    </xf>
    <xf numFmtId="167" fontId="7" fillId="0" borderId="35" xfId="0" applyNumberFormat="1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left"/>
    </xf>
    <xf numFmtId="166" fontId="7" fillId="0" borderId="22" xfId="0" applyNumberFormat="1" applyFont="1" applyFill="1" applyBorder="1" applyAlignment="1">
      <alignment horizontal="right"/>
    </xf>
    <xf numFmtId="166" fontId="50" fillId="0" borderId="0" xfId="0" applyNumberFormat="1" applyFont="1" applyFill="1" applyBorder="1" applyAlignment="1">
      <alignment horizontal="right"/>
    </xf>
    <xf numFmtId="1" fontId="6" fillId="0" borderId="24" xfId="0" applyNumberFormat="1" applyFont="1" applyFill="1" applyBorder="1" applyAlignment="1">
      <alignment horizontal="center" vertical="center"/>
    </xf>
    <xf numFmtId="167" fontId="7" fillId="0" borderId="22" xfId="0" applyNumberFormat="1" applyFont="1" applyFill="1" applyBorder="1" applyAlignment="1">
      <alignment horizontal="right"/>
    </xf>
    <xf numFmtId="3" fontId="34" fillId="0" borderId="37" xfId="0" applyNumberFormat="1" applyFont="1" applyFill="1" applyBorder="1" applyAlignment="1">
      <alignment horizontal="center" vertical="center"/>
    </xf>
    <xf numFmtId="0" fontId="34" fillId="0" borderId="2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1" fontId="4" fillId="0" borderId="27" xfId="0" applyNumberFormat="1" applyFont="1" applyFill="1" applyBorder="1" applyAlignment="1">
      <alignment horizontal="center"/>
    </xf>
    <xf numFmtId="1" fontId="9" fillId="0" borderId="27" xfId="0" applyNumberFormat="1" applyFont="1" applyFill="1" applyBorder="1" applyAlignment="1">
      <alignment horizontal="left"/>
    </xf>
    <xf numFmtId="3" fontId="12" fillId="0" borderId="27" xfId="0" applyNumberFormat="1" applyFont="1" applyFill="1" applyBorder="1"/>
    <xf numFmtId="1" fontId="8" fillId="0" borderId="27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center"/>
    </xf>
    <xf numFmtId="1" fontId="9" fillId="0" borderId="0" xfId="0" applyNumberFormat="1" applyFont="1" applyFill="1" applyBorder="1" applyAlignment="1">
      <alignment horizontal="left"/>
    </xf>
    <xf numFmtId="1" fontId="8" fillId="0" borderId="0" xfId="0" applyNumberFormat="1" applyFont="1" applyFill="1" applyBorder="1" applyAlignment="1">
      <alignment horizontal="right"/>
    </xf>
    <xf numFmtId="167" fontId="66" fillId="0" borderId="0" xfId="0" applyNumberFormat="1" applyFont="1" applyFill="1" applyBorder="1" applyAlignment="1">
      <alignment horizontal="right"/>
    </xf>
    <xf numFmtId="0" fontId="18" fillId="0" borderId="0" xfId="0" applyFont="1" applyFill="1"/>
    <xf numFmtId="1" fontId="18" fillId="0" borderId="0" xfId="0" applyNumberFormat="1" applyFont="1" applyFill="1" applyAlignment="1">
      <alignment horizontal="right"/>
    </xf>
    <xf numFmtId="1" fontId="11" fillId="0" borderId="27" xfId="0" applyNumberFormat="1" applyFont="1" applyFill="1" applyBorder="1" applyAlignment="1">
      <alignment horizontal="left"/>
    </xf>
    <xf numFmtId="0" fontId="12" fillId="0" borderId="0" xfId="0" applyFont="1"/>
    <xf numFmtId="0" fontId="8" fillId="0" borderId="0" xfId="0" applyFont="1" applyBorder="1"/>
    <xf numFmtId="0" fontId="13" fillId="0" borderId="0" xfId="0" applyFont="1" applyBorder="1" applyAlignment="1">
      <alignment wrapText="1"/>
    </xf>
    <xf numFmtId="49" fontId="9" fillId="0" borderId="0" xfId="0" applyNumberFormat="1" applyFont="1" applyBorder="1" applyAlignment="1">
      <alignment horizontal="left"/>
    </xf>
    <xf numFmtId="1" fontId="4" fillId="0" borderId="9" xfId="0" applyNumberFormat="1" applyFont="1" applyBorder="1" applyAlignment="1">
      <alignment horizontal="left"/>
    </xf>
    <xf numFmtId="0" fontId="8" fillId="0" borderId="9" xfId="0" applyFont="1" applyBorder="1"/>
    <xf numFmtId="167" fontId="8" fillId="0" borderId="25" xfId="0" applyNumberFormat="1" applyFont="1" applyBorder="1" applyAlignment="1">
      <alignment horizontal="right"/>
    </xf>
    <xf numFmtId="0" fontId="12" fillId="0" borderId="0" xfId="0" applyFont="1" applyBorder="1"/>
    <xf numFmtId="0" fontId="12" fillId="0" borderId="0" xfId="0" applyFont="1" applyBorder="1" applyAlignment="1"/>
    <xf numFmtId="167" fontId="11" fillId="0" borderId="25" xfId="0" applyNumberFormat="1" applyFont="1" applyBorder="1" applyAlignment="1">
      <alignment horizontal="right"/>
    </xf>
    <xf numFmtId="1" fontId="9" fillId="0" borderId="9" xfId="0" applyNumberFormat="1" applyFont="1" applyBorder="1" applyAlignment="1">
      <alignment horizontal="left"/>
    </xf>
    <xf numFmtId="1" fontId="9" fillId="0" borderId="2" xfId="0" applyNumberFormat="1" applyFont="1" applyBorder="1" applyAlignment="1">
      <alignment horizontal="left"/>
    </xf>
    <xf numFmtId="49" fontId="9" fillId="0" borderId="2" xfId="0" applyNumberFormat="1" applyFont="1" applyBorder="1" applyAlignment="1">
      <alignment horizontal="left" vertical="top"/>
    </xf>
    <xf numFmtId="49" fontId="9" fillId="0" borderId="2" xfId="0" applyNumberFormat="1" applyFont="1" applyBorder="1" applyAlignment="1">
      <alignment horizontal="left"/>
    </xf>
    <xf numFmtId="3" fontId="20" fillId="0" borderId="14" xfId="0" applyNumberFormat="1" applyFont="1" applyFill="1" applyBorder="1" applyAlignment="1">
      <alignment horizontal="center"/>
    </xf>
    <xf numFmtId="1" fontId="5" fillId="0" borderId="0" xfId="0" applyNumberFormat="1" applyFont="1" applyAlignment="1">
      <alignment horizontal="left"/>
    </xf>
    <xf numFmtId="3" fontId="8" fillId="0" borderId="9" xfId="0" applyNumberFormat="1" applyFont="1" applyBorder="1" applyAlignment="1">
      <alignment horizontal="right"/>
    </xf>
    <xf numFmtId="166" fontId="8" fillId="0" borderId="25" xfId="0" applyNumberFormat="1" applyFont="1" applyBorder="1" applyAlignment="1">
      <alignment horizontal="right"/>
    </xf>
    <xf numFmtId="166" fontId="11" fillId="0" borderId="25" xfId="0" applyNumberFormat="1" applyFont="1" applyBorder="1" applyAlignment="1">
      <alignment horizontal="right"/>
    </xf>
    <xf numFmtId="0" fontId="13" fillId="0" borderId="0" xfId="0" applyFont="1" applyBorder="1" applyAlignment="1"/>
    <xf numFmtId="1" fontId="4" fillId="0" borderId="33" xfId="0" applyNumberFormat="1" applyFont="1" applyBorder="1" applyAlignment="1">
      <alignment horizontal="left"/>
    </xf>
    <xf numFmtId="0" fontId="8" fillId="0" borderId="34" xfId="0" applyFont="1" applyBorder="1"/>
    <xf numFmtId="166" fontId="8" fillId="0" borderId="35" xfId="0" applyNumberFormat="1" applyFont="1" applyBorder="1" applyAlignment="1">
      <alignment horizontal="right"/>
    </xf>
    <xf numFmtId="0" fontId="12" fillId="0" borderId="0" xfId="0" applyFont="1" applyBorder="1" applyAlignment="1">
      <alignment wrapText="1"/>
    </xf>
    <xf numFmtId="1" fontId="13" fillId="0" borderId="0" xfId="0" applyNumberFormat="1" applyFont="1" applyBorder="1" applyAlignment="1">
      <alignment horizontal="left"/>
    </xf>
    <xf numFmtId="49" fontId="9" fillId="0" borderId="14" xfId="0" applyNumberFormat="1" applyFont="1" applyBorder="1" applyAlignment="1">
      <alignment horizontal="left"/>
    </xf>
    <xf numFmtId="1" fontId="4" fillId="0" borderId="14" xfId="0" applyNumberFormat="1" applyFont="1" applyBorder="1" applyAlignment="1">
      <alignment horizontal="left"/>
    </xf>
    <xf numFmtId="3" fontId="8" fillId="0" borderId="14" xfId="0" applyNumberFormat="1" applyFont="1" applyBorder="1" applyAlignment="1">
      <alignment horizontal="right"/>
    </xf>
    <xf numFmtId="49" fontId="26" fillId="0" borderId="2" xfId="0" applyNumberFormat="1" applyFont="1" applyBorder="1" applyAlignment="1">
      <alignment horizontal="left"/>
    </xf>
    <xf numFmtId="49" fontId="9" fillId="0" borderId="9" xfId="0" applyNumberFormat="1" applyFont="1" applyBorder="1" applyAlignment="1">
      <alignment horizontal="left"/>
    </xf>
    <xf numFmtId="168" fontId="9" fillId="0" borderId="2" xfId="0" applyNumberFormat="1" applyFont="1" applyBorder="1" applyAlignment="1">
      <alignment horizontal="left" vertical="top"/>
    </xf>
    <xf numFmtId="1" fontId="12" fillId="0" borderId="14" xfId="0" applyNumberFormat="1" applyFont="1" applyBorder="1" applyAlignment="1">
      <alignment horizontal="left"/>
    </xf>
    <xf numFmtId="1" fontId="4" fillId="0" borderId="0" xfId="0" applyNumberFormat="1" applyFont="1" applyBorder="1" applyAlignment="1">
      <alignment horizontal="left"/>
    </xf>
    <xf numFmtId="1" fontId="4" fillId="0" borderId="0" xfId="0" applyNumberFormat="1" applyFont="1" applyAlignment="1">
      <alignment horizontal="right"/>
    </xf>
    <xf numFmtId="3" fontId="12" fillId="0" borderId="0" xfId="0" applyNumberFormat="1" applyFont="1"/>
    <xf numFmtId="0" fontId="4" fillId="0" borderId="0" xfId="0" applyFont="1" applyBorder="1" applyAlignment="1"/>
    <xf numFmtId="1" fontId="4" fillId="0" borderId="34" xfId="0" applyNumberFormat="1" applyFont="1" applyBorder="1" applyAlignment="1">
      <alignment horizontal="left"/>
    </xf>
    <xf numFmtId="3" fontId="12" fillId="0" borderId="2" xfId="0" applyNumberFormat="1" applyFont="1" applyBorder="1" applyAlignment="1">
      <alignment horizontal="right"/>
    </xf>
    <xf numFmtId="1" fontId="4" fillId="0" borderId="38" xfId="0" applyNumberFormat="1" applyFont="1" applyBorder="1" applyAlignment="1">
      <alignment horizontal="left"/>
    </xf>
    <xf numFmtId="1" fontId="4" fillId="0" borderId="50" xfId="0" applyNumberFormat="1" applyFont="1" applyBorder="1" applyAlignment="1">
      <alignment horizontal="left"/>
    </xf>
    <xf numFmtId="166" fontId="11" fillId="0" borderId="35" xfId="0" applyNumberFormat="1" applyFont="1" applyBorder="1" applyAlignment="1">
      <alignment horizontal="right"/>
    </xf>
    <xf numFmtId="0" fontId="17" fillId="0" borderId="0" xfId="0" applyFont="1" applyBorder="1"/>
    <xf numFmtId="0" fontId="12" fillId="0" borderId="17" xfId="0" applyFont="1" applyBorder="1" applyAlignment="1"/>
    <xf numFmtId="3" fontId="11" fillId="0" borderId="14" xfId="0" applyNumberFormat="1" applyFont="1" applyBorder="1" applyAlignment="1">
      <alignment horizontal="right"/>
    </xf>
    <xf numFmtId="168" fontId="26" fillId="3" borderId="9" xfId="0" applyNumberFormat="1" applyFont="1" applyFill="1" applyBorder="1" applyAlignment="1">
      <alignment horizontal="left"/>
    </xf>
    <xf numFmtId="168" fontId="26" fillId="3" borderId="2" xfId="0" applyNumberFormat="1" applyFont="1" applyFill="1" applyBorder="1" applyAlignment="1">
      <alignment horizontal="left"/>
    </xf>
    <xf numFmtId="49" fontId="9" fillId="0" borderId="2" xfId="0" applyNumberFormat="1" applyFont="1" applyBorder="1" applyAlignment="1">
      <alignment horizontal="center"/>
    </xf>
    <xf numFmtId="0" fontId="12" fillId="0" borderId="34" xfId="0" applyFont="1" applyBorder="1"/>
    <xf numFmtId="1" fontId="9" fillId="0" borderId="2" xfId="0" applyNumberFormat="1" applyFont="1" applyBorder="1" applyAlignment="1">
      <alignment horizontal="center"/>
    </xf>
    <xf numFmtId="0" fontId="13" fillId="3" borderId="34" xfId="0" applyFont="1" applyFill="1" applyBorder="1"/>
    <xf numFmtId="49" fontId="9" fillId="0" borderId="14" xfId="0" applyNumberFormat="1" applyFont="1" applyBorder="1" applyAlignment="1">
      <alignment horizontal="center"/>
    </xf>
    <xf numFmtId="0" fontId="12" fillId="3" borderId="0" xfId="0" applyFont="1" applyFill="1"/>
    <xf numFmtId="1" fontId="9" fillId="0" borderId="14" xfId="0" applyNumberFormat="1" applyFont="1" applyBorder="1" applyAlignment="1">
      <alignment horizontal="left"/>
    </xf>
    <xf numFmtId="166" fontId="8" fillId="0" borderId="30" xfId="0" applyNumberFormat="1" applyFont="1" applyBorder="1" applyAlignment="1">
      <alignment horizontal="right"/>
    </xf>
    <xf numFmtId="0" fontId="12" fillId="3" borderId="0" xfId="0" applyFont="1" applyFill="1" applyBorder="1" applyAlignment="1"/>
    <xf numFmtId="0" fontId="8" fillId="0" borderId="0" xfId="0" applyFont="1" applyBorder="1" applyAlignment="1">
      <alignment wrapText="1"/>
    </xf>
    <xf numFmtId="0" fontId="12" fillId="0" borderId="0" xfId="0" applyFont="1" applyBorder="1" applyAlignment="1">
      <alignment horizontal="right"/>
    </xf>
    <xf numFmtId="0" fontId="13" fillId="3" borderId="27" xfId="0" applyFont="1" applyFill="1" applyBorder="1"/>
    <xf numFmtId="49" fontId="26" fillId="3" borderId="2" xfId="0" applyNumberFormat="1" applyFont="1" applyFill="1" applyBorder="1" applyAlignment="1">
      <alignment horizontal="left"/>
    </xf>
    <xf numFmtId="168" fontId="26" fillId="0" borderId="2" xfId="0" applyNumberFormat="1" applyFont="1" applyBorder="1" applyAlignment="1">
      <alignment horizontal="left"/>
    </xf>
    <xf numFmtId="168" fontId="26" fillId="0" borderId="14" xfId="0" applyNumberFormat="1" applyFont="1" applyBorder="1" applyAlignment="1">
      <alignment horizontal="left"/>
    </xf>
    <xf numFmtId="0" fontId="8" fillId="0" borderId="27" xfId="0" applyFont="1" applyBorder="1"/>
    <xf numFmtId="49" fontId="26" fillId="0" borderId="2" xfId="0" applyNumberFormat="1" applyFont="1" applyBorder="1" applyAlignment="1">
      <alignment horizontal="left" vertical="top"/>
    </xf>
    <xf numFmtId="3" fontId="12" fillId="3" borderId="2" xfId="0" applyNumberFormat="1" applyFont="1" applyFill="1" applyBorder="1" applyAlignment="1">
      <alignment horizontal="right"/>
    </xf>
    <xf numFmtId="3" fontId="14" fillId="0" borderId="2" xfId="0" applyNumberFormat="1" applyFont="1" applyBorder="1" applyAlignment="1">
      <alignment horizontal="right"/>
    </xf>
    <xf numFmtId="0" fontId="12" fillId="0" borderId="14" xfId="0" applyFont="1" applyBorder="1"/>
    <xf numFmtId="49" fontId="26" fillId="0" borderId="14" xfId="0" applyNumberFormat="1" applyFont="1" applyBorder="1" applyAlignment="1">
      <alignment horizontal="left"/>
    </xf>
    <xf numFmtId="3" fontId="13" fillId="0" borderId="14" xfId="0" applyNumberFormat="1" applyFont="1" applyBorder="1" applyAlignment="1">
      <alignment horizontal="right"/>
    </xf>
    <xf numFmtId="0" fontId="8" fillId="0" borderId="17" xfId="0" applyFont="1" applyBorder="1"/>
    <xf numFmtId="0" fontId="12" fillId="0" borderId="17" xfId="0" applyFont="1" applyBorder="1"/>
    <xf numFmtId="0" fontId="13" fillId="0" borderId="17" xfId="0" applyFont="1" applyBorder="1" applyAlignment="1">
      <alignment wrapText="1"/>
    </xf>
    <xf numFmtId="3" fontId="12" fillId="0" borderId="0" xfId="7" applyFont="1"/>
    <xf numFmtId="3" fontId="12" fillId="3" borderId="0" xfId="7" applyFont="1" applyFill="1" applyBorder="1"/>
    <xf numFmtId="3" fontId="13" fillId="0" borderId="9" xfId="7" applyFont="1" applyFill="1" applyBorder="1" applyAlignment="1">
      <alignment horizontal="right"/>
    </xf>
    <xf numFmtId="3" fontId="11" fillId="0" borderId="2" xfId="7" applyFont="1" applyFill="1" applyBorder="1" applyAlignment="1">
      <alignment horizontal="right"/>
    </xf>
    <xf numFmtId="3" fontId="13" fillId="0" borderId="2" xfId="7" applyFont="1" applyFill="1" applyBorder="1" applyAlignment="1">
      <alignment horizontal="right"/>
    </xf>
    <xf numFmtId="3" fontId="11" fillId="0" borderId="14" xfId="7" applyFont="1" applyFill="1" applyBorder="1" applyAlignment="1">
      <alignment horizontal="right"/>
    </xf>
    <xf numFmtId="3" fontId="13" fillId="3" borderId="2" xfId="7" applyFont="1" applyFill="1" applyBorder="1" applyAlignment="1">
      <alignment horizontal="right"/>
    </xf>
    <xf numFmtId="3" fontId="13" fillId="3" borderId="9" xfId="7" applyFont="1" applyFill="1" applyBorder="1"/>
    <xf numFmtId="3" fontId="12" fillId="0" borderId="2" xfId="7" applyBorder="1" applyAlignment="1"/>
    <xf numFmtId="3" fontId="13" fillId="3" borderId="2" xfId="7" applyFont="1" applyFill="1" applyBorder="1"/>
    <xf numFmtId="3" fontId="12" fillId="0" borderId="14" xfId="7" applyBorder="1" applyAlignment="1"/>
    <xf numFmtId="168" fontId="26" fillId="3" borderId="9" xfId="7" applyNumberFormat="1" applyFont="1" applyFill="1" applyBorder="1" applyAlignment="1">
      <alignment horizontal="left"/>
    </xf>
    <xf numFmtId="49" fontId="9" fillId="0" borderId="2" xfId="7" applyNumberFormat="1" applyFont="1" applyBorder="1" applyAlignment="1">
      <alignment horizontal="left"/>
    </xf>
    <xf numFmtId="168" fontId="26" fillId="3" borderId="2" xfId="7" applyNumberFormat="1" applyFont="1" applyFill="1" applyBorder="1" applyAlignment="1">
      <alignment horizontal="left"/>
    </xf>
    <xf numFmtId="49" fontId="9" fillId="0" borderId="14" xfId="7" applyNumberFormat="1" applyFont="1" applyBorder="1" applyAlignment="1">
      <alignment horizontal="left"/>
    </xf>
    <xf numFmtId="0" fontId="65" fillId="0" borderId="0" xfId="0" applyFont="1"/>
    <xf numFmtId="1" fontId="8" fillId="0" borderId="0" xfId="0" applyNumberFormat="1" applyFont="1" applyBorder="1" applyAlignment="1">
      <alignment horizontal="left"/>
    </xf>
    <xf numFmtId="1" fontId="13" fillId="0" borderId="0" xfId="0" applyNumberFormat="1" applyFont="1" applyAlignment="1">
      <alignment horizontal="left"/>
    </xf>
    <xf numFmtId="0" fontId="14" fillId="0" borderId="0" xfId="0" applyFont="1"/>
    <xf numFmtId="167" fontId="51" fillId="0" borderId="22" xfId="0" applyNumberFormat="1" applyFont="1" applyFill="1" applyBorder="1"/>
    <xf numFmtId="1" fontId="40" fillId="0" borderId="34" xfId="0" applyNumberFormat="1" applyFont="1" applyFill="1" applyBorder="1" applyAlignment="1">
      <alignment horizontal="center"/>
    </xf>
    <xf numFmtId="168" fontId="40" fillId="0" borderId="34" xfId="0" applyNumberFormat="1" applyFont="1" applyFill="1" applyBorder="1" applyAlignment="1">
      <alignment horizontal="center"/>
    </xf>
    <xf numFmtId="0" fontId="40" fillId="0" borderId="34" xfId="0" applyFont="1" applyFill="1" applyBorder="1"/>
    <xf numFmtId="167" fontId="8" fillId="0" borderId="34" xfId="0" applyNumberFormat="1" applyFont="1" applyFill="1" applyBorder="1"/>
    <xf numFmtId="1" fontId="40" fillId="0" borderId="51" xfId="0" applyNumberFormat="1" applyFont="1" applyFill="1" applyBorder="1" applyAlignment="1">
      <alignment horizontal="center"/>
    </xf>
    <xf numFmtId="168" fontId="40" fillId="0" borderId="51" xfId="0" applyNumberFormat="1" applyFont="1" applyFill="1" applyBorder="1" applyAlignment="1">
      <alignment horizontal="center"/>
    </xf>
    <xf numFmtId="0" fontId="40" fillId="0" borderId="51" xfId="0" applyFont="1" applyFill="1" applyBorder="1"/>
    <xf numFmtId="3" fontId="40" fillId="0" borderId="51" xfId="0" applyNumberFormat="1" applyFont="1" applyFill="1" applyBorder="1"/>
    <xf numFmtId="167" fontId="21" fillId="0" borderId="51" xfId="0" applyNumberFormat="1" applyFont="1" applyFill="1" applyBorder="1"/>
    <xf numFmtId="1" fontId="8" fillId="0" borderId="2" xfId="0" applyNumberFormat="1" applyFont="1" applyBorder="1" applyAlignment="1">
      <alignment horizontal="left"/>
    </xf>
    <xf numFmtId="1" fontId="13" fillId="0" borderId="2" xfId="0" applyNumberFormat="1" applyFont="1" applyBorder="1" applyAlignment="1">
      <alignment horizontal="left"/>
    </xf>
    <xf numFmtId="0" fontId="13" fillId="0" borderId="34" xfId="0" applyFont="1" applyBorder="1"/>
    <xf numFmtId="1" fontId="12" fillId="0" borderId="26" xfId="0" applyNumberFormat="1" applyFont="1" applyBorder="1" applyAlignment="1">
      <alignment horizontal="left"/>
    </xf>
    <xf numFmtId="1" fontId="44" fillId="0" borderId="12" xfId="0" applyNumberFormat="1" applyFont="1" applyBorder="1" applyAlignment="1">
      <alignment horizontal="left"/>
    </xf>
    <xf numFmtId="0" fontId="11" fillId="0" borderId="2" xfId="0" applyFont="1" applyBorder="1"/>
    <xf numFmtId="0" fontId="12" fillId="0" borderId="2" xfId="0" applyFont="1" applyBorder="1" applyAlignment="1">
      <alignment vertical="top"/>
    </xf>
    <xf numFmtId="168" fontId="20" fillId="0" borderId="5" xfId="0" applyNumberFormat="1" applyFont="1" applyFill="1" applyBorder="1" applyAlignment="1">
      <alignment horizontal="center"/>
    </xf>
    <xf numFmtId="49" fontId="26" fillId="3" borderId="2" xfId="0" applyNumberFormat="1" applyFont="1" applyFill="1" applyBorder="1"/>
    <xf numFmtId="0" fontId="13" fillId="0" borderId="0" xfId="0" applyFont="1" applyBorder="1" applyAlignment="1">
      <alignment vertical="top" wrapText="1"/>
    </xf>
    <xf numFmtId="1" fontId="12" fillId="3" borderId="6" xfId="0" applyNumberFormat="1" applyFont="1" applyFill="1" applyBorder="1" applyAlignment="1">
      <alignment horizontal="left"/>
    </xf>
    <xf numFmtId="0" fontId="63" fillId="0" borderId="0" xfId="0" applyFont="1" applyFill="1" applyBorder="1" applyAlignment="1"/>
    <xf numFmtId="0" fontId="11" fillId="0" borderId="0" xfId="0" applyFont="1"/>
    <xf numFmtId="1" fontId="4" fillId="0" borderId="27" xfId="0" applyNumberFormat="1" applyFont="1" applyBorder="1" applyAlignment="1">
      <alignment horizontal="left"/>
    </xf>
    <xf numFmtId="0" fontId="13" fillId="0" borderId="34" xfId="0" applyFont="1" applyBorder="1" applyAlignment="1"/>
    <xf numFmtId="0" fontId="8" fillId="0" borderId="34" xfId="0" applyFont="1" applyFill="1" applyBorder="1" applyAlignment="1">
      <alignment horizontal="right"/>
    </xf>
    <xf numFmtId="167" fontId="7" fillId="0" borderId="35" xfId="0" applyNumberFormat="1" applyFont="1" applyFill="1" applyBorder="1" applyAlignment="1">
      <alignment shrinkToFit="1"/>
    </xf>
    <xf numFmtId="167" fontId="8" fillId="0" borderId="35" xfId="0" applyNumberFormat="1" applyFont="1" applyFill="1" applyBorder="1" applyAlignment="1">
      <alignment shrinkToFit="1"/>
    </xf>
    <xf numFmtId="0" fontId="8" fillId="0" borderId="14" xfId="0" applyFont="1" applyFill="1" applyBorder="1" applyAlignment="1">
      <alignment horizontal="right"/>
    </xf>
    <xf numFmtId="0" fontId="8" fillId="0" borderId="14" xfId="0" applyFont="1" applyBorder="1" applyAlignment="1">
      <alignment wrapText="1"/>
    </xf>
    <xf numFmtId="168" fontId="9" fillId="0" borderId="9" xfId="0" applyNumberFormat="1" applyFont="1" applyBorder="1" applyAlignment="1">
      <alignment horizontal="left"/>
    </xf>
    <xf numFmtId="168" fontId="26" fillId="0" borderId="14" xfId="0" applyNumberFormat="1" applyFont="1" applyBorder="1" applyAlignment="1"/>
    <xf numFmtId="1" fontId="12" fillId="3" borderId="8" xfId="0" applyNumberFormat="1" applyFont="1" applyFill="1" applyBorder="1" applyAlignment="1">
      <alignment horizontal="left"/>
    </xf>
    <xf numFmtId="0" fontId="13" fillId="3" borderId="8" xfId="0" applyFont="1" applyFill="1" applyBorder="1"/>
    <xf numFmtId="0" fontId="13" fillId="0" borderId="8" xfId="0" applyFont="1" applyFill="1" applyBorder="1" applyAlignment="1">
      <alignment horizontal="right"/>
    </xf>
    <xf numFmtId="0" fontId="7" fillId="3" borderId="22" xfId="0" applyFont="1" applyFill="1" applyBorder="1" applyAlignment="1">
      <alignment horizontal="right"/>
    </xf>
    <xf numFmtId="0" fontId="54" fillId="0" borderId="5" xfId="0" applyFont="1" applyFill="1" applyBorder="1" applyAlignment="1">
      <alignment horizontal="right"/>
    </xf>
    <xf numFmtId="0" fontId="13" fillId="3" borderId="5" xfId="0" applyFont="1" applyFill="1" applyBorder="1" applyAlignment="1">
      <alignment horizontal="right"/>
    </xf>
    <xf numFmtId="168" fontId="26" fillId="3" borderId="5" xfId="0" applyNumberFormat="1" applyFont="1" applyFill="1" applyBorder="1" applyAlignment="1">
      <alignment horizontal="left"/>
    </xf>
    <xf numFmtId="1" fontId="12" fillId="3" borderId="4" xfId="0" applyNumberFormat="1" applyFont="1" applyFill="1" applyBorder="1" applyAlignment="1">
      <alignment horizontal="left"/>
    </xf>
    <xf numFmtId="3" fontId="11" fillId="0" borderId="9" xfId="0" applyNumberFormat="1" applyFont="1" applyBorder="1" applyAlignment="1">
      <alignment horizontal="right"/>
    </xf>
    <xf numFmtId="49" fontId="9" fillId="0" borderId="14" xfId="0" applyNumberFormat="1" applyFont="1" applyBorder="1" applyAlignment="1">
      <alignment horizontal="left" vertical="top"/>
    </xf>
    <xf numFmtId="0" fontId="13" fillId="0" borderId="27" xfId="0" applyFont="1" applyFill="1" applyBorder="1"/>
    <xf numFmtId="0" fontId="13" fillId="0" borderId="27" xfId="0" applyFont="1" applyBorder="1"/>
    <xf numFmtId="0" fontId="4" fillId="0" borderId="0" xfId="0" applyFont="1" applyBorder="1" applyAlignment="1">
      <alignment vertical="center"/>
    </xf>
    <xf numFmtId="168" fontId="26" fillId="0" borderId="9" xfId="0" applyNumberFormat="1" applyFont="1" applyBorder="1" applyAlignment="1">
      <alignment horizontal="left"/>
    </xf>
    <xf numFmtId="1" fontId="38" fillId="0" borderId="0" xfId="0" applyNumberFormat="1" applyFont="1" applyFill="1" applyBorder="1"/>
    <xf numFmtId="1" fontId="59" fillId="0" borderId="0" xfId="0" applyNumberFormat="1" applyFont="1" applyFill="1" applyBorder="1"/>
    <xf numFmtId="0" fontId="59" fillId="0" borderId="0" xfId="0" applyFont="1" applyFill="1" applyBorder="1" applyAlignment="1">
      <alignment horizontal="left"/>
    </xf>
    <xf numFmtId="0" fontId="59" fillId="0" borderId="0" xfId="0" applyFont="1" applyFill="1" applyBorder="1"/>
    <xf numFmtId="3" fontId="38" fillId="0" borderId="0" xfId="0" applyNumberFormat="1" applyFont="1" applyFill="1" applyBorder="1"/>
    <xf numFmtId="0" fontId="12" fillId="0" borderId="0" xfId="0" applyFont="1" applyBorder="1" applyAlignment="1">
      <alignment vertical="top"/>
    </xf>
    <xf numFmtId="166" fontId="11" fillId="3" borderId="25" xfId="0" applyNumberFormat="1" applyFont="1" applyFill="1" applyBorder="1" applyAlignment="1">
      <alignment horizontal="right"/>
    </xf>
    <xf numFmtId="0" fontId="34" fillId="0" borderId="38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1" fontId="34" fillId="0" borderId="9" xfId="0" applyNumberFormat="1" applyFont="1" applyFill="1" applyBorder="1" applyAlignment="1">
      <alignment horizontal="center" vertical="center" wrapText="1"/>
    </xf>
    <xf numFmtId="1" fontId="34" fillId="0" borderId="46" xfId="0" applyNumberFormat="1" applyFont="1" applyFill="1" applyBorder="1" applyAlignment="1">
      <alignment horizontal="center" vertical="center" wrapText="1"/>
    </xf>
    <xf numFmtId="1" fontId="34" fillId="0" borderId="23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/>
    </xf>
    <xf numFmtId="0" fontId="21" fillId="0" borderId="27" xfId="0" applyFont="1" applyFill="1" applyBorder="1" applyAlignment="1">
      <alignment horizontal="left" vertical="center"/>
    </xf>
    <xf numFmtId="0" fontId="13" fillId="0" borderId="34" xfId="0" applyFont="1" applyFill="1" applyBorder="1"/>
    <xf numFmtId="3" fontId="21" fillId="0" borderId="27" xfId="0" applyNumberFormat="1" applyFont="1" applyFill="1" applyBorder="1" applyAlignment="1">
      <alignment horizontal="right" vertical="center" wrapText="1"/>
    </xf>
    <xf numFmtId="3" fontId="21" fillId="0" borderId="0" xfId="0" applyNumberFormat="1" applyFont="1" applyFill="1" applyBorder="1" applyAlignment="1">
      <alignment horizontal="right" vertical="center" wrapText="1"/>
    </xf>
    <xf numFmtId="3" fontId="13" fillId="0" borderId="27" xfId="0" applyNumberFormat="1" applyFont="1" applyFill="1" applyBorder="1"/>
    <xf numFmtId="166" fontId="13" fillId="0" borderId="30" xfId="0" applyNumberFormat="1" applyFont="1" applyFill="1" applyBorder="1"/>
    <xf numFmtId="0" fontId="28" fillId="0" borderId="7" xfId="0" applyFont="1" applyFill="1" applyBorder="1"/>
    <xf numFmtId="1" fontId="4" fillId="0" borderId="8" xfId="0" applyNumberFormat="1" applyFont="1" applyFill="1" applyBorder="1" applyAlignment="1">
      <alignment horizontal="left"/>
    </xf>
    <xf numFmtId="0" fontId="13" fillId="0" borderId="8" xfId="0" applyFont="1" applyFill="1" applyBorder="1"/>
    <xf numFmtId="3" fontId="13" fillId="0" borderId="8" xfId="0" applyNumberFormat="1" applyFont="1" applyFill="1" applyBorder="1"/>
    <xf numFmtId="166" fontId="13" fillId="0" borderId="22" xfId="0" applyNumberFormat="1" applyFont="1" applyFill="1" applyBorder="1"/>
    <xf numFmtId="0" fontId="21" fillId="0" borderId="34" xfId="0" applyFont="1" applyFill="1" applyBorder="1" applyAlignment="1">
      <alignment horizontal="left" vertical="center"/>
    </xf>
    <xf numFmtId="3" fontId="21" fillId="0" borderId="14" xfId="0" applyNumberFormat="1" applyFont="1" applyFill="1" applyBorder="1" applyAlignment="1">
      <alignment horizontal="right" vertical="center" wrapText="1"/>
    </xf>
    <xf numFmtId="3" fontId="21" fillId="0" borderId="34" xfId="0" applyNumberFormat="1" applyFont="1" applyFill="1" applyBorder="1" applyAlignment="1">
      <alignment horizontal="right" vertical="center" wrapText="1"/>
    </xf>
    <xf numFmtId="3" fontId="21" fillId="0" borderId="17" xfId="0" applyNumberFormat="1" applyFont="1" applyFill="1" applyBorder="1" applyAlignment="1">
      <alignment horizontal="right" vertical="center" wrapText="1"/>
    </xf>
    <xf numFmtId="0" fontId="21" fillId="0" borderId="17" xfId="0" applyFont="1" applyFill="1" applyBorder="1" applyAlignment="1">
      <alignment horizontal="left" vertical="center"/>
    </xf>
    <xf numFmtId="173" fontId="9" fillId="0" borderId="17" xfId="0" applyNumberFormat="1" applyFont="1" applyFill="1" applyBorder="1" applyAlignment="1">
      <alignment horizontal="center"/>
    </xf>
    <xf numFmtId="0" fontId="21" fillId="0" borderId="8" xfId="0" applyFont="1" applyFill="1" applyBorder="1" applyAlignment="1">
      <alignment horizontal="left" vertical="center"/>
    </xf>
    <xf numFmtId="3" fontId="21" fillId="0" borderId="5" xfId="0" applyNumberFormat="1" applyFont="1" applyFill="1" applyBorder="1" applyAlignment="1">
      <alignment horizontal="right" vertical="center" wrapText="1"/>
    </xf>
    <xf numFmtId="3" fontId="21" fillId="0" borderId="8" xfId="0" applyNumberFormat="1" applyFont="1" applyFill="1" applyBorder="1" applyAlignment="1">
      <alignment horizontal="right" vertical="center" wrapText="1"/>
    </xf>
    <xf numFmtId="3" fontId="13" fillId="0" borderId="18" xfId="0" applyNumberFormat="1" applyFont="1" applyFill="1" applyBorder="1"/>
    <xf numFmtId="0" fontId="13" fillId="0" borderId="18" xfId="0" applyFont="1" applyFill="1" applyBorder="1"/>
    <xf numFmtId="173" fontId="9" fillId="0" borderId="18" xfId="0" applyNumberFormat="1" applyFont="1" applyFill="1" applyBorder="1" applyAlignment="1">
      <alignment horizontal="center"/>
    </xf>
    <xf numFmtId="3" fontId="13" fillId="0" borderId="48" xfId="0" applyNumberFormat="1" applyFont="1" applyFill="1" applyBorder="1"/>
    <xf numFmtId="0" fontId="13" fillId="0" borderId="48" xfId="0" applyFont="1" applyFill="1" applyBorder="1"/>
    <xf numFmtId="173" fontId="9" fillId="0" borderId="48" xfId="0" applyNumberFormat="1" applyFont="1" applyFill="1" applyBorder="1" applyAlignment="1">
      <alignment horizontal="center"/>
    </xf>
    <xf numFmtId="0" fontId="13" fillId="0" borderId="17" xfId="0" applyFont="1" applyFill="1" applyBorder="1"/>
    <xf numFmtId="0" fontId="28" fillId="0" borderId="6" xfId="0" applyFont="1" applyFill="1" applyBorder="1"/>
    <xf numFmtId="0" fontId="21" fillId="0" borderId="5" xfId="0" applyFont="1" applyFill="1" applyBorder="1" applyAlignment="1">
      <alignment horizontal="left" vertical="center"/>
    </xf>
    <xf numFmtId="1" fontId="21" fillId="0" borderId="9" xfId="0" applyNumberFormat="1" applyFont="1" applyFill="1" applyBorder="1" applyAlignment="1">
      <alignment horizontal="center" vertical="center" wrapText="1"/>
    </xf>
    <xf numFmtId="1" fontId="21" fillId="0" borderId="27" xfId="0" applyNumberFormat="1" applyFont="1" applyFill="1" applyBorder="1" applyAlignment="1">
      <alignment horizontal="right" vertical="center" wrapText="1"/>
    </xf>
    <xf numFmtId="1" fontId="21" fillId="0" borderId="5" xfId="0" applyNumberFormat="1" applyFont="1" applyFill="1" applyBorder="1" applyAlignment="1">
      <alignment horizontal="right" vertical="center" wrapText="1"/>
    </xf>
    <xf numFmtId="1" fontId="4" fillId="0" borderId="56" xfId="0" applyNumberFormat="1" applyFont="1" applyFill="1" applyBorder="1" applyAlignment="1">
      <alignment horizontal="left"/>
    </xf>
    <xf numFmtId="173" fontId="9" fillId="0" borderId="56" xfId="0" applyNumberFormat="1" applyFont="1" applyFill="1" applyBorder="1" applyAlignment="1">
      <alignment horizontal="center"/>
    </xf>
    <xf numFmtId="0" fontId="13" fillId="0" borderId="56" xfId="0" applyFont="1" applyFill="1" applyBorder="1"/>
    <xf numFmtId="3" fontId="13" fillId="0" borderId="56" xfId="0" applyNumberFormat="1" applyFont="1" applyFill="1" applyBorder="1"/>
    <xf numFmtId="1" fontId="4" fillId="0" borderId="8" xfId="0" applyNumberFormat="1" applyFont="1" applyFill="1" applyBorder="1" applyAlignment="1">
      <alignment horizontal="center"/>
    </xf>
    <xf numFmtId="0" fontId="22" fillId="0" borderId="6" xfId="0" applyFont="1" applyFill="1" applyBorder="1" applyAlignment="1"/>
    <xf numFmtId="0" fontId="22" fillId="0" borderId="17" xfId="0" applyFont="1" applyFill="1" applyBorder="1" applyAlignment="1"/>
    <xf numFmtId="0" fontId="22" fillId="0" borderId="0" xfId="0" applyFont="1" applyFill="1" applyBorder="1" applyAlignment="1"/>
    <xf numFmtId="1" fontId="21" fillId="0" borderId="18" xfId="0" applyNumberFormat="1" applyFont="1" applyFill="1" applyBorder="1" applyAlignment="1">
      <alignment horizontal="right" vertical="center" wrapText="1"/>
    </xf>
    <xf numFmtId="0" fontId="13" fillId="0" borderId="14" xfId="0" applyFont="1" applyFill="1" applyBorder="1"/>
    <xf numFmtId="3" fontId="21" fillId="0" borderId="18" xfId="0" applyNumberFormat="1" applyFont="1" applyFill="1" applyBorder="1" applyAlignment="1">
      <alignment horizontal="right" vertical="center" wrapText="1"/>
    </xf>
    <xf numFmtId="0" fontId="21" fillId="0" borderId="18" xfId="0" applyFont="1" applyFill="1" applyBorder="1" applyAlignment="1">
      <alignment horizontal="left" vertical="center"/>
    </xf>
    <xf numFmtId="0" fontId="21" fillId="0" borderId="56" xfId="0" applyFont="1" applyFill="1" applyBorder="1" applyAlignment="1">
      <alignment horizontal="left" vertical="center"/>
    </xf>
    <xf numFmtId="3" fontId="21" fillId="0" borderId="56" xfId="0" applyNumberFormat="1" applyFont="1" applyFill="1" applyBorder="1" applyAlignment="1">
      <alignment horizontal="right" vertical="center" wrapText="1"/>
    </xf>
    <xf numFmtId="1" fontId="21" fillId="0" borderId="56" xfId="0" applyNumberFormat="1" applyFont="1" applyFill="1" applyBorder="1" applyAlignment="1">
      <alignment horizontal="right" vertical="center" wrapText="1"/>
    </xf>
    <xf numFmtId="0" fontId="22" fillId="0" borderId="38" xfId="0" applyFont="1" applyFill="1" applyBorder="1" applyAlignment="1"/>
    <xf numFmtId="0" fontId="22" fillId="0" borderId="18" xfId="0" applyFont="1" applyFill="1" applyBorder="1" applyAlignment="1"/>
    <xf numFmtId="0" fontId="28" fillId="0" borderId="38" xfId="0" applyFont="1" applyFill="1" applyBorder="1" applyAlignment="1">
      <alignment horizontal="center" vertical="center"/>
    </xf>
    <xf numFmtId="0" fontId="28" fillId="0" borderId="18" xfId="0" applyFont="1" applyFill="1" applyBorder="1" applyAlignment="1">
      <alignment horizontal="center" vertical="center"/>
    </xf>
    <xf numFmtId="0" fontId="28" fillId="0" borderId="27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17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50" xfId="0" applyFont="1" applyFill="1" applyBorder="1" applyAlignment="1">
      <alignment horizontal="center" vertical="center"/>
    </xf>
    <xf numFmtId="0" fontId="28" fillId="0" borderId="48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horizontal="center" vertical="center"/>
    </xf>
    <xf numFmtId="1" fontId="36" fillId="0" borderId="0" xfId="0" applyNumberFormat="1" applyFont="1" applyFill="1" applyAlignment="1"/>
    <xf numFmtId="0" fontId="36" fillId="0" borderId="34" xfId="0" applyFont="1" applyBorder="1" applyAlignment="1"/>
    <xf numFmtId="0" fontId="28" fillId="0" borderId="4" xfId="0" applyFont="1" applyFill="1" applyBorder="1" applyAlignment="1">
      <alignment horizontal="center" vertical="center"/>
    </xf>
    <xf numFmtId="0" fontId="28" fillId="0" borderId="56" xfId="0" applyFont="1" applyFill="1" applyBorder="1" applyAlignment="1">
      <alignment horizontal="center" vertical="center"/>
    </xf>
    <xf numFmtId="0" fontId="28" fillId="0" borderId="8" xfId="0" applyFont="1" applyFill="1" applyBorder="1" applyAlignment="1">
      <alignment horizontal="center" vertical="center"/>
    </xf>
    <xf numFmtId="0" fontId="28" fillId="0" borderId="26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81" fillId="0" borderId="0" xfId="0" applyFont="1" applyFill="1"/>
    <xf numFmtId="3" fontId="81" fillId="0" borderId="0" xfId="0" applyNumberFormat="1" applyFont="1" applyFill="1"/>
    <xf numFmtId="0" fontId="12" fillId="0" borderId="0" xfId="0" applyFont="1" applyAlignment="1">
      <alignment horizontal="right"/>
    </xf>
    <xf numFmtId="0" fontId="4" fillId="0" borderId="0" xfId="0" applyFont="1" applyBorder="1" applyAlignment="1">
      <alignment vertical="top"/>
    </xf>
    <xf numFmtId="0" fontId="4" fillId="0" borderId="2" xfId="0" applyFont="1" applyBorder="1" applyAlignment="1"/>
    <xf numFmtId="0" fontId="44" fillId="0" borderId="2" xfId="0" applyFont="1" applyBorder="1" applyAlignment="1"/>
    <xf numFmtId="0" fontId="11" fillId="0" borderId="2" xfId="0" applyFont="1" applyBorder="1" applyAlignment="1"/>
    <xf numFmtId="0" fontId="12" fillId="0" borderId="34" xfId="0" applyFont="1" applyBorder="1" applyAlignment="1">
      <alignment vertical="top"/>
    </xf>
    <xf numFmtId="1" fontId="11" fillId="0" borderId="2" xfId="0" applyNumberFormat="1" applyFont="1" applyBorder="1" applyAlignment="1">
      <alignment horizontal="left"/>
    </xf>
    <xf numFmtId="0" fontId="9" fillId="0" borderId="0" xfId="0" applyFont="1" applyFill="1"/>
    <xf numFmtId="3" fontId="9" fillId="0" borderId="0" xfId="0" applyNumberFormat="1" applyFont="1" applyFill="1"/>
    <xf numFmtId="3" fontId="11" fillId="0" borderId="0" xfId="0" applyNumberFormat="1" applyFont="1" applyBorder="1" applyAlignment="1">
      <alignment horizontal="right"/>
    </xf>
    <xf numFmtId="167" fontId="28" fillId="0" borderId="0" xfId="0" applyNumberFormat="1" applyFont="1" applyFill="1" applyAlignment="1">
      <alignment shrinkToFit="1"/>
    </xf>
    <xf numFmtId="3" fontId="17" fillId="0" borderId="0" xfId="0" applyNumberFormat="1" applyFont="1" applyFill="1"/>
    <xf numFmtId="0" fontId="11" fillId="0" borderId="0" xfId="0" applyFont="1" applyAlignment="1">
      <alignment horizontal="right"/>
    </xf>
    <xf numFmtId="3" fontId="28" fillId="0" borderId="0" xfId="0" applyNumberFormat="1" applyFont="1" applyFill="1" applyAlignment="1"/>
    <xf numFmtId="168" fontId="28" fillId="0" borderId="0" xfId="0" applyNumberFormat="1" applyFont="1" applyFill="1"/>
    <xf numFmtId="3" fontId="8" fillId="0" borderId="0" xfId="0" applyNumberFormat="1" applyFont="1" applyBorder="1" applyAlignment="1">
      <alignment horizontal="right"/>
    </xf>
    <xf numFmtId="49" fontId="9" fillId="0" borderId="17" xfId="0" applyNumberFormat="1" applyFont="1" applyBorder="1" applyAlignment="1">
      <alignment horizontal="left" vertical="top"/>
    </xf>
    <xf numFmtId="0" fontId="11" fillId="0" borderId="2" xfId="0" applyFont="1" applyBorder="1" applyAlignment="1">
      <alignment vertical="top"/>
    </xf>
    <xf numFmtId="0" fontId="14" fillId="0" borderId="17" xfId="0" applyFont="1" applyBorder="1" applyAlignment="1">
      <alignment vertical="top"/>
    </xf>
    <xf numFmtId="0" fontId="14" fillId="0" borderId="17" xfId="0" applyFont="1" applyBorder="1" applyAlignment="1"/>
    <xf numFmtId="0" fontId="11" fillId="0" borderId="17" xfId="0" applyFont="1" applyBorder="1" applyAlignment="1">
      <alignment vertical="top"/>
    </xf>
    <xf numFmtId="0" fontId="11" fillId="0" borderId="17" xfId="0" applyFont="1" applyBorder="1" applyAlignment="1"/>
    <xf numFmtId="0" fontId="11" fillId="0" borderId="0" xfId="0" applyFont="1" applyBorder="1"/>
    <xf numFmtId="49" fontId="9" fillId="0" borderId="17" xfId="0" applyNumberFormat="1" applyFont="1" applyFill="1" applyBorder="1" applyAlignment="1">
      <alignment horizontal="left" vertical="top"/>
    </xf>
    <xf numFmtId="3" fontId="14" fillId="0" borderId="17" xfId="0" applyNumberFormat="1" applyFont="1" applyFill="1" applyBorder="1" applyAlignment="1">
      <alignment vertical="top"/>
    </xf>
    <xf numFmtId="166" fontId="14" fillId="0" borderId="21" xfId="0" applyNumberFormat="1" applyFont="1" applyFill="1" applyBorder="1" applyAlignment="1">
      <alignment vertical="top"/>
    </xf>
    <xf numFmtId="3" fontId="13" fillId="0" borderId="17" xfId="0" applyNumberFormat="1" applyFont="1" applyFill="1" applyBorder="1" applyAlignment="1">
      <alignment vertical="top"/>
    </xf>
    <xf numFmtId="166" fontId="13" fillId="0" borderId="25" xfId="0" applyNumberFormat="1" applyFont="1" applyFill="1" applyBorder="1" applyAlignment="1">
      <alignment vertical="top"/>
    </xf>
    <xf numFmtId="166" fontId="14" fillId="0" borderId="25" xfId="0" applyNumberFormat="1" applyFont="1" applyFill="1" applyBorder="1" applyAlignment="1">
      <alignment vertical="top"/>
    </xf>
    <xf numFmtId="3" fontId="14" fillId="0" borderId="2" xfId="0" applyNumberFormat="1" applyFont="1" applyFill="1" applyBorder="1" applyAlignment="1">
      <alignment vertical="top"/>
    </xf>
    <xf numFmtId="49" fontId="9" fillId="0" borderId="2" xfId="0" applyNumberFormat="1" applyFont="1" applyFill="1" applyBorder="1" applyAlignment="1">
      <alignment horizontal="left" vertical="center"/>
    </xf>
    <xf numFmtId="49" fontId="9" fillId="0" borderId="2" xfId="3" applyNumberFormat="1" applyFont="1" applyBorder="1" applyAlignment="1">
      <alignment horizontal="left"/>
    </xf>
    <xf numFmtId="3" fontId="11" fillId="0" borderId="21" xfId="3" applyFont="1" applyBorder="1" applyAlignment="1">
      <alignment horizontal="right"/>
    </xf>
    <xf numFmtId="3" fontId="11" fillId="0" borderId="0" xfId="3" applyFont="1"/>
    <xf numFmtId="49" fontId="9" fillId="0" borderId="14" xfId="3" applyNumberFormat="1" applyFont="1" applyBorder="1" applyAlignment="1">
      <alignment horizontal="left" vertical="top"/>
    </xf>
    <xf numFmtId="3" fontId="14" fillId="0" borderId="0" xfId="3" applyFont="1" applyAlignment="1">
      <alignment wrapText="1"/>
    </xf>
    <xf numFmtId="1" fontId="21" fillId="0" borderId="17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vertical="top"/>
    </xf>
    <xf numFmtId="0" fontId="34" fillId="0" borderId="2" xfId="0" applyFont="1" applyFill="1" applyBorder="1" applyAlignment="1">
      <alignment horizontal="center" vertical="center"/>
    </xf>
    <xf numFmtId="3" fontId="14" fillId="0" borderId="0" xfId="0" applyNumberFormat="1" applyFont="1" applyBorder="1" applyAlignment="1">
      <alignment horizontal="right"/>
    </xf>
    <xf numFmtId="3" fontId="83" fillId="0" borderId="0" xfId="0" applyNumberFormat="1" applyFont="1" applyFill="1" applyBorder="1" applyAlignment="1">
      <alignment horizontal="center" vertical="center"/>
    </xf>
    <xf numFmtId="3" fontId="84" fillId="0" borderId="0" xfId="0" applyNumberFormat="1" applyFont="1" applyFill="1" applyBorder="1" applyAlignment="1">
      <alignment horizontal="center" vertical="center"/>
    </xf>
    <xf numFmtId="4" fontId="85" fillId="0" borderId="0" xfId="0" applyNumberFormat="1" applyFont="1" applyFill="1" applyBorder="1"/>
    <xf numFmtId="4" fontId="86" fillId="0" borderId="0" xfId="0" applyNumberFormat="1" applyFont="1" applyFill="1" applyBorder="1"/>
    <xf numFmtId="4" fontId="87" fillId="0" borderId="0" xfId="0" applyNumberFormat="1" applyFont="1" applyFill="1"/>
    <xf numFmtId="4" fontId="88" fillId="0" borderId="0" xfId="0" applyNumberFormat="1" applyFont="1" applyFill="1"/>
    <xf numFmtId="0" fontId="83" fillId="0" borderId="0" xfId="0" applyFont="1" applyFill="1"/>
    <xf numFmtId="0" fontId="21" fillId="0" borderId="12" xfId="0" applyFont="1" applyFill="1" applyBorder="1" applyAlignment="1">
      <alignment vertical="top"/>
    </xf>
    <xf numFmtId="0" fontId="23" fillId="0" borderId="17" xfId="0" applyFont="1" applyFill="1" applyBorder="1" applyAlignment="1">
      <alignment vertical="center" wrapText="1"/>
    </xf>
    <xf numFmtId="4" fontId="85" fillId="0" borderId="0" xfId="0" applyNumberFormat="1" applyFont="1" applyFill="1" applyBorder="1" applyAlignment="1">
      <alignment vertical="center" wrapText="1"/>
    </xf>
    <xf numFmtId="3" fontId="8" fillId="0" borderId="27" xfId="0" applyNumberFormat="1" applyFont="1" applyFill="1" applyBorder="1" applyAlignment="1">
      <alignment horizontal="right"/>
    </xf>
    <xf numFmtId="167" fontId="67" fillId="0" borderId="10" xfId="0" applyNumberFormat="1" applyFont="1" applyFill="1" applyBorder="1" applyAlignment="1"/>
    <xf numFmtId="1" fontId="34" fillId="0" borderId="0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left" vertical="top"/>
    </xf>
    <xf numFmtId="167" fontId="8" fillId="0" borderId="35" xfId="0" applyNumberFormat="1" applyFont="1" applyBorder="1" applyAlignment="1">
      <alignment horizontal="right"/>
    </xf>
    <xf numFmtId="3" fontId="11" fillId="0" borderId="2" xfId="0" applyNumberFormat="1" applyFont="1" applyFill="1" applyBorder="1" applyAlignment="1">
      <alignment horizontal="right" vertical="top"/>
    </xf>
    <xf numFmtId="3" fontId="11" fillId="0" borderId="0" xfId="0" applyNumberFormat="1" applyFont="1" applyFill="1" applyBorder="1" applyAlignment="1">
      <alignment horizontal="right" vertical="top"/>
    </xf>
    <xf numFmtId="167" fontId="8" fillId="0" borderId="30" xfId="0" applyNumberFormat="1" applyFont="1" applyBorder="1" applyAlignment="1">
      <alignment horizontal="right"/>
    </xf>
    <xf numFmtId="167" fontId="13" fillId="0" borderId="30" xfId="0" applyNumberFormat="1" applyFont="1" applyBorder="1" applyAlignment="1">
      <alignment horizontal="right"/>
    </xf>
    <xf numFmtId="167" fontId="11" fillId="0" borderId="35" xfId="0" applyNumberFormat="1" applyFont="1" applyBorder="1" applyAlignment="1">
      <alignment horizontal="right"/>
    </xf>
    <xf numFmtId="167" fontId="13" fillId="0" borderId="35" xfId="0" applyNumberFormat="1" applyFont="1" applyBorder="1" applyAlignment="1">
      <alignment horizontal="right"/>
    </xf>
    <xf numFmtId="1" fontId="9" fillId="0" borderId="9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1" fontId="4" fillId="0" borderId="0" xfId="0" applyNumberFormat="1" applyFont="1" applyBorder="1" applyAlignment="1">
      <alignment horizontal="left" vertical="top"/>
    </xf>
    <xf numFmtId="3" fontId="8" fillId="0" borderId="0" xfId="0" applyNumberFormat="1" applyFont="1" applyFill="1" applyBorder="1" applyAlignment="1">
      <alignment horizontal="right" vertical="top"/>
    </xf>
    <xf numFmtId="167" fontId="8" fillId="0" borderId="25" xfId="0" applyNumberFormat="1" applyFont="1" applyBorder="1" applyAlignment="1">
      <alignment horizontal="right" vertical="top"/>
    </xf>
    <xf numFmtId="1" fontId="4" fillId="0" borderId="6" xfId="0" applyNumberFormat="1" applyFont="1" applyBorder="1" applyAlignment="1">
      <alignment horizontal="left" vertical="top"/>
    </xf>
    <xf numFmtId="1" fontId="8" fillId="0" borderId="17" xfId="0" applyNumberFormat="1" applyFont="1" applyBorder="1" applyAlignment="1">
      <alignment horizontal="left"/>
    </xf>
    <xf numFmtId="1" fontId="13" fillId="0" borderId="17" xfId="0" applyNumberFormat="1" applyFont="1" applyBorder="1" applyAlignment="1">
      <alignment horizontal="left"/>
    </xf>
    <xf numFmtId="0" fontId="13" fillId="0" borderId="17" xfId="0" applyFont="1" applyBorder="1" applyAlignment="1"/>
    <xf numFmtId="168" fontId="26" fillId="0" borderId="2" xfId="0" applyNumberFormat="1" applyFont="1" applyBorder="1" applyAlignment="1">
      <alignment horizontal="left" vertical="top"/>
    </xf>
    <xf numFmtId="1" fontId="26" fillId="0" borderId="2" xfId="0" applyNumberFormat="1" applyFont="1" applyBorder="1" applyAlignment="1">
      <alignment horizontal="left"/>
    </xf>
    <xf numFmtId="166" fontId="11" fillId="0" borderId="25" xfId="0" applyNumberFormat="1" applyFont="1" applyBorder="1" applyAlignment="1">
      <alignment horizontal="right" vertical="top"/>
    </xf>
    <xf numFmtId="1" fontId="12" fillId="0" borderId="6" xfId="0" applyNumberFormat="1" applyFont="1" applyBorder="1" applyAlignment="1">
      <alignment horizontal="left"/>
    </xf>
    <xf numFmtId="3" fontId="23" fillId="0" borderId="17" xfId="0" applyNumberFormat="1" applyFont="1" applyFill="1" applyBorder="1" applyAlignment="1"/>
    <xf numFmtId="1" fontId="65" fillId="0" borderId="0" xfId="0" applyNumberFormat="1" applyFont="1" applyBorder="1" applyAlignment="1">
      <alignment horizontal="left"/>
    </xf>
    <xf numFmtId="1" fontId="65" fillId="0" borderId="6" xfId="0" applyNumberFormat="1" applyFont="1" applyBorder="1" applyAlignment="1">
      <alignment horizontal="left"/>
    </xf>
    <xf numFmtId="49" fontId="26" fillId="0" borderId="34" xfId="0" applyNumberFormat="1" applyFont="1" applyBorder="1" applyAlignment="1">
      <alignment horizontal="left"/>
    </xf>
    <xf numFmtId="3" fontId="11" fillId="0" borderId="34" xfId="0" applyNumberFormat="1" applyFont="1" applyBorder="1" applyAlignment="1">
      <alignment horizontal="right"/>
    </xf>
    <xf numFmtId="0" fontId="12" fillId="0" borderId="0" xfId="0" applyFont="1" applyAlignment="1">
      <alignment wrapText="1"/>
    </xf>
    <xf numFmtId="3" fontId="12" fillId="3" borderId="0" xfId="0" applyNumberFormat="1" applyFont="1" applyFill="1" applyBorder="1"/>
    <xf numFmtId="167" fontId="11" fillId="3" borderId="25" xfId="0" applyNumberFormat="1" applyFont="1" applyFill="1" applyBorder="1" applyAlignment="1">
      <alignment horizontal="right"/>
    </xf>
    <xf numFmtId="167" fontId="11" fillId="0" borderId="25" xfId="0" applyNumberFormat="1" applyFont="1" applyBorder="1" applyAlignment="1">
      <alignment horizontal="right" vertical="top"/>
    </xf>
    <xf numFmtId="167" fontId="13" fillId="3" borderId="25" xfId="0" applyNumberFormat="1" applyFont="1" applyFill="1" applyBorder="1" applyAlignment="1">
      <alignment horizontal="right"/>
    </xf>
    <xf numFmtId="0" fontId="59" fillId="0" borderId="0" xfId="0" applyFont="1" applyAlignment="1"/>
    <xf numFmtId="168" fontId="9" fillId="3" borderId="0" xfId="0" applyNumberFormat="1" applyFont="1" applyFill="1" applyBorder="1" applyAlignment="1">
      <alignment horizontal="left"/>
    </xf>
    <xf numFmtId="0" fontId="8" fillId="0" borderId="0" xfId="0" applyFont="1" applyAlignment="1">
      <alignment horizontal="right"/>
    </xf>
    <xf numFmtId="168" fontId="20" fillId="3" borderId="0" xfId="0" applyNumberFormat="1" applyFont="1" applyFill="1" applyBorder="1" applyAlignment="1"/>
    <xf numFmtId="0" fontId="11" fillId="0" borderId="0" xfId="0" applyFont="1" applyFill="1" applyAlignment="1">
      <alignment horizontal="right"/>
    </xf>
    <xf numFmtId="49" fontId="9" fillId="0" borderId="34" xfId="0" applyNumberFormat="1" applyFont="1" applyBorder="1" applyAlignment="1">
      <alignment horizontal="left"/>
    </xf>
    <xf numFmtId="3" fontId="12" fillId="0" borderId="0" xfId="0" applyNumberFormat="1" applyFont="1" applyBorder="1" applyAlignment="1">
      <alignment horizontal="right"/>
    </xf>
    <xf numFmtId="0" fontId="8" fillId="0" borderId="2" xfId="0" applyFont="1" applyBorder="1"/>
    <xf numFmtId="0" fontId="13" fillId="0" borderId="2" xfId="0" applyFont="1" applyBorder="1" applyAlignment="1">
      <alignment vertical="top" wrapText="1"/>
    </xf>
    <xf numFmtId="0" fontId="13" fillId="0" borderId="2" xfId="0" applyFont="1" applyBorder="1" applyAlignment="1">
      <alignment vertical="top"/>
    </xf>
    <xf numFmtId="0" fontId="13" fillId="0" borderId="9" xfId="0" applyFont="1" applyBorder="1" applyAlignment="1"/>
    <xf numFmtId="1" fontId="8" fillId="0" borderId="9" xfId="0" applyNumberFormat="1" applyFont="1" applyBorder="1" applyAlignment="1">
      <alignment horizontal="left"/>
    </xf>
    <xf numFmtId="0" fontId="12" fillId="0" borderId="14" xfId="0" applyFont="1" applyBorder="1" applyAlignment="1"/>
    <xf numFmtId="3" fontId="7" fillId="0" borderId="53" xfId="0" applyNumberFormat="1" applyFont="1" applyFill="1" applyBorder="1"/>
    <xf numFmtId="1" fontId="4" fillId="0" borderId="12" xfId="0" applyNumberFormat="1" applyFont="1" applyFill="1" applyBorder="1" applyAlignment="1">
      <alignment horizontal="left"/>
    </xf>
    <xf numFmtId="0" fontId="7" fillId="3" borderId="2" xfId="0" applyFont="1" applyFill="1" applyBorder="1"/>
    <xf numFmtId="0" fontId="9" fillId="3" borderId="27" xfId="0" applyFont="1" applyFill="1" applyBorder="1" applyAlignment="1">
      <alignment horizontal="left"/>
    </xf>
    <xf numFmtId="1" fontId="7" fillId="3" borderId="12" xfId="0" applyNumberFormat="1" applyFont="1" applyFill="1" applyBorder="1" applyAlignment="1">
      <alignment horizontal="left"/>
    </xf>
    <xf numFmtId="168" fontId="9" fillId="0" borderId="0" xfId="0" applyNumberFormat="1" applyFont="1" applyBorder="1" applyAlignment="1">
      <alignment horizontal="left"/>
    </xf>
    <xf numFmtId="49" fontId="26" fillId="0" borderId="0" xfId="0" applyNumberFormat="1" applyFont="1" applyBorder="1" applyAlignment="1">
      <alignment horizontal="left"/>
    </xf>
    <xf numFmtId="1" fontId="12" fillId="0" borderId="12" xfId="0" applyNumberFormat="1" applyFont="1" applyBorder="1" applyAlignment="1">
      <alignment horizontal="left"/>
    </xf>
    <xf numFmtId="3" fontId="11" fillId="0" borderId="2" xfId="0" applyNumberFormat="1" applyFont="1" applyFill="1" applyBorder="1" applyAlignment="1">
      <alignment vertical="top"/>
    </xf>
    <xf numFmtId="168" fontId="9" fillId="0" borderId="27" xfId="0" applyNumberFormat="1" applyFont="1" applyBorder="1" applyAlignment="1">
      <alignment horizontal="left" vertical="top"/>
    </xf>
    <xf numFmtId="49" fontId="9" fillId="3" borderId="0" xfId="0" applyNumberFormat="1" applyFont="1" applyFill="1" applyBorder="1" applyAlignment="1">
      <alignment horizontal="left" vertical="top"/>
    </xf>
    <xf numFmtId="3" fontId="54" fillId="0" borderId="5" xfId="0" applyNumberFormat="1" applyFont="1" applyFill="1" applyBorder="1"/>
    <xf numFmtId="3" fontId="38" fillId="0" borderId="5" xfId="0" applyNumberFormat="1" applyFont="1" applyFill="1" applyBorder="1" applyAlignment="1"/>
    <xf numFmtId="3" fontId="54" fillId="0" borderId="14" xfId="0" applyNumberFormat="1" applyFont="1" applyFill="1" applyBorder="1"/>
    <xf numFmtId="3" fontId="11" fillId="0" borderId="14" xfId="0" applyNumberFormat="1" applyFont="1" applyFill="1" applyBorder="1" applyAlignment="1">
      <alignment horizontal="right" vertical="top"/>
    </xf>
    <xf numFmtId="168" fontId="9" fillId="0" borderId="0" xfId="0" applyNumberFormat="1" applyFont="1" applyBorder="1" applyAlignment="1">
      <alignment horizontal="left" vertical="top"/>
    </xf>
    <xf numFmtId="166" fontId="51" fillId="0" borderId="0" xfId="0" applyNumberFormat="1" applyFont="1" applyFill="1" applyBorder="1"/>
    <xf numFmtId="1" fontId="34" fillId="0" borderId="5" xfId="0" applyNumberFormat="1" applyFont="1" applyFill="1" applyBorder="1" applyAlignment="1">
      <alignment horizontal="center" vertical="center"/>
    </xf>
    <xf numFmtId="3" fontId="23" fillId="0" borderId="2" xfId="0" applyNumberFormat="1" applyFont="1" applyFill="1" applyBorder="1" applyAlignment="1">
      <alignment horizontal="right" vertical="center" wrapText="1"/>
    </xf>
    <xf numFmtId="167" fontId="8" fillId="0" borderId="25" xfId="0" applyNumberFormat="1" applyFont="1" applyFill="1" applyBorder="1" applyAlignment="1">
      <alignment horizontal="right"/>
    </xf>
    <xf numFmtId="0" fontId="3" fillId="0" borderId="1" xfId="0" applyFont="1" applyFill="1" applyBorder="1"/>
    <xf numFmtId="166" fontId="3" fillId="0" borderId="0" xfId="0" applyNumberFormat="1" applyFont="1" applyFill="1"/>
    <xf numFmtId="0" fontId="3" fillId="0" borderId="38" xfId="0" applyFont="1" applyFill="1" applyBorder="1"/>
    <xf numFmtId="0" fontId="3" fillId="0" borderId="2" xfId="0" applyFont="1" applyFill="1" applyBorder="1"/>
    <xf numFmtId="0" fontId="3" fillId="0" borderId="17" xfId="0" applyFont="1" applyFill="1" applyBorder="1"/>
    <xf numFmtId="0" fontId="3" fillId="0" borderId="50" xfId="0" applyFont="1" applyFill="1" applyBorder="1"/>
    <xf numFmtId="0" fontId="3" fillId="0" borderId="48" xfId="0" applyFont="1" applyFill="1" applyBorder="1"/>
    <xf numFmtId="1" fontId="11" fillId="0" borderId="48" xfId="0" applyNumberFormat="1" applyFont="1" applyFill="1" applyBorder="1" applyAlignment="1">
      <alignment horizontal="left"/>
    </xf>
    <xf numFmtId="0" fontId="3" fillId="0" borderId="0" xfId="0" applyFont="1" applyFill="1" applyBorder="1"/>
    <xf numFmtId="0" fontId="3" fillId="0" borderId="15" xfId="0" applyFont="1" applyFill="1" applyBorder="1"/>
    <xf numFmtId="0" fontId="3" fillId="0" borderId="6" xfId="0" applyFont="1" applyFill="1" applyBorder="1" applyAlignment="1">
      <alignment horizontal="center" vertical="center"/>
    </xf>
    <xf numFmtId="0" fontId="3" fillId="0" borderId="14" xfId="0" applyFont="1" applyFill="1" applyBorder="1"/>
    <xf numFmtId="0" fontId="23" fillId="0" borderId="2" xfId="0" applyFont="1" applyBorder="1"/>
    <xf numFmtId="0" fontId="3" fillId="0" borderId="47" xfId="0" applyFont="1" applyFill="1" applyBorder="1"/>
    <xf numFmtId="49" fontId="9" fillId="0" borderId="2" xfId="0" applyNumberFormat="1" applyFont="1" applyBorder="1" applyAlignment="1">
      <alignment horizontal="left" vertical="center"/>
    </xf>
    <xf numFmtId="49" fontId="9" fillId="3" borderId="2" xfId="0" applyNumberFormat="1" applyFont="1" applyFill="1" applyBorder="1" applyAlignment="1">
      <alignment horizontal="left" vertical="top"/>
    </xf>
    <xf numFmtId="0" fontId="23" fillId="3" borderId="2" xfId="0" applyFont="1" applyFill="1" applyBorder="1" applyAlignment="1">
      <alignment wrapText="1"/>
    </xf>
    <xf numFmtId="3" fontId="23" fillId="0" borderId="17" xfId="0" applyNumberFormat="1" applyFont="1" applyFill="1" applyBorder="1" applyAlignment="1">
      <alignment horizontal="right" vertical="center" wrapText="1"/>
    </xf>
    <xf numFmtId="166" fontId="13" fillId="0" borderId="0" xfId="0" applyNumberFormat="1" applyFont="1" applyFill="1" applyBorder="1"/>
    <xf numFmtId="1" fontId="21" fillId="0" borderId="2" xfId="0" applyNumberFormat="1" applyFont="1" applyFill="1" applyBorder="1" applyAlignment="1">
      <alignment horizontal="right" vertical="center" wrapText="1"/>
    </xf>
    <xf numFmtId="0" fontId="3" fillId="0" borderId="11" xfId="0" applyFont="1" applyFill="1" applyBorder="1"/>
    <xf numFmtId="0" fontId="3" fillId="0" borderId="3" xfId="0" applyFont="1" applyFill="1" applyBorder="1"/>
    <xf numFmtId="0" fontId="3" fillId="0" borderId="8" xfId="0" applyFont="1" applyBorder="1"/>
    <xf numFmtId="0" fontId="3" fillId="0" borderId="56" xfId="0" applyFont="1" applyBorder="1"/>
    <xf numFmtId="0" fontId="3" fillId="0" borderId="0" xfId="0" applyFont="1" applyBorder="1"/>
    <xf numFmtId="0" fontId="50" fillId="0" borderId="0" xfId="0" applyFont="1" applyFill="1" applyBorder="1" applyAlignment="1">
      <alignment horizontal="left"/>
    </xf>
    <xf numFmtId="166" fontId="50" fillId="0" borderId="0" xfId="0" applyNumberFormat="1" applyFont="1" applyFill="1" applyBorder="1" applyAlignment="1">
      <alignment horizontal="right" vertical="center"/>
    </xf>
    <xf numFmtId="0" fontId="50" fillId="0" borderId="0" xfId="0" applyFont="1" applyFill="1" applyBorder="1"/>
    <xf numFmtId="0" fontId="53" fillId="0" borderId="0" xfId="0" applyFont="1" applyFill="1" applyBorder="1" applyAlignment="1">
      <alignment horizontal="left"/>
    </xf>
    <xf numFmtId="3" fontId="53" fillId="0" borderId="0" xfId="0" applyNumberFormat="1" applyFont="1" applyFill="1" applyBorder="1" applyAlignment="1">
      <alignment horizontal="right"/>
    </xf>
    <xf numFmtId="166" fontId="53" fillId="0" borderId="0" xfId="0" applyNumberFormat="1" applyFont="1" applyFill="1" applyBorder="1" applyAlignment="1">
      <alignment horizontal="right" vertical="center"/>
    </xf>
    <xf numFmtId="0" fontId="53" fillId="0" borderId="0" xfId="0" applyFont="1" applyFill="1" applyBorder="1"/>
    <xf numFmtId="0" fontId="89" fillId="0" borderId="0" xfId="0" applyFont="1" applyFill="1"/>
    <xf numFmtId="3" fontId="30" fillId="0" borderId="10" xfId="0" applyNumberFormat="1" applyFont="1" applyFill="1" applyBorder="1" applyAlignment="1">
      <alignment shrinkToFit="1"/>
    </xf>
    <xf numFmtId="0" fontId="13" fillId="0" borderId="17" xfId="0" applyFont="1" applyBorder="1"/>
    <xf numFmtId="166" fontId="13" fillId="0" borderId="30" xfId="7" applyNumberFormat="1" applyFont="1" applyBorder="1" applyAlignment="1">
      <alignment horizontal="right"/>
    </xf>
    <xf numFmtId="166" fontId="11" fillId="0" borderId="25" xfId="7" applyNumberFormat="1" applyFont="1" applyBorder="1" applyAlignment="1">
      <alignment horizontal="right"/>
    </xf>
    <xf numFmtId="166" fontId="13" fillId="0" borderId="25" xfId="7" applyNumberFormat="1" applyFont="1" applyBorder="1" applyAlignment="1">
      <alignment horizontal="right"/>
    </xf>
    <xf numFmtId="166" fontId="8" fillId="3" borderId="25" xfId="7" applyNumberFormat="1" applyFont="1" applyFill="1" applyBorder="1" applyAlignment="1">
      <alignment horizontal="right"/>
    </xf>
    <xf numFmtId="166" fontId="11" fillId="3" borderId="35" xfId="7" applyNumberFormat="1" applyFont="1" applyFill="1" applyBorder="1" applyAlignment="1">
      <alignment horizontal="right"/>
    </xf>
    <xf numFmtId="3" fontId="21" fillId="0" borderId="2" xfId="0" applyNumberFormat="1" applyFont="1" applyFill="1" applyBorder="1" applyAlignment="1"/>
    <xf numFmtId="3" fontId="40" fillId="0" borderId="51" xfId="0" applyNumberFormat="1" applyFont="1" applyFill="1" applyBorder="1" applyAlignment="1"/>
    <xf numFmtId="167" fontId="40" fillId="0" borderId="51" xfId="0" applyNumberFormat="1" applyFont="1" applyFill="1" applyBorder="1"/>
    <xf numFmtId="1" fontId="40" fillId="0" borderId="10" xfId="0" applyNumberFormat="1" applyFont="1" applyFill="1" applyBorder="1" applyAlignment="1">
      <alignment horizontal="left" vertical="top"/>
    </xf>
    <xf numFmtId="3" fontId="40" fillId="0" borderId="10" xfId="0" applyNumberFormat="1" applyFont="1" applyFill="1" applyBorder="1" applyAlignment="1">
      <alignment vertical="top"/>
    </xf>
    <xf numFmtId="167" fontId="40" fillId="0" borderId="10" xfId="0" applyNumberFormat="1" applyFont="1" applyFill="1" applyBorder="1" applyAlignment="1">
      <alignment vertical="top"/>
    </xf>
    <xf numFmtId="1" fontId="12" fillId="3" borderId="15" xfId="0" applyNumberFormat="1" applyFont="1" applyFill="1" applyBorder="1" applyAlignment="1">
      <alignment horizontal="left"/>
    </xf>
    <xf numFmtId="3" fontId="52" fillId="0" borderId="0" xfId="0" applyNumberFormat="1" applyFont="1" applyFill="1" applyBorder="1" applyAlignment="1"/>
    <xf numFmtId="3" fontId="23" fillId="0" borderId="2" xfId="0" applyNumberFormat="1" applyFont="1" applyFill="1" applyBorder="1" applyAlignment="1">
      <alignment horizontal="right" vertical="center"/>
    </xf>
    <xf numFmtId="3" fontId="23" fillId="0" borderId="0" xfId="0" applyNumberFormat="1" applyFont="1" applyFill="1" applyBorder="1" applyAlignment="1">
      <alignment horizontal="right" vertical="center" wrapText="1"/>
    </xf>
    <xf numFmtId="0" fontId="66" fillId="0" borderId="0" xfId="0" applyFont="1" applyFill="1" applyAlignment="1">
      <alignment vertical="top"/>
    </xf>
    <xf numFmtId="1" fontId="12" fillId="0" borderId="17" xfId="0" applyNumberFormat="1" applyFont="1" applyBorder="1" applyAlignment="1">
      <alignment horizontal="left"/>
    </xf>
    <xf numFmtId="4" fontId="28" fillId="0" borderId="0" xfId="0" applyNumberFormat="1" applyFont="1" applyFill="1"/>
    <xf numFmtId="1" fontId="12" fillId="0" borderId="50" xfId="0" applyNumberFormat="1" applyFont="1" applyBorder="1" applyAlignment="1">
      <alignment horizontal="left"/>
    </xf>
    <xf numFmtId="3" fontId="13" fillId="0" borderId="48" xfId="0" applyNumberFormat="1" applyFont="1" applyBorder="1" applyAlignment="1">
      <alignment horizontal="right"/>
    </xf>
    <xf numFmtId="3" fontId="13" fillId="0" borderId="17" xfId="0" applyNumberFormat="1" applyFont="1" applyBorder="1" applyAlignment="1">
      <alignment horizontal="right"/>
    </xf>
    <xf numFmtId="166" fontId="11" fillId="0" borderId="21" xfId="0" applyNumberFormat="1" applyFont="1" applyBorder="1" applyAlignment="1">
      <alignment horizontal="right"/>
    </xf>
    <xf numFmtId="49" fontId="26" fillId="0" borderId="48" xfId="0" applyNumberFormat="1" applyFont="1" applyBorder="1" applyAlignment="1">
      <alignment horizontal="left"/>
    </xf>
    <xf numFmtId="0" fontId="50" fillId="0" borderId="0" xfId="0" applyFont="1" applyFill="1" applyAlignment="1">
      <alignment vertical="top"/>
    </xf>
    <xf numFmtId="0" fontId="23" fillId="0" borderId="0" xfId="0" applyFont="1" applyFill="1" applyAlignment="1">
      <alignment vertical="top"/>
    </xf>
    <xf numFmtId="3" fontId="9" fillId="0" borderId="0" xfId="0" applyNumberFormat="1" applyFont="1" applyFill="1" applyBorder="1"/>
    <xf numFmtId="3" fontId="4" fillId="0" borderId="0" xfId="0" applyNumberFormat="1" applyFont="1" applyFill="1" applyBorder="1"/>
    <xf numFmtId="3" fontId="23" fillId="0" borderId="1" xfId="0" applyNumberFormat="1" applyFont="1" applyFill="1" applyBorder="1"/>
    <xf numFmtId="168" fontId="52" fillId="0" borderId="0" xfId="0" applyNumberFormat="1" applyFont="1" applyFill="1" applyAlignment="1">
      <alignment horizontal="center"/>
    </xf>
    <xf numFmtId="1" fontId="52" fillId="0" borderId="0" xfId="0" applyNumberFormat="1" applyFont="1" applyFill="1" applyAlignment="1">
      <alignment horizontal="left"/>
    </xf>
    <xf numFmtId="0" fontId="52" fillId="0" borderId="0" xfId="0" applyFont="1" applyFill="1" applyAlignment="1">
      <alignment horizontal="left"/>
    </xf>
    <xf numFmtId="0" fontId="28" fillId="0" borderId="0" xfId="0" applyFont="1" applyFill="1" applyAlignment="1">
      <alignment horizontal="right"/>
    </xf>
    <xf numFmtId="0" fontId="27" fillId="0" borderId="24" xfId="0" applyFont="1" applyFill="1" applyBorder="1" applyAlignment="1">
      <alignment horizontal="right" vertical="center"/>
    </xf>
    <xf numFmtId="166" fontId="34" fillId="0" borderId="24" xfId="0" applyNumberFormat="1" applyFont="1" applyFill="1" applyBorder="1" applyAlignment="1">
      <alignment horizontal="right" vertical="center"/>
    </xf>
    <xf numFmtId="0" fontId="75" fillId="0" borderId="0" xfId="0" applyFont="1" applyFill="1" applyAlignment="1">
      <alignment horizontal="right"/>
    </xf>
    <xf numFmtId="0" fontId="76" fillId="0" borderId="0" xfId="0" applyFont="1" applyFill="1" applyAlignment="1">
      <alignment horizontal="right"/>
    </xf>
    <xf numFmtId="167" fontId="38" fillId="0" borderId="0" xfId="0" applyNumberFormat="1" applyFont="1" applyFill="1" applyAlignment="1">
      <alignment horizontal="right"/>
    </xf>
    <xf numFmtId="167" fontId="6" fillId="0" borderId="24" xfId="0" applyNumberFormat="1" applyFont="1" applyFill="1" applyBorder="1" applyAlignment="1">
      <alignment horizontal="right" vertical="center"/>
    </xf>
    <xf numFmtId="1" fontId="34" fillId="0" borderId="24" xfId="0" applyNumberFormat="1" applyFont="1" applyFill="1" applyBorder="1" applyAlignment="1">
      <alignment horizontal="right" vertical="center" wrapText="1"/>
    </xf>
    <xf numFmtId="166" fontId="8" fillId="0" borderId="0" xfId="0" applyNumberFormat="1" applyFont="1" applyFill="1" applyAlignment="1">
      <alignment horizontal="right"/>
    </xf>
    <xf numFmtId="166" fontId="6" fillId="0" borderId="23" xfId="0" applyNumberFormat="1" applyFont="1" applyFill="1" applyBorder="1" applyAlignment="1">
      <alignment horizontal="right" vertical="center"/>
    </xf>
    <xf numFmtId="166" fontId="51" fillId="0" borderId="35" xfId="0" applyNumberFormat="1" applyFont="1" applyFill="1" applyBorder="1" applyAlignment="1">
      <alignment horizontal="right"/>
    </xf>
    <xf numFmtId="167" fontId="34" fillId="0" borderId="24" xfId="0" applyNumberFormat="1" applyFont="1" applyFill="1" applyBorder="1" applyAlignment="1">
      <alignment horizontal="right"/>
    </xf>
    <xf numFmtId="167" fontId="21" fillId="0" borderId="23" xfId="0" applyNumberFormat="1" applyFont="1" applyFill="1" applyBorder="1" applyAlignment="1">
      <alignment horizontal="right"/>
    </xf>
    <xf numFmtId="167" fontId="40" fillId="0" borderId="0" xfId="0" applyNumberFormat="1" applyFont="1" applyFill="1" applyBorder="1" applyAlignment="1">
      <alignment horizontal="right"/>
    </xf>
    <xf numFmtId="167" fontId="50" fillId="0" borderId="10" xfId="0" applyNumberFormat="1" applyFont="1" applyFill="1" applyBorder="1" applyAlignment="1">
      <alignment horizontal="right"/>
    </xf>
    <xf numFmtId="167" fontId="50" fillId="0" borderId="0" xfId="0" applyNumberFormat="1" applyFont="1" applyFill="1" applyAlignment="1">
      <alignment horizontal="right"/>
    </xf>
    <xf numFmtId="167" fontId="52" fillId="0" borderId="51" xfId="0" applyNumberFormat="1" applyFont="1" applyFill="1" applyBorder="1" applyAlignment="1">
      <alignment horizontal="right"/>
    </xf>
    <xf numFmtId="167" fontId="50" fillId="0" borderId="34" xfId="0" applyNumberFormat="1" applyFont="1" applyFill="1" applyBorder="1" applyAlignment="1">
      <alignment horizontal="right"/>
    </xf>
    <xf numFmtId="167" fontId="50" fillId="0" borderId="0" xfId="0" applyNumberFormat="1" applyFont="1" applyFill="1" applyBorder="1" applyAlignment="1">
      <alignment horizontal="right"/>
    </xf>
    <xf numFmtId="167" fontId="50" fillId="0" borderId="24" xfId="0" applyNumberFormat="1" applyFont="1" applyFill="1" applyBorder="1" applyAlignment="1">
      <alignment horizontal="right"/>
    </xf>
    <xf numFmtId="167" fontId="21" fillId="0" borderId="0" xfId="0" applyNumberFormat="1" applyFont="1" applyFill="1" applyAlignment="1">
      <alignment horizontal="right"/>
    </xf>
    <xf numFmtId="167" fontId="40" fillId="0" borderId="24" xfId="0" applyNumberFormat="1" applyFont="1" applyFill="1" applyBorder="1" applyAlignment="1">
      <alignment horizontal="right"/>
    </xf>
    <xf numFmtId="3" fontId="13" fillId="0" borderId="17" xfId="0" applyNumberFormat="1" applyFont="1" applyFill="1" applyBorder="1" applyAlignment="1">
      <alignment horizontal="right"/>
    </xf>
    <xf numFmtId="0" fontId="23" fillId="0" borderId="2" xfId="0" applyFont="1" applyFill="1" applyBorder="1"/>
    <xf numFmtId="1" fontId="23" fillId="0" borderId="17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vertical="top"/>
    </xf>
    <xf numFmtId="3" fontId="18" fillId="0" borderId="0" xfId="0" applyNumberFormat="1" applyFont="1" applyFill="1" applyBorder="1" applyAlignment="1">
      <alignment vertical="top"/>
    </xf>
    <xf numFmtId="166" fontId="18" fillId="0" borderId="0" xfId="0" applyNumberFormat="1" applyFont="1" applyFill="1" applyBorder="1" applyAlignment="1">
      <alignment vertical="top"/>
    </xf>
    <xf numFmtId="0" fontId="3" fillId="0" borderId="0" xfId="0" applyFont="1" applyFill="1" applyAlignment="1">
      <alignment vertical="top"/>
    </xf>
    <xf numFmtId="0" fontId="3" fillId="0" borderId="38" xfId="0" applyFont="1" applyFill="1" applyBorder="1" applyAlignment="1">
      <alignment vertical="top"/>
    </xf>
    <xf numFmtId="1" fontId="4" fillId="0" borderId="9" xfId="0" applyNumberFormat="1" applyFont="1" applyFill="1" applyBorder="1" applyAlignment="1">
      <alignment horizontal="left" vertical="top"/>
    </xf>
    <xf numFmtId="3" fontId="9" fillId="0" borderId="9" xfId="0" applyNumberFormat="1" applyFont="1" applyFill="1" applyBorder="1" applyAlignment="1">
      <alignment horizontal="left" vertical="top"/>
    </xf>
    <xf numFmtId="0" fontId="8" fillId="0" borderId="9" xfId="0" applyFont="1" applyFill="1" applyBorder="1" applyAlignment="1">
      <alignment vertical="top"/>
    </xf>
    <xf numFmtId="3" fontId="8" fillId="0" borderId="9" xfId="0" applyNumberFormat="1" applyFont="1" applyFill="1" applyBorder="1" applyAlignment="1">
      <alignment vertical="top"/>
    </xf>
    <xf numFmtId="166" fontId="8" fillId="0" borderId="23" xfId="0" applyNumberFormat="1" applyFont="1" applyFill="1" applyBorder="1" applyAlignment="1">
      <alignment vertical="top"/>
    </xf>
    <xf numFmtId="3" fontId="23" fillId="0" borderId="15" xfId="0" applyNumberFormat="1" applyFont="1" applyFill="1" applyBorder="1" applyAlignment="1">
      <alignment horizontal="right" vertical="center" wrapText="1"/>
    </xf>
    <xf numFmtId="1" fontId="23" fillId="0" borderId="2" xfId="0" applyNumberFormat="1" applyFont="1" applyFill="1" applyBorder="1" applyAlignment="1">
      <alignment horizontal="right" vertical="center" wrapText="1"/>
    </xf>
    <xf numFmtId="1" fontId="23" fillId="0" borderId="15" xfId="0" applyNumberFormat="1" applyFont="1" applyFill="1" applyBorder="1" applyAlignment="1">
      <alignment horizontal="right" vertical="center" wrapText="1"/>
    </xf>
    <xf numFmtId="0" fontId="23" fillId="0" borderId="2" xfId="0" applyFont="1" applyFill="1" applyBorder="1" applyAlignment="1">
      <alignment vertical="top" wrapText="1"/>
    </xf>
    <xf numFmtId="3" fontId="8" fillId="0" borderId="5" xfId="0" applyNumberFormat="1" applyFont="1" applyFill="1" applyBorder="1" applyAlignment="1">
      <alignment vertical="top"/>
    </xf>
    <xf numFmtId="166" fontId="8" fillId="0" borderId="24" xfId="0" applyNumberFormat="1" applyFont="1" applyFill="1" applyBorder="1" applyAlignment="1">
      <alignment vertical="top"/>
    </xf>
    <xf numFmtId="3" fontId="3" fillId="0" borderId="0" xfId="0" applyNumberFormat="1" applyFont="1" applyFill="1" applyAlignment="1">
      <alignment vertical="top"/>
    </xf>
    <xf numFmtId="1" fontId="4" fillId="0" borderId="0" xfId="0" applyNumberFormat="1" applyFont="1" applyFill="1" applyAlignment="1">
      <alignment horizontal="left" vertical="top"/>
    </xf>
    <xf numFmtId="3" fontId="27" fillId="0" borderId="0" xfId="0" applyNumberFormat="1" applyFont="1" applyFill="1" applyAlignment="1">
      <alignment vertical="top"/>
    </xf>
    <xf numFmtId="166" fontId="3" fillId="0" borderId="0" xfId="0" applyNumberFormat="1" applyFont="1" applyFill="1" applyAlignment="1">
      <alignment vertical="top"/>
    </xf>
    <xf numFmtId="0" fontId="3" fillId="0" borderId="33" xfId="0" applyFont="1" applyFill="1" applyBorder="1"/>
    <xf numFmtId="0" fontId="34" fillId="0" borderId="4" xfId="0" applyFont="1" applyFill="1" applyBorder="1" applyAlignment="1">
      <alignment horizontal="center" vertical="top"/>
    </xf>
    <xf numFmtId="0" fontId="34" fillId="0" borderId="5" xfId="0" applyFont="1" applyFill="1" applyBorder="1" applyAlignment="1">
      <alignment horizontal="center" vertical="top"/>
    </xf>
    <xf numFmtId="1" fontId="34" fillId="0" borderId="5" xfId="0" applyNumberFormat="1" applyFont="1" applyFill="1" applyBorder="1" applyAlignment="1">
      <alignment horizontal="center" vertical="top" wrapText="1"/>
    </xf>
    <xf numFmtId="1" fontId="34" fillId="0" borderId="37" xfId="0" applyNumberFormat="1" applyFont="1" applyFill="1" applyBorder="1" applyAlignment="1">
      <alignment horizontal="center" vertical="top" wrapText="1"/>
    </xf>
    <xf numFmtId="1" fontId="34" fillId="0" borderId="24" xfId="0" applyNumberFormat="1" applyFont="1" applyFill="1" applyBorder="1" applyAlignment="1">
      <alignment horizontal="center" vertical="top" wrapText="1"/>
    </xf>
    <xf numFmtId="0" fontId="27" fillId="0" borderId="0" xfId="0" applyFont="1" applyFill="1" applyAlignment="1">
      <alignment vertical="top"/>
    </xf>
    <xf numFmtId="0" fontId="3" fillId="0" borderId="6" xfId="0" applyFont="1" applyFill="1" applyBorder="1" applyAlignment="1">
      <alignment vertical="top"/>
    </xf>
    <xf numFmtId="1" fontId="4" fillId="0" borderId="2" xfId="0" applyNumberFormat="1" applyFont="1" applyFill="1" applyBorder="1" applyAlignment="1">
      <alignment horizontal="left" vertical="top"/>
    </xf>
    <xf numFmtId="0" fontId="23" fillId="0" borderId="2" xfId="0" applyFont="1" applyFill="1" applyBorder="1" applyAlignment="1">
      <alignment vertical="top"/>
    </xf>
    <xf numFmtId="0" fontId="36" fillId="0" borderId="0" xfId="0" applyFont="1" applyFill="1" applyAlignment="1">
      <alignment vertical="top"/>
    </xf>
    <xf numFmtId="0" fontId="3" fillId="0" borderId="27" xfId="0" applyFont="1" applyFill="1" applyBorder="1"/>
    <xf numFmtId="49" fontId="9" fillId="0" borderId="27" xfId="0" applyNumberFormat="1" applyFont="1" applyFill="1" applyBorder="1" applyAlignment="1">
      <alignment horizontal="left"/>
    </xf>
    <xf numFmtId="3" fontId="14" fillId="0" borderId="27" xfId="0" applyNumberFormat="1" applyFont="1" applyFill="1" applyBorder="1"/>
    <xf numFmtId="166" fontId="14" fillId="0" borderId="27" xfId="0" applyNumberFormat="1" applyFont="1" applyFill="1" applyBorder="1"/>
    <xf numFmtId="166" fontId="14" fillId="0" borderId="62" xfId="0" applyNumberFormat="1" applyFont="1" applyFill="1" applyBorder="1"/>
    <xf numFmtId="0" fontId="3" fillId="0" borderId="63" xfId="0" applyFont="1" applyFill="1" applyBorder="1"/>
    <xf numFmtId="166" fontId="13" fillId="0" borderId="62" xfId="0" applyNumberFormat="1" applyFont="1" applyFill="1" applyBorder="1"/>
    <xf numFmtId="0" fontId="3" fillId="3" borderId="2" xfId="0" applyFont="1" applyFill="1" applyBorder="1" applyAlignment="1">
      <alignment wrapText="1"/>
    </xf>
    <xf numFmtId="0" fontId="4" fillId="0" borderId="6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1" fontId="4" fillId="0" borderId="17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vertical="top"/>
    </xf>
    <xf numFmtId="166" fontId="8" fillId="0" borderId="0" xfId="0" applyNumberFormat="1" applyFont="1" applyFill="1" applyBorder="1" applyAlignment="1">
      <alignment vertical="top"/>
    </xf>
    <xf numFmtId="1" fontId="4" fillId="0" borderId="17" xfId="0" applyNumberFormat="1" applyFont="1" applyFill="1" applyBorder="1" applyAlignment="1">
      <alignment horizontal="left" vertical="top"/>
    </xf>
    <xf numFmtId="0" fontId="3" fillId="0" borderId="17" xfId="0" applyFont="1" applyFill="1" applyBorder="1" applyAlignment="1">
      <alignment vertical="top"/>
    </xf>
    <xf numFmtId="1" fontId="11" fillId="0" borderId="2" xfId="0" applyNumberFormat="1" applyFont="1" applyFill="1" applyBorder="1" applyAlignment="1">
      <alignment horizontal="left" vertical="top"/>
    </xf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Alignment="1">
      <alignment vertical="top" wrapText="1"/>
    </xf>
    <xf numFmtId="3" fontId="61" fillId="0" borderId="0" xfId="0" applyNumberFormat="1" applyFont="1" applyFill="1"/>
    <xf numFmtId="166" fontId="23" fillId="0" borderId="0" xfId="0" applyNumberFormat="1" applyFont="1" applyFill="1"/>
    <xf numFmtId="3" fontId="23" fillId="0" borderId="0" xfId="0" applyNumberFormat="1" applyFont="1" applyFill="1" applyAlignment="1">
      <alignment horizontal="right"/>
    </xf>
    <xf numFmtId="3" fontId="23" fillId="0" borderId="0" xfId="0" applyNumberFormat="1" applyFont="1" applyFill="1" applyAlignment="1">
      <alignment vertical="top"/>
    </xf>
    <xf numFmtId="166" fontId="23" fillId="0" borderId="0" xfId="0" applyNumberFormat="1" applyFont="1" applyFill="1" applyAlignment="1">
      <alignment vertical="top"/>
    </xf>
    <xf numFmtId="166" fontId="27" fillId="0" borderId="0" xfId="0" applyNumberFormat="1" applyFont="1" applyFill="1" applyAlignment="1">
      <alignment vertical="top"/>
    </xf>
    <xf numFmtId="0" fontId="6" fillId="0" borderId="4" xfId="0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center" vertical="top"/>
    </xf>
    <xf numFmtId="1" fontId="6" fillId="0" borderId="5" xfId="0" applyNumberFormat="1" applyFont="1" applyFill="1" applyBorder="1" applyAlignment="1">
      <alignment horizontal="center" vertical="top"/>
    </xf>
    <xf numFmtId="3" fontId="6" fillId="0" borderId="5" xfId="0" applyNumberFormat="1" applyFont="1" applyFill="1" applyBorder="1" applyAlignment="1">
      <alignment horizontal="center" vertical="top"/>
    </xf>
    <xf numFmtId="166" fontId="6" fillId="0" borderId="24" xfId="0" applyNumberFormat="1" applyFont="1" applyFill="1" applyBorder="1" applyAlignment="1">
      <alignment horizontal="center" vertical="top"/>
    </xf>
    <xf numFmtId="0" fontId="6" fillId="0" borderId="0" xfId="0" applyFont="1" applyFill="1" applyAlignment="1">
      <alignment vertical="top"/>
    </xf>
    <xf numFmtId="0" fontId="3" fillId="0" borderId="2" xfId="0" applyFont="1" applyFill="1" applyBorder="1" applyAlignment="1">
      <alignment vertical="top"/>
    </xf>
    <xf numFmtId="3" fontId="26" fillId="0" borderId="2" xfId="0" applyNumberFormat="1" applyFont="1" applyFill="1" applyBorder="1" applyAlignment="1">
      <alignment horizontal="left" vertical="top"/>
    </xf>
    <xf numFmtId="0" fontId="8" fillId="0" borderId="2" xfId="0" applyFont="1" applyFill="1" applyBorder="1" applyAlignment="1">
      <alignment vertical="top"/>
    </xf>
    <xf numFmtId="3" fontId="8" fillId="0" borderId="2" xfId="0" applyNumberFormat="1" applyFont="1" applyFill="1" applyBorder="1" applyAlignment="1">
      <alignment vertical="top"/>
    </xf>
    <xf numFmtId="166" fontId="8" fillId="0" borderId="21" xfId="0" applyNumberFormat="1" applyFont="1" applyFill="1" applyBorder="1" applyAlignment="1">
      <alignment vertical="top"/>
    </xf>
    <xf numFmtId="3" fontId="9" fillId="0" borderId="2" xfId="0" applyNumberFormat="1" applyFont="1" applyFill="1" applyBorder="1" applyAlignment="1">
      <alignment horizontal="left" vertical="top"/>
    </xf>
    <xf numFmtId="0" fontId="8" fillId="0" borderId="17" xfId="0" applyFont="1" applyFill="1" applyBorder="1" applyAlignment="1">
      <alignment vertical="top"/>
    </xf>
    <xf numFmtId="3" fontId="8" fillId="0" borderId="17" xfId="0" applyNumberFormat="1" applyFont="1" applyFill="1" applyBorder="1" applyAlignment="1">
      <alignment vertical="top"/>
    </xf>
    <xf numFmtId="166" fontId="8" fillId="0" borderId="25" xfId="0" applyNumberFormat="1" applyFont="1" applyFill="1" applyBorder="1" applyAlignment="1">
      <alignment vertical="top"/>
    </xf>
    <xf numFmtId="3" fontId="8" fillId="0" borderId="41" xfId="0" applyNumberFormat="1" applyFont="1" applyFill="1" applyBorder="1" applyAlignment="1">
      <alignment vertical="top"/>
    </xf>
    <xf numFmtId="3" fontId="11" fillId="0" borderId="17" xfId="0" applyNumberFormat="1" applyFont="1" applyFill="1" applyBorder="1" applyAlignment="1">
      <alignment vertical="top"/>
    </xf>
    <xf numFmtId="0" fontId="3" fillId="0" borderId="47" xfId="0" applyFont="1" applyFill="1" applyBorder="1" applyAlignment="1">
      <alignment vertical="top"/>
    </xf>
    <xf numFmtId="1" fontId="4" fillId="0" borderId="41" xfId="0" applyNumberFormat="1" applyFont="1" applyFill="1" applyBorder="1" applyAlignment="1">
      <alignment horizontal="left" vertical="top"/>
    </xf>
    <xf numFmtId="3" fontId="9" fillId="0" borderId="41" xfId="0" applyNumberFormat="1" applyFont="1" applyFill="1" applyBorder="1" applyAlignment="1">
      <alignment horizontal="left" vertical="top"/>
    </xf>
    <xf numFmtId="166" fontId="8" fillId="0" borderId="43" xfId="0" applyNumberFormat="1" applyFont="1" applyFill="1" applyBorder="1" applyAlignment="1">
      <alignment vertical="top"/>
    </xf>
    <xf numFmtId="166" fontId="11" fillId="0" borderId="21" xfId="0" applyNumberFormat="1" applyFont="1" applyFill="1" applyBorder="1" applyAlignment="1">
      <alignment vertical="top"/>
    </xf>
    <xf numFmtId="3" fontId="9" fillId="0" borderId="17" xfId="0" applyNumberFormat="1" applyFont="1" applyFill="1" applyBorder="1" applyAlignment="1">
      <alignment horizontal="left" vertical="top"/>
    </xf>
    <xf numFmtId="168" fontId="9" fillId="0" borderId="2" xfId="0" applyNumberFormat="1" applyFont="1" applyFill="1" applyBorder="1" applyAlignment="1">
      <alignment horizontal="left" vertical="top"/>
    </xf>
    <xf numFmtId="3" fontId="13" fillId="0" borderId="2" xfId="0" applyNumberFormat="1" applyFont="1" applyFill="1" applyBorder="1" applyAlignment="1">
      <alignment vertical="top"/>
    </xf>
    <xf numFmtId="166" fontId="13" fillId="0" borderId="21" xfId="0" applyNumberFormat="1" applyFont="1" applyFill="1" applyBorder="1" applyAlignment="1">
      <alignment vertical="top"/>
    </xf>
    <xf numFmtId="49" fontId="26" fillId="0" borderId="14" xfId="4" applyNumberFormat="1" applyFont="1" applyBorder="1" applyAlignment="1">
      <alignment horizontal="left" vertical="top"/>
    </xf>
    <xf numFmtId="3" fontId="14" fillId="0" borderId="14" xfId="4" applyFont="1" applyBorder="1" applyAlignment="1">
      <alignment vertical="top"/>
    </xf>
    <xf numFmtId="0" fontId="14" fillId="0" borderId="17" xfId="0" applyFont="1" applyFill="1" applyBorder="1" applyAlignment="1">
      <alignment vertical="top"/>
    </xf>
    <xf numFmtId="166" fontId="11" fillId="0" borderId="25" xfId="0" applyNumberFormat="1" applyFont="1" applyFill="1" applyBorder="1" applyAlignment="1">
      <alignment vertical="top"/>
    </xf>
    <xf numFmtId="3" fontId="12" fillId="0" borderId="15" xfId="0" applyNumberFormat="1" applyFont="1" applyBorder="1" applyAlignment="1">
      <alignment horizontal="left" vertical="center" wrapText="1"/>
    </xf>
    <xf numFmtId="3" fontId="8" fillId="0" borderId="0" xfId="0" applyNumberFormat="1" applyFont="1" applyFill="1" applyBorder="1" applyAlignment="1">
      <alignment horizontal="right" vertical="center"/>
    </xf>
    <xf numFmtId="3" fontId="13" fillId="0" borderId="64" xfId="0" applyNumberFormat="1" applyFont="1" applyBorder="1" applyAlignment="1">
      <alignment horizontal="left" vertical="center" wrapText="1"/>
    </xf>
    <xf numFmtId="3" fontId="13" fillId="0" borderId="15" xfId="0" applyNumberFormat="1" applyFont="1" applyBorder="1" applyAlignment="1">
      <alignment horizontal="left" vertical="center" wrapText="1"/>
    </xf>
    <xf numFmtId="3" fontId="13" fillId="0" borderId="53" xfId="0" applyNumberFormat="1" applyFont="1" applyBorder="1" applyAlignment="1">
      <alignment horizontal="left" vertical="center" wrapText="1"/>
    </xf>
    <xf numFmtId="0" fontId="12" fillId="0" borderId="6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53" xfId="0" applyFont="1" applyBorder="1" applyAlignment="1">
      <alignment horizontal="center" vertical="center"/>
    </xf>
    <xf numFmtId="3" fontId="8" fillId="0" borderId="34" xfId="0" applyNumberFormat="1" applyFont="1" applyFill="1" applyBorder="1" applyAlignment="1">
      <alignment horizontal="right" vertical="center"/>
    </xf>
    <xf numFmtId="3" fontId="13" fillId="0" borderId="9" xfId="0" applyNumberFormat="1" applyFont="1" applyBorder="1" applyAlignment="1">
      <alignment horizontal="right" vertical="center" wrapText="1"/>
    </xf>
    <xf numFmtId="3" fontId="13" fillId="0" borderId="2" xfId="0" applyNumberFormat="1" applyFont="1" applyBorder="1" applyAlignment="1">
      <alignment horizontal="right" vertical="center" wrapText="1"/>
    </xf>
    <xf numFmtId="3" fontId="11" fillId="0" borderId="2" xfId="0" applyNumberFormat="1" applyFont="1" applyBorder="1" applyAlignment="1">
      <alignment horizontal="right" vertical="center" wrapText="1"/>
    </xf>
    <xf numFmtId="3" fontId="13" fillId="0" borderId="14" xfId="0" applyNumberFormat="1" applyFont="1" applyBorder="1" applyAlignment="1">
      <alignment horizontal="right" vertical="center" wrapText="1"/>
    </xf>
    <xf numFmtId="3" fontId="13" fillId="0" borderId="14" xfId="0" applyNumberFormat="1" applyFont="1" applyFill="1" applyBorder="1" applyAlignment="1">
      <alignment horizontal="right" vertical="center"/>
    </xf>
    <xf numFmtId="167" fontId="8" fillId="0" borderId="25" xfId="0" applyNumberFormat="1" applyFont="1" applyBorder="1" applyAlignment="1">
      <alignment horizontal="right" vertical="center"/>
    </xf>
    <xf numFmtId="167" fontId="8" fillId="0" borderId="42" xfId="0" applyNumberFormat="1" applyFont="1" applyBorder="1" applyAlignment="1">
      <alignment horizontal="right" vertical="center"/>
    </xf>
    <xf numFmtId="0" fontId="3" fillId="0" borderId="0" xfId="9" applyFont="1" applyFill="1"/>
    <xf numFmtId="0" fontId="12" fillId="0" borderId="65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50" xfId="0" applyFont="1" applyBorder="1" applyAlignment="1">
      <alignment horizontal="center" vertical="center"/>
    </xf>
    <xf numFmtId="1" fontId="3" fillId="0" borderId="0" xfId="9" applyNumberFormat="1" applyFont="1" applyFill="1" applyAlignment="1">
      <alignment horizontal="right"/>
    </xf>
    <xf numFmtId="3" fontId="3" fillId="0" borderId="0" xfId="9" applyNumberFormat="1" applyFont="1" applyFill="1"/>
    <xf numFmtId="0" fontId="3" fillId="0" borderId="0" xfId="9" applyFont="1" applyFill="1" applyAlignment="1">
      <alignment horizontal="center"/>
    </xf>
    <xf numFmtId="1" fontId="4" fillId="0" borderId="0" xfId="9" applyNumberFormat="1" applyFont="1" applyFill="1" applyAlignment="1">
      <alignment horizontal="left"/>
    </xf>
    <xf numFmtId="0" fontId="32" fillId="0" borderId="0" xfId="9" applyFont="1" applyFill="1"/>
    <xf numFmtId="167" fontId="30" fillId="0" borderId="10" xfId="9" applyNumberFormat="1" applyFont="1" applyFill="1" applyBorder="1" applyAlignment="1">
      <alignment horizontal="right" shrinkToFit="1"/>
    </xf>
    <xf numFmtId="3" fontId="30" fillId="0" borderId="10" xfId="9" applyNumberFormat="1" applyFont="1" applyFill="1" applyBorder="1"/>
    <xf numFmtId="0" fontId="3" fillId="0" borderId="10" xfId="9" applyFont="1" applyFill="1" applyBorder="1"/>
    <xf numFmtId="1" fontId="31" fillId="0" borderId="10" xfId="9" applyNumberFormat="1" applyFont="1" applyFill="1" applyBorder="1" applyAlignment="1">
      <alignment horizontal="center"/>
    </xf>
    <xf numFmtId="0" fontId="30" fillId="0" borderId="10" xfId="9" applyFont="1" applyFill="1" applyBorder="1" applyAlignment="1">
      <alignment horizontal="left"/>
    </xf>
    <xf numFmtId="167" fontId="3" fillId="0" borderId="0" xfId="9" applyNumberFormat="1" applyFont="1" applyFill="1" applyAlignment="1">
      <alignment horizontal="right"/>
    </xf>
    <xf numFmtId="167" fontId="5" fillId="0" borderId="0" xfId="9" applyNumberFormat="1" applyFont="1" applyFill="1" applyBorder="1" applyAlignment="1">
      <alignment horizontal="right"/>
    </xf>
    <xf numFmtId="3" fontId="52" fillId="0" borderId="0" xfId="9" applyNumberFormat="1" applyFont="1" applyFill="1" applyAlignment="1">
      <alignment horizontal="right"/>
    </xf>
    <xf numFmtId="168" fontId="52" fillId="0" borderId="0" xfId="9" applyNumberFormat="1" applyFont="1" applyFill="1" applyAlignment="1">
      <alignment horizontal="center"/>
    </xf>
    <xf numFmtId="1" fontId="52" fillId="0" borderId="0" xfId="9" applyNumberFormat="1" applyFont="1" applyFill="1" applyAlignment="1">
      <alignment horizontal="left"/>
    </xf>
    <xf numFmtId="0" fontId="66" fillId="0" borderId="0" xfId="9" applyFont="1" applyFill="1"/>
    <xf numFmtId="3" fontId="52" fillId="0" borderId="0" xfId="9" applyNumberFormat="1" applyFont="1" applyFill="1"/>
    <xf numFmtId="168" fontId="52" fillId="0" borderId="0" xfId="9" applyNumberFormat="1" applyFont="1" applyFill="1" applyAlignment="1">
      <alignment horizontal="right"/>
    </xf>
    <xf numFmtId="1" fontId="52" fillId="0" borderId="0" xfId="9" applyNumberFormat="1" applyFont="1" applyFill="1" applyAlignment="1">
      <alignment horizontal="center"/>
    </xf>
    <xf numFmtId="167" fontId="51" fillId="0" borderId="0" xfId="9" applyNumberFormat="1" applyFont="1" applyFill="1" applyBorder="1" applyAlignment="1">
      <alignment horizontal="right"/>
    </xf>
    <xf numFmtId="168" fontId="50" fillId="0" borderId="0" xfId="9" applyNumberFormat="1" applyFont="1" applyFill="1" applyBorder="1" applyAlignment="1">
      <alignment horizontal="right"/>
    </xf>
    <xf numFmtId="168" fontId="40" fillId="0" borderId="0" xfId="9" applyNumberFormat="1" applyFont="1" applyFill="1" applyBorder="1" applyAlignment="1">
      <alignment horizontal="center"/>
    </xf>
    <xf numFmtId="1" fontId="40" fillId="0" borderId="0" xfId="9" applyNumberFormat="1" applyFont="1" applyFill="1" applyBorder="1" applyAlignment="1">
      <alignment horizontal="center"/>
    </xf>
    <xf numFmtId="1" fontId="40" fillId="0" borderId="0" xfId="9" applyNumberFormat="1" applyFont="1" applyFill="1" applyBorder="1" applyAlignment="1">
      <alignment horizontal="left"/>
    </xf>
    <xf numFmtId="0" fontId="5" fillId="0" borderId="0" xfId="9" applyFont="1" applyFill="1"/>
    <xf numFmtId="167" fontId="7" fillId="0" borderId="22" xfId="9" applyNumberFormat="1" applyFont="1" applyFill="1" applyBorder="1" applyAlignment="1">
      <alignment horizontal="right"/>
    </xf>
    <xf numFmtId="3" fontId="7" fillId="0" borderId="5" xfId="9" applyNumberFormat="1" applyFont="1" applyFill="1" applyBorder="1"/>
    <xf numFmtId="0" fontId="3" fillId="0" borderId="48" xfId="9" applyFont="1" applyFill="1" applyBorder="1"/>
    <xf numFmtId="3" fontId="20" fillId="0" borderId="8" xfId="9" applyNumberFormat="1" applyFont="1" applyFill="1" applyBorder="1" applyAlignment="1">
      <alignment horizontal="center"/>
    </xf>
    <xf numFmtId="0" fontId="5" fillId="0" borderId="8" xfId="9" applyFont="1" applyFill="1" applyBorder="1"/>
    <xf numFmtId="0" fontId="25" fillId="0" borderId="7" xfId="9" applyFont="1" applyFill="1" applyBorder="1" applyAlignment="1">
      <alignment horizontal="left"/>
    </xf>
    <xf numFmtId="0" fontId="12" fillId="0" borderId="0" xfId="9" applyFont="1"/>
    <xf numFmtId="167" fontId="11" fillId="0" borderId="25" xfId="9" applyNumberFormat="1" applyFont="1" applyBorder="1" applyAlignment="1">
      <alignment horizontal="right"/>
    </xf>
    <xf numFmtId="3" fontId="11" fillId="0" borderId="2" xfId="9" applyNumberFormat="1" applyFont="1" applyFill="1" applyBorder="1" applyAlignment="1">
      <alignment horizontal="right"/>
    </xf>
    <xf numFmtId="3" fontId="11" fillId="0" borderId="0" xfId="9" applyNumberFormat="1" applyFont="1" applyFill="1" applyBorder="1" applyAlignment="1">
      <alignment horizontal="right"/>
    </xf>
    <xf numFmtId="3" fontId="11" fillId="0" borderId="2" xfId="9" applyNumberFormat="1" applyFont="1" applyBorder="1" applyAlignment="1">
      <alignment horizontal="right"/>
    </xf>
    <xf numFmtId="49" fontId="9" fillId="0" borderId="2" xfId="9" applyNumberFormat="1" applyFont="1" applyBorder="1" applyAlignment="1">
      <alignment horizontal="left" vertical="top"/>
    </xf>
    <xf numFmtId="1" fontId="4" fillId="0" borderId="2" xfId="9" applyNumberFormat="1" applyFont="1" applyBorder="1" applyAlignment="1">
      <alignment horizontal="left"/>
    </xf>
    <xf numFmtId="1" fontId="4" fillId="0" borderId="12" xfId="9" applyNumberFormat="1" applyFont="1" applyBorder="1" applyAlignment="1">
      <alignment horizontal="left"/>
    </xf>
    <xf numFmtId="1" fontId="12" fillId="0" borderId="0" xfId="9" applyNumberFormat="1" applyFont="1" applyBorder="1" applyAlignment="1">
      <alignment horizontal="left"/>
    </xf>
    <xf numFmtId="49" fontId="9" fillId="0" borderId="2" xfId="9" applyNumberFormat="1" applyFont="1" applyBorder="1" applyAlignment="1">
      <alignment horizontal="left"/>
    </xf>
    <xf numFmtId="167" fontId="13" fillId="0" borderId="25" xfId="9" applyNumberFormat="1" applyFont="1" applyBorder="1" applyAlignment="1">
      <alignment horizontal="right"/>
    </xf>
    <xf numFmtId="3" fontId="13" fillId="0" borderId="2" xfId="9" applyNumberFormat="1" applyFont="1" applyFill="1" applyBorder="1" applyAlignment="1">
      <alignment horizontal="right"/>
    </xf>
    <xf numFmtId="3" fontId="13" fillId="0" borderId="0" xfId="9" applyNumberFormat="1" applyFont="1" applyFill="1" applyBorder="1" applyAlignment="1">
      <alignment horizontal="right"/>
    </xf>
    <xf numFmtId="0" fontId="13" fillId="0" borderId="0" xfId="9" applyFont="1" applyBorder="1"/>
    <xf numFmtId="49" fontId="26" fillId="0" borderId="2" xfId="9" applyNumberFormat="1" applyFont="1" applyBorder="1" applyAlignment="1">
      <alignment horizontal="left"/>
    </xf>
    <xf numFmtId="0" fontId="12" fillId="0" borderId="0" xfId="9" applyFont="1" applyBorder="1"/>
    <xf numFmtId="3" fontId="13" fillId="0" borderId="2" xfId="9" applyNumberFormat="1" applyFont="1" applyBorder="1" applyAlignment="1">
      <alignment horizontal="right"/>
    </xf>
    <xf numFmtId="0" fontId="13" fillId="0" borderId="0" xfId="9" applyFont="1" applyBorder="1" applyAlignment="1"/>
    <xf numFmtId="167" fontId="8" fillId="0" borderId="25" xfId="9" applyNumberFormat="1" applyFont="1" applyBorder="1" applyAlignment="1">
      <alignment horizontal="right"/>
    </xf>
    <xf numFmtId="0" fontId="8" fillId="0" borderId="0" xfId="9" applyFont="1" applyBorder="1" applyAlignment="1"/>
    <xf numFmtId="3" fontId="13" fillId="0" borderId="9" xfId="9" applyNumberFormat="1" applyFont="1" applyFill="1" applyBorder="1" applyAlignment="1">
      <alignment horizontal="right"/>
    </xf>
    <xf numFmtId="3" fontId="13" fillId="0" borderId="27" xfId="9" applyNumberFormat="1" applyFont="1" applyFill="1" applyBorder="1" applyAlignment="1">
      <alignment horizontal="right"/>
    </xf>
    <xf numFmtId="0" fontId="27" fillId="0" borderId="0" xfId="9" applyFont="1" applyFill="1" applyAlignment="1">
      <alignment vertical="center"/>
    </xf>
    <xf numFmtId="0" fontId="6" fillId="0" borderId="0" xfId="9" applyFont="1" applyFill="1" applyBorder="1"/>
    <xf numFmtId="1" fontId="34" fillId="0" borderId="24" xfId="9" applyNumberFormat="1" applyFont="1" applyFill="1" applyBorder="1" applyAlignment="1">
      <alignment horizontal="center" vertical="center" wrapText="1"/>
    </xf>
    <xf numFmtId="1" fontId="34" fillId="0" borderId="5" xfId="9" applyNumberFormat="1" applyFont="1" applyFill="1" applyBorder="1" applyAlignment="1">
      <alignment horizontal="center" vertical="center" wrapText="1"/>
    </xf>
    <xf numFmtId="0" fontId="34" fillId="0" borderId="5" xfId="9" applyFont="1" applyFill="1" applyBorder="1" applyAlignment="1">
      <alignment horizontal="center" vertical="center"/>
    </xf>
    <xf numFmtId="0" fontId="34" fillId="0" borderId="4" xfId="9" applyFont="1" applyFill="1" applyBorder="1" applyAlignment="1">
      <alignment horizontal="center" vertical="center"/>
    </xf>
    <xf numFmtId="0" fontId="6" fillId="0" borderId="0" xfId="9" applyFont="1" applyFill="1"/>
    <xf numFmtId="1" fontId="6" fillId="0" borderId="24" xfId="9" applyNumberFormat="1" applyFont="1" applyFill="1" applyBorder="1" applyAlignment="1">
      <alignment horizontal="center" vertical="center"/>
    </xf>
    <xf numFmtId="0" fontId="6" fillId="0" borderId="5" xfId="9" applyFont="1" applyFill="1" applyBorder="1" applyAlignment="1">
      <alignment horizontal="center" vertical="center"/>
    </xf>
    <xf numFmtId="165" fontId="6" fillId="0" borderId="5" xfId="9" applyNumberFormat="1" applyFont="1" applyFill="1" applyBorder="1" applyAlignment="1">
      <alignment horizontal="center" vertical="center"/>
    </xf>
    <xf numFmtId="1" fontId="6" fillId="0" borderId="5" xfId="9" applyNumberFormat="1" applyFont="1" applyFill="1" applyBorder="1" applyAlignment="1">
      <alignment horizontal="center" vertical="center"/>
    </xf>
    <xf numFmtId="0" fontId="6" fillId="0" borderId="4" xfId="9" applyFont="1" applyFill="1" applyBorder="1" applyAlignment="1">
      <alignment horizontal="center" vertical="center"/>
    </xf>
    <xf numFmtId="3" fontId="3" fillId="0" borderId="0" xfId="9" applyNumberFormat="1" applyFont="1" applyFill="1" applyAlignment="1">
      <alignment horizontal="right"/>
    </xf>
    <xf numFmtId="165" fontId="6" fillId="0" borderId="0" xfId="9" applyNumberFormat="1" applyFont="1" applyFill="1" applyAlignment="1">
      <alignment horizontal="center"/>
    </xf>
    <xf numFmtId="1" fontId="4" fillId="0" borderId="0" xfId="9" applyNumberFormat="1" applyFont="1" applyFill="1" applyAlignment="1">
      <alignment horizontal="center"/>
    </xf>
    <xf numFmtId="1" fontId="7" fillId="0" borderId="0" xfId="9" applyNumberFormat="1" applyFont="1" applyFill="1" applyBorder="1" applyAlignment="1">
      <alignment horizontal="right"/>
    </xf>
    <xf numFmtId="3" fontId="7" fillId="0" borderId="0" xfId="9" applyNumberFormat="1" applyFont="1" applyFill="1" applyBorder="1"/>
    <xf numFmtId="3" fontId="3" fillId="0" borderId="0" xfId="9" applyNumberFormat="1" applyFont="1" applyFill="1" applyBorder="1"/>
    <xf numFmtId="0" fontId="3" fillId="0" borderId="0" xfId="9" applyFont="1" applyFill="1" applyBorder="1"/>
    <xf numFmtId="165" fontId="45" fillId="0" borderId="0" xfId="9" applyNumberFormat="1" applyFont="1" applyFill="1" applyBorder="1" applyAlignment="1">
      <alignment horizontal="center"/>
    </xf>
    <xf numFmtId="0" fontId="18" fillId="0" borderId="0" xfId="9" applyFont="1" applyFill="1" applyBorder="1" applyAlignment="1">
      <alignment horizontal="center"/>
    </xf>
    <xf numFmtId="1" fontId="29" fillId="0" borderId="0" xfId="9" applyNumberFormat="1" applyFont="1" applyFill="1" applyBorder="1" applyAlignment="1">
      <alignment horizontal="left"/>
    </xf>
    <xf numFmtId="1" fontId="8" fillId="0" borderId="0" xfId="9" applyNumberFormat="1" applyFont="1" applyFill="1" applyAlignment="1">
      <alignment horizontal="right"/>
    </xf>
    <xf numFmtId="3" fontId="8" fillId="0" borderId="0" xfId="9" applyNumberFormat="1" applyFont="1" applyFill="1"/>
    <xf numFmtId="3" fontId="12" fillId="0" borderId="0" xfId="9" applyNumberFormat="1" applyFont="1" applyFill="1"/>
    <xf numFmtId="0" fontId="8" fillId="0" borderId="0" xfId="9" applyFont="1" applyFill="1"/>
    <xf numFmtId="165" fontId="45" fillId="0" borderId="8" xfId="9" applyNumberFormat="1" applyFont="1" applyFill="1" applyBorder="1" applyAlignment="1">
      <alignment horizontal="center"/>
    </xf>
    <xf numFmtId="166" fontId="13" fillId="0" borderId="25" xfId="9" applyNumberFormat="1" applyFont="1" applyBorder="1" applyAlignment="1">
      <alignment horizontal="right"/>
    </xf>
    <xf numFmtId="3" fontId="8" fillId="0" borderId="0" xfId="9" applyNumberFormat="1" applyFont="1" applyFill="1" applyBorder="1" applyAlignment="1">
      <alignment horizontal="right"/>
    </xf>
    <xf numFmtId="0" fontId="8" fillId="0" borderId="0" xfId="9" applyFont="1" applyBorder="1"/>
    <xf numFmtId="166" fontId="11" fillId="0" borderId="25" xfId="9" applyNumberFormat="1" applyFont="1" applyBorder="1" applyAlignment="1">
      <alignment horizontal="right"/>
    </xf>
    <xf numFmtId="3" fontId="14" fillId="0" borderId="2" xfId="9" applyNumberFormat="1" applyFont="1" applyFill="1" applyBorder="1" applyAlignment="1">
      <alignment horizontal="right"/>
    </xf>
    <xf numFmtId="3" fontId="14" fillId="0" borderId="0" xfId="9" applyNumberFormat="1" applyFont="1" applyFill="1" applyBorder="1" applyAlignment="1">
      <alignment horizontal="right"/>
    </xf>
    <xf numFmtId="166" fontId="8" fillId="0" borderId="25" xfId="9" applyNumberFormat="1" applyFont="1" applyBorder="1" applyAlignment="1">
      <alignment horizontal="right"/>
    </xf>
    <xf numFmtId="3" fontId="8" fillId="0" borderId="2" xfId="9" applyNumberFormat="1" applyFont="1" applyFill="1" applyBorder="1" applyAlignment="1">
      <alignment horizontal="right"/>
    </xf>
    <xf numFmtId="3" fontId="8" fillId="0" borderId="2" xfId="9" applyNumberFormat="1" applyFont="1" applyBorder="1" applyAlignment="1">
      <alignment horizontal="right"/>
    </xf>
    <xf numFmtId="168" fontId="9" fillId="0" borderId="2" xfId="9" applyNumberFormat="1" applyFont="1" applyBorder="1" applyAlignment="1">
      <alignment horizontal="left"/>
    </xf>
    <xf numFmtId="0" fontId="21" fillId="0" borderId="0" xfId="9" applyFont="1" applyBorder="1" applyAlignment="1"/>
    <xf numFmtId="3" fontId="6" fillId="0" borderId="5" xfId="9" applyNumberFormat="1" applyFont="1" applyFill="1" applyBorder="1" applyAlignment="1">
      <alignment horizontal="center" vertical="center"/>
    </xf>
    <xf numFmtId="1" fontId="9" fillId="0" borderId="0" xfId="9" applyNumberFormat="1" applyFont="1" applyFill="1" applyAlignment="1">
      <alignment horizontal="left"/>
    </xf>
    <xf numFmtId="3" fontId="12" fillId="0" borderId="0" xfId="9" applyNumberFormat="1" applyFont="1"/>
    <xf numFmtId="0" fontId="12" fillId="0" borderId="0" xfId="9" applyFont="1" applyBorder="1" applyAlignment="1">
      <alignment wrapText="1"/>
    </xf>
    <xf numFmtId="0" fontId="13" fillId="0" borderId="0" xfId="9" applyFont="1" applyFill="1" applyBorder="1"/>
    <xf numFmtId="0" fontId="12" fillId="0" borderId="17" xfId="9" applyFont="1" applyBorder="1" applyAlignment="1"/>
    <xf numFmtId="49" fontId="26" fillId="0" borderId="2" xfId="9" applyNumberFormat="1" applyFont="1" applyBorder="1" applyAlignment="1">
      <alignment horizontal="left" vertical="top"/>
    </xf>
    <xf numFmtId="1" fontId="4" fillId="0" borderId="0" xfId="9" applyNumberFormat="1" applyFont="1" applyBorder="1" applyAlignment="1">
      <alignment horizontal="left"/>
    </xf>
    <xf numFmtId="1" fontId="4" fillId="0" borderId="6" xfId="9" applyNumberFormat="1" applyFont="1" applyBorder="1" applyAlignment="1">
      <alignment horizontal="left"/>
    </xf>
    <xf numFmtId="168" fontId="9" fillId="0" borderId="2" xfId="9" applyNumberFormat="1" applyFont="1" applyBorder="1" applyAlignment="1"/>
    <xf numFmtId="0" fontId="8" fillId="0" borderId="2" xfId="9" applyFont="1" applyFill="1" applyBorder="1"/>
    <xf numFmtId="1" fontId="4" fillId="0" borderId="34" xfId="9" applyNumberFormat="1" applyFont="1" applyBorder="1" applyAlignment="1">
      <alignment horizontal="left"/>
    </xf>
    <xf numFmtId="1" fontId="4" fillId="0" borderId="50" xfId="9" applyNumberFormat="1" applyFont="1" applyBorder="1" applyAlignment="1">
      <alignment horizontal="left"/>
    </xf>
    <xf numFmtId="3" fontId="11" fillId="0" borderId="0" xfId="9" applyNumberFormat="1" applyFont="1" applyBorder="1" applyAlignment="1">
      <alignment horizontal="right"/>
    </xf>
    <xf numFmtId="0" fontId="12" fillId="0" borderId="0" xfId="9" applyFont="1" applyFill="1"/>
    <xf numFmtId="3" fontId="11" fillId="0" borderId="0" xfId="9" applyNumberFormat="1" applyFont="1" applyFill="1" applyBorder="1" applyAlignment="1">
      <alignment horizontal="right" vertical="top"/>
    </xf>
    <xf numFmtId="3" fontId="11" fillId="0" borderId="2" xfId="9" applyNumberFormat="1" applyFont="1" applyFill="1" applyBorder="1" applyAlignment="1">
      <alignment horizontal="right" vertical="top"/>
    </xf>
    <xf numFmtId="3" fontId="13" fillId="0" borderId="2" xfId="9" applyNumberFormat="1" applyFont="1" applyFill="1" applyBorder="1" applyAlignment="1">
      <alignment horizontal="right" vertical="top"/>
    </xf>
    <xf numFmtId="3" fontId="13" fillId="0" borderId="0" xfId="9" applyNumberFormat="1" applyFont="1" applyFill="1" applyBorder="1" applyAlignment="1">
      <alignment horizontal="right" vertical="top"/>
    </xf>
    <xf numFmtId="0" fontId="7" fillId="0" borderId="0" xfId="9" applyFont="1" applyFill="1" applyBorder="1"/>
    <xf numFmtId="1" fontId="7" fillId="0" borderId="6" xfId="9" applyNumberFormat="1" applyFont="1" applyFill="1" applyBorder="1" applyAlignment="1">
      <alignment horizontal="left"/>
    </xf>
    <xf numFmtId="0" fontId="8" fillId="0" borderId="27" xfId="9" applyFont="1" applyBorder="1"/>
    <xf numFmtId="49" fontId="9" fillId="0" borderId="9" xfId="9" applyNumberFormat="1" applyFont="1" applyBorder="1" applyAlignment="1">
      <alignment horizontal="left"/>
    </xf>
    <xf numFmtId="1" fontId="4" fillId="0" borderId="27" xfId="9" applyNumberFormat="1" applyFont="1" applyBorder="1" applyAlignment="1">
      <alignment horizontal="left"/>
    </xf>
    <xf numFmtId="1" fontId="4" fillId="0" borderId="38" xfId="9" applyNumberFormat="1" applyFont="1" applyBorder="1" applyAlignment="1">
      <alignment horizontal="left"/>
    </xf>
    <xf numFmtId="0" fontId="20" fillId="0" borderId="0" xfId="9" applyFont="1" applyFill="1" applyBorder="1"/>
    <xf numFmtId="1" fontId="7" fillId="0" borderId="0" xfId="9" applyNumberFormat="1" applyFont="1" applyFill="1" applyBorder="1" applyAlignment="1">
      <alignment horizontal="left"/>
    </xf>
    <xf numFmtId="0" fontId="23" fillId="0" borderId="0" xfId="9" applyFont="1" applyFill="1" applyAlignment="1">
      <alignment horizontal="left"/>
    </xf>
    <xf numFmtId="3" fontId="18" fillId="0" borderId="0" xfId="9" applyNumberFormat="1" applyFont="1" applyFill="1" applyAlignment="1">
      <alignment horizontal="right"/>
    </xf>
    <xf numFmtId="1" fontId="11" fillId="0" borderId="0" xfId="9" applyNumberFormat="1" applyFont="1" applyFill="1" applyBorder="1" applyAlignment="1">
      <alignment horizontal="left"/>
    </xf>
    <xf numFmtId="3" fontId="7" fillId="0" borderId="1" xfId="9" applyNumberFormat="1" applyFont="1" applyFill="1" applyBorder="1"/>
    <xf numFmtId="3" fontId="3" fillId="0" borderId="1" xfId="9" applyNumberFormat="1" applyFont="1" applyFill="1" applyBorder="1"/>
    <xf numFmtId="0" fontId="20" fillId="0" borderId="1" xfId="9" applyFont="1" applyFill="1" applyBorder="1"/>
    <xf numFmtId="0" fontId="18" fillId="0" borderId="1" xfId="9" applyFont="1" applyFill="1" applyBorder="1" applyAlignment="1">
      <alignment horizontal="center"/>
    </xf>
    <xf numFmtId="1" fontId="7" fillId="0" borderId="1" xfId="9" applyNumberFormat="1" applyFont="1" applyFill="1" applyBorder="1" applyAlignment="1">
      <alignment horizontal="left"/>
    </xf>
    <xf numFmtId="49" fontId="26" fillId="0" borderId="2" xfId="9" applyNumberFormat="1" applyFont="1" applyFill="1" applyBorder="1" applyAlignment="1"/>
    <xf numFmtId="3" fontId="11" fillId="0" borderId="0" xfId="9" applyNumberFormat="1" applyFont="1" applyFill="1"/>
    <xf numFmtId="173" fontId="27" fillId="0" borderId="2" xfId="1" applyNumberFormat="1" applyFont="1" applyFill="1" applyBorder="1" applyAlignment="1">
      <alignment horizontal="center" vertical="center" wrapText="1"/>
    </xf>
    <xf numFmtId="3" fontId="8" fillId="0" borderId="15" xfId="0" applyNumberFormat="1" applyFont="1" applyFill="1" applyBorder="1" applyAlignment="1">
      <alignment horizontal="right"/>
    </xf>
    <xf numFmtId="3" fontId="90" fillId="0" borderId="0" xfId="0" applyNumberFormat="1" applyFont="1" applyFill="1"/>
    <xf numFmtId="0" fontId="13" fillId="0" borderId="0" xfId="0" applyFont="1" applyBorder="1" applyAlignment="1">
      <alignment wrapText="1"/>
    </xf>
    <xf numFmtId="3" fontId="11" fillId="0" borderId="0" xfId="0" applyNumberFormat="1" applyFont="1" applyFill="1" applyAlignment="1">
      <alignment horizontal="right"/>
    </xf>
    <xf numFmtId="0" fontId="91" fillId="0" borderId="0" xfId="0" applyFont="1" applyAlignment="1">
      <alignment vertical="center"/>
    </xf>
    <xf numFmtId="168" fontId="23" fillId="0" borderId="0" xfId="0" applyNumberFormat="1" applyFont="1" applyFill="1"/>
    <xf numFmtId="3" fontId="11" fillId="3" borderId="14" xfId="7" applyFont="1" applyFill="1" applyBorder="1" applyAlignment="1">
      <alignment horizontal="right"/>
    </xf>
    <xf numFmtId="3" fontId="92" fillId="0" borderId="0" xfId="0" applyNumberFormat="1" applyFont="1" applyFill="1" applyBorder="1" applyAlignment="1">
      <alignment horizontal="right"/>
    </xf>
    <xf numFmtId="3" fontId="93" fillId="0" borderId="0" xfId="0" applyNumberFormat="1" applyFont="1" applyFill="1" applyBorder="1" applyAlignment="1">
      <alignment horizontal="right"/>
    </xf>
    <xf numFmtId="0" fontId="94" fillId="0" borderId="0" xfId="0" applyFont="1" applyFill="1"/>
    <xf numFmtId="3" fontId="12" fillId="0" borderId="0" xfId="0" applyNumberFormat="1" applyFont="1" applyFill="1"/>
    <xf numFmtId="1" fontId="13" fillId="0" borderId="0" xfId="0" applyNumberFormat="1" applyFont="1" applyFill="1" applyAlignment="1">
      <alignment horizontal="left"/>
    </xf>
    <xf numFmtId="1" fontId="13" fillId="0" borderId="2" xfId="0" applyNumberFormat="1" applyFont="1" applyFill="1" applyBorder="1" applyAlignment="1">
      <alignment horizontal="left"/>
    </xf>
    <xf numFmtId="1" fontId="34" fillId="0" borderId="24" xfId="0" applyNumberFormat="1" applyFont="1" applyFill="1" applyBorder="1" applyAlignment="1">
      <alignment horizontal="center" vertical="center"/>
    </xf>
    <xf numFmtId="3" fontId="23" fillId="0" borderId="0" xfId="0" applyNumberFormat="1" applyFont="1" applyFill="1" applyAlignment="1"/>
    <xf numFmtId="1" fontId="3" fillId="0" borderId="0" xfId="0" applyNumberFormat="1" applyFont="1" applyFill="1" applyAlignment="1">
      <alignment horizontal="left"/>
    </xf>
    <xf numFmtId="1" fontId="3" fillId="0" borderId="0" xfId="0" applyNumberFormat="1" applyFont="1" applyFill="1" applyAlignment="1">
      <alignment horizontal="center"/>
    </xf>
    <xf numFmtId="1" fontId="23" fillId="0" borderId="0" xfId="0" applyNumberFormat="1" applyFont="1" applyFill="1" applyAlignment="1">
      <alignment horizontal="left"/>
    </xf>
    <xf numFmtId="1" fontId="23" fillId="0" borderId="0" xfId="0" applyNumberFormat="1" applyFont="1" applyFill="1" applyAlignment="1">
      <alignment horizontal="center"/>
    </xf>
    <xf numFmtId="168" fontId="3" fillId="0" borderId="0" xfId="0" applyNumberFormat="1" applyFont="1" applyFill="1" applyAlignment="1">
      <alignment horizontal="left"/>
    </xf>
    <xf numFmtId="1" fontId="96" fillId="0" borderId="0" xfId="0" applyNumberFormat="1" applyFont="1" applyFill="1" applyAlignment="1">
      <alignment horizontal="left"/>
    </xf>
    <xf numFmtId="167" fontId="3" fillId="0" borderId="0" xfId="0" applyNumberFormat="1" applyFont="1" applyFill="1"/>
    <xf numFmtId="0" fontId="3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1" fontId="11" fillId="0" borderId="0" xfId="0" applyNumberFormat="1" applyFont="1" applyAlignment="1">
      <alignment horizontal="left"/>
    </xf>
    <xf numFmtId="1" fontId="3" fillId="0" borderId="6" xfId="0" applyNumberFormat="1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/>
    </xf>
    <xf numFmtId="1" fontId="3" fillId="0" borderId="15" xfId="0" applyNumberFormat="1" applyFont="1" applyFill="1" applyBorder="1" applyAlignment="1">
      <alignment horizontal="center"/>
    </xf>
    <xf numFmtId="1" fontId="63" fillId="0" borderId="0" xfId="0" applyNumberFormat="1" applyFont="1" applyFill="1" applyBorder="1" applyAlignment="1">
      <alignment horizontal="left"/>
    </xf>
    <xf numFmtId="1" fontId="63" fillId="0" borderId="0" xfId="0" applyNumberFormat="1" applyFont="1" applyFill="1" applyBorder="1" applyAlignment="1">
      <alignment horizontal="center"/>
    </xf>
    <xf numFmtId="168" fontId="63" fillId="0" borderId="0" xfId="0" applyNumberFormat="1" applyFont="1" applyFill="1" applyBorder="1" applyAlignment="1">
      <alignment horizontal="center"/>
    </xf>
    <xf numFmtId="0" fontId="63" fillId="0" borderId="0" xfId="0" applyFont="1" applyFill="1" applyBorder="1"/>
    <xf numFmtId="3" fontId="63" fillId="0" borderId="0" xfId="0" applyNumberFormat="1" applyFont="1" applyFill="1" applyBorder="1" applyAlignment="1"/>
    <xf numFmtId="167" fontId="63" fillId="0" borderId="0" xfId="0" applyNumberFormat="1" applyFont="1" applyFill="1" applyBorder="1"/>
    <xf numFmtId="168" fontId="27" fillId="0" borderId="0" xfId="0" applyNumberFormat="1" applyFont="1" applyFill="1" applyBorder="1" applyAlignment="1">
      <alignment horizontal="center"/>
    </xf>
    <xf numFmtId="167" fontId="23" fillId="0" borderId="0" xfId="0" applyNumberFormat="1" applyFont="1" applyFill="1" applyBorder="1"/>
    <xf numFmtId="0" fontId="3" fillId="0" borderId="0" xfId="0" applyFont="1" applyFill="1" applyAlignment="1"/>
    <xf numFmtId="0" fontId="3" fillId="0" borderId="0" xfId="0" applyFont="1" applyAlignment="1">
      <alignment vertical="top" wrapText="1"/>
    </xf>
    <xf numFmtId="0" fontId="3" fillId="0" borderId="14" xfId="0" applyFont="1" applyBorder="1" applyAlignment="1">
      <alignment vertical="top" wrapText="1"/>
    </xf>
    <xf numFmtId="1" fontId="11" fillId="0" borderId="0" xfId="0" applyNumberFormat="1" applyFont="1" applyBorder="1" applyAlignment="1">
      <alignment horizontal="left"/>
    </xf>
    <xf numFmtId="1" fontId="36" fillId="0" borderId="0" xfId="0" applyNumberFormat="1" applyFont="1" applyFill="1" applyAlignment="1">
      <alignment horizontal="center"/>
    </xf>
    <xf numFmtId="49" fontId="69" fillId="3" borderId="2" xfId="0" applyNumberFormat="1" applyFont="1" applyFill="1" applyBorder="1" applyAlignment="1">
      <alignment horizontal="left"/>
    </xf>
    <xf numFmtId="0" fontId="15" fillId="0" borderId="0" xfId="0" applyFont="1"/>
    <xf numFmtId="49" fontId="69" fillId="0" borderId="2" xfId="0" applyNumberFormat="1" applyFont="1" applyBorder="1" applyAlignment="1">
      <alignment horizontal="left" vertical="top"/>
    </xf>
    <xf numFmtId="0" fontId="15" fillId="3" borderId="0" xfId="0" applyFont="1" applyFill="1"/>
    <xf numFmtId="168" fontId="69" fillId="0" borderId="0" xfId="0" applyNumberFormat="1" applyFont="1" applyAlignment="1">
      <alignment horizontal="left"/>
    </xf>
    <xf numFmtId="49" fontId="69" fillId="0" borderId="2" xfId="0" applyNumberFormat="1" applyFont="1" applyBorder="1" applyAlignment="1">
      <alignment horizontal="left"/>
    </xf>
    <xf numFmtId="0" fontId="17" fillId="0" borderId="8" xfId="0" applyFont="1" applyFill="1" applyBorder="1"/>
    <xf numFmtId="168" fontId="69" fillId="0" borderId="8" xfId="0" applyNumberFormat="1" applyFont="1" applyFill="1" applyBorder="1" applyAlignment="1">
      <alignment horizontal="center"/>
    </xf>
    <xf numFmtId="3" fontId="54" fillId="0" borderId="5" xfId="0" applyNumberFormat="1" applyFont="1" applyFill="1" applyBorder="1" applyAlignment="1"/>
    <xf numFmtId="167" fontId="54" fillId="0" borderId="22" xfId="0" applyNumberFormat="1" applyFont="1" applyFill="1" applyBorder="1"/>
    <xf numFmtId="168" fontId="61" fillId="0" borderId="9" xfId="0" applyNumberFormat="1" applyFont="1" applyFill="1" applyBorder="1" applyAlignment="1">
      <alignment horizontal="center"/>
    </xf>
    <xf numFmtId="0" fontId="36" fillId="0" borderId="0" xfId="0" applyFont="1" applyFill="1" applyAlignment="1"/>
    <xf numFmtId="1" fontId="36" fillId="0" borderId="6" xfId="0" applyNumberFormat="1" applyFont="1" applyFill="1" applyBorder="1" applyAlignment="1">
      <alignment horizontal="center"/>
    </xf>
    <xf numFmtId="1" fontId="36" fillId="0" borderId="2" xfId="0" applyNumberFormat="1" applyFont="1" applyFill="1" applyBorder="1" applyAlignment="1">
      <alignment horizontal="center"/>
    </xf>
    <xf numFmtId="168" fontId="61" fillId="0" borderId="2" xfId="0" applyNumberFormat="1" applyFont="1" applyFill="1" applyBorder="1" applyAlignment="1">
      <alignment horizontal="center"/>
    </xf>
    <xf numFmtId="49" fontId="20" fillId="0" borderId="2" xfId="0" applyNumberFormat="1" applyFont="1" applyFill="1" applyBorder="1" applyAlignment="1">
      <alignment horizontal="left"/>
    </xf>
    <xf numFmtId="0" fontId="40" fillId="0" borderId="10" xfId="0" applyFont="1" applyFill="1" applyBorder="1" applyAlignment="1"/>
    <xf numFmtId="49" fontId="20" fillId="0" borderId="9" xfId="0" applyNumberFormat="1" applyFont="1" applyBorder="1" applyAlignment="1">
      <alignment horizontal="left"/>
    </xf>
    <xf numFmtId="0" fontId="50" fillId="0" borderId="0" xfId="0" applyFont="1" applyFill="1" applyAlignment="1">
      <alignment horizontal="left"/>
    </xf>
    <xf numFmtId="0" fontId="46" fillId="0" borderId="0" xfId="0" applyFont="1" applyFill="1"/>
    <xf numFmtId="3" fontId="40" fillId="0" borderId="60" xfId="0" applyNumberFormat="1" applyFont="1" applyFill="1" applyBorder="1"/>
    <xf numFmtId="167" fontId="8" fillId="0" borderId="60" xfId="0" applyNumberFormat="1" applyFont="1" applyFill="1" applyBorder="1"/>
    <xf numFmtId="3" fontId="8" fillId="0" borderId="34" xfId="0" applyNumberFormat="1" applyFont="1" applyFill="1" applyBorder="1"/>
    <xf numFmtId="3" fontId="11" fillId="0" borderId="34" xfId="0" applyNumberFormat="1" applyFont="1" applyFill="1" applyBorder="1"/>
    <xf numFmtId="167" fontId="28" fillId="0" borderId="34" xfId="0" applyNumberFormat="1" applyFont="1" applyFill="1" applyBorder="1"/>
    <xf numFmtId="3" fontId="79" fillId="0" borderId="0" xfId="0" applyNumberFormat="1" applyFont="1" applyFill="1"/>
    <xf numFmtId="167" fontId="14" fillId="0" borderId="21" xfId="0" applyNumberFormat="1" applyFont="1" applyFill="1" applyBorder="1" applyAlignment="1">
      <alignment horizontal="right"/>
    </xf>
    <xf numFmtId="1" fontId="3" fillId="0" borderId="38" xfId="0" applyNumberFormat="1" applyFont="1" applyFill="1" applyBorder="1" applyAlignment="1">
      <alignment horizontal="center"/>
    </xf>
    <xf numFmtId="1" fontId="4" fillId="0" borderId="48" xfId="0" applyNumberFormat="1" applyFont="1" applyBorder="1" applyAlignment="1">
      <alignment horizontal="left"/>
    </xf>
    <xf numFmtId="0" fontId="12" fillId="0" borderId="48" xfId="0" applyFont="1" applyBorder="1"/>
    <xf numFmtId="0" fontId="34" fillId="0" borderId="12" xfId="0" applyFont="1" applyFill="1" applyBorder="1" applyAlignment="1">
      <alignment horizontal="center" vertical="center"/>
    </xf>
    <xf numFmtId="0" fontId="4" fillId="0" borderId="17" xfId="0" applyFont="1" applyBorder="1" applyAlignment="1"/>
    <xf numFmtId="0" fontId="4" fillId="0" borderId="2" xfId="0" applyFont="1" applyBorder="1" applyAlignment="1">
      <alignment horizontal="left"/>
    </xf>
    <xf numFmtId="168" fontId="9" fillId="3" borderId="2" xfId="0" applyNumberFormat="1" applyFont="1" applyFill="1" applyBorder="1" applyAlignment="1">
      <alignment horizontal="left"/>
    </xf>
    <xf numFmtId="3" fontId="12" fillId="0" borderId="34" xfId="0" applyNumberFormat="1" applyFont="1" applyFill="1" applyBorder="1" applyAlignment="1">
      <alignment horizontal="right" vertical="top"/>
    </xf>
    <xf numFmtId="0" fontId="3" fillId="0" borderId="2" xfId="0" applyFont="1" applyBorder="1"/>
    <xf numFmtId="0" fontId="3" fillId="0" borderId="17" xfId="0" applyFont="1" applyBorder="1"/>
    <xf numFmtId="0" fontId="12" fillId="0" borderId="17" xfId="0" applyFont="1" applyBorder="1" applyAlignment="1">
      <alignment vertical="top"/>
    </xf>
    <xf numFmtId="0" fontId="13" fillId="0" borderId="17" xfId="0" applyFont="1" applyBorder="1" applyAlignment="1">
      <alignment vertical="top" wrapText="1"/>
    </xf>
    <xf numFmtId="0" fontId="13" fillId="3" borderId="17" xfId="0" applyFont="1" applyFill="1" applyBorder="1"/>
    <xf numFmtId="0" fontId="3" fillId="0" borderId="2" xfId="0" applyFont="1" applyBorder="1" applyAlignment="1">
      <alignment vertical="top"/>
    </xf>
    <xf numFmtId="0" fontId="3" fillId="0" borderId="2" xfId="0" applyFont="1" applyBorder="1" applyAlignment="1"/>
    <xf numFmtId="0" fontId="12" fillId="0" borderId="27" xfId="9" applyFont="1" applyBorder="1"/>
    <xf numFmtId="168" fontId="20" fillId="0" borderId="1" xfId="9" applyNumberFormat="1" applyFont="1" applyFill="1" applyBorder="1" applyAlignment="1">
      <alignment horizontal="center"/>
    </xf>
    <xf numFmtId="168" fontId="20" fillId="0" borderId="0" xfId="9" applyNumberFormat="1" applyFont="1" applyFill="1" applyBorder="1" applyAlignment="1">
      <alignment horizontal="center"/>
    </xf>
    <xf numFmtId="166" fontId="7" fillId="0" borderId="0" xfId="9" applyNumberFormat="1" applyFont="1" applyFill="1" applyBorder="1" applyAlignment="1">
      <alignment horizontal="right"/>
    </xf>
    <xf numFmtId="168" fontId="23" fillId="0" borderId="0" xfId="9" applyNumberFormat="1" applyFont="1" applyFill="1"/>
    <xf numFmtId="0" fontId="3" fillId="0" borderId="0" xfId="9" applyFill="1" applyAlignment="1">
      <alignment horizontal="center"/>
    </xf>
    <xf numFmtId="0" fontId="3" fillId="0" borderId="0" xfId="9" applyFill="1"/>
    <xf numFmtId="3" fontId="3" fillId="0" borderId="0" xfId="9" applyNumberFormat="1" applyFill="1"/>
    <xf numFmtId="166" fontId="3" fillId="0" borderId="0" xfId="9" applyNumberFormat="1" applyFill="1" applyAlignment="1">
      <alignment horizontal="right"/>
    </xf>
    <xf numFmtId="0" fontId="38" fillId="0" borderId="0" xfId="9" applyFont="1" applyFill="1" applyAlignment="1"/>
    <xf numFmtId="0" fontId="50" fillId="0" borderId="0" xfId="9" applyFont="1" applyFill="1" applyAlignment="1"/>
    <xf numFmtId="0" fontId="74" fillId="0" borderId="0" xfId="9" applyFont="1" applyFill="1" applyAlignment="1">
      <alignment horizontal="left"/>
    </xf>
    <xf numFmtId="0" fontId="27" fillId="0" borderId="4" xfId="9" applyFont="1" applyFill="1" applyBorder="1" applyAlignment="1">
      <alignment horizontal="center" vertical="center"/>
    </xf>
    <xf numFmtId="0" fontId="27" fillId="0" borderId="5" xfId="9" applyFont="1" applyFill="1" applyBorder="1" applyAlignment="1">
      <alignment horizontal="center" vertical="center"/>
    </xf>
    <xf numFmtId="0" fontId="27" fillId="0" borderId="5" xfId="9" applyFont="1" applyFill="1" applyBorder="1" applyAlignment="1">
      <alignment vertical="center"/>
    </xf>
    <xf numFmtId="3" fontId="34" fillId="0" borderId="5" xfId="9" applyNumberFormat="1" applyFont="1" applyFill="1" applyBorder="1" applyAlignment="1">
      <alignment horizontal="center" vertical="center" wrapText="1"/>
    </xf>
    <xf numFmtId="3" fontId="34" fillId="0" borderId="37" xfId="9" applyNumberFormat="1" applyFont="1" applyFill="1" applyBorder="1" applyAlignment="1">
      <alignment horizontal="center" vertical="center" wrapText="1"/>
    </xf>
    <xf numFmtId="166" fontId="34" fillId="0" borderId="24" xfId="9" applyNumberFormat="1" applyFont="1" applyFill="1" applyBorder="1" applyAlignment="1">
      <alignment horizontal="center" vertical="center"/>
    </xf>
    <xf numFmtId="0" fontId="3" fillId="0" borderId="6" xfId="9" applyFill="1" applyBorder="1" applyAlignment="1">
      <alignment horizontal="center"/>
    </xf>
    <xf numFmtId="0" fontId="3" fillId="0" borderId="2" xfId="9" applyFill="1" applyBorder="1" applyAlignment="1">
      <alignment horizontal="center"/>
    </xf>
    <xf numFmtId="0" fontId="3" fillId="0" borderId="9" xfId="9" applyFill="1" applyBorder="1" applyAlignment="1">
      <alignment horizontal="center"/>
    </xf>
    <xf numFmtId="3" fontId="21" fillId="0" borderId="5" xfId="9" applyNumberFormat="1" applyFont="1" applyFill="1" applyBorder="1"/>
    <xf numFmtId="166" fontId="21" fillId="0" borderId="23" xfId="9" applyNumberFormat="1" applyFont="1" applyFill="1" applyBorder="1" applyAlignment="1">
      <alignment horizontal="center" vertical="center"/>
    </xf>
    <xf numFmtId="3" fontId="21" fillId="0" borderId="2" xfId="9" applyNumberFormat="1" applyFont="1" applyFill="1" applyBorder="1"/>
    <xf numFmtId="166" fontId="21" fillId="0" borderId="21" xfId="9" applyNumberFormat="1" applyFont="1" applyFill="1" applyBorder="1" applyAlignment="1">
      <alignment horizontal="center" vertical="center"/>
    </xf>
    <xf numFmtId="166" fontId="21" fillId="0" borderId="24" xfId="9" applyNumberFormat="1" applyFont="1" applyFill="1" applyBorder="1" applyAlignment="1">
      <alignment horizontal="center" vertical="center"/>
    </xf>
    <xf numFmtId="0" fontId="21" fillId="0" borderId="0" xfId="9" applyFont="1" applyFill="1" applyBorder="1" applyAlignment="1">
      <alignment horizontal="left"/>
    </xf>
    <xf numFmtId="3" fontId="21" fillId="0" borderId="0" xfId="9" applyNumberFormat="1" applyFont="1" applyFill="1" applyBorder="1"/>
    <xf numFmtId="0" fontId="3" fillId="0" borderId="0" xfId="9" applyFill="1" applyAlignment="1">
      <alignment horizontal="right"/>
    </xf>
    <xf numFmtId="0" fontId="3" fillId="0" borderId="14" xfId="9" applyFill="1" applyBorder="1" applyAlignment="1">
      <alignment horizontal="center"/>
    </xf>
    <xf numFmtId="166" fontId="21" fillId="0" borderId="42" xfId="9" applyNumberFormat="1" applyFont="1" applyFill="1" applyBorder="1" applyAlignment="1">
      <alignment horizontal="center" vertical="center"/>
    </xf>
    <xf numFmtId="0" fontId="21" fillId="0" borderId="0" xfId="9" applyFont="1" applyFill="1"/>
    <xf numFmtId="4" fontId="3" fillId="0" borderId="0" xfId="9" applyNumberFormat="1" applyFill="1"/>
    <xf numFmtId="0" fontId="3" fillId="0" borderId="38" xfId="9" applyFill="1" applyBorder="1" applyAlignment="1">
      <alignment horizontal="center"/>
    </xf>
    <xf numFmtId="0" fontId="3" fillId="0" borderId="0" xfId="9" applyFill="1" applyAlignment="1"/>
    <xf numFmtId="3" fontId="21" fillId="0" borderId="9" xfId="9" applyNumberFormat="1" applyFont="1" applyFill="1" applyBorder="1" applyAlignment="1">
      <alignment vertical="center"/>
    </xf>
    <xf numFmtId="4" fontId="27" fillId="0" borderId="5" xfId="9" applyNumberFormat="1" applyFont="1" applyFill="1" applyBorder="1" applyAlignment="1">
      <alignment horizontal="center" vertical="center" wrapText="1"/>
    </xf>
    <xf numFmtId="4" fontId="27" fillId="0" borderId="37" xfId="9" applyNumberFormat="1" applyFont="1" applyFill="1" applyBorder="1" applyAlignment="1">
      <alignment horizontal="center" vertical="center" wrapText="1"/>
    </xf>
    <xf numFmtId="3" fontId="3" fillId="0" borderId="24" xfId="9" applyNumberFormat="1" applyFill="1" applyBorder="1" applyAlignment="1">
      <alignment horizontal="center" vertical="center"/>
    </xf>
    <xf numFmtId="0" fontId="21" fillId="0" borderId="2" xfId="9" applyFont="1" applyFill="1" applyBorder="1" applyAlignment="1">
      <alignment vertical="center" wrapText="1"/>
    </xf>
    <xf numFmtId="0" fontId="21" fillId="0" borderId="7" xfId="9" applyFont="1" applyFill="1" applyBorder="1" applyAlignment="1"/>
    <xf numFmtId="0" fontId="21" fillId="0" borderId="8" xfId="9" applyFont="1" applyFill="1" applyBorder="1" applyAlignment="1"/>
    <xf numFmtId="0" fontId="21" fillId="0" borderId="56" xfId="9" applyFont="1" applyFill="1" applyBorder="1" applyAlignment="1"/>
    <xf numFmtId="0" fontId="3" fillId="0" borderId="34" xfId="9" applyFill="1" applyBorder="1" applyAlignment="1">
      <alignment horizontal="center"/>
    </xf>
    <xf numFmtId="0" fontId="21" fillId="0" borderId="14" xfId="9" applyFont="1" applyFill="1" applyBorder="1" applyAlignment="1">
      <alignment vertical="center" wrapText="1"/>
    </xf>
    <xf numFmtId="3" fontId="21" fillId="0" borderId="14" xfId="9" applyNumberFormat="1" applyFont="1" applyFill="1" applyBorder="1" applyAlignment="1">
      <alignment vertical="center"/>
    </xf>
    <xf numFmtId="0" fontId="3" fillId="0" borderId="38" xfId="9" applyFill="1" applyBorder="1" applyAlignment="1">
      <alignment horizontal="center" vertical="center"/>
    </xf>
    <xf numFmtId="0" fontId="3" fillId="0" borderId="9" xfId="9" applyFill="1" applyBorder="1" applyAlignment="1">
      <alignment horizontal="center" vertical="center"/>
    </xf>
    <xf numFmtId="3" fontId="21" fillId="0" borderId="2" xfId="9" applyNumberFormat="1" applyFont="1" applyFill="1" applyBorder="1" applyAlignment="1">
      <alignment vertical="center"/>
    </xf>
    <xf numFmtId="0" fontId="3" fillId="0" borderId="0" xfId="9" applyFill="1" applyAlignment="1">
      <alignment vertical="center"/>
    </xf>
    <xf numFmtId="0" fontId="3" fillId="0" borderId="50" xfId="9" applyFill="1" applyBorder="1" applyAlignment="1">
      <alignment horizontal="center"/>
    </xf>
    <xf numFmtId="0" fontId="21" fillId="0" borderId="0" xfId="9" applyFont="1" applyFill="1" applyBorder="1" applyAlignment="1"/>
    <xf numFmtId="166" fontId="21" fillId="0" borderId="0" xfId="9" applyNumberFormat="1" applyFont="1" applyFill="1" applyBorder="1" applyAlignment="1">
      <alignment horizontal="center" vertical="center"/>
    </xf>
    <xf numFmtId="0" fontId="3" fillId="0" borderId="0" xfId="9" applyFill="1" applyBorder="1"/>
    <xf numFmtId="0" fontId="3" fillId="0" borderId="6" xfId="9" applyFill="1" applyBorder="1" applyAlignment="1">
      <alignment horizontal="left" vertical="center"/>
    </xf>
    <xf numFmtId="3" fontId="21" fillId="0" borderId="9" xfId="9" applyNumberFormat="1" applyFont="1" applyFill="1" applyBorder="1" applyAlignment="1">
      <alignment horizontal="right" vertical="center"/>
    </xf>
    <xf numFmtId="3" fontId="21" fillId="0" borderId="2" xfId="9" applyNumberFormat="1" applyFont="1" applyFill="1" applyBorder="1" applyAlignment="1">
      <alignment horizontal="right" vertical="center"/>
    </xf>
    <xf numFmtId="0" fontId="3" fillId="0" borderId="0" xfId="9" applyAlignment="1"/>
    <xf numFmtId="0" fontId="21" fillId="0" borderId="9" xfId="9" applyFont="1" applyFill="1" applyBorder="1" applyAlignment="1">
      <alignment vertical="center" wrapText="1"/>
    </xf>
    <xf numFmtId="0" fontId="34" fillId="0" borderId="2" xfId="9" applyFont="1" applyFill="1" applyBorder="1" applyAlignment="1">
      <alignment horizontal="center" vertical="center"/>
    </xf>
    <xf numFmtId="0" fontId="3" fillId="0" borderId="12" xfId="9" applyFill="1" applyBorder="1" applyAlignment="1">
      <alignment horizontal="left" vertical="center"/>
    </xf>
    <xf numFmtId="0" fontId="3" fillId="0" borderId="0" xfId="9" applyFill="1" applyBorder="1" applyAlignment="1">
      <alignment horizontal="center"/>
    </xf>
    <xf numFmtId="0" fontId="3" fillId="0" borderId="53" xfId="9" applyFill="1" applyBorder="1" applyAlignment="1">
      <alignment horizontal="center"/>
    </xf>
    <xf numFmtId="1" fontId="78" fillId="0" borderId="0" xfId="9" applyNumberFormat="1" applyFont="1" applyFill="1" applyBorder="1" applyAlignment="1">
      <alignment horizontal="left"/>
    </xf>
    <xf numFmtId="1" fontId="78" fillId="0" borderId="0" xfId="9" applyNumberFormat="1" applyFont="1" applyFill="1" applyBorder="1" applyAlignment="1">
      <alignment horizontal="center"/>
    </xf>
    <xf numFmtId="168" fontId="78" fillId="0" borderId="0" xfId="9" applyNumberFormat="1" applyFont="1" applyFill="1" applyBorder="1" applyAlignment="1">
      <alignment horizontal="center"/>
    </xf>
    <xf numFmtId="0" fontId="78" fillId="0" borderId="0" xfId="9" applyFont="1" applyFill="1" applyBorder="1"/>
    <xf numFmtId="3" fontId="50" fillId="0" borderId="0" xfId="9" applyNumberFormat="1" applyFont="1" applyFill="1"/>
    <xf numFmtId="166" fontId="5" fillId="0" borderId="0" xfId="9" applyNumberFormat="1" applyFont="1" applyFill="1" applyBorder="1" applyAlignment="1">
      <alignment horizontal="right"/>
    </xf>
    <xf numFmtId="4" fontId="50" fillId="0" borderId="0" xfId="9" applyNumberFormat="1" applyFont="1" applyFill="1"/>
    <xf numFmtId="0" fontId="52" fillId="0" borderId="0" xfId="9" applyFont="1" applyFill="1"/>
    <xf numFmtId="4" fontId="52" fillId="0" borderId="0" xfId="9" applyNumberFormat="1" applyFont="1" applyFill="1"/>
    <xf numFmtId="0" fontId="52" fillId="0" borderId="0" xfId="9" applyFont="1" applyFill="1" applyAlignment="1">
      <alignment horizontal="left"/>
    </xf>
    <xf numFmtId="166" fontId="52" fillId="0" borderId="0" xfId="9" applyNumberFormat="1" applyFont="1" applyFill="1" applyAlignment="1">
      <alignment horizontal="right"/>
    </xf>
    <xf numFmtId="166" fontId="16" fillId="0" borderId="10" xfId="9" applyNumberFormat="1" applyFont="1" applyFill="1" applyBorder="1" applyAlignment="1">
      <alignment horizontal="right" shrinkToFit="1"/>
    </xf>
    <xf numFmtId="0" fontId="79" fillId="0" borderId="0" xfId="9" applyFont="1" applyFill="1"/>
    <xf numFmtId="3" fontId="79" fillId="0" borderId="0" xfId="9" applyNumberFormat="1" applyFont="1" applyFill="1"/>
    <xf numFmtId="0" fontId="38" fillId="0" borderId="1" xfId="9" applyFont="1" applyFill="1" applyBorder="1" applyAlignment="1"/>
    <xf numFmtId="0" fontId="3" fillId="0" borderId="1" xfId="9" applyFill="1" applyBorder="1" applyAlignment="1"/>
    <xf numFmtId="0" fontId="38" fillId="0" borderId="0" xfId="9" applyFont="1" applyFill="1" applyAlignment="1">
      <alignment horizontal="right"/>
    </xf>
    <xf numFmtId="1" fontId="34" fillId="0" borderId="37" xfId="9" applyNumberFormat="1" applyFont="1" applyFill="1" applyBorder="1" applyAlignment="1">
      <alignment horizontal="center" vertical="center" wrapText="1"/>
    </xf>
    <xf numFmtId="0" fontId="3" fillId="0" borderId="0" xfId="9" applyFont="1" applyFill="1" applyAlignment="1">
      <alignment vertical="center"/>
    </xf>
    <xf numFmtId="167" fontId="17" fillId="0" borderId="0" xfId="9" applyNumberFormat="1" applyFont="1" applyFill="1" applyBorder="1" applyAlignment="1">
      <alignment horizontal="right"/>
    </xf>
    <xf numFmtId="4" fontId="50" fillId="0" borderId="0" xfId="9" applyNumberFormat="1" applyFont="1" applyFill="1" applyAlignment="1">
      <alignment vertical="center"/>
    </xf>
    <xf numFmtId="4" fontId="52" fillId="0" borderId="0" xfId="9" applyNumberFormat="1" applyFont="1" applyFill="1" applyAlignment="1">
      <alignment vertical="center"/>
    </xf>
    <xf numFmtId="167" fontId="16" fillId="0" borderId="10" xfId="9" applyNumberFormat="1" applyFont="1" applyFill="1" applyBorder="1" applyAlignment="1">
      <alignment horizontal="right" shrinkToFit="1"/>
    </xf>
    <xf numFmtId="167" fontId="11" fillId="0" borderId="0" xfId="9" applyNumberFormat="1" applyFont="1" applyFill="1" applyBorder="1" applyAlignment="1">
      <alignment horizontal="right"/>
    </xf>
    <xf numFmtId="167" fontId="13" fillId="0" borderId="0" xfId="9" applyNumberFormat="1" applyFont="1" applyFill="1" applyBorder="1" applyAlignment="1">
      <alignment horizontal="right"/>
    </xf>
    <xf numFmtId="3" fontId="21" fillId="0" borderId="15" xfId="9" applyNumberFormat="1" applyFont="1" applyFill="1" applyBorder="1" applyAlignment="1">
      <alignment vertical="center"/>
    </xf>
    <xf numFmtId="0" fontId="21" fillId="0" borderId="2" xfId="9" applyFont="1" applyFill="1" applyBorder="1"/>
    <xf numFmtId="169" fontId="3" fillId="0" borderId="2" xfId="9" applyNumberFormat="1" applyFill="1" applyBorder="1" applyAlignment="1">
      <alignment horizontal="center"/>
    </xf>
    <xf numFmtId="3" fontId="21" fillId="0" borderId="46" xfId="9" applyNumberFormat="1" applyFont="1" applyFill="1" applyBorder="1" applyAlignment="1">
      <alignment vertical="center"/>
    </xf>
    <xf numFmtId="169" fontId="3" fillId="0" borderId="0" xfId="9" applyNumberFormat="1" applyFill="1" applyBorder="1" applyAlignment="1">
      <alignment horizontal="center"/>
    </xf>
    <xf numFmtId="0" fontId="3" fillId="0" borderId="12" xfId="9" applyFill="1" applyBorder="1" applyAlignment="1">
      <alignment horizontal="center"/>
    </xf>
    <xf numFmtId="3" fontId="3" fillId="0" borderId="0" xfId="9" applyNumberFormat="1" applyFill="1" applyBorder="1" applyAlignment="1">
      <alignment horizontal="center" vertical="center"/>
    </xf>
    <xf numFmtId="4" fontId="3" fillId="0" borderId="0" xfId="9" applyNumberFormat="1" applyFill="1" applyAlignment="1">
      <alignment horizontal="right"/>
    </xf>
    <xf numFmtId="0" fontId="27" fillId="0" borderId="0" xfId="9" applyFont="1" applyFill="1" applyBorder="1" applyAlignment="1">
      <alignment horizontal="center" vertical="center"/>
    </xf>
    <xf numFmtId="4" fontId="27" fillId="0" borderId="0" xfId="9" applyNumberFormat="1" applyFont="1" applyFill="1" applyBorder="1" applyAlignment="1">
      <alignment horizontal="center" vertical="center" wrapText="1"/>
    </xf>
    <xf numFmtId="0" fontId="27" fillId="0" borderId="0" xfId="9" applyFont="1" applyFill="1" applyBorder="1" applyAlignment="1">
      <alignment vertical="center"/>
    </xf>
    <xf numFmtId="0" fontId="3" fillId="0" borderId="6" xfId="9" applyFill="1" applyBorder="1" applyAlignment="1">
      <alignment horizontal="center" vertical="center"/>
    </xf>
    <xf numFmtId="0" fontId="3" fillId="0" borderId="17" xfId="9" applyFill="1" applyBorder="1" applyAlignment="1">
      <alignment horizontal="center"/>
    </xf>
    <xf numFmtId="0" fontId="50" fillId="0" borderId="0" xfId="9" applyFont="1" applyFill="1"/>
    <xf numFmtId="0" fontId="3" fillId="0" borderId="0" xfId="9" applyFill="1" applyAlignment="1">
      <alignment horizontal="left"/>
    </xf>
    <xf numFmtId="3" fontId="3" fillId="0" borderId="1" xfId="9" applyNumberFormat="1" applyFont="1" applyFill="1" applyBorder="1" applyAlignment="1">
      <alignment horizontal="right"/>
    </xf>
    <xf numFmtId="3" fontId="34" fillId="0" borderId="24" xfId="9" applyNumberFormat="1" applyFont="1" applyFill="1" applyBorder="1" applyAlignment="1">
      <alignment horizontal="center" vertical="center"/>
    </xf>
    <xf numFmtId="173" fontId="3" fillId="0" borderId="9" xfId="9" applyNumberFormat="1" applyFill="1" applyBorder="1" applyAlignment="1">
      <alignment horizontal="center"/>
    </xf>
    <xf numFmtId="0" fontId="3" fillId="0" borderId="2" xfId="9" applyFill="1" applyBorder="1" applyAlignment="1">
      <alignment horizontal="center" vertical="center"/>
    </xf>
    <xf numFmtId="173" fontId="3" fillId="0" borderId="2" xfId="9" applyNumberFormat="1" applyFill="1" applyBorder="1" applyAlignment="1">
      <alignment horizontal="center" vertical="center"/>
    </xf>
    <xf numFmtId="0" fontId="3" fillId="0" borderId="2" xfId="9" applyFill="1" applyBorder="1" applyAlignment="1">
      <alignment horizontal="center" vertical="center" wrapText="1"/>
    </xf>
    <xf numFmtId="173" fontId="3" fillId="0" borderId="2" xfId="9" applyNumberFormat="1" applyFill="1" applyBorder="1" applyAlignment="1">
      <alignment horizontal="center" vertical="center" wrapText="1"/>
    </xf>
    <xf numFmtId="0" fontId="3" fillId="0" borderId="0" xfId="9" applyFill="1" applyAlignment="1">
      <alignment vertical="center" wrapText="1"/>
    </xf>
    <xf numFmtId="3" fontId="21" fillId="0" borderId="0" xfId="9" applyNumberFormat="1" applyFont="1" applyFill="1" applyBorder="1" applyAlignment="1">
      <alignment vertical="center"/>
    </xf>
    <xf numFmtId="0" fontId="21" fillId="0" borderId="2" xfId="9" applyFont="1" applyFill="1" applyBorder="1" applyAlignment="1">
      <alignment vertical="justify" wrapText="1"/>
    </xf>
    <xf numFmtId="4" fontId="21" fillId="0" borderId="0" xfId="9" applyNumberFormat="1" applyFont="1" applyFill="1"/>
    <xf numFmtId="0" fontId="3" fillId="0" borderId="34" xfId="9" applyFill="1" applyBorder="1"/>
    <xf numFmtId="4" fontId="3" fillId="0" borderId="34" xfId="9" applyNumberFormat="1" applyFill="1" applyBorder="1"/>
    <xf numFmtId="4" fontId="3" fillId="0" borderId="0" xfId="9" applyNumberFormat="1" applyFill="1" applyBorder="1"/>
    <xf numFmtId="4" fontId="3" fillId="0" borderId="0" xfId="9" applyNumberFormat="1" applyFill="1" applyBorder="1" applyAlignment="1">
      <alignment vertical="center"/>
    </xf>
    <xf numFmtId="0" fontId="21" fillId="0" borderId="17" xfId="9" applyFont="1" applyFill="1" applyBorder="1" applyAlignment="1">
      <alignment vertical="center" wrapText="1"/>
    </xf>
    <xf numFmtId="0" fontId="3" fillId="0" borderId="50" xfId="9" applyFill="1" applyBorder="1" applyAlignment="1">
      <alignment horizontal="center" vertical="center"/>
    </xf>
    <xf numFmtId="0" fontId="3" fillId="0" borderId="14" xfId="9" applyFill="1" applyBorder="1" applyAlignment="1">
      <alignment horizontal="center" vertical="center"/>
    </xf>
    <xf numFmtId="0" fontId="3" fillId="0" borderId="2" xfId="9" applyFont="1" applyBorder="1" applyAlignment="1">
      <alignment horizontal="center" vertical="center"/>
    </xf>
    <xf numFmtId="0" fontId="21" fillId="0" borderId="2" xfId="9" applyFont="1" applyBorder="1" applyAlignment="1">
      <alignment vertical="center" wrapText="1"/>
    </xf>
    <xf numFmtId="0" fontId="21" fillId="0" borderId="9" xfId="9" applyFont="1" applyBorder="1" applyAlignment="1">
      <alignment vertical="center" wrapText="1"/>
    </xf>
    <xf numFmtId="0" fontId="21" fillId="0" borderId="14" xfId="9" applyFont="1" applyBorder="1" applyAlignment="1">
      <alignment vertical="center" wrapText="1"/>
    </xf>
    <xf numFmtId="0" fontId="21" fillId="0" borderId="2" xfId="9" applyFont="1" applyFill="1" applyBorder="1" applyAlignment="1">
      <alignment wrapText="1"/>
    </xf>
    <xf numFmtId="0" fontId="3" fillId="0" borderId="2" xfId="9" applyBorder="1" applyAlignment="1">
      <alignment horizontal="center" vertical="center"/>
    </xf>
    <xf numFmtId="0" fontId="74" fillId="0" borderId="0" xfId="9" applyFont="1" applyAlignment="1">
      <alignment horizontal="left"/>
    </xf>
    <xf numFmtId="4" fontId="3" fillId="0" borderId="0" xfId="9" applyNumberFormat="1"/>
    <xf numFmtId="0" fontId="3" fillId="0" borderId="0" xfId="9" applyAlignment="1">
      <alignment horizontal="center"/>
    </xf>
    <xf numFmtId="0" fontId="3" fillId="0" borderId="0" xfId="9"/>
    <xf numFmtId="4" fontId="3" fillId="0" borderId="0" xfId="9" applyNumberFormat="1" applyAlignment="1">
      <alignment horizontal="right"/>
    </xf>
    <xf numFmtId="0" fontId="27" fillId="0" borderId="4" xfId="9" applyFont="1" applyBorder="1" applyAlignment="1">
      <alignment horizontal="center" vertical="center"/>
    </xf>
    <xf numFmtId="0" fontId="27" fillId="0" borderId="56" xfId="9" applyFont="1" applyBorder="1" applyAlignment="1">
      <alignment horizontal="center" vertical="center"/>
    </xf>
    <xf numFmtId="0" fontId="27" fillId="0" borderId="56" xfId="9" applyFont="1" applyBorder="1" applyAlignment="1">
      <alignment vertical="center"/>
    </xf>
    <xf numFmtId="4" fontId="27" fillId="0" borderId="56" xfId="9" applyNumberFormat="1" applyFont="1" applyBorder="1" applyAlignment="1">
      <alignment horizontal="center" vertical="center" wrapText="1"/>
    </xf>
    <xf numFmtId="4" fontId="27" fillId="0" borderId="8" xfId="9" applyNumberFormat="1" applyFont="1" applyBorder="1" applyAlignment="1">
      <alignment horizontal="center" vertical="center" wrapText="1"/>
    </xf>
    <xf numFmtId="3" fontId="3" fillId="0" borderId="24" xfId="9" applyNumberFormat="1" applyBorder="1" applyAlignment="1">
      <alignment horizontal="center" vertical="center"/>
    </xf>
    <xf numFmtId="0" fontId="34" fillId="0" borderId="50" xfId="9" applyFont="1" applyBorder="1" applyAlignment="1">
      <alignment horizontal="center" vertical="center"/>
    </xf>
    <xf numFmtId="0" fontId="34" fillId="0" borderId="48" xfId="9" applyFont="1" applyBorder="1" applyAlignment="1">
      <alignment horizontal="center" vertical="center"/>
    </xf>
    <xf numFmtId="1" fontId="34" fillId="0" borderId="48" xfId="9" applyNumberFormat="1" applyFont="1" applyBorder="1" applyAlignment="1">
      <alignment horizontal="center" vertical="center" wrapText="1"/>
    </xf>
    <xf numFmtId="1" fontId="34" fillId="0" borderId="34" xfId="9" applyNumberFormat="1" applyFont="1" applyBorder="1" applyAlignment="1">
      <alignment horizontal="center" vertical="center" wrapText="1"/>
    </xf>
    <xf numFmtId="166" fontId="34" fillId="0" borderId="42" xfId="9" applyNumberFormat="1" applyFont="1" applyBorder="1" applyAlignment="1">
      <alignment horizontal="center" vertical="center"/>
    </xf>
    <xf numFmtId="0" fontId="3" fillId="0" borderId="6" xfId="9" applyBorder="1" applyAlignment="1">
      <alignment horizontal="center" vertical="center"/>
    </xf>
    <xf numFmtId="0" fontId="3" fillId="0" borderId="17" xfId="9" applyBorder="1" applyAlignment="1">
      <alignment horizontal="center" vertical="center"/>
    </xf>
    <xf numFmtId="3" fontId="21" fillId="0" borderId="17" xfId="9" applyNumberFormat="1" applyFont="1" applyBorder="1" applyAlignment="1">
      <alignment vertical="center"/>
    </xf>
    <xf numFmtId="3" fontId="21" fillId="0" borderId="0" xfId="9" applyNumberFormat="1" applyFont="1" applyAlignment="1">
      <alignment vertical="center"/>
    </xf>
    <xf numFmtId="166" fontId="21" fillId="0" borderId="21" xfId="9" applyNumberFormat="1" applyFont="1" applyBorder="1" applyAlignment="1">
      <alignment horizontal="center" vertical="center"/>
    </xf>
    <xf numFmtId="0" fontId="21" fillId="0" borderId="7" xfId="9" applyFont="1" applyBorder="1"/>
    <xf numFmtId="0" fontId="21" fillId="0" borderId="8" xfId="9" applyFont="1" applyBorder="1"/>
    <xf numFmtId="0" fontId="21" fillId="0" borderId="56" xfId="9" applyFont="1" applyBorder="1"/>
    <xf numFmtId="3" fontId="21" fillId="0" borderId="56" xfId="9" applyNumberFormat="1" applyFont="1" applyBorder="1"/>
    <xf numFmtId="166" fontId="21" fillId="0" borderId="22" xfId="9" applyNumberFormat="1" applyFont="1" applyBorder="1" applyAlignment="1">
      <alignment horizontal="center" vertical="center"/>
    </xf>
    <xf numFmtId="0" fontId="21" fillId="0" borderId="17" xfId="9" applyFont="1" applyBorder="1" applyAlignment="1">
      <alignment vertical="center" wrapText="1"/>
    </xf>
    <xf numFmtId="0" fontId="3" fillId="0" borderId="12" xfId="9" applyFill="1" applyBorder="1" applyAlignment="1">
      <alignment horizontal="center" vertical="center"/>
    </xf>
    <xf numFmtId="0" fontId="3" fillId="0" borderId="15" xfId="9" applyFill="1" applyBorder="1" applyAlignment="1">
      <alignment horizontal="center" vertical="center"/>
    </xf>
    <xf numFmtId="0" fontId="3" fillId="0" borderId="0" xfId="9" applyFill="1" applyBorder="1" applyAlignment="1">
      <alignment horizontal="center" vertical="center"/>
    </xf>
    <xf numFmtId="0" fontId="21" fillId="0" borderId="17" xfId="9" applyFont="1" applyFill="1" applyBorder="1"/>
    <xf numFmtId="0" fontId="3" fillId="0" borderId="15" xfId="9" applyFill="1" applyBorder="1" applyAlignment="1">
      <alignment horizontal="center"/>
    </xf>
    <xf numFmtId="0" fontId="3" fillId="0" borderId="0" xfId="9" applyBorder="1" applyAlignment="1">
      <alignment horizontal="center" vertical="center"/>
    </xf>
    <xf numFmtId="3" fontId="21" fillId="0" borderId="2" xfId="9" applyNumberFormat="1" applyFont="1" applyBorder="1" applyAlignment="1">
      <alignment vertical="center"/>
    </xf>
    <xf numFmtId="0" fontId="3" fillId="0" borderId="50" xfId="9" applyBorder="1" applyAlignment="1">
      <alignment horizontal="center" vertical="center"/>
    </xf>
    <xf numFmtId="0" fontId="3" fillId="0" borderId="14" xfId="9" applyBorder="1" applyAlignment="1">
      <alignment horizontal="center" vertical="center"/>
    </xf>
    <xf numFmtId="3" fontId="21" fillId="0" borderId="14" xfId="9" applyNumberFormat="1" applyFont="1" applyBorder="1" applyAlignment="1">
      <alignment vertical="center"/>
    </xf>
    <xf numFmtId="4" fontId="21" fillId="0" borderId="0" xfId="9" applyNumberFormat="1" applyFont="1" applyFill="1" applyBorder="1"/>
    <xf numFmtId="49" fontId="3" fillId="0" borderId="2" xfId="9" applyNumberFormat="1" applyFont="1" applyFill="1" applyBorder="1" applyAlignment="1">
      <alignment horizontal="center" vertical="center"/>
    </xf>
    <xf numFmtId="49" fontId="3" fillId="0" borderId="2" xfId="9" applyNumberFormat="1" applyFill="1" applyBorder="1" applyAlignment="1">
      <alignment horizontal="center" vertical="center"/>
    </xf>
    <xf numFmtId="49" fontId="3" fillId="0" borderId="6" xfId="9" applyNumberFormat="1" applyFill="1" applyBorder="1" applyAlignment="1">
      <alignment horizontal="center" vertical="center"/>
    </xf>
    <xf numFmtId="49" fontId="3" fillId="0" borderId="2" xfId="9" applyNumberFormat="1" applyFill="1" applyBorder="1" applyAlignment="1">
      <alignment horizontal="center"/>
    </xf>
    <xf numFmtId="166" fontId="21" fillId="0" borderId="27" xfId="9" applyNumberFormat="1" applyFont="1" applyFill="1" applyBorder="1" applyAlignment="1">
      <alignment horizontal="center" vertical="center"/>
    </xf>
    <xf numFmtId="4" fontId="3" fillId="0" borderId="0" xfId="9" applyNumberFormat="1" applyFont="1" applyFill="1"/>
    <xf numFmtId="4" fontId="3" fillId="0" borderId="0" xfId="9" applyNumberFormat="1" applyFont="1" applyFill="1" applyAlignment="1">
      <alignment horizontal="right"/>
    </xf>
    <xf numFmtId="0" fontId="21" fillId="0" borderId="2" xfId="9" applyFont="1" applyFill="1" applyBorder="1" applyAlignment="1">
      <alignment horizontal="left" vertical="center" wrapText="1"/>
    </xf>
    <xf numFmtId="0" fontId="27" fillId="0" borderId="0" xfId="9" applyFont="1" applyFill="1" applyAlignment="1">
      <alignment horizontal="center" vertical="center"/>
    </xf>
    <xf numFmtId="49" fontId="3" fillId="0" borderId="2" xfId="9" applyNumberFormat="1" applyFont="1" applyFill="1" applyBorder="1" applyAlignment="1">
      <alignment horizontal="center"/>
    </xf>
    <xf numFmtId="0" fontId="3" fillId="0" borderId="2" xfId="9" applyNumberFormat="1" applyFill="1" applyBorder="1" applyAlignment="1">
      <alignment horizontal="center" vertical="center"/>
    </xf>
    <xf numFmtId="0" fontId="38" fillId="0" borderId="0" xfId="9" applyFont="1" applyFill="1" applyAlignment="1">
      <alignment horizontal="left" wrapText="1"/>
    </xf>
    <xf numFmtId="173" fontId="3" fillId="0" borderId="2" xfId="9" applyNumberFormat="1" applyFill="1" applyBorder="1" applyAlignment="1">
      <alignment horizontal="center"/>
    </xf>
    <xf numFmtId="173" fontId="3" fillId="0" borderId="14" xfId="9" applyNumberFormat="1" applyFill="1" applyBorder="1" applyAlignment="1">
      <alignment horizontal="center" vertical="center"/>
    </xf>
    <xf numFmtId="0" fontId="74" fillId="0" borderId="0" xfId="9" applyFont="1" applyFill="1" applyAlignment="1"/>
    <xf numFmtId="0" fontId="21" fillId="0" borderId="0" xfId="9" applyFont="1" applyFill="1" applyAlignment="1"/>
    <xf numFmtId="0" fontId="23" fillId="0" borderId="0" xfId="9" applyFont="1" applyFill="1" applyAlignment="1">
      <alignment horizontal="center"/>
    </xf>
    <xf numFmtId="0" fontId="74" fillId="4" borderId="0" xfId="9" applyFont="1" applyFill="1" applyAlignment="1">
      <alignment horizontal="left"/>
    </xf>
    <xf numFmtId="1" fontId="7" fillId="4" borderId="1" xfId="9" applyNumberFormat="1" applyFont="1" applyFill="1" applyBorder="1" applyAlignment="1">
      <alignment horizontal="left"/>
    </xf>
    <xf numFmtId="0" fontId="18" fillId="4" borderId="1" xfId="9" applyFont="1" applyFill="1" applyBorder="1" applyAlignment="1">
      <alignment horizontal="center"/>
    </xf>
    <xf numFmtId="168" fontId="20" fillId="4" borderId="1" xfId="9" applyNumberFormat="1" applyFont="1" applyFill="1" applyBorder="1" applyAlignment="1">
      <alignment horizontal="center"/>
    </xf>
    <xf numFmtId="3" fontId="3" fillId="4" borderId="1" xfId="9" applyNumberFormat="1" applyFont="1" applyFill="1" applyBorder="1"/>
    <xf numFmtId="3" fontId="7" fillId="4" borderId="1" xfId="9" applyNumberFormat="1" applyFont="1" applyFill="1" applyBorder="1"/>
    <xf numFmtId="3" fontId="3" fillId="4" borderId="1" xfId="9" applyNumberFormat="1" applyFont="1" applyFill="1" applyBorder="1" applyAlignment="1">
      <alignment horizontal="right"/>
    </xf>
    <xf numFmtId="0" fontId="3" fillId="4" borderId="0" xfId="9" applyFill="1"/>
    <xf numFmtId="0" fontId="50" fillId="4" borderId="0" xfId="9" applyFont="1" applyFill="1" applyAlignment="1"/>
    <xf numFmtId="0" fontId="3" fillId="4" borderId="0" xfId="9" applyFill="1" applyAlignment="1"/>
    <xf numFmtId="0" fontId="38" fillId="4" borderId="0" xfId="9" applyFont="1" applyFill="1" applyAlignment="1">
      <alignment horizontal="right"/>
    </xf>
    <xf numFmtId="1" fontId="11" fillId="4" borderId="0" xfId="9" applyNumberFormat="1" applyFont="1" applyFill="1" applyBorder="1" applyAlignment="1">
      <alignment horizontal="left"/>
    </xf>
    <xf numFmtId="168" fontId="23" fillId="4" borderId="0" xfId="9" applyNumberFormat="1" applyFont="1" applyFill="1"/>
    <xf numFmtId="0" fontId="38" fillId="4" borderId="0" xfId="9" applyFont="1" applyFill="1" applyAlignment="1"/>
    <xf numFmtId="0" fontId="3" fillId="4" borderId="0" xfId="9" applyFill="1" applyAlignment="1">
      <alignment horizontal="center"/>
    </xf>
    <xf numFmtId="4" fontId="3" fillId="4" borderId="0" xfId="9" applyNumberFormat="1" applyFill="1"/>
    <xf numFmtId="4" fontId="3" fillId="4" borderId="0" xfId="9" applyNumberFormat="1" applyFill="1" applyAlignment="1">
      <alignment horizontal="right"/>
    </xf>
    <xf numFmtId="0" fontId="27" fillId="4" borderId="4" xfId="9" applyFont="1" applyFill="1" applyBorder="1" applyAlignment="1">
      <alignment horizontal="center" vertical="center"/>
    </xf>
    <xf numFmtId="0" fontId="27" fillId="4" borderId="5" xfId="9" applyFont="1" applyFill="1" applyBorder="1" applyAlignment="1">
      <alignment horizontal="center" vertical="center"/>
    </xf>
    <xf numFmtId="0" fontId="27" fillId="4" borderId="5" xfId="9" applyFont="1" applyFill="1" applyBorder="1" applyAlignment="1">
      <alignment vertical="center"/>
    </xf>
    <xf numFmtId="4" fontId="27" fillId="4" borderId="5" xfId="9" applyNumberFormat="1" applyFont="1" applyFill="1" applyBorder="1" applyAlignment="1">
      <alignment horizontal="center" vertical="center" wrapText="1"/>
    </xf>
    <xf numFmtId="4" fontId="27" fillId="4" borderId="37" xfId="9" applyNumberFormat="1" applyFont="1" applyFill="1" applyBorder="1" applyAlignment="1">
      <alignment horizontal="center" vertical="center" wrapText="1"/>
    </xf>
    <xf numFmtId="3" fontId="3" fillId="4" borderId="24" xfId="9" applyNumberFormat="1" applyFill="1" applyBorder="1" applyAlignment="1">
      <alignment horizontal="center" vertical="center"/>
    </xf>
    <xf numFmtId="0" fontId="34" fillId="4" borderId="4" xfId="9" applyFont="1" applyFill="1" applyBorder="1" applyAlignment="1">
      <alignment horizontal="center" vertical="center"/>
    </xf>
    <xf numFmtId="0" fontId="34" fillId="4" borderId="5" xfId="9" applyFont="1" applyFill="1" applyBorder="1" applyAlignment="1">
      <alignment horizontal="center" vertical="center"/>
    </xf>
    <xf numFmtId="1" fontId="34" fillId="4" borderId="5" xfId="9" applyNumberFormat="1" applyFont="1" applyFill="1" applyBorder="1" applyAlignment="1">
      <alignment horizontal="center" vertical="center" wrapText="1"/>
    </xf>
    <xf numFmtId="1" fontId="34" fillId="4" borderId="37" xfId="9" applyNumberFormat="1" applyFont="1" applyFill="1" applyBorder="1" applyAlignment="1">
      <alignment horizontal="center" vertical="center" wrapText="1"/>
    </xf>
    <xf numFmtId="3" fontId="34" fillId="4" borderId="24" xfId="9" applyNumberFormat="1" applyFont="1" applyFill="1" applyBorder="1" applyAlignment="1">
      <alignment horizontal="center" vertical="center"/>
    </xf>
    <xf numFmtId="0" fontId="3" fillId="4" borderId="38" xfId="9" applyFill="1" applyBorder="1" applyAlignment="1">
      <alignment horizontal="center" vertical="center"/>
    </xf>
    <xf numFmtId="0" fontId="3" fillId="4" borderId="9" xfId="9" applyFill="1" applyBorder="1" applyAlignment="1">
      <alignment horizontal="center" vertical="center"/>
    </xf>
    <xf numFmtId="0" fontId="21" fillId="4" borderId="9" xfId="9" applyFont="1" applyFill="1" applyBorder="1" applyAlignment="1">
      <alignment vertical="center" wrapText="1"/>
    </xf>
    <xf numFmtId="3" fontId="21" fillId="4" borderId="9" xfId="9" applyNumberFormat="1" applyFont="1" applyFill="1" applyBorder="1" applyAlignment="1">
      <alignment vertical="center"/>
    </xf>
    <xf numFmtId="166" fontId="21" fillId="4" borderId="23" xfId="9" applyNumberFormat="1" applyFont="1" applyFill="1" applyBorder="1" applyAlignment="1">
      <alignment horizontal="center" vertical="center"/>
    </xf>
    <xf numFmtId="0" fontId="3" fillId="4" borderId="6" xfId="9" applyFill="1" applyBorder="1" applyAlignment="1">
      <alignment horizontal="center" vertical="center"/>
    </xf>
    <xf numFmtId="0" fontId="3" fillId="4" borderId="2" xfId="9" applyFill="1" applyBorder="1" applyAlignment="1">
      <alignment horizontal="center" vertical="center"/>
    </xf>
    <xf numFmtId="0" fontId="21" fillId="4" borderId="2" xfId="9" applyFont="1" applyFill="1" applyBorder="1" applyAlignment="1">
      <alignment vertical="center" wrapText="1"/>
    </xf>
    <xf numFmtId="3" fontId="21" fillId="4" borderId="2" xfId="9" applyNumberFormat="1" applyFont="1" applyFill="1" applyBorder="1" applyAlignment="1">
      <alignment vertical="center"/>
    </xf>
    <xf numFmtId="166" fontId="21" fillId="4" borderId="21" xfId="9" applyNumberFormat="1" applyFont="1" applyFill="1" applyBorder="1" applyAlignment="1">
      <alignment horizontal="center" vertical="center"/>
    </xf>
    <xf numFmtId="173" fontId="3" fillId="4" borderId="2" xfId="9" applyNumberFormat="1" applyFill="1" applyBorder="1" applyAlignment="1">
      <alignment horizontal="center" vertical="center" wrapText="1"/>
    </xf>
    <xf numFmtId="166" fontId="21" fillId="4" borderId="42" xfId="9" applyNumberFormat="1" applyFont="1" applyFill="1" applyBorder="1" applyAlignment="1">
      <alignment horizontal="center" vertical="center"/>
    </xf>
    <xf numFmtId="3" fontId="21" fillId="4" borderId="5" xfId="9" applyNumberFormat="1" applyFont="1" applyFill="1" applyBorder="1"/>
    <xf numFmtId="166" fontId="21" fillId="4" borderId="24" xfId="9" applyNumberFormat="1" applyFont="1" applyFill="1" applyBorder="1" applyAlignment="1">
      <alignment horizontal="center" vertical="center"/>
    </xf>
    <xf numFmtId="166" fontId="34" fillId="4" borderId="24" xfId="9" applyNumberFormat="1" applyFont="1" applyFill="1" applyBorder="1" applyAlignment="1">
      <alignment horizontal="center" vertical="center"/>
    </xf>
    <xf numFmtId="3" fontId="21" fillId="4" borderId="46" xfId="9" applyNumberFormat="1" applyFont="1" applyFill="1" applyBorder="1" applyAlignment="1">
      <alignment vertical="center"/>
    </xf>
    <xf numFmtId="3" fontId="21" fillId="4" borderId="15" xfId="9" applyNumberFormat="1" applyFont="1" applyFill="1" applyBorder="1" applyAlignment="1">
      <alignment vertical="center"/>
    </xf>
    <xf numFmtId="0" fontId="21" fillId="4" borderId="7" xfId="9" applyFont="1" applyFill="1" applyBorder="1" applyAlignment="1"/>
    <xf numFmtId="0" fontId="21" fillId="4" borderId="8" xfId="9" applyFont="1" applyFill="1" applyBorder="1" applyAlignment="1"/>
    <xf numFmtId="0" fontId="21" fillId="4" borderId="56" xfId="9" applyFont="1" applyFill="1" applyBorder="1" applyAlignment="1"/>
    <xf numFmtId="0" fontId="3" fillId="4" borderId="12" xfId="9" applyFill="1" applyBorder="1" applyAlignment="1">
      <alignment horizontal="center" vertical="center"/>
    </xf>
    <xf numFmtId="0" fontId="3" fillId="4" borderId="15" xfId="9" applyFill="1" applyBorder="1" applyAlignment="1">
      <alignment horizontal="center" vertical="center"/>
    </xf>
    <xf numFmtId="0" fontId="21" fillId="4" borderId="17" xfId="9" applyFont="1" applyFill="1" applyBorder="1" applyAlignment="1">
      <alignment vertical="center" wrapText="1"/>
    </xf>
    <xf numFmtId="0" fontId="3" fillId="4" borderId="14" xfId="9" applyFill="1" applyBorder="1" applyAlignment="1">
      <alignment horizontal="center" vertical="center"/>
    </xf>
    <xf numFmtId="0" fontId="3" fillId="4" borderId="0" xfId="9" applyFill="1" applyBorder="1" applyAlignment="1">
      <alignment horizontal="center" vertical="center"/>
    </xf>
    <xf numFmtId="0" fontId="21" fillId="4" borderId="14" xfId="9" applyFont="1" applyFill="1" applyBorder="1" applyAlignment="1">
      <alignment vertical="center" wrapText="1"/>
    </xf>
    <xf numFmtId="0" fontId="3" fillId="4" borderId="6" xfId="9" applyFill="1" applyBorder="1" applyAlignment="1">
      <alignment horizontal="center"/>
    </xf>
    <xf numFmtId="0" fontId="3" fillId="4" borderId="2" xfId="9" applyFill="1" applyBorder="1" applyAlignment="1">
      <alignment horizontal="center"/>
    </xf>
    <xf numFmtId="0" fontId="21" fillId="4" borderId="2" xfId="9" applyFont="1" applyFill="1" applyBorder="1"/>
    <xf numFmtId="0" fontId="21" fillId="4" borderId="17" xfId="9" applyFont="1" applyFill="1" applyBorder="1"/>
    <xf numFmtId="0" fontId="3" fillId="4" borderId="50" xfId="9" applyFill="1" applyBorder="1" applyAlignment="1">
      <alignment horizontal="center"/>
    </xf>
    <xf numFmtId="0" fontId="3" fillId="4" borderId="14" xfId="9" applyFill="1" applyBorder="1" applyAlignment="1">
      <alignment horizontal="center"/>
    </xf>
    <xf numFmtId="0" fontId="21" fillId="4" borderId="2" xfId="9" applyFont="1" applyFill="1" applyBorder="1" applyAlignment="1">
      <alignment wrapText="1"/>
    </xf>
    <xf numFmtId="1" fontId="78" fillId="4" borderId="0" xfId="9" applyNumberFormat="1" applyFont="1" applyFill="1" applyBorder="1" applyAlignment="1">
      <alignment horizontal="left"/>
    </xf>
    <xf numFmtId="1" fontId="78" fillId="4" borderId="0" xfId="9" applyNumberFormat="1" applyFont="1" applyFill="1" applyBorder="1" applyAlignment="1">
      <alignment horizontal="center"/>
    </xf>
    <xf numFmtId="168" fontId="78" fillId="4" borderId="0" xfId="9" applyNumberFormat="1" applyFont="1" applyFill="1" applyBorder="1" applyAlignment="1">
      <alignment horizontal="center"/>
    </xf>
    <xf numFmtId="0" fontId="78" fillId="4" borderId="0" xfId="9" applyFont="1" applyFill="1" applyBorder="1"/>
    <xf numFmtId="3" fontId="50" fillId="4" borderId="0" xfId="9" applyNumberFormat="1" applyFont="1" applyFill="1"/>
    <xf numFmtId="167" fontId="13" fillId="4" borderId="0" xfId="9" applyNumberFormat="1" applyFont="1" applyFill="1" applyBorder="1" applyAlignment="1">
      <alignment horizontal="right"/>
    </xf>
    <xf numFmtId="4" fontId="50" fillId="4" borderId="0" xfId="9" applyNumberFormat="1" applyFont="1" applyFill="1"/>
    <xf numFmtId="0" fontId="66" fillId="4" borderId="0" xfId="9" applyFont="1" applyFill="1"/>
    <xf numFmtId="1" fontId="52" fillId="4" borderId="0" xfId="9" applyNumberFormat="1" applyFont="1" applyFill="1" applyAlignment="1">
      <alignment horizontal="center"/>
    </xf>
    <xf numFmtId="168" fontId="52" fillId="4" borderId="0" xfId="9" applyNumberFormat="1" applyFont="1" applyFill="1" applyAlignment="1">
      <alignment horizontal="center"/>
    </xf>
    <xf numFmtId="0" fontId="52" fillId="4" borderId="0" xfId="9" applyFont="1" applyFill="1"/>
    <xf numFmtId="3" fontId="52" fillId="4" borderId="0" xfId="9" applyNumberFormat="1" applyFont="1" applyFill="1"/>
    <xf numFmtId="167" fontId="11" fillId="4" borderId="0" xfId="9" applyNumberFormat="1" applyFont="1" applyFill="1" applyBorder="1" applyAlignment="1">
      <alignment horizontal="right"/>
    </xf>
    <xf numFmtId="4" fontId="52" fillId="4" borderId="0" xfId="9" applyNumberFormat="1" applyFont="1" applyFill="1"/>
    <xf numFmtId="1" fontId="52" fillId="4" borderId="0" xfId="9" applyNumberFormat="1" applyFont="1" applyFill="1" applyAlignment="1">
      <alignment horizontal="left"/>
    </xf>
    <xf numFmtId="0" fontId="52" fillId="4" borderId="0" xfId="9" applyFont="1" applyFill="1" applyAlignment="1">
      <alignment horizontal="left"/>
    </xf>
    <xf numFmtId="3" fontId="52" fillId="4" borderId="0" xfId="9" applyNumberFormat="1" applyFont="1" applyFill="1" applyAlignment="1">
      <alignment horizontal="right"/>
    </xf>
    <xf numFmtId="3" fontId="30" fillId="4" borderId="10" xfId="9" applyNumberFormat="1" applyFont="1" applyFill="1" applyBorder="1"/>
    <xf numFmtId="167" fontId="30" fillId="4" borderId="10" xfId="9" applyNumberFormat="1" applyFont="1" applyFill="1" applyBorder="1" applyAlignment="1">
      <alignment horizontal="right" shrinkToFit="1"/>
    </xf>
    <xf numFmtId="0" fontId="21" fillId="4" borderId="0" xfId="9" applyFont="1" applyFill="1" applyBorder="1" applyAlignment="1">
      <alignment horizontal="left"/>
    </xf>
    <xf numFmtId="3" fontId="21" fillId="4" borderId="0" xfId="9" applyNumberFormat="1" applyFont="1" applyFill="1" applyBorder="1"/>
    <xf numFmtId="166" fontId="21" fillId="4" borderId="0" xfId="9" applyNumberFormat="1" applyFont="1" applyFill="1" applyBorder="1" applyAlignment="1">
      <alignment horizontal="center" vertical="center"/>
    </xf>
    <xf numFmtId="0" fontId="21" fillId="4" borderId="2" xfId="9" applyFont="1" applyFill="1" applyBorder="1" applyAlignment="1">
      <alignment vertical="justify" wrapText="1"/>
    </xf>
    <xf numFmtId="0" fontId="3" fillId="4" borderId="12" xfId="9" applyFill="1" applyBorder="1" applyAlignment="1">
      <alignment horizontal="center"/>
    </xf>
    <xf numFmtId="49" fontId="3" fillId="4" borderId="2" xfId="9" applyNumberFormat="1" applyFill="1" applyBorder="1" applyAlignment="1">
      <alignment horizontal="center" vertical="center"/>
    </xf>
    <xf numFmtId="3" fontId="21" fillId="4" borderId="14" xfId="9" applyNumberFormat="1" applyFont="1" applyFill="1" applyBorder="1" applyAlignment="1">
      <alignment vertical="center"/>
    </xf>
    <xf numFmtId="3" fontId="3" fillId="4" borderId="0" xfId="9" applyNumberFormat="1" applyFill="1" applyBorder="1" applyAlignment="1">
      <alignment horizontal="center" vertical="center"/>
    </xf>
    <xf numFmtId="0" fontId="74" fillId="4" borderId="0" xfId="9" applyFont="1" applyFill="1" applyAlignment="1"/>
    <xf numFmtId="0" fontId="21" fillId="4" borderId="0" xfId="9" applyFont="1" applyFill="1" applyAlignment="1"/>
    <xf numFmtId="0" fontId="23" fillId="4" borderId="0" xfId="9" applyFont="1" applyFill="1" applyAlignment="1">
      <alignment horizontal="center"/>
    </xf>
    <xf numFmtId="0" fontId="27" fillId="4" borderId="0" xfId="9" applyFont="1" applyFill="1" applyAlignment="1">
      <alignment vertical="center"/>
    </xf>
    <xf numFmtId="173" fontId="3" fillId="4" borderId="2" xfId="9" applyNumberFormat="1" applyFill="1" applyBorder="1" applyAlignment="1">
      <alignment horizontal="center" vertical="center"/>
    </xf>
    <xf numFmtId="0" fontId="3" fillId="4" borderId="0" xfId="9" applyFill="1" applyAlignment="1">
      <alignment vertical="center" wrapText="1"/>
    </xf>
    <xf numFmtId="0" fontId="3" fillId="4" borderId="2" xfId="9" applyFill="1" applyBorder="1" applyAlignment="1">
      <alignment horizontal="center" vertical="center" wrapText="1"/>
    </xf>
    <xf numFmtId="0" fontId="3" fillId="4" borderId="0" xfId="9" applyFill="1" applyAlignment="1">
      <alignment vertical="center"/>
    </xf>
    <xf numFmtId="4" fontId="21" fillId="4" borderId="0" xfId="9" applyNumberFormat="1" applyFont="1" applyFill="1"/>
    <xf numFmtId="0" fontId="21" fillId="4" borderId="0" xfId="9" applyFont="1" applyFill="1"/>
    <xf numFmtId="0" fontId="3" fillId="4" borderId="34" xfId="9" applyFill="1" applyBorder="1" applyAlignment="1">
      <alignment horizontal="center"/>
    </xf>
    <xf numFmtId="0" fontId="3" fillId="4" borderId="34" xfId="9" applyFill="1" applyBorder="1"/>
    <xf numFmtId="4" fontId="3" fillId="4" borderId="34" xfId="9" applyNumberFormat="1" applyFill="1" applyBorder="1"/>
    <xf numFmtId="0" fontId="3" fillId="4" borderId="0" xfId="9" applyFill="1" applyBorder="1" applyAlignment="1">
      <alignment horizontal="center"/>
    </xf>
    <xf numFmtId="0" fontId="3" fillId="4" borderId="0" xfId="9" applyFill="1" applyBorder="1"/>
    <xf numFmtId="4" fontId="3" fillId="4" borderId="0" xfId="9" applyNumberFormat="1" applyFill="1" applyBorder="1"/>
    <xf numFmtId="0" fontId="18" fillId="4" borderId="0" xfId="9" applyFont="1" applyFill="1" applyBorder="1" applyAlignment="1">
      <alignment horizontal="center"/>
    </xf>
    <xf numFmtId="0" fontId="3" fillId="4" borderId="0" xfId="9" applyFont="1" applyFill="1"/>
    <xf numFmtId="1" fontId="7" fillId="4" borderId="0" xfId="9" applyNumberFormat="1" applyFont="1" applyFill="1" applyBorder="1" applyAlignment="1">
      <alignment horizontal="left"/>
    </xf>
    <xf numFmtId="0" fontId="3" fillId="4" borderId="0" xfId="9" applyFill="1" applyAlignment="1">
      <alignment horizontal="right"/>
    </xf>
    <xf numFmtId="0" fontId="21" fillId="4" borderId="2" xfId="9" applyFont="1" applyFill="1" applyBorder="1" applyAlignment="1">
      <alignment horizontal="left" vertical="center" wrapText="1"/>
    </xf>
    <xf numFmtId="3" fontId="21" fillId="4" borderId="2" xfId="9" applyNumberFormat="1" applyFont="1" applyFill="1" applyBorder="1" applyAlignment="1">
      <alignment horizontal="center" vertical="center"/>
    </xf>
    <xf numFmtId="0" fontId="3" fillId="4" borderId="0" xfId="9" applyFont="1" applyFill="1" applyAlignment="1">
      <alignment vertical="center"/>
    </xf>
    <xf numFmtId="167" fontId="17" fillId="4" borderId="0" xfId="9" applyNumberFormat="1" applyFont="1" applyFill="1" applyBorder="1" applyAlignment="1">
      <alignment horizontal="right"/>
    </xf>
    <xf numFmtId="4" fontId="50" fillId="4" borderId="0" xfId="9" applyNumberFormat="1" applyFont="1" applyFill="1" applyAlignment="1">
      <alignment vertical="center"/>
    </xf>
    <xf numFmtId="167" fontId="5" fillId="4" borderId="0" xfId="9" applyNumberFormat="1" applyFont="1" applyFill="1" applyBorder="1" applyAlignment="1">
      <alignment horizontal="right"/>
    </xf>
    <xf numFmtId="4" fontId="52" fillId="4" borderId="0" xfId="9" applyNumberFormat="1" applyFont="1" applyFill="1" applyAlignment="1">
      <alignment vertical="center"/>
    </xf>
    <xf numFmtId="167" fontId="16" fillId="4" borderId="10" xfId="9" applyNumberFormat="1" applyFont="1" applyFill="1" applyBorder="1" applyAlignment="1">
      <alignment horizontal="right" shrinkToFit="1"/>
    </xf>
    <xf numFmtId="3" fontId="13" fillId="4" borderId="0" xfId="0" applyNumberFormat="1" applyFont="1" applyFill="1" applyBorder="1"/>
    <xf numFmtId="3" fontId="21" fillId="0" borderId="0" xfId="0" applyNumberFormat="1" applyFont="1" applyFill="1" applyBorder="1"/>
    <xf numFmtId="0" fontId="98" fillId="0" borderId="0" xfId="0" applyFont="1" applyFill="1"/>
    <xf numFmtId="167" fontId="30" fillId="0" borderId="10" xfId="9" applyNumberFormat="1" applyFont="1" applyFill="1" applyBorder="1" applyAlignment="1">
      <alignment horizontal="right"/>
    </xf>
    <xf numFmtId="0" fontId="3" fillId="0" borderId="2" xfId="0" applyFont="1" applyBorder="1" applyAlignment="1">
      <alignment horizontal="left" vertical="center" wrapText="1"/>
    </xf>
    <xf numFmtId="4" fontId="99" fillId="0" borderId="0" xfId="0" applyNumberFormat="1" applyFont="1" applyFill="1"/>
    <xf numFmtId="3" fontId="21" fillId="0" borderId="0" xfId="0" applyNumberFormat="1" applyFont="1" applyFill="1" applyAlignment="1">
      <alignment vertical="center" wrapText="1"/>
    </xf>
    <xf numFmtId="0" fontId="98" fillId="0" borderId="0" xfId="0" applyFont="1" applyFill="1" applyAlignment="1">
      <alignment horizontal="center" vertical="center"/>
    </xf>
    <xf numFmtId="0" fontId="100" fillId="0" borderId="0" xfId="0" applyFont="1" applyFill="1" applyAlignment="1">
      <alignment horizontal="center" vertical="center"/>
    </xf>
    <xf numFmtId="3" fontId="98" fillId="0" borderId="0" xfId="0" applyNumberFormat="1" applyFont="1" applyFill="1"/>
    <xf numFmtId="4" fontId="99" fillId="0" borderId="0" xfId="0" applyNumberFormat="1" applyFont="1" applyFill="1" applyAlignment="1">
      <alignment vertical="center" wrapText="1"/>
    </xf>
    <xf numFmtId="4" fontId="98" fillId="0" borderId="0" xfId="0" applyNumberFormat="1" applyFont="1" applyFill="1"/>
    <xf numFmtId="4" fontId="101" fillId="0" borderId="0" xfId="0" applyNumberFormat="1" applyFont="1" applyFill="1"/>
    <xf numFmtId="1" fontId="13" fillId="0" borderId="2" xfId="0" applyNumberFormat="1" applyFont="1" applyFill="1" applyBorder="1" applyAlignment="1">
      <alignment horizontal="right"/>
    </xf>
    <xf numFmtId="0" fontId="3" fillId="0" borderId="17" xfId="0" applyFont="1" applyFill="1" applyBorder="1" applyAlignment="1">
      <alignment horizontal="center" vertical="center"/>
    </xf>
    <xf numFmtId="3" fontId="13" fillId="0" borderId="15" xfId="0" applyNumberFormat="1" applyFont="1" applyFill="1" applyBorder="1"/>
    <xf numFmtId="0" fontId="23" fillId="0" borderId="17" xfId="0" applyFont="1" applyBorder="1"/>
    <xf numFmtId="0" fontId="3" fillId="0" borderId="6" xfId="0" applyFont="1" applyFill="1" applyBorder="1" applyAlignment="1"/>
    <xf numFmtId="0" fontId="23" fillId="0" borderId="2" xfId="0" applyFont="1" applyBorder="1" applyAlignment="1">
      <alignment vertical="top"/>
    </xf>
    <xf numFmtId="0" fontId="11" fillId="3" borderId="2" xfId="0" applyFont="1" applyFill="1" applyBorder="1"/>
    <xf numFmtId="49" fontId="9" fillId="3" borderId="17" xfId="0" applyNumberFormat="1" applyFont="1" applyFill="1" applyBorder="1" applyAlignment="1">
      <alignment horizontal="left" vertical="top"/>
    </xf>
    <xf numFmtId="0" fontId="23" fillId="0" borderId="2" xfId="0" applyFont="1" applyBorder="1" applyAlignment="1"/>
    <xf numFmtId="3" fontId="11" fillId="0" borderId="12" xfId="0" applyNumberFormat="1" applyFont="1" applyFill="1" applyBorder="1"/>
    <xf numFmtId="0" fontId="3" fillId="0" borderId="17" xfId="0" applyFont="1" applyBorder="1" applyAlignment="1">
      <alignment horizontal="left" vertical="top" wrapText="1"/>
    </xf>
    <xf numFmtId="3" fontId="21" fillId="4" borderId="2" xfId="9" applyNumberFormat="1" applyFont="1" applyFill="1" applyBorder="1" applyAlignment="1">
      <alignment horizontal="right" vertical="center"/>
    </xf>
    <xf numFmtId="173" fontId="3" fillId="4" borderId="0" xfId="9" applyNumberFormat="1" applyFill="1" applyBorder="1" applyAlignment="1">
      <alignment horizontal="center"/>
    </xf>
    <xf numFmtId="3" fontId="11" fillId="0" borderId="2" xfId="7" applyFont="1" applyBorder="1" applyAlignment="1">
      <alignment horizontal="right"/>
    </xf>
    <xf numFmtId="3" fontId="13" fillId="0" borderId="9" xfId="7" applyFont="1" applyBorder="1" applyAlignment="1">
      <alignment horizontal="right"/>
    </xf>
    <xf numFmtId="3" fontId="13" fillId="0" borderId="2" xfId="7" applyFont="1" applyBorder="1" applyAlignment="1">
      <alignment horizontal="right"/>
    </xf>
    <xf numFmtId="1" fontId="12" fillId="3" borderId="9" xfId="7" applyNumberFormat="1" applyFont="1" applyFill="1" applyBorder="1" applyAlignment="1">
      <alignment horizontal="center" vertical="center"/>
    </xf>
    <xf numFmtId="1" fontId="12" fillId="3" borderId="2" xfId="7" applyNumberFormat="1" applyFont="1" applyFill="1" applyBorder="1" applyAlignment="1">
      <alignment horizontal="center" vertical="center"/>
    </xf>
    <xf numFmtId="1" fontId="12" fillId="3" borderId="14" xfId="7" applyNumberFormat="1" applyFont="1" applyFill="1" applyBorder="1" applyAlignment="1">
      <alignment horizontal="center" vertical="center"/>
    </xf>
    <xf numFmtId="1" fontId="12" fillId="3" borderId="26" xfId="7" applyNumberFormat="1" applyFont="1" applyFill="1" applyBorder="1" applyAlignment="1">
      <alignment horizontal="center" vertical="center"/>
    </xf>
    <xf numFmtId="1" fontId="12" fillId="3" borderId="12" xfId="7" applyNumberFormat="1" applyFont="1" applyFill="1" applyBorder="1" applyAlignment="1">
      <alignment horizontal="center" vertical="center"/>
    </xf>
    <xf numFmtId="1" fontId="12" fillId="3" borderId="33" xfId="7" applyNumberFormat="1" applyFont="1" applyFill="1" applyBorder="1" applyAlignment="1">
      <alignment horizontal="center" vertical="center"/>
    </xf>
    <xf numFmtId="1" fontId="12" fillId="0" borderId="9" xfId="0" applyNumberFormat="1" applyFont="1" applyFill="1" applyBorder="1" applyAlignment="1">
      <alignment horizontal="center" vertical="center"/>
    </xf>
    <xf numFmtId="1" fontId="12" fillId="0" borderId="2" xfId="0" applyNumberFormat="1" applyFont="1" applyFill="1" applyBorder="1" applyAlignment="1">
      <alignment horizontal="center" vertical="center"/>
    </xf>
    <xf numFmtId="1" fontId="12" fillId="0" borderId="26" xfId="0" applyNumberFormat="1" applyFont="1" applyFill="1" applyBorder="1" applyAlignment="1">
      <alignment horizontal="center" vertical="center"/>
    </xf>
    <xf numFmtId="1" fontId="12" fillId="0" borderId="12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wrapText="1"/>
    </xf>
    <xf numFmtId="0" fontId="3" fillId="0" borderId="0" xfId="0" applyFont="1" applyFill="1" applyAlignment="1">
      <alignment horizontal="center"/>
    </xf>
    <xf numFmtId="168" fontId="23" fillId="0" borderId="0" xfId="0" applyNumberFormat="1" applyFont="1" applyFill="1" applyAlignment="1">
      <alignment horizontal="left"/>
    </xf>
    <xf numFmtId="167" fontId="13" fillId="0" borderId="21" xfId="0" applyNumberFormat="1" applyFont="1" applyBorder="1" applyAlignment="1">
      <alignment horizontal="right"/>
    </xf>
    <xf numFmtId="167" fontId="13" fillId="0" borderId="42" xfId="0" applyNumberFormat="1" applyFont="1" applyBorder="1" applyAlignment="1">
      <alignment horizontal="right"/>
    </xf>
    <xf numFmtId="167" fontId="21" fillId="0" borderId="25" xfId="0" applyNumberFormat="1" applyFont="1" applyFill="1" applyBorder="1" applyAlignment="1">
      <alignment horizontal="right" vertical="center" wrapText="1"/>
    </xf>
    <xf numFmtId="167" fontId="11" fillId="0" borderId="21" xfId="0" applyNumberFormat="1" applyFont="1" applyBorder="1" applyAlignment="1">
      <alignment horizontal="right"/>
    </xf>
    <xf numFmtId="167" fontId="11" fillId="0" borderId="21" xfId="0" applyNumberFormat="1" applyFont="1" applyFill="1" applyBorder="1" applyAlignment="1"/>
    <xf numFmtId="167" fontId="33" fillId="0" borderId="34" xfId="0" applyNumberFormat="1" applyFont="1" applyFill="1" applyBorder="1" applyAlignment="1">
      <alignment horizontal="right"/>
    </xf>
    <xf numFmtId="1" fontId="12" fillId="0" borderId="33" xfId="0" applyNumberFormat="1" applyFont="1" applyFill="1" applyBorder="1" applyAlignment="1">
      <alignment horizontal="center" vertical="center"/>
    </xf>
    <xf numFmtId="1" fontId="12" fillId="0" borderId="14" xfId="0" applyNumberFormat="1" applyFont="1" applyFill="1" applyBorder="1" applyAlignment="1">
      <alignment horizontal="center" vertical="center"/>
    </xf>
    <xf numFmtId="168" fontId="26" fillId="0" borderId="14" xfId="0" applyNumberFormat="1" applyFont="1" applyFill="1" applyBorder="1" applyAlignment="1">
      <alignment horizontal="left"/>
    </xf>
    <xf numFmtId="0" fontId="13" fillId="0" borderId="53" xfId="0" applyFont="1" applyFill="1" applyBorder="1"/>
    <xf numFmtId="3" fontId="42" fillId="0" borderId="0" xfId="0" applyNumberFormat="1" applyFont="1" applyFill="1" applyBorder="1" applyAlignment="1">
      <alignment horizontal="right"/>
    </xf>
    <xf numFmtId="166" fontId="42" fillId="0" borderId="0" xfId="0" applyNumberFormat="1" applyFont="1" applyFill="1" applyBorder="1" applyAlignment="1">
      <alignment horizontal="right" vertical="center" shrinkToFit="1"/>
    </xf>
    <xf numFmtId="3" fontId="42" fillId="0" borderId="60" xfId="0" applyNumberFormat="1" applyFont="1" applyFill="1" applyBorder="1" applyAlignment="1">
      <alignment horizontal="right"/>
    </xf>
    <xf numFmtId="166" fontId="42" fillId="0" borderId="60" xfId="0" applyNumberFormat="1" applyFont="1" applyFill="1" applyBorder="1" applyAlignment="1">
      <alignment horizontal="right" vertical="center" shrinkToFit="1"/>
    </xf>
    <xf numFmtId="3" fontId="42" fillId="0" borderId="34" xfId="0" applyNumberFormat="1" applyFont="1" applyFill="1" applyBorder="1" applyAlignment="1">
      <alignment horizontal="right"/>
    </xf>
    <xf numFmtId="166" fontId="42" fillId="0" borderId="34" xfId="0" applyNumberFormat="1" applyFont="1" applyFill="1" applyBorder="1" applyAlignment="1">
      <alignment horizontal="right" vertical="center" shrinkToFit="1"/>
    </xf>
    <xf numFmtId="3" fontId="0" fillId="0" borderId="34" xfId="0" applyNumberFormat="1" applyFill="1" applyBorder="1"/>
    <xf numFmtId="0" fontId="0" fillId="0" borderId="34" xfId="0" applyFill="1" applyBorder="1" applyAlignment="1">
      <alignment horizontal="right"/>
    </xf>
    <xf numFmtId="3" fontId="42" fillId="0" borderId="60" xfId="0" applyNumberFormat="1" applyFont="1" applyFill="1" applyBorder="1" applyAlignment="1"/>
    <xf numFmtId="3" fontId="42" fillId="0" borderId="0" xfId="0" applyNumberFormat="1" applyFont="1" applyFill="1" applyBorder="1" applyAlignment="1"/>
    <xf numFmtId="167" fontId="21" fillId="0" borderId="21" xfId="0" applyNumberFormat="1" applyFont="1" applyFill="1" applyBorder="1"/>
    <xf numFmtId="0" fontId="12" fillId="0" borderId="14" xfId="0" applyFont="1" applyFill="1" applyBorder="1"/>
    <xf numFmtId="0" fontId="3" fillId="0" borderId="2" xfId="9" applyBorder="1" applyAlignment="1"/>
    <xf numFmtId="0" fontId="3" fillId="0" borderId="0" xfId="9" applyFont="1" applyFill="1" applyAlignment="1">
      <alignment horizontal="right"/>
    </xf>
    <xf numFmtId="0" fontId="21" fillId="4" borderId="4" xfId="9" applyFont="1" applyFill="1" applyBorder="1" applyAlignment="1">
      <alignment horizontal="left"/>
    </xf>
    <xf numFmtId="0" fontId="21" fillId="4" borderId="5" xfId="9" applyFont="1" applyFill="1" applyBorder="1" applyAlignment="1">
      <alignment horizontal="left"/>
    </xf>
    <xf numFmtId="0" fontId="34" fillId="0" borderId="6" xfId="9" applyFont="1" applyFill="1" applyBorder="1" applyAlignment="1">
      <alignment horizontal="center" vertical="center"/>
    </xf>
    <xf numFmtId="1" fontId="34" fillId="0" borderId="2" xfId="9" applyNumberFormat="1" applyFont="1" applyFill="1" applyBorder="1" applyAlignment="1">
      <alignment horizontal="center" vertical="center" wrapText="1"/>
    </xf>
    <xf numFmtId="1" fontId="34" fillId="0" borderId="15" xfId="9" applyNumberFormat="1" applyFont="1" applyFill="1" applyBorder="1" applyAlignment="1">
      <alignment horizontal="center" vertical="center" wrapText="1"/>
    </xf>
    <xf numFmtId="3" fontId="34" fillId="0" borderId="21" xfId="9" applyNumberFormat="1" applyFont="1" applyFill="1" applyBorder="1" applyAlignment="1">
      <alignment horizontal="center" vertical="center"/>
    </xf>
    <xf numFmtId="3" fontId="27" fillId="0" borderId="0" xfId="9" applyNumberFormat="1" applyFont="1" applyFill="1" applyAlignment="1">
      <alignment vertical="center"/>
    </xf>
    <xf numFmtId="3" fontId="21" fillId="0" borderId="17" xfId="9" applyNumberFormat="1" applyFont="1" applyFill="1" applyBorder="1" applyAlignment="1">
      <alignment vertical="center"/>
    </xf>
    <xf numFmtId="166" fontId="21" fillId="0" borderId="25" xfId="9" applyNumberFormat="1" applyFont="1" applyFill="1" applyBorder="1" applyAlignment="1">
      <alignment horizontal="center" vertical="center"/>
    </xf>
    <xf numFmtId="173" fontId="3" fillId="0" borderId="9" xfId="9" applyNumberFormat="1" applyFill="1" applyBorder="1" applyAlignment="1">
      <alignment horizontal="center" vertical="center"/>
    </xf>
    <xf numFmtId="0" fontId="21" fillId="4" borderId="0" xfId="9" applyFont="1" applyFill="1" applyBorder="1" applyAlignment="1"/>
    <xf numFmtId="0" fontId="91" fillId="0" borderId="0" xfId="9" applyFont="1" applyBorder="1" applyAlignment="1">
      <alignment vertical="center"/>
    </xf>
    <xf numFmtId="0" fontId="91" fillId="4" borderId="0" xfId="9" applyFont="1" applyFill="1" applyBorder="1" applyAlignment="1">
      <alignment vertical="center"/>
    </xf>
    <xf numFmtId="0" fontId="3" fillId="5" borderId="2" xfId="9" applyFont="1" applyFill="1" applyBorder="1" applyAlignment="1">
      <alignment horizontal="center" vertical="center"/>
    </xf>
    <xf numFmtId="0" fontId="3" fillId="5" borderId="17" xfId="9" applyFont="1" applyFill="1" applyBorder="1" applyAlignment="1">
      <alignment horizontal="center" vertical="center"/>
    </xf>
    <xf numFmtId="0" fontId="21" fillId="5" borderId="17" xfId="9" applyFont="1" applyFill="1" applyBorder="1" applyAlignment="1">
      <alignment vertical="center" wrapText="1"/>
    </xf>
    <xf numFmtId="173" fontId="3" fillId="5" borderId="2" xfId="9" applyNumberFormat="1" applyFont="1" applyFill="1" applyBorder="1" applyAlignment="1">
      <alignment horizontal="center" vertical="center" wrapText="1"/>
    </xf>
    <xf numFmtId="0" fontId="38" fillId="0" borderId="0" xfId="9" applyFont="1" applyFill="1" applyBorder="1" applyAlignment="1">
      <alignment horizontal="left"/>
    </xf>
    <xf numFmtId="0" fontId="3" fillId="0" borderId="0" xfId="9" applyFill="1" applyBorder="1" applyAlignment="1"/>
    <xf numFmtId="0" fontId="38" fillId="0" borderId="19" xfId="9" applyFont="1" applyFill="1" applyBorder="1" applyAlignment="1"/>
    <xf numFmtId="0" fontId="3" fillId="0" borderId="19" xfId="9" applyFill="1" applyBorder="1" applyAlignment="1"/>
    <xf numFmtId="3" fontId="21" fillId="0" borderId="0" xfId="9" applyNumberFormat="1" applyFont="1" applyFill="1" applyAlignment="1">
      <alignment horizontal="right" vertical="center"/>
    </xf>
    <xf numFmtId="166" fontId="21" fillId="0" borderId="24" xfId="9" applyNumberFormat="1" applyFont="1" applyFill="1" applyBorder="1" applyAlignment="1">
      <alignment horizontal="right" vertical="center"/>
    </xf>
    <xf numFmtId="3" fontId="21" fillId="0" borderId="5" xfId="9" applyNumberFormat="1" applyFont="1" applyFill="1" applyBorder="1" applyAlignment="1">
      <alignment horizontal="right"/>
    </xf>
    <xf numFmtId="3" fontId="21" fillId="0" borderId="37" xfId="9" applyNumberFormat="1" applyFont="1" applyFill="1" applyBorder="1" applyAlignment="1">
      <alignment horizontal="right"/>
    </xf>
    <xf numFmtId="166" fontId="21" fillId="0" borderId="42" xfId="9" applyNumberFormat="1" applyFont="1" applyFill="1" applyBorder="1" applyAlignment="1">
      <alignment horizontal="right" vertical="center"/>
    </xf>
    <xf numFmtId="4" fontId="73" fillId="4" borderId="0" xfId="9" applyNumberFormat="1" applyFont="1" applyFill="1" applyAlignment="1">
      <alignment vertical="center"/>
    </xf>
    <xf numFmtId="4" fontId="73" fillId="4" borderId="0" xfId="9" applyNumberFormat="1" applyFont="1" applyFill="1"/>
    <xf numFmtId="4" fontId="73" fillId="4" borderId="28" xfId="9" applyNumberFormat="1" applyFont="1" applyFill="1" applyBorder="1"/>
    <xf numFmtId="4" fontId="73" fillId="4" borderId="19" xfId="9" applyNumberFormat="1" applyFont="1" applyFill="1" applyBorder="1"/>
    <xf numFmtId="49" fontId="26" fillId="0" borderId="2" xfId="4" applyNumberFormat="1" applyFont="1" applyBorder="1" applyAlignment="1">
      <alignment horizontal="left" vertical="top"/>
    </xf>
    <xf numFmtId="3" fontId="14" fillId="0" borderId="2" xfId="4" applyFont="1" applyBorder="1" applyAlignment="1">
      <alignment vertical="top"/>
    </xf>
    <xf numFmtId="3" fontId="13" fillId="0" borderId="21" xfId="0" applyNumberFormat="1" applyFont="1" applyFill="1" applyBorder="1"/>
    <xf numFmtId="166" fontId="11" fillId="0" borderId="0" xfId="0" applyNumberFormat="1" applyFont="1" applyBorder="1" applyAlignment="1">
      <alignment horizontal="right"/>
    </xf>
    <xf numFmtId="166" fontId="11" fillId="0" borderId="0" xfId="9" applyNumberFormat="1" applyFont="1" applyBorder="1" applyAlignment="1">
      <alignment horizontal="right"/>
    </xf>
    <xf numFmtId="3" fontId="11" fillId="0" borderId="14" xfId="9" applyNumberFormat="1" applyFont="1" applyBorder="1" applyAlignment="1">
      <alignment horizontal="right"/>
    </xf>
    <xf numFmtId="0" fontId="3" fillId="4" borderId="50" xfId="9" applyFill="1" applyBorder="1" applyAlignment="1">
      <alignment horizontal="center" vertical="center"/>
    </xf>
    <xf numFmtId="0" fontId="3" fillId="4" borderId="0" xfId="0" applyFont="1" applyFill="1"/>
    <xf numFmtId="0" fontId="21" fillId="4" borderId="0" xfId="0" applyFont="1" applyFill="1"/>
    <xf numFmtId="164" fontId="3" fillId="4" borderId="0" xfId="0" applyNumberFormat="1" applyFont="1" applyFill="1" applyAlignment="1">
      <alignment horizontal="center"/>
    </xf>
    <xf numFmtId="3" fontId="23" fillId="4" borderId="0" xfId="0" applyNumberFormat="1" applyFont="1" applyFill="1"/>
    <xf numFmtId="0" fontId="23" fillId="4" borderId="0" xfId="0" applyFont="1" applyFill="1"/>
    <xf numFmtId="3" fontId="3" fillId="4" borderId="0" xfId="0" applyNumberFormat="1" applyFont="1" applyFill="1"/>
    <xf numFmtId="0" fontId="3" fillId="4" borderId="4" xfId="0" applyFont="1" applyFill="1" applyBorder="1" applyAlignment="1">
      <alignment horizontal="center" vertical="center"/>
    </xf>
    <xf numFmtId="164" fontId="3" fillId="4" borderId="5" xfId="0" applyNumberFormat="1" applyFont="1" applyFill="1" applyBorder="1" applyAlignment="1">
      <alignment horizontal="center" vertical="center"/>
    </xf>
    <xf numFmtId="3" fontId="3" fillId="4" borderId="5" xfId="0" applyNumberFormat="1" applyFont="1" applyFill="1" applyBorder="1" applyAlignment="1">
      <alignment horizontal="center" vertical="center" wrapText="1"/>
    </xf>
    <xf numFmtId="3" fontId="3" fillId="4" borderId="24" xfId="0" applyNumberFormat="1" applyFont="1" applyFill="1" applyBorder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4" fillId="4" borderId="38" xfId="0" applyFont="1" applyFill="1" applyBorder="1" applyAlignment="1">
      <alignment horizontal="center" vertical="center"/>
    </xf>
    <xf numFmtId="1" fontId="34" fillId="4" borderId="9" xfId="0" applyNumberFormat="1" applyFont="1" applyFill="1" applyBorder="1" applyAlignment="1">
      <alignment horizontal="center" vertical="center"/>
    </xf>
    <xf numFmtId="3" fontId="34" fillId="4" borderId="9" xfId="0" applyNumberFormat="1" applyFont="1" applyFill="1" applyBorder="1" applyAlignment="1">
      <alignment horizontal="center" vertical="center" wrapText="1"/>
    </xf>
    <xf numFmtId="3" fontId="34" fillId="4" borderId="23" xfId="0" applyNumberFormat="1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21" fillId="4" borderId="38" xfId="0" applyFont="1" applyFill="1" applyBorder="1"/>
    <xf numFmtId="164" fontId="36" fillId="4" borderId="9" xfId="0" applyNumberFormat="1" applyFont="1" applyFill="1" applyBorder="1" applyAlignment="1">
      <alignment horizontal="center"/>
    </xf>
    <xf numFmtId="4" fontId="95" fillId="4" borderId="0" xfId="0" applyNumberFormat="1" applyFont="1" applyFill="1" applyBorder="1"/>
    <xf numFmtId="0" fontId="3" fillId="4" borderId="6" xfId="0" applyFont="1" applyFill="1" applyBorder="1"/>
    <xf numFmtId="164" fontId="3" fillId="4" borderId="2" xfId="0" applyNumberFormat="1" applyFont="1" applyFill="1" applyBorder="1" applyAlignment="1">
      <alignment horizontal="center"/>
    </xf>
    <xf numFmtId="3" fontId="23" fillId="4" borderId="2" xfId="0" applyNumberFormat="1" applyFont="1" applyFill="1" applyBorder="1"/>
    <xf numFmtId="166" fontId="23" fillId="4" borderId="21" xfId="0" applyNumberFormat="1" applyFont="1" applyFill="1" applyBorder="1"/>
    <xf numFmtId="4" fontId="73" fillId="4" borderId="0" xfId="0" applyNumberFormat="1" applyFont="1" applyFill="1" applyBorder="1"/>
    <xf numFmtId="164" fontId="3" fillId="4" borderId="17" xfId="0" applyNumberFormat="1" applyFont="1" applyFill="1" applyBorder="1" applyAlignment="1">
      <alignment horizontal="center"/>
    </xf>
    <xf numFmtId="0" fontId="12" fillId="4" borderId="12" xfId="0" applyFont="1" applyFill="1" applyBorder="1"/>
    <xf numFmtId="0" fontId="3" fillId="4" borderId="11" xfId="0" applyFont="1" applyFill="1" applyBorder="1"/>
    <xf numFmtId="164" fontId="3" fillId="4" borderId="3" xfId="0" applyNumberFormat="1" applyFont="1" applyFill="1" applyBorder="1" applyAlignment="1">
      <alignment horizontal="center"/>
    </xf>
    <xf numFmtId="3" fontId="23" fillId="4" borderId="3" xfId="0" applyNumberFormat="1" applyFont="1" applyFill="1" applyBorder="1"/>
    <xf numFmtId="166" fontId="23" fillId="4" borderId="49" xfId="0" applyNumberFormat="1" applyFont="1" applyFill="1" applyBorder="1"/>
    <xf numFmtId="4" fontId="73" fillId="4" borderId="19" xfId="0" applyNumberFormat="1" applyFont="1" applyFill="1" applyBorder="1"/>
    <xf numFmtId="0" fontId="21" fillId="4" borderId="47" xfId="0" applyFont="1" applyFill="1" applyBorder="1"/>
    <xf numFmtId="164" fontId="36" fillId="4" borderId="41" xfId="0" applyNumberFormat="1" applyFont="1" applyFill="1" applyBorder="1" applyAlignment="1">
      <alignment horizontal="center"/>
    </xf>
    <xf numFmtId="3" fontId="21" fillId="4" borderId="41" xfId="0" applyNumberFormat="1" applyFont="1" applyFill="1" applyBorder="1"/>
    <xf numFmtId="166" fontId="21" fillId="4" borderId="43" xfId="0" applyNumberFormat="1" applyFont="1" applyFill="1" applyBorder="1"/>
    <xf numFmtId="0" fontId="36" fillId="4" borderId="0" xfId="0" applyFont="1" applyFill="1"/>
    <xf numFmtId="0" fontId="12" fillId="4" borderId="28" xfId="0" applyFont="1" applyFill="1" applyBorder="1"/>
    <xf numFmtId="164" fontId="36" fillId="4" borderId="2" xfId="0" applyNumberFormat="1" applyFont="1" applyFill="1" applyBorder="1" applyAlignment="1">
      <alignment horizontal="center"/>
    </xf>
    <xf numFmtId="166" fontId="21" fillId="4" borderId="21" xfId="0" applyNumberFormat="1" applyFont="1" applyFill="1" applyBorder="1"/>
    <xf numFmtId="0" fontId="12" fillId="4" borderId="11" xfId="0" applyFont="1" applyFill="1" applyBorder="1"/>
    <xf numFmtId="0" fontId="21" fillId="4" borderId="12" xfId="0" applyFont="1" applyFill="1" applyBorder="1"/>
    <xf numFmtId="0" fontId="3" fillId="4" borderId="12" xfId="0" applyFont="1" applyFill="1" applyBorder="1"/>
    <xf numFmtId="164" fontId="36" fillId="4" borderId="3" xfId="0" applyNumberFormat="1" applyFont="1" applyFill="1" applyBorder="1" applyAlignment="1">
      <alignment horizontal="center"/>
    </xf>
    <xf numFmtId="3" fontId="21" fillId="4" borderId="2" xfId="0" applyNumberFormat="1" applyFont="1" applyFill="1" applyBorder="1"/>
    <xf numFmtId="4" fontId="71" fillId="4" borderId="0" xfId="0" applyNumberFormat="1" applyFont="1" applyFill="1" applyBorder="1"/>
    <xf numFmtId="0" fontId="71" fillId="4" borderId="0" xfId="0" applyFont="1" applyFill="1"/>
    <xf numFmtId="0" fontId="12" fillId="4" borderId="33" xfId="0" applyFont="1" applyFill="1" applyBorder="1"/>
    <xf numFmtId="164" fontId="3" fillId="4" borderId="14" xfId="0" applyNumberFormat="1" applyFont="1" applyFill="1" applyBorder="1" applyAlignment="1">
      <alignment horizontal="center"/>
    </xf>
    <xf numFmtId="3" fontId="23" fillId="4" borderId="14" xfId="0" applyNumberFormat="1" applyFont="1" applyFill="1" applyBorder="1"/>
    <xf numFmtId="166" fontId="23" fillId="4" borderId="42" xfId="0" applyNumberFormat="1" applyFont="1" applyFill="1" applyBorder="1"/>
    <xf numFmtId="0" fontId="12" fillId="4" borderId="0" xfId="0" applyFont="1" applyFill="1" applyBorder="1"/>
    <xf numFmtId="164" fontId="3" fillId="4" borderId="0" xfId="0" applyNumberFormat="1" applyFont="1" applyFill="1" applyBorder="1" applyAlignment="1">
      <alignment horizontal="center"/>
    </xf>
    <xf numFmtId="0" fontId="103" fillId="4" borderId="0" xfId="0" applyFont="1" applyFill="1"/>
    <xf numFmtId="0" fontId="34" fillId="4" borderId="4" xfId="0" applyFont="1" applyFill="1" applyBorder="1" applyAlignment="1">
      <alignment horizontal="center" vertical="center"/>
    </xf>
    <xf numFmtId="1" fontId="34" fillId="4" borderId="5" xfId="0" applyNumberFormat="1" applyFont="1" applyFill="1" applyBorder="1" applyAlignment="1">
      <alignment horizontal="center" vertical="center"/>
    </xf>
    <xf numFmtId="3" fontId="34" fillId="4" borderId="5" xfId="0" applyNumberFormat="1" applyFont="1" applyFill="1" applyBorder="1" applyAlignment="1">
      <alignment horizontal="center" vertical="center" wrapText="1"/>
    </xf>
    <xf numFmtId="3" fontId="34" fillId="4" borderId="24" xfId="0" applyNumberFormat="1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left"/>
    </xf>
    <xf numFmtId="3" fontId="36" fillId="4" borderId="2" xfId="0" applyNumberFormat="1" applyFont="1" applyFill="1" applyBorder="1" applyAlignment="1">
      <alignment horizontal="center"/>
    </xf>
    <xf numFmtId="4" fontId="74" fillId="4" borderId="0" xfId="0" applyNumberFormat="1" applyFont="1" applyFill="1" applyBorder="1"/>
    <xf numFmtId="0" fontId="73" fillId="4" borderId="6" xfId="0" applyFont="1" applyFill="1" applyBorder="1" applyAlignment="1">
      <alignment wrapText="1"/>
    </xf>
    <xf numFmtId="3" fontId="73" fillId="4" borderId="2" xfId="0" applyNumberFormat="1" applyFont="1" applyFill="1" applyBorder="1"/>
    <xf numFmtId="3" fontId="3" fillId="4" borderId="2" xfId="0" applyNumberFormat="1" applyFont="1" applyFill="1" applyBorder="1" applyAlignment="1">
      <alignment horizontal="center"/>
    </xf>
    <xf numFmtId="4" fontId="23" fillId="4" borderId="0" xfId="0" applyNumberFormat="1" applyFont="1" applyFill="1" applyBorder="1"/>
    <xf numFmtId="3" fontId="3" fillId="4" borderId="17" xfId="0" applyNumberFormat="1" applyFont="1" applyFill="1" applyBorder="1" applyAlignment="1">
      <alignment horizontal="center"/>
    </xf>
    <xf numFmtId="0" fontId="12" fillId="4" borderId="6" xfId="0" applyFont="1" applyFill="1" applyBorder="1"/>
    <xf numFmtId="0" fontId="62" fillId="4" borderId="6" xfId="0" applyFont="1" applyFill="1" applyBorder="1"/>
    <xf numFmtId="0" fontId="73" fillId="4" borderId="6" xfId="0" applyFont="1" applyFill="1" applyBorder="1"/>
    <xf numFmtId="3" fontId="36" fillId="4" borderId="41" xfId="0" applyNumberFormat="1" applyFont="1" applyFill="1" applyBorder="1" applyAlignment="1">
      <alignment horizontal="center"/>
    </xf>
    <xf numFmtId="166" fontId="73" fillId="4" borderId="21" xfId="0" applyNumberFormat="1" applyFont="1" applyFill="1" applyBorder="1"/>
    <xf numFmtId="3" fontId="36" fillId="4" borderId="0" xfId="0" applyNumberFormat="1" applyFont="1" applyFill="1"/>
    <xf numFmtId="0" fontId="12" fillId="4" borderId="50" xfId="0" applyFont="1" applyFill="1" applyBorder="1"/>
    <xf numFmtId="0" fontId="21" fillId="4" borderId="6" xfId="0" applyFont="1" applyFill="1" applyBorder="1"/>
    <xf numFmtId="0" fontId="21" fillId="4" borderId="57" xfId="0" applyFont="1" applyFill="1" applyBorder="1"/>
    <xf numFmtId="3" fontId="36" fillId="4" borderId="13" xfId="0" applyNumberFormat="1" applyFont="1" applyFill="1" applyBorder="1" applyAlignment="1">
      <alignment horizontal="center"/>
    </xf>
    <xf numFmtId="1" fontId="36" fillId="4" borderId="2" xfId="0" applyNumberFormat="1" applyFont="1" applyFill="1" applyBorder="1" applyAlignment="1">
      <alignment horizontal="center"/>
    </xf>
    <xf numFmtId="0" fontId="13" fillId="4" borderId="12" xfId="0" applyFont="1" applyFill="1" applyBorder="1"/>
    <xf numFmtId="3" fontId="36" fillId="4" borderId="3" xfId="0" applyNumberFormat="1" applyFont="1" applyFill="1" applyBorder="1" applyAlignment="1">
      <alignment horizontal="center"/>
    </xf>
    <xf numFmtId="3" fontId="23" fillId="4" borderId="2" xfId="0" applyNumberFormat="1" applyFont="1" applyFill="1" applyBorder="1" applyAlignment="1"/>
    <xf numFmtId="166" fontId="23" fillId="4" borderId="43" xfId="0" applyNumberFormat="1" applyFont="1" applyFill="1" applyBorder="1"/>
    <xf numFmtId="0" fontId="21" fillId="4" borderId="47" xfId="0" applyFont="1" applyFill="1" applyBorder="1" applyAlignment="1"/>
    <xf numFmtId="4" fontId="95" fillId="4" borderId="0" xfId="0" applyNumberFormat="1" applyFont="1" applyFill="1"/>
    <xf numFmtId="0" fontId="3" fillId="4" borderId="0" xfId="0" applyFont="1" applyFill="1" applyBorder="1"/>
    <xf numFmtId="3" fontId="23" fillId="4" borderId="0" xfId="0" applyNumberFormat="1" applyFont="1" applyFill="1" applyBorder="1"/>
    <xf numFmtId="166" fontId="23" fillId="4" borderId="0" xfId="0" applyNumberFormat="1" applyFont="1" applyFill="1" applyBorder="1"/>
    <xf numFmtId="0" fontId="15" fillId="4" borderId="0" xfId="0" applyFont="1" applyFill="1" applyBorder="1"/>
    <xf numFmtId="0" fontId="54" fillId="4" borderId="0" xfId="0" applyFont="1" applyFill="1" applyBorder="1"/>
    <xf numFmtId="3" fontId="11" fillId="4" borderId="0" xfId="0" applyNumberFormat="1" applyFont="1" applyFill="1" applyBorder="1"/>
    <xf numFmtId="3" fontId="12" fillId="4" borderId="0" xfId="0" applyNumberFormat="1" applyFont="1" applyFill="1" applyBorder="1"/>
    <xf numFmtId="3" fontId="3" fillId="4" borderId="0" xfId="0" applyNumberFormat="1" applyFont="1" applyFill="1" applyAlignment="1">
      <alignment horizontal="right"/>
    </xf>
    <xf numFmtId="4" fontId="95" fillId="4" borderId="10" xfId="0" applyNumberFormat="1" applyFont="1" applyFill="1" applyBorder="1"/>
    <xf numFmtId="3" fontId="38" fillId="4" borderId="5" xfId="0" applyNumberFormat="1" applyFont="1" applyFill="1" applyBorder="1"/>
    <xf numFmtId="166" fontId="38" fillId="4" borderId="24" xfId="0" applyNumberFormat="1" applyFont="1" applyFill="1" applyBorder="1"/>
    <xf numFmtId="4" fontId="21" fillId="4" borderId="37" xfId="0" applyNumberFormat="1" applyFont="1" applyFill="1" applyBorder="1"/>
    <xf numFmtId="1" fontId="11" fillId="4" borderId="0" xfId="0" applyNumberFormat="1" applyFont="1" applyFill="1" applyBorder="1" applyAlignment="1">
      <alignment horizontal="left"/>
    </xf>
    <xf numFmtId="0" fontId="50" fillId="4" borderId="10" xfId="0" applyFont="1" applyFill="1" applyBorder="1" applyAlignment="1">
      <alignment wrapText="1"/>
    </xf>
    <xf numFmtId="164" fontId="38" fillId="4" borderId="10" xfId="0" applyNumberFormat="1" applyFont="1" applyFill="1" applyBorder="1" applyAlignment="1">
      <alignment horizontal="center"/>
    </xf>
    <xf numFmtId="3" fontId="38" fillId="4" borderId="10" xfId="0" applyNumberFormat="1" applyFont="1" applyFill="1" applyBorder="1"/>
    <xf numFmtId="3" fontId="38" fillId="4" borderId="10" xfId="0" applyNumberFormat="1" applyFont="1" applyFill="1" applyBorder="1" applyAlignment="1">
      <alignment shrinkToFit="1"/>
    </xf>
    <xf numFmtId="166" fontId="38" fillId="4" borderId="10" xfId="0" applyNumberFormat="1" applyFont="1" applyFill="1" applyBorder="1"/>
    <xf numFmtId="4" fontId="21" fillId="4" borderId="10" xfId="0" applyNumberFormat="1" applyFont="1" applyFill="1" applyBorder="1"/>
    <xf numFmtId="4" fontId="21" fillId="4" borderId="0" xfId="0" applyNumberFormat="1" applyFont="1" applyFill="1"/>
    <xf numFmtId="3" fontId="27" fillId="4" borderId="0" xfId="0" applyNumberFormat="1" applyFont="1" applyFill="1"/>
    <xf numFmtId="3" fontId="21" fillId="4" borderId="0" xfId="0" applyNumberFormat="1" applyFont="1" applyFill="1"/>
    <xf numFmtId="3" fontId="61" fillId="4" borderId="0" xfId="0" applyNumberFormat="1" applyFont="1" applyFill="1"/>
    <xf numFmtId="0" fontId="13" fillId="4" borderId="0" xfId="0" applyFont="1" applyFill="1" applyBorder="1" applyAlignment="1">
      <alignment horizontal="left"/>
    </xf>
    <xf numFmtId="0" fontId="21" fillId="4" borderId="0" xfId="0" applyFont="1" applyFill="1" applyBorder="1" applyAlignment="1">
      <alignment vertical="center" wrapText="1"/>
    </xf>
    <xf numFmtId="164" fontId="21" fillId="4" borderId="0" xfId="0" applyNumberFormat="1" applyFont="1" applyFill="1" applyAlignment="1">
      <alignment horizontal="center"/>
    </xf>
    <xf numFmtId="0" fontId="21" fillId="4" borderId="0" xfId="0" applyFont="1" applyFill="1" applyBorder="1"/>
    <xf numFmtId="0" fontId="21" fillId="4" borderId="10" xfId="0" applyFont="1" applyFill="1" applyBorder="1"/>
    <xf numFmtId="164" fontId="21" fillId="4" borderId="10" xfId="0" applyNumberFormat="1" applyFont="1" applyFill="1" applyBorder="1" applyAlignment="1">
      <alignment horizontal="center"/>
    </xf>
    <xf numFmtId="3" fontId="21" fillId="4" borderId="10" xfId="0" applyNumberFormat="1" applyFont="1" applyFill="1" applyBorder="1"/>
    <xf numFmtId="164" fontId="36" fillId="4" borderId="0" xfId="0" applyNumberFormat="1" applyFont="1" applyFill="1" applyAlignment="1">
      <alignment horizontal="center"/>
    </xf>
    <xf numFmtId="164" fontId="36" fillId="4" borderId="10" xfId="0" applyNumberFormat="1" applyFont="1" applyFill="1" applyBorder="1" applyAlignment="1">
      <alignment horizontal="center"/>
    </xf>
    <xf numFmtId="3" fontId="21" fillId="4" borderId="0" xfId="0" applyNumberFormat="1" applyFont="1" applyFill="1" applyBorder="1"/>
    <xf numFmtId="4" fontId="23" fillId="4" borderId="0" xfId="0" applyNumberFormat="1" applyFont="1" applyFill="1"/>
    <xf numFmtId="3" fontId="21" fillId="4" borderId="19" xfId="0" applyNumberFormat="1" applyFont="1" applyFill="1" applyBorder="1"/>
    <xf numFmtId="164" fontId="3" fillId="4" borderId="19" xfId="0" applyNumberFormat="1" applyFont="1" applyFill="1" applyBorder="1" applyAlignment="1">
      <alignment horizontal="center"/>
    </xf>
    <xf numFmtId="3" fontId="23" fillId="4" borderId="19" xfId="0" applyNumberFormat="1" applyFont="1" applyFill="1" applyBorder="1"/>
    <xf numFmtId="4" fontId="23" fillId="4" borderId="19" xfId="0" applyNumberFormat="1" applyFont="1" applyFill="1" applyBorder="1"/>
    <xf numFmtId="0" fontId="23" fillId="4" borderId="60" xfId="0" applyFont="1" applyFill="1" applyBorder="1"/>
    <xf numFmtId="164" fontId="3" fillId="4" borderId="60" xfId="0" applyNumberFormat="1" applyFont="1" applyFill="1" applyBorder="1" applyAlignment="1">
      <alignment horizontal="center"/>
    </xf>
    <xf numFmtId="3" fontId="21" fillId="4" borderId="60" xfId="0" applyNumberFormat="1" applyFont="1" applyFill="1" applyBorder="1"/>
    <xf numFmtId="0" fontId="23" fillId="4" borderId="34" xfId="0" applyFont="1" applyFill="1" applyBorder="1"/>
    <xf numFmtId="164" fontId="3" fillId="4" borderId="34" xfId="0" applyNumberFormat="1" applyFont="1" applyFill="1" applyBorder="1" applyAlignment="1">
      <alignment horizontal="center"/>
    </xf>
    <xf numFmtId="3" fontId="23" fillId="4" borderId="34" xfId="0" applyNumberFormat="1" applyFont="1" applyFill="1" applyBorder="1"/>
    <xf numFmtId="4" fontId="21" fillId="4" borderId="34" xfId="0" applyNumberFormat="1" applyFont="1" applyFill="1" applyBorder="1"/>
    <xf numFmtId="0" fontId="23" fillId="4" borderId="0" xfId="0" applyFont="1" applyFill="1" applyBorder="1"/>
    <xf numFmtId="4" fontId="3" fillId="4" borderId="0" xfId="0" applyNumberFormat="1" applyFont="1" applyFill="1" applyAlignment="1">
      <alignment horizontal="left"/>
    </xf>
    <xf numFmtId="4" fontId="3" fillId="4" borderId="0" xfId="0" applyNumberFormat="1" applyFont="1" applyFill="1" applyAlignment="1">
      <alignment horizontal="center"/>
    </xf>
    <xf numFmtId="4" fontId="3" fillId="4" borderId="0" xfId="0" applyNumberFormat="1" applyFont="1" applyFill="1"/>
    <xf numFmtId="4" fontId="3" fillId="4" borderId="28" xfId="0" applyNumberFormat="1" applyFont="1" applyFill="1" applyBorder="1" applyAlignment="1">
      <alignment horizontal="center" vertical="center"/>
    </xf>
    <xf numFmtId="4" fontId="3" fillId="4" borderId="19" xfId="0" applyNumberFormat="1" applyFont="1" applyFill="1" applyBorder="1" applyAlignment="1">
      <alignment horizontal="center" vertical="center"/>
    </xf>
    <xf numFmtId="4" fontId="3" fillId="4" borderId="0" xfId="0" applyNumberFormat="1" applyFont="1" applyFill="1" applyBorder="1" applyAlignment="1">
      <alignment horizontal="center" vertical="center"/>
    </xf>
    <xf numFmtId="4" fontId="34" fillId="4" borderId="0" xfId="0" applyNumberFormat="1" applyFont="1" applyFill="1" applyBorder="1" applyAlignment="1">
      <alignment horizontal="center" vertical="center"/>
    </xf>
    <xf numFmtId="0" fontId="36" fillId="4" borderId="0" xfId="0" applyFont="1" applyFill="1" applyBorder="1"/>
    <xf numFmtId="4" fontId="36" fillId="4" borderId="0" xfId="0" applyNumberFormat="1" applyFont="1" applyFill="1"/>
    <xf numFmtId="4" fontId="73" fillId="4" borderId="0" xfId="0" applyNumberFormat="1" applyFont="1" applyFill="1"/>
    <xf numFmtId="3" fontId="15" fillId="4" borderId="0" xfId="0" applyNumberFormat="1" applyFont="1" applyFill="1" applyBorder="1"/>
    <xf numFmtId="0" fontId="58" fillId="4" borderId="0" xfId="0" applyFont="1" applyFill="1" applyBorder="1"/>
    <xf numFmtId="4" fontId="21" fillId="4" borderId="0" xfId="0" applyNumberFormat="1" applyFont="1" applyFill="1" applyBorder="1"/>
    <xf numFmtId="4" fontId="58" fillId="4" borderId="0" xfId="0" applyNumberFormat="1" applyFont="1" applyFill="1" applyBorder="1" applyAlignment="1">
      <alignment horizontal="right"/>
    </xf>
    <xf numFmtId="4" fontId="12" fillId="4" borderId="0" xfId="0" applyNumberFormat="1" applyFont="1" applyFill="1" applyBorder="1" applyAlignment="1">
      <alignment horizontal="justify"/>
    </xf>
    <xf numFmtId="1" fontId="12" fillId="4" borderId="0" xfId="0" applyNumberFormat="1" applyFont="1" applyFill="1" applyBorder="1" applyAlignment="1">
      <alignment horizontal="left"/>
    </xf>
    <xf numFmtId="0" fontId="12" fillId="4" borderId="0" xfId="0" applyFont="1" applyFill="1" applyBorder="1" applyAlignment="1">
      <alignment horizontal="right"/>
    </xf>
    <xf numFmtId="0" fontId="0" fillId="4" borderId="0" xfId="0" applyFill="1"/>
    <xf numFmtId="0" fontId="0" fillId="4" borderId="0" xfId="0" applyFill="1" applyBorder="1"/>
    <xf numFmtId="3" fontId="0" fillId="4" borderId="0" xfId="0" applyNumberFormat="1" applyFill="1" applyBorder="1"/>
    <xf numFmtId="0" fontId="50" fillId="4" borderId="0" xfId="0" applyFont="1" applyFill="1"/>
    <xf numFmtId="0" fontId="35" fillId="4" borderId="0" xfId="0" applyFont="1" applyFill="1"/>
    <xf numFmtId="164" fontId="0" fillId="4" borderId="0" xfId="0" applyNumberFormat="1" applyFill="1" applyAlignment="1">
      <alignment horizontal="center"/>
    </xf>
    <xf numFmtId="3" fontId="35" fillId="4" borderId="0" xfId="0" applyNumberFormat="1" applyFont="1" applyFill="1"/>
    <xf numFmtId="3" fontId="35" fillId="4" borderId="2" xfId="0" applyNumberFormat="1" applyFont="1" applyFill="1" applyBorder="1"/>
    <xf numFmtId="166" fontId="23" fillId="4" borderId="25" xfId="0" applyNumberFormat="1" applyFont="1" applyFill="1" applyBorder="1"/>
    <xf numFmtId="3" fontId="35" fillId="4" borderId="3" xfId="0" applyNumberFormat="1" applyFont="1" applyFill="1" applyBorder="1"/>
    <xf numFmtId="164" fontId="50" fillId="4" borderId="14" xfId="0" applyNumberFormat="1" applyFont="1" applyFill="1" applyBorder="1" applyAlignment="1"/>
    <xf numFmtId="166" fontId="50" fillId="4" borderId="44" xfId="0" applyNumberFormat="1" applyFont="1" applyFill="1" applyBorder="1"/>
    <xf numFmtId="3" fontId="11" fillId="4" borderId="2" xfId="0" applyNumberFormat="1" applyFont="1" applyFill="1" applyBorder="1"/>
    <xf numFmtId="166" fontId="11" fillId="4" borderId="25" xfId="0" applyNumberFormat="1" applyFont="1" applyFill="1" applyBorder="1"/>
    <xf numFmtId="3" fontId="17" fillId="4" borderId="45" xfId="0" applyNumberFormat="1" applyFont="1" applyFill="1" applyBorder="1"/>
    <xf numFmtId="166" fontId="17" fillId="4" borderId="36" xfId="0" applyNumberFormat="1" applyFont="1" applyFill="1" applyBorder="1"/>
    <xf numFmtId="164" fontId="0" fillId="4" borderId="0" xfId="0" applyNumberFormat="1" applyFill="1"/>
    <xf numFmtId="3" fontId="36" fillId="4" borderId="14" xfId="0" applyNumberFormat="1" applyFont="1" applyFill="1" applyBorder="1" applyAlignment="1">
      <alignment horizontal="center"/>
    </xf>
    <xf numFmtId="3" fontId="8" fillId="0" borderId="17" xfId="0" applyNumberFormat="1" applyFont="1" applyFill="1" applyBorder="1" applyAlignment="1">
      <alignment horizontal="right"/>
    </xf>
    <xf numFmtId="0" fontId="25" fillId="0" borderId="33" xfId="9" applyFont="1" applyFill="1" applyBorder="1" applyAlignment="1">
      <alignment horizontal="left"/>
    </xf>
    <xf numFmtId="0" fontId="5" fillId="0" borderId="34" xfId="9" applyFont="1" applyFill="1" applyBorder="1"/>
    <xf numFmtId="3" fontId="20" fillId="0" borderId="34" xfId="9" applyNumberFormat="1" applyFont="1" applyFill="1" applyBorder="1" applyAlignment="1">
      <alignment horizontal="center"/>
    </xf>
    <xf numFmtId="3" fontId="7" fillId="0" borderId="14" xfId="9" applyNumberFormat="1" applyFont="1" applyFill="1" applyBorder="1"/>
    <xf numFmtId="167" fontId="7" fillId="0" borderId="35" xfId="9" applyNumberFormat="1" applyFont="1" applyFill="1" applyBorder="1" applyAlignment="1">
      <alignment horizontal="right"/>
    </xf>
    <xf numFmtId="49" fontId="26" fillId="0" borderId="14" xfId="9" applyNumberFormat="1" applyFont="1" applyBorder="1" applyAlignment="1">
      <alignment horizontal="left" vertical="top"/>
    </xf>
    <xf numFmtId="0" fontId="12" fillId="0" borderId="48" xfId="9" applyFont="1" applyBorder="1" applyAlignment="1"/>
    <xf numFmtId="3" fontId="11" fillId="0" borderId="34" xfId="9" applyNumberFormat="1" applyFont="1" applyFill="1" applyBorder="1" applyAlignment="1">
      <alignment horizontal="right"/>
    </xf>
    <xf numFmtId="3" fontId="11" fillId="0" borderId="14" xfId="9" applyNumberFormat="1" applyFont="1" applyFill="1" applyBorder="1" applyAlignment="1">
      <alignment horizontal="right"/>
    </xf>
    <xf numFmtId="167" fontId="11" fillId="0" borderId="35" xfId="9" applyNumberFormat="1" applyFont="1" applyBorder="1" applyAlignment="1">
      <alignment horizontal="right"/>
    </xf>
    <xf numFmtId="1" fontId="12" fillId="0" borderId="0" xfId="9" applyNumberFormat="1" applyFont="1" applyFill="1" applyBorder="1" applyAlignment="1">
      <alignment horizontal="left"/>
    </xf>
    <xf numFmtId="0" fontId="25" fillId="0" borderId="0" xfId="9" applyFont="1" applyFill="1" applyBorder="1" applyAlignment="1">
      <alignment horizontal="left"/>
    </xf>
    <xf numFmtId="0" fontId="5" fillId="0" borderId="0" xfId="9" applyFont="1" applyFill="1" applyBorder="1"/>
    <xf numFmtId="167" fontId="7" fillId="0" borderId="0" xfId="9" applyNumberFormat="1" applyFont="1" applyFill="1" applyBorder="1" applyAlignment="1">
      <alignment horizontal="right"/>
    </xf>
    <xf numFmtId="0" fontId="12" fillId="0" borderId="14" xfId="9" applyFont="1" applyBorder="1"/>
    <xf numFmtId="49" fontId="9" fillId="0" borderId="27" xfId="9" applyNumberFormat="1" applyFont="1" applyBorder="1" applyAlignment="1">
      <alignment horizontal="left"/>
    </xf>
    <xf numFmtId="3" fontId="11" fillId="0" borderId="27" xfId="9" applyNumberFormat="1" applyFont="1" applyBorder="1" applyAlignment="1">
      <alignment horizontal="right"/>
    </xf>
    <xf numFmtId="3" fontId="11" fillId="0" borderId="27" xfId="9" applyNumberFormat="1" applyFont="1" applyFill="1" applyBorder="1" applyAlignment="1">
      <alignment horizontal="right"/>
    </xf>
    <xf numFmtId="166" fontId="11" fillId="0" borderId="27" xfId="9" applyNumberFormat="1" applyFont="1" applyBorder="1" applyAlignment="1">
      <alignment horizontal="right"/>
    </xf>
    <xf numFmtId="49" fontId="9" fillId="0" borderId="0" xfId="9" applyNumberFormat="1" applyFont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right" vertical="center" wrapText="1"/>
    </xf>
    <xf numFmtId="1" fontId="21" fillId="0" borderId="0" xfId="0" applyNumberFormat="1" applyFont="1" applyFill="1" applyBorder="1" applyAlignment="1">
      <alignment horizontal="right" vertical="center" wrapText="1"/>
    </xf>
    <xf numFmtId="1" fontId="4" fillId="0" borderId="2" xfId="9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" fontId="4" fillId="0" borderId="34" xfId="0" applyNumberFormat="1" applyFont="1" applyBorder="1" applyAlignment="1">
      <alignment horizontal="center"/>
    </xf>
    <xf numFmtId="0" fontId="13" fillId="0" borderId="14" xfId="0" applyFont="1" applyBorder="1" applyAlignment="1"/>
    <xf numFmtId="4" fontId="120" fillId="4" borderId="0" xfId="0" applyNumberFormat="1" applyFont="1" applyFill="1" applyBorder="1"/>
    <xf numFmtId="3" fontId="7" fillId="0" borderId="0" xfId="9" applyNumberFormat="1" applyFont="1" applyFill="1" applyBorder="1" applyAlignment="1">
      <alignment horizontal="right"/>
    </xf>
    <xf numFmtId="0" fontId="8" fillId="0" borderId="14" xfId="0" applyFont="1" applyBorder="1"/>
    <xf numFmtId="1" fontId="4" fillId="0" borderId="6" xfId="0" applyNumberFormat="1" applyFont="1" applyBorder="1" applyAlignment="1">
      <alignment horizontal="left" vertical="center"/>
    </xf>
    <xf numFmtId="1" fontId="4" fillId="0" borderId="0" xfId="0" applyNumberFormat="1" applyFont="1" applyBorder="1" applyAlignment="1">
      <alignment horizontal="left" vertical="center"/>
    </xf>
    <xf numFmtId="1" fontId="12" fillId="3" borderId="50" xfId="0" applyNumberFormat="1" applyFont="1" applyFill="1" applyBorder="1" applyAlignment="1">
      <alignment horizontal="left"/>
    </xf>
    <xf numFmtId="168" fontId="26" fillId="3" borderId="14" xfId="0" applyNumberFormat="1" applyFont="1" applyFill="1" applyBorder="1" applyAlignment="1">
      <alignment horizontal="left"/>
    </xf>
    <xf numFmtId="0" fontId="13" fillId="3" borderId="14" xfId="0" applyFont="1" applyFill="1" applyBorder="1"/>
    <xf numFmtId="1" fontId="12" fillId="3" borderId="0" xfId="0" applyNumberFormat="1" applyFont="1" applyFill="1" applyBorder="1" applyAlignment="1">
      <alignment horizontal="left" vertical="center"/>
    </xf>
    <xf numFmtId="1" fontId="12" fillId="3" borderId="6" xfId="0" applyNumberFormat="1" applyFont="1" applyFill="1" applyBorder="1" applyAlignment="1">
      <alignment horizontal="left" vertical="center"/>
    </xf>
    <xf numFmtId="3" fontId="13" fillId="0" borderId="0" xfId="0" applyNumberFormat="1" applyFont="1" applyFill="1" applyBorder="1" applyAlignment="1">
      <alignment horizontal="right" vertical="top"/>
    </xf>
    <xf numFmtId="167" fontId="13" fillId="0" borderId="25" xfId="0" applyNumberFormat="1" applyFont="1" applyBorder="1" applyAlignment="1">
      <alignment horizontal="right" vertical="top"/>
    </xf>
    <xf numFmtId="0" fontId="13" fillId="0" borderId="5" xfId="9" applyFont="1" applyBorder="1"/>
    <xf numFmtId="0" fontId="8" fillId="0" borderId="15" xfId="0" applyFont="1" applyFill="1" applyBorder="1"/>
    <xf numFmtId="1" fontId="12" fillId="0" borderId="0" xfId="0" applyNumberFormat="1" applyFont="1" applyFill="1" applyBorder="1" applyAlignment="1">
      <alignment horizontal="left"/>
    </xf>
    <xf numFmtId="167" fontId="21" fillId="0" borderId="21" xfId="0" applyNumberFormat="1" applyFont="1" applyFill="1" applyBorder="1" applyAlignment="1">
      <alignment horizontal="right"/>
    </xf>
    <xf numFmtId="0" fontId="23" fillId="0" borderId="14" xfId="0" applyFont="1" applyBorder="1" applyAlignment="1"/>
    <xf numFmtId="3" fontId="23" fillId="0" borderId="14" xfId="0" applyNumberFormat="1" applyFont="1" applyBorder="1" applyAlignment="1"/>
    <xf numFmtId="3" fontId="13" fillId="0" borderId="2" xfId="5" applyFont="1" applyFill="1" applyBorder="1" applyAlignment="1">
      <alignment horizontal="right"/>
    </xf>
    <xf numFmtId="3" fontId="21" fillId="0" borderId="17" xfId="0" applyNumberFormat="1" applyFont="1" applyFill="1" applyBorder="1"/>
    <xf numFmtId="3" fontId="11" fillId="0" borderId="15" xfId="0" applyNumberFormat="1" applyFont="1" applyFill="1" applyBorder="1" applyAlignment="1">
      <alignment horizontal="right"/>
    </xf>
    <xf numFmtId="3" fontId="13" fillId="0" borderId="15" xfId="0" applyNumberFormat="1" applyFont="1" applyFill="1" applyBorder="1" applyAlignment="1">
      <alignment horizontal="right"/>
    </xf>
    <xf numFmtId="0" fontId="21" fillId="0" borderId="0" xfId="0" applyFont="1" applyBorder="1" applyAlignment="1">
      <alignment vertical="top" wrapText="1"/>
    </xf>
    <xf numFmtId="0" fontId="21" fillId="0" borderId="0" xfId="0" applyFont="1" applyBorder="1" applyAlignment="1">
      <alignment vertical="top"/>
    </xf>
    <xf numFmtId="166" fontId="13" fillId="0" borderId="25" xfId="0" applyNumberFormat="1" applyFont="1" applyBorder="1" applyAlignment="1">
      <alignment horizontal="right" vertical="top"/>
    </xf>
    <xf numFmtId="1" fontId="12" fillId="0" borderId="33" xfId="0" applyNumberFormat="1" applyFont="1" applyBorder="1" applyAlignment="1">
      <alignment horizontal="left"/>
    </xf>
    <xf numFmtId="49" fontId="69" fillId="0" borderId="34" xfId="0" applyNumberFormat="1" applyFont="1" applyBorder="1" applyAlignment="1">
      <alignment horizontal="left"/>
    </xf>
    <xf numFmtId="0" fontId="13" fillId="0" borderId="14" xfId="0" applyFont="1" applyBorder="1"/>
    <xf numFmtId="1" fontId="12" fillId="3" borderId="34" xfId="0" applyNumberFormat="1" applyFont="1" applyFill="1" applyBorder="1" applyAlignment="1">
      <alignment horizontal="left"/>
    </xf>
    <xf numFmtId="1" fontId="12" fillId="0" borderId="38" xfId="0" applyNumberFormat="1" applyFont="1" applyBorder="1" applyAlignment="1">
      <alignment horizontal="left"/>
    </xf>
    <xf numFmtId="1" fontId="12" fillId="0" borderId="27" xfId="0" applyNumberFormat="1" applyFont="1" applyBorder="1" applyAlignment="1">
      <alignment horizontal="left"/>
    </xf>
    <xf numFmtId="1" fontId="3" fillId="0" borderId="9" xfId="0" applyNumberFormat="1" applyFont="1" applyFill="1" applyBorder="1" applyAlignment="1">
      <alignment horizontal="center"/>
    </xf>
    <xf numFmtId="0" fontId="3" fillId="0" borderId="17" xfId="0" applyFont="1" applyBorder="1" applyAlignment="1">
      <alignment vertical="top"/>
    </xf>
    <xf numFmtId="3" fontId="12" fillId="0" borderId="0" xfId="0" applyNumberFormat="1" applyFont="1" applyFill="1" applyBorder="1" applyAlignment="1">
      <alignment horizontal="right" vertical="top"/>
    </xf>
    <xf numFmtId="166" fontId="11" fillId="0" borderId="42" xfId="0" applyNumberFormat="1" applyFont="1" applyBorder="1" applyAlignment="1">
      <alignment horizontal="right"/>
    </xf>
    <xf numFmtId="0" fontId="12" fillId="0" borderId="17" xfId="0" applyFont="1" applyBorder="1" applyAlignment="1">
      <alignment vertical="top" wrapText="1"/>
    </xf>
    <xf numFmtId="1" fontId="4" fillId="0" borderId="33" xfId="0" applyNumberFormat="1" applyFont="1" applyFill="1" applyBorder="1" applyAlignment="1">
      <alignment horizontal="left"/>
    </xf>
    <xf numFmtId="0" fontId="12" fillId="0" borderId="14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left"/>
    </xf>
    <xf numFmtId="3" fontId="3" fillId="0" borderId="19" xfId="0" applyNumberFormat="1" applyFont="1" applyFill="1" applyBorder="1"/>
    <xf numFmtId="0" fontId="3" fillId="0" borderId="19" xfId="0" applyFont="1" applyFill="1" applyBorder="1"/>
    <xf numFmtId="0" fontId="12" fillId="0" borderId="2" xfId="0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3" fillId="0" borderId="0" xfId="0" applyFont="1" applyFill="1" applyAlignment="1">
      <alignment wrapText="1"/>
    </xf>
    <xf numFmtId="168" fontId="23" fillId="0" borderId="0" xfId="0" applyNumberFormat="1" applyFont="1" applyFill="1" applyAlignment="1">
      <alignment horizontal="left"/>
    </xf>
    <xf numFmtId="3" fontId="7" fillId="0" borderId="0" xfId="9" applyNumberFormat="1" applyFont="1" applyFill="1" applyBorder="1" applyAlignment="1">
      <alignment horizontal="right"/>
    </xf>
    <xf numFmtId="49" fontId="9" fillId="0" borderId="27" xfId="0" applyNumberFormat="1" applyFont="1" applyBorder="1" applyAlignment="1">
      <alignment horizontal="left"/>
    </xf>
    <xf numFmtId="49" fontId="9" fillId="3" borderId="34" xfId="0" applyNumberFormat="1" applyFont="1" applyFill="1" applyBorder="1" applyAlignment="1">
      <alignment horizontal="left" vertical="top"/>
    </xf>
    <xf numFmtId="0" fontId="3" fillId="3" borderId="14" xfId="0" applyFont="1" applyFill="1" applyBorder="1" applyAlignment="1">
      <alignment wrapText="1"/>
    </xf>
    <xf numFmtId="0" fontId="12" fillId="0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wrapText="1"/>
    </xf>
    <xf numFmtId="0" fontId="3" fillId="0" borderId="0" xfId="9" applyFill="1" applyAlignment="1">
      <alignment wrapText="1"/>
    </xf>
    <xf numFmtId="0" fontId="21" fillId="0" borderId="4" xfId="9" applyFont="1" applyFill="1" applyBorder="1" applyAlignment="1">
      <alignment horizontal="left"/>
    </xf>
    <xf numFmtId="0" fontId="21" fillId="0" borderId="5" xfId="9" applyFont="1" applyFill="1" applyBorder="1" applyAlignment="1">
      <alignment horizontal="left"/>
    </xf>
    <xf numFmtId="3" fontId="7" fillId="0" borderId="0" xfId="9" applyNumberFormat="1" applyFont="1" applyFill="1" applyBorder="1" applyAlignment="1">
      <alignment horizontal="right"/>
    </xf>
    <xf numFmtId="1" fontId="3" fillId="0" borderId="0" xfId="0" applyNumberFormat="1" applyFont="1" applyFill="1" applyAlignment="1">
      <alignment horizontal="right"/>
    </xf>
    <xf numFmtId="0" fontId="3" fillId="0" borderId="27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7" fontId="3" fillId="0" borderId="0" xfId="0" applyNumberFormat="1" applyFont="1" applyFill="1" applyAlignment="1">
      <alignment horizontal="right"/>
    </xf>
    <xf numFmtId="0" fontId="3" fillId="0" borderId="0" xfId="9" applyFont="1" applyBorder="1" applyAlignment="1"/>
    <xf numFmtId="0" fontId="3" fillId="0" borderId="2" xfId="9" applyFont="1" applyBorder="1" applyAlignment="1"/>
    <xf numFmtId="0" fontId="3" fillId="0" borderId="0" xfId="9" applyFont="1" applyBorder="1" applyAlignment="1">
      <alignment vertical="top"/>
    </xf>
    <xf numFmtId="173" fontId="3" fillId="0" borderId="0" xfId="1" applyNumberFormat="1" applyFont="1" applyFill="1" applyBorder="1" applyAlignment="1">
      <alignment horizontal="center" vertical="center" wrapText="1"/>
    </xf>
    <xf numFmtId="1" fontId="3" fillId="0" borderId="0" xfId="0" applyNumberFormat="1" applyFont="1" applyFill="1"/>
    <xf numFmtId="3" fontId="13" fillId="0" borderId="0" xfId="0" applyNumberFormat="1" applyFont="1" applyBorder="1" applyAlignment="1">
      <alignment horizontal="left" vertical="center"/>
    </xf>
    <xf numFmtId="168" fontId="52" fillId="0" borderId="0" xfId="0" applyNumberFormat="1" applyFont="1" applyFill="1" applyAlignment="1">
      <alignment horizontal="right"/>
    </xf>
    <xf numFmtId="166" fontId="52" fillId="0" borderId="0" xfId="0" applyNumberFormat="1" applyFont="1" applyFill="1" applyBorder="1" applyAlignment="1">
      <alignment horizontal="right"/>
    </xf>
    <xf numFmtId="3" fontId="3" fillId="0" borderId="0" xfId="0" applyNumberFormat="1" applyFont="1" applyFill="1" applyAlignment="1"/>
    <xf numFmtId="3" fontId="23" fillId="0" borderId="17" xfId="0" applyNumberFormat="1" applyFont="1" applyFill="1" applyBorder="1"/>
    <xf numFmtId="0" fontId="3" fillId="0" borderId="2" xfId="0" applyFont="1" applyFill="1" applyBorder="1" applyAlignment="1"/>
    <xf numFmtId="167" fontId="23" fillId="0" borderId="0" xfId="0" applyNumberFormat="1" applyFont="1" applyFill="1" applyAlignment="1">
      <alignment horizontal="right"/>
    </xf>
    <xf numFmtId="168" fontId="23" fillId="0" borderId="0" xfId="0" applyNumberFormat="1" applyFont="1" applyFill="1" applyAlignment="1">
      <alignment horizontal="center"/>
    </xf>
    <xf numFmtId="1" fontId="3" fillId="0" borderId="50" xfId="0" applyNumberFormat="1" applyFont="1" applyFill="1" applyBorder="1" applyAlignment="1">
      <alignment horizontal="center"/>
    </xf>
    <xf numFmtId="1" fontId="3" fillId="0" borderId="14" xfId="0" applyNumberFormat="1" applyFont="1" applyFill="1" applyBorder="1" applyAlignment="1">
      <alignment horizontal="center"/>
    </xf>
    <xf numFmtId="0" fontId="3" fillId="0" borderId="75" xfId="0" applyFont="1" applyFill="1" applyBorder="1" applyAlignment="1"/>
    <xf numFmtId="0" fontId="3" fillId="0" borderId="12" xfId="0" applyFont="1" applyBorder="1" applyAlignment="1"/>
    <xf numFmtId="0" fontId="3" fillId="0" borderId="0" xfId="0" applyFont="1" applyBorder="1" applyAlignment="1"/>
    <xf numFmtId="1" fontId="3" fillId="0" borderId="51" xfId="0" applyNumberFormat="1" applyFont="1" applyFill="1" applyBorder="1" applyAlignment="1">
      <alignment horizontal="center"/>
    </xf>
    <xf numFmtId="0" fontId="3" fillId="0" borderId="51" xfId="0" applyFont="1" applyFill="1" applyBorder="1"/>
    <xf numFmtId="3" fontId="3" fillId="0" borderId="51" xfId="0" applyNumberFormat="1" applyFont="1" applyFill="1" applyBorder="1"/>
    <xf numFmtId="1" fontId="3" fillId="0" borderId="6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3" fontId="23" fillId="0" borderId="2" xfId="0" applyNumberFormat="1" applyFont="1" applyFill="1" applyBorder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23" fillId="0" borderId="0" xfId="0" applyFont="1" applyFill="1" applyAlignment="1">
      <alignment vertical="center" wrapText="1"/>
    </xf>
    <xf numFmtId="1" fontId="3" fillId="0" borderId="50" xfId="0" applyNumberFormat="1" applyFont="1" applyFill="1" applyBorder="1" applyAlignment="1">
      <alignment horizontal="center" vertical="center" wrapText="1"/>
    </xf>
    <xf numFmtId="1" fontId="3" fillId="0" borderId="17" xfId="0" applyNumberFormat="1" applyFont="1" applyFill="1" applyBorder="1" applyAlignment="1">
      <alignment horizontal="center" vertical="center" wrapText="1"/>
    </xf>
    <xf numFmtId="167" fontId="52" fillId="0" borderId="0" xfId="0" applyNumberFormat="1" applyFont="1" applyFill="1" applyAlignment="1">
      <alignment horizontal="right"/>
    </xf>
    <xf numFmtId="1" fontId="52" fillId="0" borderId="0" xfId="0" applyNumberFormat="1" applyFont="1" applyFill="1" applyAlignment="1">
      <alignment horizontal="left" vertical="top"/>
    </xf>
    <xf numFmtId="168" fontId="52" fillId="0" borderId="0" xfId="0" applyNumberFormat="1" applyFont="1" applyFill="1" applyAlignment="1">
      <alignment horizontal="center" vertical="top"/>
    </xf>
    <xf numFmtId="0" fontId="52" fillId="0" borderId="0" xfId="0" applyFont="1" applyFill="1" applyAlignment="1">
      <alignment horizontal="left" vertical="top"/>
    </xf>
    <xf numFmtId="3" fontId="52" fillId="0" borderId="0" xfId="0" applyNumberFormat="1" applyFont="1" applyFill="1" applyAlignment="1">
      <alignment vertical="top"/>
    </xf>
    <xf numFmtId="167" fontId="52" fillId="0" borderId="0" xfId="0" applyNumberFormat="1" applyFont="1" applyFill="1" applyAlignment="1">
      <alignment horizontal="right" vertical="top"/>
    </xf>
    <xf numFmtId="1" fontId="3" fillId="0" borderId="19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wrapText="1"/>
    </xf>
    <xf numFmtId="3" fontId="21" fillId="0" borderId="18" xfId="9" applyNumberFormat="1" applyFont="1" applyFill="1" applyBorder="1" applyAlignment="1">
      <alignment vertical="center"/>
    </xf>
    <xf numFmtId="3" fontId="3" fillId="0" borderId="0" xfId="9" applyNumberFormat="1" applyFill="1" applyAlignment="1">
      <alignment vertical="center"/>
    </xf>
    <xf numFmtId="3" fontId="36" fillId="0" borderId="2" xfId="0" applyNumberFormat="1" applyFont="1" applyFill="1" applyBorder="1" applyAlignment="1">
      <alignment horizontal="center"/>
    </xf>
    <xf numFmtId="166" fontId="23" fillId="0" borderId="21" xfId="0" applyNumberFormat="1" applyFont="1" applyFill="1" applyBorder="1"/>
    <xf numFmtId="3" fontId="36" fillId="0" borderId="3" xfId="0" applyNumberFormat="1" applyFont="1" applyFill="1" applyBorder="1" applyAlignment="1">
      <alignment horizontal="center"/>
    </xf>
    <xf numFmtId="3" fontId="23" fillId="0" borderId="3" xfId="0" applyNumberFormat="1" applyFont="1" applyFill="1" applyBorder="1"/>
    <xf numFmtId="166" fontId="23" fillId="0" borderId="49" xfId="0" applyNumberFormat="1" applyFont="1" applyFill="1" applyBorder="1"/>
    <xf numFmtId="173" fontId="3" fillId="4" borderId="0" xfId="9" applyNumberFormat="1" applyFill="1" applyBorder="1" applyAlignment="1">
      <alignment horizontal="center" vertical="center"/>
    </xf>
    <xf numFmtId="0" fontId="3" fillId="4" borderId="50" xfId="0" applyFont="1" applyFill="1" applyBorder="1"/>
    <xf numFmtId="0" fontId="14" fillId="0" borderId="14" xfId="0" applyFont="1" applyBorder="1" applyAlignment="1">
      <alignment vertical="top"/>
    </xf>
    <xf numFmtId="4" fontId="71" fillId="4" borderId="0" xfId="0" applyNumberFormat="1" applyFont="1" applyFill="1"/>
    <xf numFmtId="4" fontId="3" fillId="4" borderId="0" xfId="0" applyNumberFormat="1" applyFont="1" applyFill="1" applyAlignment="1">
      <alignment vertical="center"/>
    </xf>
    <xf numFmtId="3" fontId="36" fillId="4" borderId="19" xfId="0" applyNumberFormat="1" applyFont="1" applyFill="1" applyBorder="1"/>
    <xf numFmtId="3" fontId="23" fillId="4" borderId="17" xfId="0" applyNumberFormat="1" applyFont="1" applyFill="1" applyBorder="1"/>
    <xf numFmtId="3" fontId="21" fillId="4" borderId="17" xfId="0" applyNumberFormat="1" applyFont="1" applyFill="1" applyBorder="1"/>
    <xf numFmtId="3" fontId="21" fillId="4" borderId="40" xfId="0" applyNumberFormat="1" applyFont="1" applyFill="1" applyBorder="1"/>
    <xf numFmtId="4" fontId="21" fillId="4" borderId="16" xfId="0" applyNumberFormat="1" applyFont="1" applyFill="1" applyBorder="1"/>
    <xf numFmtId="4" fontId="21" fillId="4" borderId="52" xfId="0" applyNumberFormat="1" applyFont="1" applyFill="1" applyBorder="1"/>
    <xf numFmtId="4" fontId="21" fillId="4" borderId="48" xfId="0" applyNumberFormat="1" applyFont="1" applyFill="1" applyBorder="1"/>
    <xf numFmtId="0" fontId="21" fillId="4" borderId="47" xfId="0" applyFont="1" applyFill="1" applyBorder="1" applyAlignment="1">
      <alignment wrapText="1"/>
    </xf>
    <xf numFmtId="0" fontId="21" fillId="4" borderId="6" xfId="0" applyFont="1" applyFill="1" applyBorder="1" applyAlignment="1">
      <alignment wrapText="1"/>
    </xf>
    <xf numFmtId="4" fontId="21" fillId="4" borderId="19" xfId="0" applyNumberFormat="1" applyFont="1" applyFill="1" applyBorder="1"/>
    <xf numFmtId="4" fontId="21" fillId="4" borderId="17" xfId="0" applyNumberFormat="1" applyFont="1" applyFill="1" applyBorder="1"/>
    <xf numFmtId="0" fontId="3" fillId="0" borderId="17" xfId="0" applyFont="1" applyBorder="1" applyAlignment="1">
      <alignment vertical="top" wrapText="1"/>
    </xf>
    <xf numFmtId="168" fontId="23" fillId="0" borderId="0" xfId="0" applyNumberFormat="1" applyFont="1" applyFill="1" applyAlignment="1">
      <alignment horizontal="left"/>
    </xf>
    <xf numFmtId="3" fontId="21" fillId="4" borderId="9" xfId="0" applyNumberFormat="1" applyFont="1" applyFill="1" applyBorder="1"/>
    <xf numFmtId="166" fontId="21" fillId="4" borderId="23" xfId="0" applyNumberFormat="1" applyFont="1" applyFill="1" applyBorder="1"/>
    <xf numFmtId="3" fontId="21" fillId="4" borderId="13" xfId="0" applyNumberFormat="1" applyFont="1" applyFill="1" applyBorder="1"/>
    <xf numFmtId="166" fontId="21" fillId="4" borderId="49" xfId="0" applyNumberFormat="1" applyFont="1" applyFill="1" applyBorder="1"/>
    <xf numFmtId="166" fontId="21" fillId="4" borderId="58" xfId="0" applyNumberFormat="1" applyFont="1" applyFill="1" applyBorder="1"/>
    <xf numFmtId="3" fontId="21" fillId="4" borderId="2" xfId="0" applyNumberFormat="1" applyFont="1" applyFill="1" applyBorder="1" applyAlignment="1"/>
    <xf numFmtId="3" fontId="21" fillId="4" borderId="2" xfId="0" applyNumberFormat="1" applyFont="1" applyFill="1" applyBorder="1" applyAlignment="1">
      <alignment vertical="center"/>
    </xf>
    <xf numFmtId="166" fontId="21" fillId="4" borderId="21" xfId="0" applyNumberFormat="1" applyFont="1" applyFill="1" applyBorder="1" applyAlignment="1">
      <alignment vertical="center"/>
    </xf>
    <xf numFmtId="166" fontId="21" fillId="0" borderId="21" xfId="0" applyNumberFormat="1" applyFont="1" applyFill="1" applyBorder="1"/>
    <xf numFmtId="4" fontId="3" fillId="0" borderId="0" xfId="0" applyNumberFormat="1" applyFont="1" applyFill="1" applyAlignment="1">
      <alignment vertical="top"/>
    </xf>
    <xf numFmtId="4" fontId="3" fillId="0" borderId="19" xfId="0" applyNumberFormat="1" applyFont="1" applyFill="1" applyBorder="1" applyAlignment="1">
      <alignment vertical="top"/>
    </xf>
    <xf numFmtId="4" fontId="36" fillId="0" borderId="0" xfId="0" applyNumberFormat="1" applyFont="1" applyFill="1"/>
    <xf numFmtId="0" fontId="23" fillId="0" borderId="17" xfId="0" applyFont="1" applyBorder="1" applyAlignment="1">
      <alignment vertical="top"/>
    </xf>
    <xf numFmtId="3" fontId="13" fillId="0" borderId="17" xfId="0" applyNumberFormat="1" applyFont="1" applyFill="1" applyBorder="1" applyAlignment="1">
      <alignment horizontal="right" vertical="center"/>
    </xf>
    <xf numFmtId="3" fontId="11" fillId="0" borderId="17" xfId="0" applyNumberFormat="1" applyFont="1" applyFill="1" applyBorder="1" applyAlignment="1">
      <alignment horizontal="right" vertical="center"/>
    </xf>
    <xf numFmtId="3" fontId="8" fillId="0" borderId="48" xfId="0" applyNumberFormat="1" applyFont="1" applyFill="1" applyBorder="1"/>
    <xf numFmtId="0" fontId="11" fillId="0" borderId="17" xfId="0" applyFont="1" applyBorder="1" applyAlignment="1">
      <alignment vertical="top" wrapText="1"/>
    </xf>
    <xf numFmtId="49" fontId="9" fillId="3" borderId="2" xfId="0" applyNumberFormat="1" applyFont="1" applyFill="1" applyBorder="1" applyAlignment="1">
      <alignment horizontal="left" vertical="center"/>
    </xf>
    <xf numFmtId="0" fontId="23" fillId="3" borderId="2" xfId="0" applyFont="1" applyFill="1" applyBorder="1" applyAlignment="1">
      <alignment vertical="center" wrapText="1"/>
    </xf>
    <xf numFmtId="3" fontId="14" fillId="0" borderId="17" xfId="0" applyNumberFormat="1" applyFont="1" applyFill="1" applyBorder="1" applyAlignment="1">
      <alignment vertical="center"/>
    </xf>
    <xf numFmtId="166" fontId="14" fillId="0" borderId="25" xfId="0" applyNumberFormat="1" applyFont="1" applyFill="1" applyBorder="1" applyAlignment="1">
      <alignment vertical="center"/>
    </xf>
    <xf numFmtId="0" fontId="23" fillId="0" borderId="0" xfId="0" applyFont="1" applyBorder="1" applyAlignment="1">
      <alignment vertical="top"/>
    </xf>
    <xf numFmtId="0" fontId="23" fillId="0" borderId="48" xfId="0" applyFont="1" applyBorder="1" applyAlignment="1">
      <alignment vertical="top"/>
    </xf>
    <xf numFmtId="168" fontId="26" fillId="0" borderId="2" xfId="0" applyNumberFormat="1" applyFont="1" applyFill="1" applyBorder="1" applyAlignment="1">
      <alignment horizontal="center"/>
    </xf>
    <xf numFmtId="49" fontId="9" fillId="0" borderId="2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top" wrapText="1"/>
    </xf>
    <xf numFmtId="0" fontId="23" fillId="0" borderId="2" xfId="0" applyFont="1" applyBorder="1" applyAlignment="1">
      <alignment vertical="top" wrapText="1"/>
    </xf>
    <xf numFmtId="0" fontId="23" fillId="0" borderId="2" xfId="0" applyFont="1" applyBorder="1" applyAlignment="1">
      <alignment wrapText="1"/>
    </xf>
    <xf numFmtId="0" fontId="23" fillId="0" borderId="17" xfId="0" applyFont="1" applyBorder="1" applyAlignment="1">
      <alignment vertical="top" wrapText="1"/>
    </xf>
    <xf numFmtId="0" fontId="21" fillId="0" borderId="4" xfId="0" applyFont="1" applyFill="1" applyBorder="1" applyAlignment="1">
      <alignment vertical="top"/>
    </xf>
    <xf numFmtId="0" fontId="21" fillId="0" borderId="5" xfId="0" applyFont="1" applyFill="1" applyBorder="1" applyAlignment="1">
      <alignment vertical="top"/>
    </xf>
    <xf numFmtId="0" fontId="21" fillId="0" borderId="7" xfId="0" applyFont="1" applyFill="1" applyBorder="1" applyAlignment="1"/>
    <xf numFmtId="0" fontId="14" fillId="0" borderId="0" xfId="0" applyFont="1" applyFill="1" applyBorder="1" applyAlignment="1">
      <alignment vertical="top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wrapText="1"/>
    </xf>
    <xf numFmtId="168" fontId="23" fillId="0" borderId="0" xfId="0" applyNumberFormat="1" applyFont="1" applyFill="1" applyAlignment="1">
      <alignment horizontal="left"/>
    </xf>
    <xf numFmtId="0" fontId="11" fillId="0" borderId="27" xfId="0" applyFont="1" applyBorder="1"/>
    <xf numFmtId="0" fontId="3" fillId="0" borderId="34" xfId="0" applyFont="1" applyFill="1" applyBorder="1"/>
    <xf numFmtId="0" fontId="11" fillId="0" borderId="2" xfId="0" applyFont="1" applyBorder="1" applyAlignment="1">
      <alignment wrapText="1"/>
    </xf>
    <xf numFmtId="0" fontId="23" fillId="0" borderId="2" xfId="50" applyFont="1" applyBorder="1"/>
    <xf numFmtId="3" fontId="23" fillId="0" borderId="0" xfId="50" applyNumberFormat="1" applyFont="1"/>
    <xf numFmtId="4" fontId="120" fillId="4" borderId="19" xfId="0" applyNumberFormat="1" applyFont="1" applyFill="1" applyBorder="1"/>
    <xf numFmtId="4" fontId="123" fillId="4" borderId="0" xfId="0" applyNumberFormat="1" applyFont="1" applyFill="1" applyBorder="1"/>
    <xf numFmtId="4" fontId="120" fillId="4" borderId="28" xfId="0" applyNumberFormat="1" applyFont="1" applyFill="1" applyBorder="1"/>
    <xf numFmtId="166" fontId="33" fillId="0" borderId="10" xfId="0" applyNumberFormat="1" applyFont="1" applyFill="1" applyBorder="1" applyAlignment="1">
      <alignment horizontal="right"/>
    </xf>
    <xf numFmtId="4" fontId="120" fillId="4" borderId="12" xfId="0" applyNumberFormat="1" applyFont="1" applyFill="1" applyBorder="1"/>
    <xf numFmtId="4" fontId="124" fillId="4" borderId="0" xfId="0" applyNumberFormat="1" applyFont="1" applyFill="1" applyBorder="1"/>
    <xf numFmtId="4" fontId="125" fillId="4" borderId="0" xfId="0" applyNumberFormat="1" applyFont="1" applyFill="1" applyBorder="1"/>
    <xf numFmtId="4" fontId="123" fillId="4" borderId="28" xfId="0" applyNumberFormat="1" applyFont="1" applyFill="1" applyBorder="1"/>
    <xf numFmtId="4" fontId="123" fillId="4" borderId="19" xfId="0" applyNumberFormat="1" applyFont="1" applyFill="1" applyBorder="1"/>
    <xf numFmtId="4" fontId="123" fillId="4" borderId="31" xfId="0" applyNumberFormat="1" applyFont="1" applyFill="1" applyBorder="1"/>
    <xf numFmtId="4" fontId="123" fillId="4" borderId="20" xfId="0" applyNumberFormat="1" applyFont="1" applyFill="1" applyBorder="1"/>
    <xf numFmtId="4" fontId="120" fillId="4" borderId="0" xfId="9" applyNumberFormat="1" applyFont="1" applyFill="1"/>
    <xf numFmtId="4" fontId="120" fillId="4" borderId="28" xfId="9" applyNumberFormat="1" applyFont="1" applyFill="1" applyBorder="1"/>
    <xf numFmtId="4" fontId="120" fillId="4" borderId="19" xfId="9" applyNumberFormat="1" applyFont="1" applyFill="1" applyBorder="1"/>
    <xf numFmtId="4" fontId="120" fillId="4" borderId="0" xfId="9" applyNumberFormat="1" applyFont="1" applyFill="1" applyAlignment="1">
      <alignment vertical="center"/>
    </xf>
    <xf numFmtId="4" fontId="123" fillId="4" borderId="0" xfId="0" applyNumberFormat="1" applyFont="1" applyFill="1" applyBorder="1" applyAlignment="1">
      <alignment vertical="center"/>
    </xf>
    <xf numFmtId="4" fontId="120" fillId="4" borderId="12" xfId="9" applyNumberFormat="1" applyFont="1" applyFill="1" applyBorder="1"/>
    <xf numFmtId="4" fontId="120" fillId="4" borderId="0" xfId="9" applyNumberFormat="1" applyFont="1" applyFill="1" applyBorder="1"/>
    <xf numFmtId="4" fontId="123" fillId="4" borderId="12" xfId="0" applyNumberFormat="1" applyFont="1" applyFill="1" applyBorder="1"/>
    <xf numFmtId="4" fontId="123" fillId="4" borderId="0" xfId="9" applyNumberFormat="1" applyFont="1" applyFill="1" applyBorder="1"/>
    <xf numFmtId="4" fontId="123" fillId="4" borderId="0" xfId="0" applyNumberFormat="1" applyFont="1" applyFill="1"/>
    <xf numFmtId="4" fontId="90" fillId="4" borderId="0" xfId="0" applyNumberFormat="1" applyFont="1" applyFill="1"/>
    <xf numFmtId="4" fontId="90" fillId="4" borderId="0" xfId="0" applyNumberFormat="1" applyFont="1" applyFill="1" applyBorder="1" applyAlignment="1">
      <alignment horizontal="center" vertical="center"/>
    </xf>
    <xf numFmtId="4" fontId="126" fillId="4" borderId="0" xfId="0" applyNumberFormat="1" applyFont="1" applyFill="1" applyBorder="1" applyAlignment="1">
      <alignment horizontal="center" vertical="center"/>
    </xf>
    <xf numFmtId="4" fontId="127" fillId="4" borderId="0" xfId="0" applyNumberFormat="1" applyFont="1" applyFill="1"/>
    <xf numFmtId="4" fontId="127" fillId="4" borderId="10" xfId="0" applyNumberFormat="1" applyFont="1" applyFill="1" applyBorder="1"/>
    <xf numFmtId="1" fontId="3" fillId="0" borderId="0" xfId="0" applyNumberFormat="1" applyFont="1" applyFill="1" applyBorder="1" applyAlignment="1">
      <alignment horizontal="center"/>
    </xf>
    <xf numFmtId="167" fontId="3" fillId="0" borderId="0" xfId="0" applyNumberFormat="1" applyFont="1" applyFill="1" applyBorder="1" applyAlignment="1">
      <alignment horizontal="right"/>
    </xf>
    <xf numFmtId="0" fontId="23" fillId="0" borderId="0" xfId="0" applyFont="1" applyFill="1" applyBorder="1"/>
    <xf numFmtId="173" fontId="3" fillId="4" borderId="14" xfId="9" applyNumberFormat="1" applyFill="1" applyBorder="1" applyAlignment="1">
      <alignment horizontal="center" vertical="center" wrapText="1"/>
    </xf>
    <xf numFmtId="3" fontId="128" fillId="4" borderId="0" xfId="0" applyNumberFormat="1" applyFont="1" applyFill="1"/>
    <xf numFmtId="0" fontId="41" fillId="0" borderId="0" xfId="0" applyFont="1" applyFill="1" applyAlignment="1">
      <alignment horizontal="left"/>
    </xf>
    <xf numFmtId="0" fontId="0" fillId="0" borderId="0" xfId="0" applyFill="1" applyAlignment="1"/>
    <xf numFmtId="0" fontId="50" fillId="0" borderId="39" xfId="0" applyFont="1" applyFill="1" applyBorder="1" applyAlignment="1"/>
    <xf numFmtId="0" fontId="0" fillId="0" borderId="40" xfId="0" applyFill="1" applyBorder="1" applyAlignment="1"/>
    <xf numFmtId="1" fontId="17" fillId="0" borderId="39" xfId="0" applyNumberFormat="1" applyFont="1" applyFill="1" applyBorder="1" applyAlignment="1">
      <alignment horizontal="left" wrapText="1"/>
    </xf>
    <xf numFmtId="0" fontId="35" fillId="4" borderId="28" xfId="0" applyFont="1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0" fillId="4" borderId="0" xfId="0" applyFill="1" applyAlignment="1">
      <alignment wrapText="1"/>
    </xf>
    <xf numFmtId="0" fontId="34" fillId="0" borderId="7" xfId="0" applyFont="1" applyFill="1" applyBorder="1" applyAlignment="1">
      <alignment horizontal="center" vertical="center"/>
    </xf>
    <xf numFmtId="0" fontId="0" fillId="0" borderId="56" xfId="0" applyFill="1" applyBorder="1" applyAlignment="1">
      <alignment horizontal="center" vertical="center"/>
    </xf>
    <xf numFmtId="1" fontId="23" fillId="0" borderId="0" xfId="0" applyNumberFormat="1" applyFont="1" applyFill="1" applyAlignment="1">
      <alignment horizontal="justify" wrapText="1"/>
    </xf>
    <xf numFmtId="0" fontId="0" fillId="0" borderId="0" xfId="0" applyFill="1" applyAlignment="1">
      <alignment wrapText="1"/>
    </xf>
    <xf numFmtId="1" fontId="14" fillId="0" borderId="31" xfId="0" applyNumberFormat="1" applyFont="1" applyFill="1" applyBorder="1" applyAlignment="1">
      <alignment horizontal="left"/>
    </xf>
    <xf numFmtId="0" fontId="0" fillId="0" borderId="59" xfId="0" applyFill="1" applyBorder="1" applyAlignment="1"/>
    <xf numFmtId="0" fontId="34" fillId="4" borderId="7" xfId="0" applyFont="1" applyFill="1" applyBorder="1" applyAlignment="1">
      <alignment horizontal="center" vertical="center" wrapText="1"/>
    </xf>
    <xf numFmtId="0" fontId="0" fillId="4" borderId="56" xfId="0" applyFill="1" applyBorder="1" applyAlignment="1">
      <alignment wrapText="1"/>
    </xf>
    <xf numFmtId="0" fontId="35" fillId="4" borderId="26" xfId="0" applyFont="1" applyFill="1" applyBorder="1" applyAlignment="1">
      <alignment wrapText="1"/>
    </xf>
    <xf numFmtId="0" fontId="0" fillId="4" borderId="18" xfId="0" applyFill="1" applyBorder="1" applyAlignment="1">
      <alignment wrapText="1"/>
    </xf>
    <xf numFmtId="1" fontId="14" fillId="4" borderId="31" xfId="0" applyNumberFormat="1" applyFont="1" applyFill="1" applyBorder="1" applyAlignment="1">
      <alignment horizontal="left" wrapText="1"/>
    </xf>
    <xf numFmtId="0" fontId="0" fillId="4" borderId="59" xfId="0" applyFill="1" applyBorder="1" applyAlignment="1">
      <alignment wrapText="1"/>
    </xf>
    <xf numFmtId="0" fontId="50" fillId="4" borderId="39" xfId="0" applyFont="1" applyFill="1" applyBorder="1" applyAlignment="1">
      <alignment wrapText="1"/>
    </xf>
    <xf numFmtId="0" fontId="0" fillId="4" borderId="40" xfId="0" applyFill="1" applyBorder="1" applyAlignment="1">
      <alignment wrapText="1"/>
    </xf>
    <xf numFmtId="1" fontId="17" fillId="4" borderId="39" xfId="0" applyNumberFormat="1" applyFont="1" applyFill="1" applyBorder="1" applyAlignment="1">
      <alignment horizontal="left" wrapText="1"/>
    </xf>
    <xf numFmtId="0" fontId="0" fillId="4" borderId="40" xfId="0" applyFill="1" applyBorder="1" applyAlignment="1"/>
    <xf numFmtId="0" fontId="21" fillId="4" borderId="47" xfId="0" applyFont="1" applyFill="1" applyBorder="1" applyAlignment="1">
      <alignment wrapText="1"/>
    </xf>
    <xf numFmtId="0" fontId="21" fillId="4" borderId="6" xfId="0" applyFont="1" applyFill="1" applyBorder="1" applyAlignment="1">
      <alignment wrapText="1"/>
    </xf>
    <xf numFmtId="0" fontId="21" fillId="4" borderId="47" xfId="0" applyFont="1" applyFill="1" applyBorder="1" applyAlignment="1">
      <alignment vertical="center" wrapText="1"/>
    </xf>
    <xf numFmtId="0" fontId="36" fillId="0" borderId="6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1" fontId="12" fillId="4" borderId="0" xfId="0" applyNumberFormat="1" applyFont="1" applyFill="1" applyBorder="1" applyAlignment="1">
      <alignment horizontal="justify" wrapText="1"/>
    </xf>
    <xf numFmtId="0" fontId="3" fillId="4" borderId="0" xfId="0" applyFont="1" applyFill="1" applyAlignment="1">
      <alignment horizontal="justify" wrapText="1"/>
    </xf>
    <xf numFmtId="0" fontId="41" fillId="4" borderId="0" xfId="0" applyFont="1" applyFill="1" applyAlignment="1">
      <alignment horizontal="left"/>
    </xf>
    <xf numFmtId="0" fontId="3" fillId="4" borderId="0" xfId="0" applyFont="1" applyFill="1" applyAlignment="1">
      <alignment horizontal="left"/>
    </xf>
    <xf numFmtId="0" fontId="41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21" fillId="4" borderId="47" xfId="0" applyFont="1" applyFill="1" applyBorder="1" applyAlignment="1">
      <alignment vertical="top" wrapText="1"/>
    </xf>
    <xf numFmtId="0" fontId="21" fillId="4" borderId="6" xfId="0" applyFont="1" applyFill="1" applyBorder="1" applyAlignment="1">
      <alignment vertical="top" wrapText="1"/>
    </xf>
    <xf numFmtId="0" fontId="3" fillId="4" borderId="6" xfId="0" applyFont="1" applyFill="1" applyBorder="1" applyAlignment="1">
      <alignment wrapText="1"/>
    </xf>
    <xf numFmtId="0" fontId="40" fillId="4" borderId="7" xfId="0" applyFont="1" applyFill="1" applyBorder="1" applyAlignment="1"/>
    <xf numFmtId="0" fontId="40" fillId="4" borderId="56" xfId="0" applyFont="1" applyFill="1" applyBorder="1" applyAlignment="1"/>
    <xf numFmtId="1" fontId="8" fillId="4" borderId="6" xfId="0" applyNumberFormat="1" applyFont="1" applyFill="1" applyBorder="1" applyAlignment="1">
      <alignment horizontal="left" wrapText="1"/>
    </xf>
    <xf numFmtId="0" fontId="21" fillId="0" borderId="6" xfId="0" applyFont="1" applyFill="1" applyBorder="1" applyAlignment="1">
      <alignment wrapText="1"/>
    </xf>
    <xf numFmtId="0" fontId="13" fillId="0" borderId="2" xfId="9" applyFont="1" applyBorder="1" applyAlignment="1">
      <alignment wrapText="1"/>
    </xf>
    <xf numFmtId="0" fontId="3" fillId="0" borderId="2" xfId="0" applyFont="1" applyBorder="1" applyAlignment="1">
      <alignment wrapText="1"/>
    </xf>
    <xf numFmtId="49" fontId="9" fillId="0" borderId="2" xfId="0" applyNumberFormat="1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wrapText="1"/>
    </xf>
    <xf numFmtId="0" fontId="8" fillId="0" borderId="2" xfId="0" applyFont="1" applyBorder="1" applyAlignment="1">
      <alignment wrapText="1"/>
    </xf>
    <xf numFmtId="2" fontId="12" fillId="0" borderId="2" xfId="0" applyNumberFormat="1" applyFont="1" applyBorder="1" applyAlignment="1">
      <alignment wrapText="1"/>
    </xf>
    <xf numFmtId="2" fontId="3" fillId="0" borderId="2" xfId="0" applyNumberFormat="1" applyFont="1" applyBorder="1" applyAlignment="1">
      <alignment wrapText="1"/>
    </xf>
    <xf numFmtId="0" fontId="30" fillId="0" borderId="10" xfId="0" applyFont="1" applyFill="1" applyBorder="1" applyAlignment="1">
      <alignment horizontal="left" wrapText="1"/>
    </xf>
    <xf numFmtId="0" fontId="59" fillId="0" borderId="10" xfId="0" applyFont="1" applyFill="1" applyBorder="1" applyAlignment="1">
      <alignment wrapText="1"/>
    </xf>
    <xf numFmtId="0" fontId="12" fillId="0" borderId="0" xfId="0" applyFont="1" applyBorder="1" applyAlignment="1">
      <alignment wrapText="1"/>
    </xf>
    <xf numFmtId="0" fontId="0" fillId="0" borderId="2" xfId="0" applyBorder="1" applyAlignment="1">
      <alignment horizontal="left" vertical="center" wrapText="1"/>
    </xf>
    <xf numFmtId="0" fontId="59" fillId="0" borderId="10" xfId="0" applyFont="1" applyFill="1" applyBorder="1" applyAlignment="1"/>
    <xf numFmtId="0" fontId="0" fillId="0" borderId="2" xfId="0" applyBorder="1" applyAlignment="1">
      <alignment wrapText="1"/>
    </xf>
    <xf numFmtId="0" fontId="21" fillId="2" borderId="4" xfId="0" applyFont="1" applyFill="1" applyBorder="1" applyAlignment="1"/>
    <xf numFmtId="0" fontId="21" fillId="2" borderId="5" xfId="0" applyFont="1" applyFill="1" applyBorder="1" applyAlignment="1"/>
    <xf numFmtId="1" fontId="40" fillId="3" borderId="0" xfId="0" applyNumberFormat="1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21" fillId="2" borderId="50" xfId="0" applyFont="1" applyFill="1" applyBorder="1" applyAlignment="1"/>
    <xf numFmtId="0" fontId="21" fillId="2" borderId="14" xfId="0" applyFont="1" applyFill="1" applyBorder="1" applyAlignment="1"/>
    <xf numFmtId="167" fontId="67" fillId="2" borderId="60" xfId="0" applyNumberFormat="1" applyFont="1" applyFill="1" applyBorder="1" applyAlignment="1">
      <alignment wrapText="1"/>
    </xf>
    <xf numFmtId="0" fontId="0" fillId="0" borderId="34" xfId="0" applyBorder="1"/>
    <xf numFmtId="0" fontId="49" fillId="2" borderId="60" xfId="0" applyFont="1" applyFill="1" applyBorder="1" applyAlignment="1">
      <alignment horizontal="left" wrapText="1"/>
    </xf>
    <xf numFmtId="0" fontId="0" fillId="0" borderId="60" xfId="0" applyBorder="1"/>
    <xf numFmtId="3" fontId="30" fillId="2" borderId="60" xfId="0" applyNumberFormat="1" applyFont="1" applyFill="1" applyBorder="1" applyAlignment="1">
      <alignment wrapText="1"/>
    </xf>
    <xf numFmtId="0" fontId="30" fillId="2" borderId="10" xfId="0" applyFont="1" applyFill="1" applyBorder="1" applyAlignment="1">
      <alignment horizontal="left" wrapText="1"/>
    </xf>
    <xf numFmtId="0" fontId="59" fillId="0" borderId="10" xfId="0" applyFont="1" applyBorder="1" applyAlignment="1"/>
    <xf numFmtId="0" fontId="12" fillId="0" borderId="0" xfId="0" applyFont="1" applyBorder="1" applyAlignment="1">
      <alignment vertical="top" wrapText="1"/>
    </xf>
    <xf numFmtId="49" fontId="9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2" fillId="0" borderId="17" xfId="0" applyFont="1" applyFill="1" applyBorder="1" applyAlignment="1">
      <alignment wrapText="1"/>
    </xf>
    <xf numFmtId="0" fontId="3" fillId="0" borderId="2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3" fillId="0" borderId="0" xfId="0" applyFont="1" applyFill="1" applyAlignment="1">
      <alignment wrapText="1"/>
    </xf>
    <xf numFmtId="0" fontId="13" fillId="3" borderId="2" xfId="0" applyFont="1" applyFill="1" applyBorder="1" applyAlignment="1">
      <alignment wrapText="1"/>
    </xf>
    <xf numFmtId="0" fontId="13" fillId="0" borderId="2" xfId="0" applyFont="1" applyBorder="1" applyAlignment="1">
      <alignment wrapText="1"/>
    </xf>
    <xf numFmtId="0" fontId="3" fillId="0" borderId="17" xfId="0" applyFont="1" applyBorder="1" applyAlignment="1">
      <alignment wrapText="1"/>
    </xf>
    <xf numFmtId="1" fontId="11" fillId="0" borderId="2" xfId="0" applyNumberFormat="1" applyFont="1" applyFill="1" applyBorder="1" applyAlignment="1">
      <alignment horizontal="left" vertical="top" wrapText="1"/>
    </xf>
    <xf numFmtId="0" fontId="23" fillId="0" borderId="2" xfId="0" applyFont="1" applyBorder="1" applyAlignment="1">
      <alignment vertical="top" wrapText="1"/>
    </xf>
    <xf numFmtId="0" fontId="21" fillId="0" borderId="4" xfId="0" applyFont="1" applyFill="1" applyBorder="1" applyAlignment="1"/>
    <xf numFmtId="0" fontId="21" fillId="0" borderId="5" xfId="0" applyFont="1" applyFill="1" applyBorder="1" applyAlignment="1"/>
    <xf numFmtId="1" fontId="11" fillId="0" borderId="2" xfId="0" applyNumberFormat="1" applyFont="1" applyFill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11" fillId="0" borderId="17" xfId="0" applyFont="1" applyFill="1" applyBorder="1" applyAlignment="1">
      <alignment wrapText="1"/>
    </xf>
    <xf numFmtId="0" fontId="23" fillId="0" borderId="17" xfId="0" applyFont="1" applyBorder="1" applyAlignment="1">
      <alignment wrapText="1"/>
    </xf>
    <xf numFmtId="0" fontId="11" fillId="0" borderId="2" xfId="0" applyFont="1" applyBorder="1" applyAlignment="1">
      <alignment vertical="top" wrapText="1"/>
    </xf>
    <xf numFmtId="0" fontId="21" fillId="0" borderId="7" xfId="0" applyFont="1" applyFill="1" applyBorder="1" applyAlignment="1"/>
    <xf numFmtId="0" fontId="21" fillId="0" borderId="8" xfId="0" applyFont="1" applyFill="1" applyBorder="1" applyAlignment="1"/>
    <xf numFmtId="0" fontId="21" fillId="0" borderId="56" xfId="0" applyFont="1" applyFill="1" applyBorder="1" applyAlignment="1"/>
    <xf numFmtId="0" fontId="23" fillId="0" borderId="17" xfId="0" applyFont="1" applyBorder="1" applyAlignment="1">
      <alignment vertical="top" wrapText="1"/>
    </xf>
    <xf numFmtId="0" fontId="21" fillId="0" borderId="4" xfId="0" applyFont="1" applyFill="1" applyBorder="1" applyAlignment="1">
      <alignment vertical="top"/>
    </xf>
    <xf numFmtId="0" fontId="21" fillId="0" borderId="5" xfId="0" applyFont="1" applyFill="1" applyBorder="1" applyAlignment="1">
      <alignment vertical="top"/>
    </xf>
    <xf numFmtId="0" fontId="21" fillId="0" borderId="14" xfId="0" applyFont="1" applyFill="1" applyBorder="1" applyAlignment="1"/>
    <xf numFmtId="49" fontId="9" fillId="0" borderId="0" xfId="0" applyNumberFormat="1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1" fontId="11" fillId="0" borderId="0" xfId="0" applyNumberFormat="1" applyFont="1" applyFill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4" fillId="0" borderId="0" xfId="0" applyFont="1" applyFill="1" applyBorder="1" applyAlignment="1">
      <alignment vertical="top" wrapText="1"/>
    </xf>
    <xf numFmtId="0" fontId="23" fillId="0" borderId="2" xfId="0" applyFont="1" applyBorder="1" applyAlignment="1">
      <alignment vertical="center" wrapText="1"/>
    </xf>
    <xf numFmtId="0" fontId="21" fillId="0" borderId="50" xfId="0" applyFont="1" applyFill="1" applyBorder="1" applyAlignment="1"/>
    <xf numFmtId="0" fontId="21" fillId="0" borderId="61" xfId="0" applyFont="1" applyFill="1" applyBorder="1" applyAlignment="1"/>
    <xf numFmtId="0" fontId="23" fillId="0" borderId="2" xfId="0" applyFont="1" applyBorder="1" applyAlignment="1">
      <alignment wrapText="1"/>
    </xf>
    <xf numFmtId="1" fontId="8" fillId="0" borderId="2" xfId="0" applyNumberFormat="1" applyFont="1" applyBorder="1" applyAlignment="1">
      <alignment horizontal="left" wrapText="1"/>
    </xf>
    <xf numFmtId="0" fontId="21" fillId="0" borderId="7" xfId="0" applyFont="1" applyFill="1" applyBorder="1" applyAlignment="1">
      <alignment vertical="top"/>
    </xf>
    <xf numFmtId="0" fontId="21" fillId="0" borderId="8" xfId="0" applyFont="1" applyFill="1" applyBorder="1" applyAlignment="1">
      <alignment vertical="top"/>
    </xf>
    <xf numFmtId="0" fontId="21" fillId="0" borderId="56" xfId="0" applyFont="1" applyFill="1" applyBorder="1" applyAlignment="1">
      <alignment vertical="top"/>
    </xf>
    <xf numFmtId="0" fontId="21" fillId="0" borderId="14" xfId="0" applyFont="1" applyFill="1" applyBorder="1" applyAlignment="1">
      <alignment vertical="top"/>
    </xf>
    <xf numFmtId="0" fontId="33" fillId="0" borderId="10" xfId="0" applyFont="1" applyFill="1" applyBorder="1" applyAlignment="1">
      <alignment horizontal="left" wrapText="1"/>
    </xf>
    <xf numFmtId="0" fontId="97" fillId="0" borderId="10" xfId="0" applyFont="1" applyFill="1" applyBorder="1" applyAlignment="1">
      <alignment wrapText="1"/>
    </xf>
    <xf numFmtId="1" fontId="40" fillId="0" borderId="60" xfId="0" applyNumberFormat="1" applyFont="1" applyFill="1" applyBorder="1" applyAlignment="1">
      <alignment horizontal="left" wrapText="1"/>
    </xf>
    <xf numFmtId="0" fontId="36" fillId="0" borderId="60" xfId="0" applyFont="1" applyFill="1" applyBorder="1" applyAlignment="1">
      <alignment wrapText="1"/>
    </xf>
    <xf numFmtId="0" fontId="36" fillId="0" borderId="34" xfId="0" applyFont="1" applyFill="1" applyBorder="1" applyAlignment="1">
      <alignment wrapText="1"/>
    </xf>
    <xf numFmtId="3" fontId="40" fillId="0" borderId="60" xfId="0" applyNumberFormat="1" applyFont="1" applyFill="1" applyBorder="1" applyAlignment="1">
      <alignment wrapText="1"/>
    </xf>
    <xf numFmtId="1" fontId="13" fillId="0" borderId="0" xfId="0" applyNumberFormat="1" applyFont="1" applyBorder="1" applyAlignment="1">
      <alignment horizontal="left" wrapText="1"/>
    </xf>
    <xf numFmtId="167" fontId="40" fillId="0" borderId="60" xfId="0" applyNumberFormat="1" applyFont="1" applyFill="1" applyBorder="1" applyAlignment="1">
      <alignment wrapText="1"/>
    </xf>
    <xf numFmtId="0" fontId="28" fillId="0" borderId="0" xfId="0" applyFont="1" applyBorder="1" applyAlignment="1">
      <alignment wrapText="1"/>
    </xf>
    <xf numFmtId="1" fontId="51" fillId="0" borderId="0" xfId="0" applyNumberFormat="1" applyFont="1" applyFill="1" applyBorder="1" applyAlignment="1">
      <alignment horizontal="left" wrapText="1"/>
    </xf>
    <xf numFmtId="1" fontId="51" fillId="0" borderId="60" xfId="0" applyNumberFormat="1" applyFont="1" applyFill="1" applyBorder="1" applyAlignment="1">
      <alignment horizontal="left" wrapText="1"/>
    </xf>
    <xf numFmtId="0" fontId="0" fillId="0" borderId="60" xfId="0" applyBorder="1" applyAlignment="1">
      <alignment wrapText="1"/>
    </xf>
    <xf numFmtId="0" fontId="0" fillId="0" borderId="34" xfId="0" applyBorder="1" applyAlignment="1">
      <alignment wrapText="1"/>
    </xf>
    <xf numFmtId="0" fontId="30" fillId="0" borderId="10" xfId="0" applyFont="1" applyFill="1" applyBorder="1" applyAlignment="1">
      <alignment horizontal="left" vertical="top" wrapText="1"/>
    </xf>
    <xf numFmtId="0" fontId="3" fillId="0" borderId="10" xfId="0" applyFont="1" applyFill="1" applyBorder="1" applyAlignment="1">
      <alignment vertical="top" wrapText="1"/>
    </xf>
    <xf numFmtId="1" fontId="12" fillId="0" borderId="2" xfId="0" applyNumberFormat="1" applyFont="1" applyFill="1" applyBorder="1" applyAlignment="1">
      <alignment horizontal="left" wrapText="1"/>
    </xf>
    <xf numFmtId="0" fontId="3" fillId="0" borderId="14" xfId="0" applyFont="1" applyBorder="1" applyAlignment="1">
      <alignment horizontal="left" wrapText="1"/>
    </xf>
    <xf numFmtId="0" fontId="12" fillId="0" borderId="0" xfId="0" applyFont="1" applyFill="1" applyAlignment="1">
      <alignment wrapText="1"/>
    </xf>
    <xf numFmtId="168" fontId="23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left"/>
    </xf>
    <xf numFmtId="1" fontId="40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Fill="1" applyAlignment="1">
      <alignment vertical="top" wrapText="1"/>
    </xf>
    <xf numFmtId="0" fontId="3" fillId="0" borderId="34" xfId="0" applyFont="1" applyFill="1" applyBorder="1" applyAlignment="1">
      <alignment vertical="top" wrapText="1"/>
    </xf>
    <xf numFmtId="167" fontId="3" fillId="0" borderId="0" xfId="0" applyNumberFormat="1" applyFont="1" applyFill="1" applyAlignment="1">
      <alignment horizontal="center"/>
    </xf>
    <xf numFmtId="167" fontId="3" fillId="0" borderId="34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1" fontId="50" fillId="0" borderId="0" xfId="0" applyNumberFormat="1" applyFont="1" applyFill="1" applyAlignment="1">
      <alignment horizontal="left" wrapText="1"/>
    </xf>
    <xf numFmtId="1" fontId="39" fillId="0" borderId="0" xfId="0" applyNumberFormat="1" applyFont="1" applyFill="1" applyAlignment="1">
      <alignment wrapText="1"/>
    </xf>
    <xf numFmtId="0" fontId="59" fillId="0" borderId="0" xfId="0" applyFont="1" applyAlignment="1">
      <alignment wrapText="1"/>
    </xf>
    <xf numFmtId="1" fontId="42" fillId="0" borderId="10" xfId="0" applyNumberFormat="1" applyFont="1" applyFill="1" applyBorder="1" applyAlignment="1">
      <alignment wrapText="1"/>
    </xf>
    <xf numFmtId="0" fontId="0" fillId="0" borderId="10" xfId="0" applyBorder="1" applyAlignment="1">
      <alignment wrapText="1"/>
    </xf>
    <xf numFmtId="1" fontId="40" fillId="0" borderId="0" xfId="0" applyNumberFormat="1" applyFont="1" applyFill="1" applyBorder="1" applyAlignment="1">
      <alignment horizontal="left" wrapText="1"/>
    </xf>
    <xf numFmtId="0" fontId="59" fillId="0" borderId="0" xfId="0" applyFont="1" applyFill="1" applyAlignment="1">
      <alignment wrapText="1"/>
    </xf>
    <xf numFmtId="1" fontId="36" fillId="0" borderId="0" xfId="0" applyNumberFormat="1" applyFont="1" applyFill="1" applyAlignment="1">
      <alignment wrapText="1"/>
    </xf>
    <xf numFmtId="0" fontId="22" fillId="0" borderId="0" xfId="0" applyFont="1" applyAlignment="1">
      <alignment wrapText="1"/>
    </xf>
    <xf numFmtId="0" fontId="22" fillId="0" borderId="34" xfId="0" applyFont="1" applyBorder="1" applyAlignment="1">
      <alignment wrapText="1"/>
    </xf>
    <xf numFmtId="1" fontId="42" fillId="0" borderId="34" xfId="0" applyNumberFormat="1" applyFont="1" applyFill="1" applyBorder="1" applyAlignment="1">
      <alignment wrapText="1"/>
    </xf>
    <xf numFmtId="0" fontId="3" fillId="0" borderId="34" xfId="0" applyFont="1" applyFill="1" applyBorder="1" applyAlignment="1">
      <alignment wrapText="1"/>
    </xf>
    <xf numFmtId="3" fontId="7" fillId="0" borderId="0" xfId="9" applyNumberFormat="1" applyFont="1" applyFill="1" applyBorder="1" applyAlignment="1">
      <alignment horizontal="right"/>
    </xf>
    <xf numFmtId="0" fontId="3" fillId="0" borderId="0" xfId="9" applyFont="1" applyFill="1" applyAlignment="1">
      <alignment horizontal="right"/>
    </xf>
    <xf numFmtId="0" fontId="30" fillId="0" borderId="10" xfId="9" applyFont="1" applyFill="1" applyBorder="1" applyAlignment="1">
      <alignment horizontal="left" wrapText="1"/>
    </xf>
    <xf numFmtId="0" fontId="3" fillId="0" borderId="10" xfId="9" applyFill="1" applyBorder="1" applyAlignment="1">
      <alignment wrapText="1"/>
    </xf>
    <xf numFmtId="0" fontId="21" fillId="0" borderId="4" xfId="0" applyFont="1" applyFill="1" applyBorder="1" applyAlignment="1">
      <alignment horizontal="left"/>
    </xf>
    <xf numFmtId="0" fontId="21" fillId="0" borderId="5" xfId="0" applyFont="1" applyFill="1" applyBorder="1" applyAlignment="1">
      <alignment horizontal="left"/>
    </xf>
    <xf numFmtId="0" fontId="0" fillId="0" borderId="10" xfId="0" applyFill="1" applyBorder="1" applyAlignment="1">
      <alignment wrapText="1"/>
    </xf>
    <xf numFmtId="3" fontId="38" fillId="0" borderId="0" xfId="0" applyNumberFormat="1" applyFont="1" applyFill="1" applyAlignment="1">
      <alignment horizontal="right"/>
    </xf>
    <xf numFmtId="3" fontId="0" fillId="0" borderId="0" xfId="0" applyNumberFormat="1" applyFill="1" applyAlignment="1">
      <alignment horizontal="right"/>
    </xf>
    <xf numFmtId="0" fontId="64" fillId="0" borderId="10" xfId="0" applyFont="1" applyFill="1" applyBorder="1" applyAlignment="1">
      <alignment wrapText="1"/>
    </xf>
    <xf numFmtId="0" fontId="38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wrapText="1"/>
    </xf>
    <xf numFmtId="0" fontId="21" fillId="0" borderId="4" xfId="9" applyFont="1" applyFill="1" applyBorder="1" applyAlignment="1">
      <alignment horizontal="left"/>
    </xf>
    <xf numFmtId="0" fontId="21" fillId="0" borderId="5" xfId="9" applyFont="1" applyFill="1" applyBorder="1" applyAlignment="1">
      <alignment horizontal="left"/>
    </xf>
    <xf numFmtId="1" fontId="7" fillId="0" borderId="1" xfId="9" applyNumberFormat="1" applyFont="1" applyFill="1" applyBorder="1" applyAlignment="1">
      <alignment horizontal="left" vertical="justify" wrapText="1"/>
    </xf>
    <xf numFmtId="0" fontId="30" fillId="4" borderId="10" xfId="9" applyFont="1" applyFill="1" applyBorder="1" applyAlignment="1">
      <alignment horizontal="left" wrapText="1"/>
    </xf>
    <xf numFmtId="0" fontId="3" fillId="4" borderId="10" xfId="9" applyFill="1" applyBorder="1" applyAlignment="1">
      <alignment wrapText="1"/>
    </xf>
    <xf numFmtId="0" fontId="3" fillId="0" borderId="10" xfId="9" applyFill="1" applyBorder="1" applyAlignment="1">
      <alignment horizontal="left" wrapText="1"/>
    </xf>
    <xf numFmtId="0" fontId="21" fillId="4" borderId="4" xfId="9" applyFont="1" applyFill="1" applyBorder="1" applyAlignment="1">
      <alignment horizontal="left"/>
    </xf>
    <xf numFmtId="0" fontId="21" fillId="4" borderId="5" xfId="9" applyFont="1" applyFill="1" applyBorder="1" applyAlignment="1">
      <alignment horizontal="left"/>
    </xf>
    <xf numFmtId="0" fontId="3" fillId="0" borderId="10" xfId="9" applyBorder="1" applyAlignment="1">
      <alignment wrapText="1"/>
    </xf>
    <xf numFmtId="0" fontId="74" fillId="0" borderId="0" xfId="9" applyFont="1" applyFill="1" applyAlignment="1">
      <alignment wrapText="1"/>
    </xf>
    <xf numFmtId="0" fontId="3" fillId="0" borderId="0" xfId="9" applyAlignment="1">
      <alignment wrapText="1"/>
    </xf>
    <xf numFmtId="0" fontId="21" fillId="2" borderId="4" xfId="0" applyFont="1" applyFill="1" applyBorder="1" applyAlignment="1">
      <alignment horizontal="left"/>
    </xf>
    <xf numFmtId="0" fontId="21" fillId="2" borderId="5" xfId="0" applyFont="1" applyFill="1" applyBorder="1" applyAlignment="1">
      <alignment horizontal="left"/>
    </xf>
    <xf numFmtId="0" fontId="38" fillId="0" borderId="0" xfId="0" applyFont="1" applyFill="1" applyBorder="1" applyAlignment="1">
      <alignment horizontal="justify" wrapText="1"/>
    </xf>
    <xf numFmtId="0" fontId="0" fillId="0" borderId="0" xfId="0" applyFill="1" applyBorder="1" applyAlignment="1">
      <alignment horizontal="justify" wrapText="1"/>
    </xf>
    <xf numFmtId="0" fontId="0" fillId="0" borderId="0" xfId="0" applyFill="1" applyBorder="1" applyAlignment="1">
      <alignment wrapText="1"/>
    </xf>
    <xf numFmtId="0" fontId="0" fillId="0" borderId="1" xfId="0" applyFill="1" applyBorder="1" applyAlignment="1">
      <alignment horizontal="justify" wrapText="1"/>
    </xf>
    <xf numFmtId="0" fontId="77" fillId="0" borderId="0" xfId="0" applyFont="1" applyFill="1" applyAlignment="1">
      <alignment horizontal="justify" wrapText="1"/>
    </xf>
    <xf numFmtId="0" fontId="50" fillId="0" borderId="0" xfId="0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72" fillId="0" borderId="60" xfId="0" applyFont="1" applyFill="1" applyBorder="1" applyAlignment="1">
      <alignment horizontal="left" wrapText="1"/>
    </xf>
    <xf numFmtId="0" fontId="64" fillId="0" borderId="60" xfId="0" applyFont="1" applyBorder="1" applyAlignment="1">
      <alignment horizontal="left" wrapText="1"/>
    </xf>
    <xf numFmtId="0" fontId="64" fillId="0" borderId="0" xfId="0" applyFont="1" applyBorder="1" applyAlignment="1">
      <alignment horizontal="left" wrapText="1"/>
    </xf>
    <xf numFmtId="3" fontId="13" fillId="0" borderId="2" xfId="7" applyFont="1" applyBorder="1" applyAlignment="1">
      <alignment wrapText="1"/>
    </xf>
    <xf numFmtId="0" fontId="21" fillId="0" borderId="33" xfId="0" applyFont="1" applyFill="1" applyBorder="1" applyAlignment="1">
      <alignment horizontal="left"/>
    </xf>
    <xf numFmtId="0" fontId="21" fillId="0" borderId="34" xfId="0" applyFont="1" applyFill="1" applyBorder="1" applyAlignment="1">
      <alignment horizontal="left"/>
    </xf>
    <xf numFmtId="0" fontId="21" fillId="0" borderId="48" xfId="0" applyFont="1" applyFill="1" applyBorder="1" applyAlignment="1">
      <alignment horizontal="left"/>
    </xf>
    <xf numFmtId="0" fontId="23" fillId="0" borderId="0" xfId="0" applyFont="1" applyFill="1" applyAlignment="1">
      <alignment horizontal="justify" wrapText="1"/>
    </xf>
    <xf numFmtId="0" fontId="0" fillId="0" borderId="0" xfId="0" applyFill="1" applyAlignment="1">
      <alignment horizontal="justify" wrapText="1"/>
    </xf>
    <xf numFmtId="0" fontId="42" fillId="0" borderId="60" xfId="0" applyFont="1" applyFill="1" applyBorder="1" applyAlignment="1">
      <alignment horizontal="left" wrapText="1"/>
    </xf>
    <xf numFmtId="0" fontId="0" fillId="0" borderId="60" xfId="0" applyBorder="1" applyAlignment="1">
      <alignment horizontal="left" wrapText="1"/>
    </xf>
    <xf numFmtId="0" fontId="0" fillId="0" borderId="34" xfId="0" applyBorder="1" applyAlignment="1">
      <alignment horizontal="left" wrapText="1"/>
    </xf>
    <xf numFmtId="0" fontId="12" fillId="3" borderId="2" xfId="0" applyFont="1" applyFill="1" applyBorder="1" applyAlignment="1">
      <alignment wrapText="1"/>
    </xf>
    <xf numFmtId="0" fontId="12" fillId="3" borderId="3" xfId="0" applyFont="1" applyFill="1" applyBorder="1" applyAlignment="1">
      <alignment wrapText="1"/>
    </xf>
    <xf numFmtId="1" fontId="70" fillId="2" borderId="10" xfId="0" applyNumberFormat="1" applyFont="1" applyFill="1" applyBorder="1" applyAlignment="1">
      <alignment horizontal="left" wrapText="1"/>
    </xf>
    <xf numFmtId="0" fontId="71" fillId="0" borderId="10" xfId="0" applyFont="1" applyBorder="1" applyAlignment="1">
      <alignment wrapText="1"/>
    </xf>
  </cellXfs>
  <cellStyles count="66">
    <cellStyle name="20 % – Zvýraznění1" xfId="27" builtinId="30" customBuiltin="1"/>
    <cellStyle name="20 % – Zvýraznění1 2" xfId="54"/>
    <cellStyle name="20 % – Zvýraznění2" xfId="31" builtinId="34" customBuiltin="1"/>
    <cellStyle name="20 % – Zvýraznění2 2" xfId="56"/>
    <cellStyle name="20 % – Zvýraznění3" xfId="35" builtinId="38" customBuiltin="1"/>
    <cellStyle name="20 % – Zvýraznění3 2" xfId="58"/>
    <cellStyle name="20 % – Zvýraznění4" xfId="39" builtinId="42" customBuiltin="1"/>
    <cellStyle name="20 % – Zvýraznění4 2" xfId="60"/>
    <cellStyle name="20 % – Zvýraznění5" xfId="43" builtinId="46" customBuiltin="1"/>
    <cellStyle name="20 % – Zvýraznění5 2" xfId="62"/>
    <cellStyle name="20 % – Zvýraznění6" xfId="47" builtinId="50" customBuiltin="1"/>
    <cellStyle name="20 % – Zvýraznění6 2" xfId="64"/>
    <cellStyle name="40 % – Zvýraznění1" xfId="28" builtinId="31" customBuiltin="1"/>
    <cellStyle name="40 % – Zvýraznění1 2" xfId="55"/>
    <cellStyle name="40 % – Zvýraznění2" xfId="32" builtinId="35" customBuiltin="1"/>
    <cellStyle name="40 % – Zvýraznění2 2" xfId="57"/>
    <cellStyle name="40 % – Zvýraznění3" xfId="36" builtinId="39" customBuiltin="1"/>
    <cellStyle name="40 % – Zvýraznění3 2" xfId="59"/>
    <cellStyle name="40 % – Zvýraznění4" xfId="40" builtinId="43" customBuiltin="1"/>
    <cellStyle name="40 % – Zvýraznění4 2" xfId="61"/>
    <cellStyle name="40 % – Zvýraznění5" xfId="44" builtinId="47" customBuiltin="1"/>
    <cellStyle name="40 % – Zvýraznění5 2" xfId="63"/>
    <cellStyle name="40 % – Zvýraznění6" xfId="48" builtinId="51" customBuiltin="1"/>
    <cellStyle name="40 % – Zvýraznění6 2" xfId="65"/>
    <cellStyle name="60 % – Zvýraznění1" xfId="29" builtinId="32" customBuiltin="1"/>
    <cellStyle name="60 % – Zvýraznění2" xfId="33" builtinId="36" customBuiltin="1"/>
    <cellStyle name="60 % – Zvýraznění3" xfId="37" builtinId="40" customBuiltin="1"/>
    <cellStyle name="60 % – Zvýraznění4" xfId="41" builtinId="44" customBuiltin="1"/>
    <cellStyle name="60 % – Zvýraznění5" xfId="45" builtinId="48" customBuiltin="1"/>
    <cellStyle name="60 % – Zvýraznění6" xfId="49" builtinId="52" customBuiltin="1"/>
    <cellStyle name="Celkem" xfId="25" builtinId="25" customBuiltin="1"/>
    <cellStyle name="Chybně" xfId="16" builtinId="27" customBuiltin="1"/>
    <cellStyle name="Kontrolní buňka" xfId="22" builtinId="23" customBuiltin="1"/>
    <cellStyle name="Nadpis 1" xfId="11" builtinId="16" customBuiltin="1"/>
    <cellStyle name="Nadpis 2" xfId="12" builtinId="17" customBuiltin="1"/>
    <cellStyle name="Nadpis 3" xfId="13" builtinId="18" customBuiltin="1"/>
    <cellStyle name="Nadpis 4" xfId="14" builtinId="19" customBuiltin="1"/>
    <cellStyle name="Název" xfId="10" builtinId="15" customBuiltin="1"/>
    <cellStyle name="Neutrální" xfId="17" builtinId="28" customBuiltin="1"/>
    <cellStyle name="Normální" xfId="0" builtinId="0"/>
    <cellStyle name="Normální 2" xfId="1"/>
    <cellStyle name="Normální 2 2" xfId="9"/>
    <cellStyle name="Normální 3" xfId="8"/>
    <cellStyle name="Normální 4" xfId="50"/>
    <cellStyle name="Normální 5" xfId="52"/>
    <cellStyle name="normální_05" xfId="2"/>
    <cellStyle name="normální_10 - PO" xfId="3"/>
    <cellStyle name="normální_10 - soukr.šk." xfId="4"/>
    <cellStyle name="normální_13" xfId="5"/>
    <cellStyle name="normální_14" xfId="6"/>
    <cellStyle name="normální_F - 99" xfId="7"/>
    <cellStyle name="Poznámka 2" xfId="51"/>
    <cellStyle name="Poznámka 3" xfId="53"/>
    <cellStyle name="Propojená buňka" xfId="21" builtinId="24" customBuiltin="1"/>
    <cellStyle name="Správně" xfId="15" builtinId="26" customBuiltin="1"/>
    <cellStyle name="Text upozornění" xfId="23" builtinId="11" customBuiltin="1"/>
    <cellStyle name="Vstup" xfId="18" builtinId="20" customBuiltin="1"/>
    <cellStyle name="Výpočet" xfId="20" builtinId="22" customBuiltin="1"/>
    <cellStyle name="Výstup" xfId="19" builtinId="21" customBuiltin="1"/>
    <cellStyle name="Vysvětlující text" xfId="24" builtinId="53" customBuiltin="1"/>
    <cellStyle name="Zvýraznění 1" xfId="26" builtinId="29" customBuiltin="1"/>
    <cellStyle name="Zvýraznění 2" xfId="30" builtinId="33" customBuiltin="1"/>
    <cellStyle name="Zvýraznění 3" xfId="34" builtinId="37" customBuiltin="1"/>
    <cellStyle name="Zvýraznění 4" xfId="38" builtinId="41" customBuiltin="1"/>
    <cellStyle name="Zvýraznění 5" xfId="42" builtinId="45" customBuiltin="1"/>
    <cellStyle name="Zvýraznění 6" xfId="46" builtinId="49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FF00"/>
      <color rgb="FFCCFFFF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 enableFormatConditionsCalculation="0">
    <tabColor rgb="FF00B050"/>
  </sheetPr>
  <dimension ref="A1:L37"/>
  <sheetViews>
    <sheetView showGridLines="0" tabSelected="1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2.5703125" style="349" customWidth="1"/>
    <col min="2" max="2" width="40.5703125" style="349" customWidth="1"/>
    <col min="3" max="3" width="15.85546875" style="349" customWidth="1"/>
    <col min="4" max="4" width="15.5703125" style="349" customWidth="1"/>
    <col min="5" max="5" width="16.7109375" style="349" customWidth="1"/>
    <col min="6" max="6" width="8.85546875" style="349" customWidth="1"/>
    <col min="7" max="7" width="4.28515625" style="349" customWidth="1"/>
    <col min="8" max="8" width="19.28515625" style="2097" customWidth="1"/>
    <col min="9" max="9" width="21" style="2097" customWidth="1"/>
    <col min="10" max="10" width="20.7109375" style="2097" customWidth="1"/>
    <col min="11" max="11" width="9.140625" style="349" customWidth="1"/>
    <col min="12" max="16384" width="9.140625" style="349"/>
  </cols>
  <sheetData>
    <row r="1" spans="1:12" ht="23.25" x14ac:dyDescent="0.35">
      <c r="A1" s="2590" t="s">
        <v>2050</v>
      </c>
      <c r="B1" s="2591"/>
      <c r="C1" s="2591"/>
      <c r="D1" s="2591"/>
      <c r="E1" s="2591"/>
      <c r="F1" s="2591"/>
      <c r="G1" s="2591"/>
    </row>
    <row r="3" spans="1:12" ht="18.75" customHeight="1" x14ac:dyDescent="0.2">
      <c r="A3" s="2600" t="s">
        <v>360</v>
      </c>
      <c r="B3" s="2601"/>
      <c r="C3" s="2601"/>
      <c r="D3" s="2601"/>
      <c r="E3" s="2601"/>
      <c r="F3" s="2601"/>
    </row>
    <row r="4" spans="1:12" x14ac:dyDescent="0.2">
      <c r="A4" s="2601"/>
      <c r="B4" s="2601"/>
      <c r="C4" s="2601"/>
      <c r="D4" s="2601"/>
      <c r="E4" s="2601"/>
      <c r="F4" s="2601"/>
    </row>
    <row r="5" spans="1:12" ht="13.5" customHeight="1" x14ac:dyDescent="0.2">
      <c r="A5" s="2601"/>
      <c r="B5" s="2601"/>
      <c r="C5" s="2601"/>
      <c r="D5" s="2601"/>
      <c r="E5" s="2601"/>
      <c r="F5" s="2601"/>
    </row>
    <row r="6" spans="1:12" ht="21" customHeight="1" x14ac:dyDescent="0.25">
      <c r="A6" s="501" t="s">
        <v>63</v>
      </c>
    </row>
    <row r="7" spans="1:12" ht="15" thickBot="1" x14ac:dyDescent="0.25">
      <c r="B7" s="502"/>
      <c r="C7" s="503"/>
      <c r="D7" s="491"/>
      <c r="E7" s="491"/>
      <c r="F7" s="382" t="s">
        <v>161</v>
      </c>
      <c r="G7" s="382"/>
    </row>
    <row r="8" spans="1:12" s="508" customFormat="1" ht="18.75" customHeight="1" thickTop="1" thickBot="1" x14ac:dyDescent="0.25">
      <c r="A8" s="2598" t="s">
        <v>1295</v>
      </c>
      <c r="B8" s="2599"/>
      <c r="C8" s="504" t="s">
        <v>632</v>
      </c>
      <c r="D8" s="504" t="s">
        <v>633</v>
      </c>
      <c r="E8" s="505" t="s">
        <v>882</v>
      </c>
      <c r="F8" s="506" t="s">
        <v>883</v>
      </c>
      <c r="G8" s="507"/>
      <c r="H8" s="2102"/>
      <c r="I8" s="2102"/>
      <c r="J8" s="2102"/>
    </row>
    <row r="9" spans="1:12" s="511" customFormat="1" ht="14.25" thickTop="1" thickBot="1" x14ac:dyDescent="0.25">
      <c r="A9" s="2598">
        <v>1</v>
      </c>
      <c r="B9" s="2599"/>
      <c r="C9" s="504">
        <v>2</v>
      </c>
      <c r="D9" s="504">
        <v>3</v>
      </c>
      <c r="E9" s="504">
        <v>4</v>
      </c>
      <c r="F9" s="509" t="s">
        <v>66</v>
      </c>
      <c r="G9" s="510"/>
      <c r="H9" s="2103"/>
      <c r="I9" s="2103"/>
      <c r="J9" s="2103"/>
    </row>
    <row r="10" spans="1:12" s="515" customFormat="1" ht="29.25" thickTop="1" x14ac:dyDescent="0.2">
      <c r="A10" s="512" t="s">
        <v>1027</v>
      </c>
      <c r="B10" s="513" t="s">
        <v>1025</v>
      </c>
      <c r="C10" s="430">
        <f>'Odbor celkem'!C287</f>
        <v>1785929</v>
      </c>
      <c r="D10" s="430">
        <f>'Odbor celkem'!D287</f>
        <v>5729927</v>
      </c>
      <c r="E10" s="430">
        <f>'Odbor celkem'!E287</f>
        <v>5360431</v>
      </c>
      <c r="F10" s="514">
        <f t="shared" ref="F10:F15" si="0">E10/D10*100</f>
        <v>93.551471074587866</v>
      </c>
      <c r="G10" s="1321"/>
      <c r="H10" s="2105"/>
      <c r="I10" s="2105"/>
      <c r="J10" s="2105"/>
      <c r="K10" s="2101"/>
      <c r="L10" s="2101"/>
    </row>
    <row r="11" spans="1:12" s="515" customFormat="1" ht="15" x14ac:dyDescent="0.25">
      <c r="A11" s="433" t="s">
        <v>1026</v>
      </c>
      <c r="B11" s="516" t="s">
        <v>623</v>
      </c>
      <c r="C11" s="430">
        <f>'Odbor celkem'!C288</f>
        <v>1566206</v>
      </c>
      <c r="D11" s="430">
        <f>'Odbor celkem'!D288</f>
        <v>3744650</v>
      </c>
      <c r="E11" s="430">
        <f>'Odbor celkem'!E288</f>
        <v>3744541</v>
      </c>
      <c r="F11" s="517">
        <f t="shared" si="0"/>
        <v>99.997089180564274</v>
      </c>
      <c r="G11" s="1321"/>
      <c r="H11" s="2105"/>
      <c r="I11" s="2105"/>
      <c r="J11" s="2105"/>
    </row>
    <row r="12" spans="1:12" s="340" customFormat="1" ht="15" x14ac:dyDescent="0.25">
      <c r="A12" s="433" t="s">
        <v>1026</v>
      </c>
      <c r="B12" s="516" t="s">
        <v>1296</v>
      </c>
      <c r="C12" s="430">
        <f>'Odbor celkem'!C289</f>
        <v>266454</v>
      </c>
      <c r="D12" s="430">
        <f>'Odbor celkem'!D289</f>
        <v>1468979</v>
      </c>
      <c r="E12" s="430">
        <f>'Odbor celkem'!E289</f>
        <v>1799226</v>
      </c>
      <c r="F12" s="517">
        <f t="shared" si="0"/>
        <v>122.48139694304683</v>
      </c>
      <c r="G12" s="1314"/>
      <c r="H12" s="2105"/>
      <c r="I12" s="2105"/>
      <c r="J12" s="2105"/>
    </row>
    <row r="13" spans="1:12" s="340" customFormat="1" ht="15" x14ac:dyDescent="0.25">
      <c r="A13" s="433" t="s">
        <v>1026</v>
      </c>
      <c r="B13" s="516" t="s">
        <v>132</v>
      </c>
      <c r="C13" s="1387">
        <f>'Odbor celkem'!C290</f>
        <v>6391</v>
      </c>
      <c r="D13" s="1387">
        <f>'Odbor celkem'!D290</f>
        <v>8325</v>
      </c>
      <c r="E13" s="1387">
        <f>'Odbor celkem'!E290</f>
        <v>6749</v>
      </c>
      <c r="F13" s="517">
        <f t="shared" si="0"/>
        <v>81.069069069069073</v>
      </c>
      <c r="G13" s="1314"/>
      <c r="H13" s="2105"/>
      <c r="I13" s="2105"/>
      <c r="J13" s="2105"/>
    </row>
    <row r="14" spans="1:12" s="515" customFormat="1" ht="42.75" x14ac:dyDescent="0.2">
      <c r="A14" s="1319" t="s">
        <v>1026</v>
      </c>
      <c r="B14" s="1320" t="s">
        <v>133</v>
      </c>
      <c r="C14" s="430">
        <f>'Odbor celkem'!C291</f>
        <v>40000</v>
      </c>
      <c r="D14" s="430">
        <f>'Odbor celkem'!D291</f>
        <v>58491</v>
      </c>
      <c r="E14" s="430">
        <f>'Odbor celkem'!E291</f>
        <v>57134</v>
      </c>
      <c r="F14" s="518">
        <f t="shared" si="0"/>
        <v>97.679984954950342</v>
      </c>
      <c r="G14" s="1321"/>
      <c r="H14" s="2105"/>
      <c r="I14" s="2105"/>
      <c r="J14" s="2105"/>
    </row>
    <row r="15" spans="1:12" ht="18.75" customHeight="1" thickBot="1" x14ac:dyDescent="0.3">
      <c r="A15" s="2592" t="s">
        <v>64</v>
      </c>
      <c r="B15" s="2593"/>
      <c r="C15" s="519">
        <f>SUM(C10:C14)</f>
        <v>3664980</v>
      </c>
      <c r="D15" s="519">
        <f>SUM(D10:D14)</f>
        <v>11010372</v>
      </c>
      <c r="E15" s="519">
        <f>SUM(E10:E14)</f>
        <v>10968081</v>
      </c>
      <c r="F15" s="520">
        <f t="shared" si="0"/>
        <v>99.615898536398234</v>
      </c>
      <c r="G15" s="1315"/>
      <c r="H15" s="2106"/>
      <c r="I15" s="2106"/>
      <c r="J15" s="2106"/>
      <c r="K15" s="436"/>
      <c r="L15" s="436"/>
    </row>
    <row r="16" spans="1:12" s="360" customFormat="1" ht="15.75" thickTop="1" x14ac:dyDescent="0.2">
      <c r="A16" s="2602" t="s">
        <v>1334</v>
      </c>
      <c r="B16" s="2603"/>
      <c r="C16" s="356">
        <f>'Odbor celkem'!C293</f>
        <v>6388</v>
      </c>
      <c r="D16" s="356">
        <f>'Odbor celkem'!D293</f>
        <v>6922</v>
      </c>
      <c r="E16" s="356">
        <f>'Odbor celkem'!E293</f>
        <v>741983</v>
      </c>
      <c r="F16" s="376">
        <f>(E16/D16)*100</f>
        <v>10719.1996532794</v>
      </c>
      <c r="G16" s="1316"/>
      <c r="H16" s="2107"/>
      <c r="I16" s="2107"/>
      <c r="J16" s="2107"/>
    </row>
    <row r="17" spans="1:12" s="360" customFormat="1" ht="33.75" customHeight="1" thickBot="1" x14ac:dyDescent="0.3">
      <c r="A17" s="2594" t="s">
        <v>121</v>
      </c>
      <c r="B17" s="2593"/>
      <c r="C17" s="521">
        <f>C15-C16</f>
        <v>3658592</v>
      </c>
      <c r="D17" s="521">
        <f>D15-D16</f>
        <v>11003450</v>
      </c>
      <c r="E17" s="521">
        <f>E15-E16</f>
        <v>10226098</v>
      </c>
      <c r="F17" s="522">
        <f>(E17/D17)*100</f>
        <v>92.935379358292167</v>
      </c>
      <c r="G17" s="1317"/>
      <c r="H17" s="2107"/>
      <c r="I17" s="2107"/>
      <c r="J17" s="2107"/>
      <c r="K17" s="2107"/>
    </row>
    <row r="18" spans="1:12" ht="22.5" customHeight="1" thickTop="1" x14ac:dyDescent="0.2">
      <c r="B18" s="67"/>
      <c r="C18" s="525"/>
      <c r="D18" s="526"/>
      <c r="E18" s="526"/>
      <c r="F18" s="527"/>
      <c r="G18" s="188"/>
      <c r="J18" s="2104"/>
      <c r="K18" s="436"/>
      <c r="L18" s="436"/>
    </row>
    <row r="19" spans="1:12" x14ac:dyDescent="0.2">
      <c r="B19" s="7"/>
      <c r="C19" s="528"/>
      <c r="D19" s="528"/>
      <c r="E19" s="528"/>
      <c r="F19" s="7"/>
      <c r="G19" s="7"/>
    </row>
    <row r="20" spans="1:12" x14ac:dyDescent="0.2">
      <c r="B20" s="7"/>
      <c r="C20" s="15"/>
      <c r="D20" s="15"/>
      <c r="E20" s="15"/>
      <c r="F20" s="7"/>
      <c r="G20" s="7"/>
    </row>
    <row r="21" spans="1:12" x14ac:dyDescent="0.2">
      <c r="A21" s="2343"/>
      <c r="B21" s="2344"/>
      <c r="C21" s="2345"/>
      <c r="D21" s="2345"/>
      <c r="E21" s="2345"/>
      <c r="F21" s="2344"/>
      <c r="G21" s="7"/>
    </row>
    <row r="22" spans="1:12" ht="21" customHeight="1" x14ac:dyDescent="0.25">
      <c r="A22" s="2346" t="s">
        <v>65</v>
      </c>
      <c r="B22" s="2343"/>
      <c r="C22" s="2343"/>
      <c r="D22" s="2343"/>
      <c r="E22" s="2343"/>
      <c r="F22" s="2343"/>
    </row>
    <row r="23" spans="1:12" ht="15" thickBot="1" x14ac:dyDescent="0.25">
      <c r="A23" s="2343"/>
      <c r="B23" s="2347"/>
      <c r="C23" s="2348"/>
      <c r="D23" s="2349"/>
      <c r="E23" s="2349"/>
      <c r="F23" s="2203" t="s">
        <v>161</v>
      </c>
      <c r="G23" s="382"/>
    </row>
    <row r="24" spans="1:12" s="508" customFormat="1" ht="18.75" customHeight="1" thickTop="1" thickBot="1" x14ac:dyDescent="0.25">
      <c r="A24" s="2604" t="s">
        <v>1295</v>
      </c>
      <c r="B24" s="2605"/>
      <c r="C24" s="2253" t="s">
        <v>632</v>
      </c>
      <c r="D24" s="2253" t="s">
        <v>633</v>
      </c>
      <c r="E24" s="2206" t="s">
        <v>882</v>
      </c>
      <c r="F24" s="2207" t="s">
        <v>883</v>
      </c>
      <c r="G24" s="1312"/>
      <c r="H24" s="2102"/>
      <c r="I24" s="2102"/>
      <c r="J24" s="2102"/>
    </row>
    <row r="25" spans="1:12" s="511" customFormat="1" ht="14.25" thickTop="1" thickBot="1" x14ac:dyDescent="0.25">
      <c r="A25" s="2604">
        <v>1</v>
      </c>
      <c r="B25" s="2605"/>
      <c r="C25" s="2253">
        <v>2</v>
      </c>
      <c r="D25" s="2253">
        <v>3</v>
      </c>
      <c r="E25" s="2253">
        <v>4</v>
      </c>
      <c r="F25" s="2254" t="s">
        <v>66</v>
      </c>
      <c r="G25" s="1313"/>
      <c r="H25" s="2103"/>
      <c r="I25" s="2103"/>
      <c r="J25" s="2103"/>
    </row>
    <row r="26" spans="1:12" s="340" customFormat="1" ht="15.75" thickTop="1" x14ac:dyDescent="0.25">
      <c r="A26" s="2606" t="s">
        <v>55</v>
      </c>
      <c r="B26" s="2607"/>
      <c r="C26" s="2350">
        <f>'Odbor celkem'!C296</f>
        <v>3137362</v>
      </c>
      <c r="D26" s="2350">
        <f>'Odbor celkem'!D296</f>
        <v>9408682</v>
      </c>
      <c r="E26" s="2350">
        <f>'Odbor celkem'!E296</f>
        <v>9662057</v>
      </c>
      <c r="F26" s="2351">
        <f>E26/D26*100</f>
        <v>102.69299143068073</v>
      </c>
      <c r="G26" s="1314"/>
      <c r="H26" s="2100"/>
      <c r="I26" s="2100"/>
      <c r="J26" s="2100"/>
    </row>
    <row r="27" spans="1:12" s="340" customFormat="1" ht="15" x14ac:dyDescent="0.25">
      <c r="A27" s="2595" t="s">
        <v>56</v>
      </c>
      <c r="B27" s="2596"/>
      <c r="C27" s="2352">
        <f>'Odbor celkem'!C297</f>
        <v>527618</v>
      </c>
      <c r="D27" s="2352">
        <f>'Odbor celkem'!D297</f>
        <v>1601690</v>
      </c>
      <c r="E27" s="2352">
        <f>'Odbor celkem'!E297</f>
        <v>1306024</v>
      </c>
      <c r="F27" s="2351">
        <f>E27/D27*100</f>
        <v>81.540372981038772</v>
      </c>
      <c r="G27" s="1314"/>
      <c r="H27" s="2100"/>
      <c r="I27" s="2100"/>
      <c r="J27" s="2100"/>
    </row>
    <row r="28" spans="1:12" ht="18.75" customHeight="1" thickBot="1" x14ac:dyDescent="0.3">
      <c r="A28" s="2610" t="s">
        <v>134</v>
      </c>
      <c r="B28" s="2611"/>
      <c r="C28" s="2353">
        <f>SUM(C26:C27)</f>
        <v>3664980</v>
      </c>
      <c r="D28" s="2353">
        <f>SUM(D26:D27)</f>
        <v>11010372</v>
      </c>
      <c r="E28" s="2353">
        <f>SUM(E26:E27)</f>
        <v>10968081</v>
      </c>
      <c r="F28" s="2354">
        <f>E28/D28*100</f>
        <v>99.615898536398234</v>
      </c>
      <c r="G28" s="1315"/>
      <c r="H28" s="2106"/>
      <c r="I28" s="2106"/>
      <c r="J28" s="2106"/>
      <c r="K28" s="436"/>
      <c r="L28" s="436"/>
    </row>
    <row r="29" spans="1:12" s="360" customFormat="1" ht="15.75" thickTop="1" x14ac:dyDescent="0.2">
      <c r="A29" s="2608" t="s">
        <v>1334</v>
      </c>
      <c r="B29" s="2609"/>
      <c r="C29" s="2355">
        <f>'Odbor celkem'!C299</f>
        <v>6388</v>
      </c>
      <c r="D29" s="2355">
        <f>'Odbor celkem'!D299</f>
        <v>6922</v>
      </c>
      <c r="E29" s="2355">
        <f>'Odbor celkem'!E299</f>
        <v>741983</v>
      </c>
      <c r="F29" s="2356">
        <f>(E29/D29)*100</f>
        <v>10719.1996532794</v>
      </c>
      <c r="G29" s="1316"/>
      <c r="H29" s="2107"/>
      <c r="I29" s="2107"/>
      <c r="J29" s="2107"/>
    </row>
    <row r="30" spans="1:12" s="360" customFormat="1" ht="33.75" customHeight="1" thickBot="1" x14ac:dyDescent="0.3">
      <c r="A30" s="2612" t="s">
        <v>121</v>
      </c>
      <c r="B30" s="2613"/>
      <c r="C30" s="2357">
        <f>C28-C29</f>
        <v>3658592</v>
      </c>
      <c r="D30" s="2357">
        <f>D28-D29</f>
        <v>11003450</v>
      </c>
      <c r="E30" s="2357">
        <f>E28-E29</f>
        <v>10226098</v>
      </c>
      <c r="F30" s="2358">
        <f>(E30/D30)*100</f>
        <v>92.935379358292167</v>
      </c>
      <c r="G30" s="1317"/>
      <c r="H30" s="2107"/>
      <c r="I30" s="2107"/>
      <c r="J30" s="2107"/>
    </row>
    <row r="31" spans="1:12" ht="13.5" thickTop="1" x14ac:dyDescent="0.2">
      <c r="A31" s="2343"/>
      <c r="B31" s="2343"/>
      <c r="C31" s="2343"/>
      <c r="D31" s="2343"/>
      <c r="E31" s="2359"/>
      <c r="F31" s="2343"/>
      <c r="G31" s="1318"/>
    </row>
    <row r="32" spans="1:12" x14ac:dyDescent="0.2">
      <c r="A32" s="2597" t="s">
        <v>57</v>
      </c>
      <c r="B32" s="2597"/>
      <c r="C32" s="2597"/>
      <c r="D32" s="2597"/>
      <c r="E32" s="2597"/>
      <c r="F32" s="2597"/>
      <c r="G32" s="1318"/>
    </row>
    <row r="33" spans="1:7" x14ac:dyDescent="0.2">
      <c r="A33" s="2597"/>
      <c r="B33" s="2597"/>
      <c r="C33" s="2597"/>
      <c r="D33" s="2597"/>
      <c r="E33" s="2597"/>
      <c r="F33" s="2597"/>
      <c r="G33" s="1318"/>
    </row>
    <row r="34" spans="1:7" x14ac:dyDescent="0.2">
      <c r="G34" s="1318"/>
    </row>
    <row r="35" spans="1:7" x14ac:dyDescent="0.2">
      <c r="G35" s="1318"/>
    </row>
    <row r="36" spans="1:7" x14ac:dyDescent="0.2">
      <c r="G36" s="1318"/>
    </row>
    <row r="37" spans="1:7" x14ac:dyDescent="0.2">
      <c r="G37" s="1318"/>
    </row>
  </sheetData>
  <mergeCells count="15">
    <mergeCell ref="A1:G1"/>
    <mergeCell ref="A15:B15"/>
    <mergeCell ref="A17:B17"/>
    <mergeCell ref="A27:B27"/>
    <mergeCell ref="A32:F33"/>
    <mergeCell ref="A8:B8"/>
    <mergeCell ref="A9:B9"/>
    <mergeCell ref="A3:F5"/>
    <mergeCell ref="A16:B16"/>
    <mergeCell ref="A24:B24"/>
    <mergeCell ref="A25:B25"/>
    <mergeCell ref="A26:B26"/>
    <mergeCell ref="A29:B29"/>
    <mergeCell ref="A28:B28"/>
    <mergeCell ref="A30:B30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80" firstPageNumber="21" orientation="portrait" useFirstPageNumber="1" r:id="rId1"/>
  <headerFooter alignWithMargins="0">
    <oddFooter xml:space="preserve">&amp;L&amp;"Arial,Kurzíva"Zastupitelstvo Olomouckého kraje 26.6.2015
4. - Závěrečný  účet Olomouckého kraje za rok 2014
Příloha č. 3: Plnění rozpočtu výdajů Olomouckého kraje k 31.12.2014&amp;R&amp;"Arial,Kurzíva"Strana &amp;P (Celkem 484)
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 enableFormatConditionsCalculation="0">
    <tabColor rgb="FFCCFFFF"/>
  </sheetPr>
  <dimension ref="A1:R98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643" customWidth="1"/>
    <col min="2" max="2" width="4.7109375" style="947" customWidth="1"/>
    <col min="3" max="3" width="8.7109375" style="948" customWidth="1"/>
    <col min="4" max="4" width="47.28515625" style="532" customWidth="1"/>
    <col min="5" max="5" width="12.140625" style="493" customWidth="1"/>
    <col min="6" max="6" width="14.140625" style="493" customWidth="1"/>
    <col min="7" max="7" width="13.5703125" style="493" customWidth="1"/>
    <col min="8" max="8" width="8.5703125" style="664" customWidth="1"/>
    <col min="9" max="9" width="9.140625" style="493"/>
    <col min="10" max="10" width="13.42578125" style="493" bestFit="1" customWidth="1"/>
    <col min="11" max="11" width="12.28515625" style="532" bestFit="1" customWidth="1"/>
    <col min="12" max="16384" width="9.140625" style="532"/>
  </cols>
  <sheetData>
    <row r="1" spans="1:10" ht="18.75" thickBot="1" x14ac:dyDescent="0.3">
      <c r="A1" s="463" t="s">
        <v>1156</v>
      </c>
      <c r="B1" s="464"/>
      <c r="C1" s="465"/>
      <c r="D1" s="475"/>
      <c r="E1" s="492"/>
      <c r="F1" s="467" t="s">
        <v>356</v>
      </c>
      <c r="I1" s="17"/>
    </row>
    <row r="2" spans="1:10" ht="12.75" customHeight="1" x14ac:dyDescent="0.25">
      <c r="A2" s="6"/>
      <c r="B2" s="28"/>
      <c r="C2" s="142"/>
      <c r="D2" s="10"/>
      <c r="E2" s="137"/>
      <c r="F2" s="137"/>
      <c r="G2" s="16"/>
      <c r="H2" s="194"/>
      <c r="I2" s="17"/>
    </row>
    <row r="3" spans="1:10" ht="12.75" customHeight="1" x14ac:dyDescent="0.25">
      <c r="A3" s="67" t="s">
        <v>367</v>
      </c>
      <c r="B3" s="28"/>
      <c r="C3" s="1719" t="s">
        <v>214</v>
      </c>
      <c r="D3" s="627"/>
      <c r="E3" s="137"/>
      <c r="F3" s="16"/>
      <c r="G3" s="17"/>
      <c r="H3" s="194"/>
      <c r="I3" s="532"/>
      <c r="J3" s="532"/>
    </row>
    <row r="4" spans="1:10" ht="12.75" customHeight="1" x14ac:dyDescent="0.25">
      <c r="A4" s="6"/>
      <c r="B4" s="28"/>
      <c r="C4" s="1718" t="s">
        <v>1654</v>
      </c>
      <c r="D4" s="1715"/>
      <c r="E4" s="138"/>
      <c r="F4" s="16"/>
      <c r="G4" s="17"/>
      <c r="H4" s="194"/>
      <c r="I4" s="532"/>
      <c r="J4" s="532"/>
    </row>
    <row r="5" spans="1:10" ht="12.75" customHeight="1" x14ac:dyDescent="0.25">
      <c r="A5" s="6"/>
      <c r="B5" s="28"/>
      <c r="C5" s="142"/>
      <c r="D5" s="10"/>
      <c r="E5" s="137"/>
      <c r="F5" s="137"/>
      <c r="G5" s="16"/>
      <c r="H5" s="194"/>
      <c r="I5" s="17"/>
    </row>
    <row r="6" spans="1:10" ht="15.75" customHeight="1" x14ac:dyDescent="0.25">
      <c r="A6" s="33" t="s">
        <v>884</v>
      </c>
      <c r="B6" s="28"/>
      <c r="C6" s="142"/>
      <c r="D6" s="10"/>
      <c r="E6" s="137"/>
      <c r="F6" s="137"/>
      <c r="G6" s="16"/>
      <c r="I6" s="17"/>
    </row>
    <row r="7" spans="1:10" ht="13.5" thickBot="1" x14ac:dyDescent="0.25">
      <c r="A7" s="629"/>
      <c r="B7" s="629"/>
      <c r="C7" s="676"/>
      <c r="D7" s="630"/>
      <c r="G7" s="940"/>
      <c r="H7" s="664" t="s">
        <v>161</v>
      </c>
    </row>
    <row r="8" spans="1:10" s="107" customFormat="1" ht="20.25" customHeight="1" thickTop="1" thickBot="1" x14ac:dyDescent="0.25">
      <c r="A8" s="631" t="s">
        <v>162</v>
      </c>
      <c r="B8" s="632" t="s">
        <v>163</v>
      </c>
      <c r="C8" s="670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635" t="s">
        <v>883</v>
      </c>
      <c r="I8" s="906"/>
      <c r="J8" s="906"/>
    </row>
    <row r="9" spans="1:10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636" t="s">
        <v>61</v>
      </c>
      <c r="I9" s="107"/>
    </row>
    <row r="10" spans="1:10" s="1107" customFormat="1" ht="14.25" customHeight="1" thickTop="1" x14ac:dyDescent="0.25">
      <c r="A10" s="223">
        <v>2141</v>
      </c>
      <c r="B10" s="96">
        <v>5221</v>
      </c>
      <c r="C10" s="1101"/>
      <c r="D10" s="1124" t="s">
        <v>1017</v>
      </c>
      <c r="E10" s="60">
        <v>100</v>
      </c>
      <c r="F10" s="313">
        <v>100</v>
      </c>
      <c r="G10" s="315">
        <v>100</v>
      </c>
      <c r="H10" s="1073">
        <f t="shared" ref="H10:H31" si="0">(G10/F10)*100</f>
        <v>100</v>
      </c>
    </row>
    <row r="11" spans="1:10" s="1107" customFormat="1" ht="14.25" customHeight="1" x14ac:dyDescent="0.2">
      <c r="A11" s="223"/>
      <c r="B11" s="96"/>
      <c r="C11" s="1084" t="s">
        <v>249</v>
      </c>
      <c r="D11" s="1125" t="s">
        <v>318</v>
      </c>
      <c r="E11" s="124">
        <v>100</v>
      </c>
      <c r="F11" s="314">
        <v>100</v>
      </c>
      <c r="G11" s="316">
        <v>100</v>
      </c>
      <c r="H11" s="1074">
        <f t="shared" si="0"/>
        <v>100</v>
      </c>
    </row>
    <row r="12" spans="1:10" s="1107" customFormat="1" ht="14.25" customHeight="1" x14ac:dyDescent="0.25">
      <c r="A12" s="223">
        <v>2141</v>
      </c>
      <c r="B12" s="96">
        <v>5222</v>
      </c>
      <c r="C12" s="1084"/>
      <c r="D12" s="1339" t="s">
        <v>1131</v>
      </c>
      <c r="E12" s="60">
        <v>100</v>
      </c>
      <c r="F12" s="313">
        <v>100</v>
      </c>
      <c r="G12" s="315">
        <v>100</v>
      </c>
      <c r="H12" s="212">
        <f t="shared" si="0"/>
        <v>100</v>
      </c>
    </row>
    <row r="13" spans="1:10" s="1107" customFormat="1" ht="14.25" customHeight="1" x14ac:dyDescent="0.2">
      <c r="A13" s="223"/>
      <c r="B13" s="96"/>
      <c r="C13" s="1084" t="s">
        <v>249</v>
      </c>
      <c r="D13" s="1125" t="s">
        <v>318</v>
      </c>
      <c r="E13" s="124">
        <v>100</v>
      </c>
      <c r="F13" s="314">
        <v>100</v>
      </c>
      <c r="G13" s="316">
        <v>100</v>
      </c>
      <c r="H13" s="1074">
        <f t="shared" si="0"/>
        <v>100</v>
      </c>
    </row>
    <row r="14" spans="1:10" s="1107" customFormat="1" ht="14.25" customHeight="1" x14ac:dyDescent="0.25">
      <c r="A14" s="223">
        <v>2141</v>
      </c>
      <c r="B14" s="96">
        <v>5229</v>
      </c>
      <c r="C14" s="1084"/>
      <c r="D14" s="1341" t="s">
        <v>1132</v>
      </c>
      <c r="E14" s="60">
        <v>100</v>
      </c>
      <c r="F14" s="313">
        <v>100</v>
      </c>
      <c r="G14" s="315">
        <v>100</v>
      </c>
      <c r="H14" s="212">
        <f t="shared" si="0"/>
        <v>100</v>
      </c>
    </row>
    <row r="15" spans="1:10" s="1107" customFormat="1" ht="14.25" customHeight="1" x14ac:dyDescent="0.2">
      <c r="A15" s="223"/>
      <c r="B15" s="96"/>
      <c r="C15" s="1084" t="s">
        <v>249</v>
      </c>
      <c r="D15" s="1125" t="s">
        <v>318</v>
      </c>
      <c r="E15" s="124">
        <v>100</v>
      </c>
      <c r="F15" s="314">
        <v>100</v>
      </c>
      <c r="G15" s="316">
        <v>100</v>
      </c>
      <c r="H15" s="1074">
        <f t="shared" si="0"/>
        <v>100</v>
      </c>
    </row>
    <row r="16" spans="1:10" s="1107" customFormat="1" ht="14.25" customHeight="1" x14ac:dyDescent="0.25">
      <c r="A16" s="223">
        <v>2212</v>
      </c>
      <c r="B16" s="96">
        <v>5321</v>
      </c>
      <c r="C16" s="1101"/>
      <c r="D16" s="1124" t="s">
        <v>1201</v>
      </c>
      <c r="E16" s="1119"/>
      <c r="F16" s="313">
        <v>1500</v>
      </c>
      <c r="G16" s="315">
        <v>1500</v>
      </c>
      <c r="H16" s="212">
        <f t="shared" si="0"/>
        <v>100</v>
      </c>
    </row>
    <row r="17" spans="1:8" s="1107" customFormat="1" ht="14.25" customHeight="1" x14ac:dyDescent="0.2">
      <c r="A17" s="223"/>
      <c r="B17" s="96"/>
      <c r="C17" s="1084" t="s">
        <v>1016</v>
      </c>
      <c r="D17" s="1125" t="s">
        <v>1034</v>
      </c>
      <c r="E17" s="1119"/>
      <c r="F17" s="314">
        <v>1500</v>
      </c>
      <c r="G17" s="316">
        <v>1500</v>
      </c>
      <c r="H17" s="1074">
        <f t="shared" si="0"/>
        <v>100</v>
      </c>
    </row>
    <row r="18" spans="1:8" s="1107" customFormat="1" ht="14.25" customHeight="1" x14ac:dyDescent="0.25">
      <c r="A18" s="223">
        <v>2219</v>
      </c>
      <c r="B18" s="96">
        <v>5321</v>
      </c>
      <c r="C18" s="1101"/>
      <c r="D18" s="1124" t="s">
        <v>1201</v>
      </c>
      <c r="E18" s="1119"/>
      <c r="F18" s="313">
        <v>600</v>
      </c>
      <c r="G18" s="315">
        <v>600</v>
      </c>
      <c r="H18" s="212">
        <f t="shared" si="0"/>
        <v>100</v>
      </c>
    </row>
    <row r="19" spans="1:8" s="1107" customFormat="1" ht="14.25" customHeight="1" x14ac:dyDescent="0.2">
      <c r="A19" s="223"/>
      <c r="B19" s="96"/>
      <c r="C19" s="1084" t="s">
        <v>1016</v>
      </c>
      <c r="D19" s="1125" t="s">
        <v>1034</v>
      </c>
      <c r="E19" s="1119"/>
      <c r="F19" s="314">
        <v>600</v>
      </c>
      <c r="G19" s="316">
        <v>600</v>
      </c>
      <c r="H19" s="1074">
        <f t="shared" si="0"/>
        <v>100</v>
      </c>
    </row>
    <row r="20" spans="1:8" s="1107" customFormat="1" ht="14.25" customHeight="1" x14ac:dyDescent="0.25">
      <c r="A20" s="223">
        <v>2229</v>
      </c>
      <c r="B20" s="96">
        <v>5321</v>
      </c>
      <c r="C20" s="1084"/>
      <c r="D20" s="1124" t="s">
        <v>1201</v>
      </c>
      <c r="E20" s="1119"/>
      <c r="F20" s="313">
        <v>25</v>
      </c>
      <c r="G20" s="315">
        <v>25</v>
      </c>
      <c r="H20" s="212">
        <f t="shared" si="0"/>
        <v>100</v>
      </c>
    </row>
    <row r="21" spans="1:8" s="1107" customFormat="1" ht="14.25" customHeight="1" x14ac:dyDescent="0.2">
      <c r="A21" s="223"/>
      <c r="B21" s="96"/>
      <c r="C21" s="1084" t="s">
        <v>1202</v>
      </c>
      <c r="D21" s="1631" t="s">
        <v>1635</v>
      </c>
      <c r="E21" s="1119"/>
      <c r="F21" s="314">
        <v>25</v>
      </c>
      <c r="G21" s="316">
        <v>25</v>
      </c>
      <c r="H21" s="1074">
        <f t="shared" si="0"/>
        <v>100</v>
      </c>
    </row>
    <row r="22" spans="1:8" s="1107" customFormat="1" ht="13.5" customHeight="1" x14ac:dyDescent="0.25">
      <c r="A22" s="223">
        <v>3299</v>
      </c>
      <c r="B22" s="96">
        <v>5213</v>
      </c>
      <c r="C22" s="1118"/>
      <c r="D22" s="1124" t="s">
        <v>212</v>
      </c>
      <c r="E22" s="60">
        <v>1500</v>
      </c>
      <c r="F22" s="313">
        <v>1500</v>
      </c>
      <c r="G22" s="315">
        <v>1500</v>
      </c>
      <c r="H22" s="212">
        <f t="shared" si="0"/>
        <v>100</v>
      </c>
    </row>
    <row r="23" spans="1:8" s="1107" customFormat="1" ht="13.5" customHeight="1" x14ac:dyDescent="0.2">
      <c r="A23" s="223"/>
      <c r="B23" s="96"/>
      <c r="C23" s="1118" t="s">
        <v>352</v>
      </c>
      <c r="D23" s="1098" t="s">
        <v>891</v>
      </c>
      <c r="E23" s="124">
        <v>1500</v>
      </c>
      <c r="F23" s="314">
        <v>1500</v>
      </c>
      <c r="G23" s="316">
        <v>1500</v>
      </c>
      <c r="H23" s="1074">
        <f t="shared" si="0"/>
        <v>100</v>
      </c>
    </row>
    <row r="24" spans="1:8" s="1107" customFormat="1" ht="13.5" customHeight="1" x14ac:dyDescent="0.25">
      <c r="A24" s="223">
        <v>3349</v>
      </c>
      <c r="B24" s="96">
        <v>5213</v>
      </c>
      <c r="C24" s="1118"/>
      <c r="D24" s="1124" t="s">
        <v>212</v>
      </c>
      <c r="E24" s="60">
        <v>450</v>
      </c>
      <c r="F24" s="313">
        <v>450</v>
      </c>
      <c r="G24" s="315">
        <v>450</v>
      </c>
      <c r="H24" s="1073">
        <f t="shared" si="0"/>
        <v>100</v>
      </c>
    </row>
    <row r="25" spans="1:8" s="1107" customFormat="1" ht="13.5" customHeight="1" x14ac:dyDescent="0.2">
      <c r="A25" s="223"/>
      <c r="B25" s="96"/>
      <c r="C25" s="1118" t="s">
        <v>1489</v>
      </c>
      <c r="D25" s="1098" t="s">
        <v>1488</v>
      </c>
      <c r="E25" s="124">
        <v>450</v>
      </c>
      <c r="F25" s="314">
        <v>450</v>
      </c>
      <c r="G25" s="316">
        <v>450</v>
      </c>
      <c r="H25" s="1074">
        <f t="shared" si="0"/>
        <v>100</v>
      </c>
    </row>
    <row r="26" spans="1:8" s="1107" customFormat="1" ht="13.5" customHeight="1" x14ac:dyDescent="0.25">
      <c r="A26" s="223">
        <v>3399</v>
      </c>
      <c r="B26" s="96">
        <v>5213</v>
      </c>
      <c r="C26" s="1084"/>
      <c r="D26" s="1124" t="s">
        <v>212</v>
      </c>
      <c r="E26" s="124"/>
      <c r="F26" s="313">
        <v>25</v>
      </c>
      <c r="G26" s="315">
        <v>25</v>
      </c>
      <c r="H26" s="212">
        <f t="shared" si="0"/>
        <v>100</v>
      </c>
    </row>
    <row r="27" spans="1:8" s="1107" customFormat="1" ht="13.5" customHeight="1" x14ac:dyDescent="0.2">
      <c r="A27" s="223"/>
      <c r="B27" s="96"/>
      <c r="C27" s="1084" t="s">
        <v>1202</v>
      </c>
      <c r="D27" s="1631" t="s">
        <v>1635</v>
      </c>
      <c r="E27" s="124"/>
      <c r="F27" s="314">
        <v>25</v>
      </c>
      <c r="G27" s="316">
        <v>25</v>
      </c>
      <c r="H27" s="1074">
        <f t="shared" si="0"/>
        <v>100</v>
      </c>
    </row>
    <row r="28" spans="1:8" s="1107" customFormat="1" ht="13.5" customHeight="1" x14ac:dyDescent="0.25">
      <c r="A28" s="223">
        <v>3631</v>
      </c>
      <c r="B28" s="96">
        <v>5321</v>
      </c>
      <c r="C28" s="1101"/>
      <c r="D28" s="1124" t="s">
        <v>1201</v>
      </c>
      <c r="E28" s="124"/>
      <c r="F28" s="313">
        <v>432</v>
      </c>
      <c r="G28" s="315">
        <v>432</v>
      </c>
      <c r="H28" s="212">
        <f t="shared" si="0"/>
        <v>100</v>
      </c>
    </row>
    <row r="29" spans="1:8" s="1107" customFormat="1" ht="13.5" customHeight="1" x14ac:dyDescent="0.2">
      <c r="A29" s="223"/>
      <c r="B29" s="96"/>
      <c r="C29" s="1084" t="s">
        <v>1016</v>
      </c>
      <c r="D29" s="1125" t="s">
        <v>1034</v>
      </c>
      <c r="E29" s="124"/>
      <c r="F29" s="314">
        <v>432</v>
      </c>
      <c r="G29" s="316">
        <v>432</v>
      </c>
      <c r="H29" s="1074">
        <f t="shared" si="0"/>
        <v>100</v>
      </c>
    </row>
    <row r="30" spans="1:8" s="1107" customFormat="1" ht="13.5" customHeight="1" x14ac:dyDescent="0.25">
      <c r="A30" s="223">
        <v>3635</v>
      </c>
      <c r="B30" s="96">
        <v>5166</v>
      </c>
      <c r="C30" s="1084"/>
      <c r="D30" s="1124" t="s">
        <v>609</v>
      </c>
      <c r="E30" s="60">
        <v>1592</v>
      </c>
      <c r="F30" s="313">
        <v>1232</v>
      </c>
      <c r="G30" s="315">
        <v>874</v>
      </c>
      <c r="H30" s="212">
        <f t="shared" si="0"/>
        <v>70.941558441558442</v>
      </c>
    </row>
    <row r="31" spans="1:8" s="1107" customFormat="1" ht="13.5" customHeight="1" x14ac:dyDescent="0.25">
      <c r="A31" s="223">
        <v>3635</v>
      </c>
      <c r="B31" s="96">
        <v>5168</v>
      </c>
      <c r="C31" s="1084"/>
      <c r="D31" s="2637" t="s">
        <v>1836</v>
      </c>
      <c r="E31" s="60"/>
      <c r="F31" s="313">
        <v>530</v>
      </c>
      <c r="G31" s="315">
        <v>495</v>
      </c>
      <c r="H31" s="212">
        <f t="shared" si="0"/>
        <v>93.396226415094347</v>
      </c>
    </row>
    <row r="32" spans="1:8" s="1107" customFormat="1" ht="13.5" customHeight="1" x14ac:dyDescent="0.25">
      <c r="A32" s="223"/>
      <c r="B32" s="96"/>
      <c r="C32" s="1084"/>
      <c r="D32" s="2645"/>
      <c r="E32" s="60"/>
      <c r="F32" s="313"/>
      <c r="G32" s="315"/>
      <c r="H32" s="212"/>
    </row>
    <row r="33" spans="1:8" s="1056" customFormat="1" ht="15" x14ac:dyDescent="0.25">
      <c r="A33" s="50">
        <v>3635</v>
      </c>
      <c r="B33" s="19">
        <v>5169</v>
      </c>
      <c r="C33" s="1115"/>
      <c r="D33" s="1124" t="s">
        <v>852</v>
      </c>
      <c r="E33" s="48">
        <v>350</v>
      </c>
      <c r="F33" s="168">
        <v>180</v>
      </c>
      <c r="G33" s="315">
        <v>130</v>
      </c>
      <c r="H33" s="1073">
        <f>(G33/F33)*100</f>
        <v>72.222222222222214</v>
      </c>
    </row>
    <row r="34" spans="1:8" s="1056" customFormat="1" ht="15" x14ac:dyDescent="0.25">
      <c r="A34" s="50">
        <v>3635</v>
      </c>
      <c r="B34" s="19">
        <v>5192</v>
      </c>
      <c r="C34" s="1115"/>
      <c r="D34" s="1124" t="s">
        <v>1228</v>
      </c>
      <c r="E34" s="48">
        <v>230</v>
      </c>
      <c r="F34" s="168">
        <v>230</v>
      </c>
      <c r="G34" s="315">
        <v>81</v>
      </c>
      <c r="H34" s="1073">
        <f>(G34/F34)*100</f>
        <v>35.217391304347828</v>
      </c>
    </row>
    <row r="35" spans="1:8" s="1056" customFormat="1" ht="15" x14ac:dyDescent="0.25">
      <c r="A35" s="50">
        <v>3636</v>
      </c>
      <c r="B35" s="19">
        <v>5175</v>
      </c>
      <c r="C35" s="1115"/>
      <c r="D35" s="1340" t="s">
        <v>669</v>
      </c>
      <c r="E35" s="48">
        <v>100</v>
      </c>
      <c r="F35" s="168">
        <v>100</v>
      </c>
      <c r="G35" s="315">
        <v>63</v>
      </c>
      <c r="H35" s="1073">
        <f t="shared" ref="H35:H49" si="1">(G35/F35)*100</f>
        <v>63</v>
      </c>
    </row>
    <row r="36" spans="1:8" s="1056" customFormat="1" ht="15" x14ac:dyDescent="0.25">
      <c r="A36" s="50">
        <v>3636</v>
      </c>
      <c r="B36" s="19">
        <v>5229</v>
      </c>
      <c r="C36" s="1084"/>
      <c r="D36" s="1341" t="s">
        <v>1132</v>
      </c>
      <c r="E36" s="71">
        <v>550</v>
      </c>
      <c r="F36" s="313">
        <v>350</v>
      </c>
      <c r="G36" s="315">
        <v>350</v>
      </c>
      <c r="H36" s="212">
        <f t="shared" si="1"/>
        <v>100</v>
      </c>
    </row>
    <row r="37" spans="1:8" s="1056" customFormat="1" ht="14.25" x14ac:dyDescent="0.2">
      <c r="A37" s="50"/>
      <c r="B37" s="19"/>
      <c r="C37" s="1118" t="s">
        <v>352</v>
      </c>
      <c r="D37" s="1098" t="s">
        <v>891</v>
      </c>
      <c r="E37" s="55">
        <v>550</v>
      </c>
      <c r="F37" s="314">
        <v>350</v>
      </c>
      <c r="G37" s="316">
        <v>350</v>
      </c>
      <c r="H37" s="1074">
        <f t="shared" si="1"/>
        <v>100</v>
      </c>
    </row>
    <row r="38" spans="1:8" s="1056" customFormat="1" ht="15" x14ac:dyDescent="0.25">
      <c r="A38" s="50">
        <v>3636</v>
      </c>
      <c r="B38" s="19">
        <v>5321</v>
      </c>
      <c r="C38" s="1084"/>
      <c r="D38" s="1124" t="s">
        <v>1201</v>
      </c>
      <c r="E38" s="55"/>
      <c r="F38" s="313">
        <v>2589</v>
      </c>
      <c r="G38" s="315">
        <v>2587</v>
      </c>
      <c r="H38" s="212">
        <f t="shared" si="1"/>
        <v>99.922750096562368</v>
      </c>
    </row>
    <row r="39" spans="1:8" s="1056" customFormat="1" ht="14.25" x14ac:dyDescent="0.2">
      <c r="A39" s="50"/>
      <c r="B39" s="19"/>
      <c r="C39" s="1084" t="s">
        <v>1016</v>
      </c>
      <c r="D39" s="1125" t="s">
        <v>1034</v>
      </c>
      <c r="E39" s="55"/>
      <c r="F39" s="314">
        <v>2589</v>
      </c>
      <c r="G39" s="316">
        <v>2587</v>
      </c>
      <c r="H39" s="1074">
        <f t="shared" si="1"/>
        <v>99.922750096562368</v>
      </c>
    </row>
    <row r="40" spans="1:8" s="1056" customFormat="1" ht="15" x14ac:dyDescent="0.25">
      <c r="A40" s="50">
        <v>3639</v>
      </c>
      <c r="B40" s="19">
        <v>5139</v>
      </c>
      <c r="C40" s="1084"/>
      <c r="D40" s="1423" t="s">
        <v>1851</v>
      </c>
      <c r="E40" s="55"/>
      <c r="F40" s="313">
        <v>110</v>
      </c>
      <c r="G40" s="315">
        <v>110</v>
      </c>
      <c r="H40" s="212">
        <f t="shared" si="1"/>
        <v>100</v>
      </c>
    </row>
    <row r="41" spans="1:8" s="1056" customFormat="1" ht="15" x14ac:dyDescent="0.25">
      <c r="A41" s="50">
        <v>3639</v>
      </c>
      <c r="B41" s="19">
        <v>5164</v>
      </c>
      <c r="C41" s="1084"/>
      <c r="D41" s="1126" t="s">
        <v>170</v>
      </c>
      <c r="E41" s="71">
        <v>100</v>
      </c>
      <c r="F41" s="313">
        <v>100</v>
      </c>
      <c r="G41" s="315">
        <v>64</v>
      </c>
      <c r="H41" s="212">
        <f t="shared" si="1"/>
        <v>64</v>
      </c>
    </row>
    <row r="42" spans="1:8" s="1056" customFormat="1" ht="15" x14ac:dyDescent="0.25">
      <c r="A42" s="50">
        <v>3639</v>
      </c>
      <c r="B42" s="19">
        <v>5166</v>
      </c>
      <c r="C42" s="1115"/>
      <c r="D42" s="1124" t="s">
        <v>609</v>
      </c>
      <c r="E42" s="48">
        <v>636</v>
      </c>
      <c r="F42" s="168">
        <v>430</v>
      </c>
      <c r="G42" s="315">
        <v>87</v>
      </c>
      <c r="H42" s="1073">
        <f t="shared" si="1"/>
        <v>20.232558139534884</v>
      </c>
    </row>
    <row r="43" spans="1:8" s="1056" customFormat="1" ht="15" x14ac:dyDescent="0.25">
      <c r="A43" s="50">
        <v>3639</v>
      </c>
      <c r="B43" s="19">
        <v>5169</v>
      </c>
      <c r="C43" s="1115"/>
      <c r="D43" s="1124" t="s">
        <v>852</v>
      </c>
      <c r="E43" s="48">
        <f>E44+E45</f>
        <v>3003</v>
      </c>
      <c r="F43" s="48">
        <f>F44+F45</f>
        <v>3318</v>
      </c>
      <c r="G43" s="48">
        <f>G44+G45</f>
        <v>3136</v>
      </c>
      <c r="H43" s="1073">
        <f t="shared" si="1"/>
        <v>94.514767932489448</v>
      </c>
    </row>
    <row r="44" spans="1:8" s="1056" customFormat="1" ht="14.25" x14ac:dyDescent="0.2">
      <c r="A44" s="50"/>
      <c r="B44" s="19"/>
      <c r="C44" s="1069" t="s">
        <v>753</v>
      </c>
      <c r="D44" s="1063" t="s">
        <v>1259</v>
      </c>
      <c r="E44" s="55">
        <v>3003</v>
      </c>
      <c r="F44" s="314">
        <v>3129</v>
      </c>
      <c r="G44" s="316">
        <v>2967</v>
      </c>
      <c r="H44" s="1074">
        <f t="shared" si="1"/>
        <v>94.822627037392138</v>
      </c>
    </row>
    <row r="45" spans="1:8" s="1056" customFormat="1" ht="14.25" x14ac:dyDescent="0.2">
      <c r="A45" s="50"/>
      <c r="B45" s="19"/>
      <c r="C45" s="1068" t="s">
        <v>22</v>
      </c>
      <c r="D45" s="1063" t="s">
        <v>1203</v>
      </c>
      <c r="E45" s="55"/>
      <c r="F45" s="314">
        <v>189</v>
      </c>
      <c r="G45" s="316">
        <v>169</v>
      </c>
      <c r="H45" s="1074">
        <f t="shared" si="1"/>
        <v>89.417989417989418</v>
      </c>
    </row>
    <row r="46" spans="1:8" s="1056" customFormat="1" ht="15" x14ac:dyDescent="0.25">
      <c r="A46" s="50">
        <v>3639</v>
      </c>
      <c r="B46" s="19">
        <v>5212</v>
      </c>
      <c r="C46" s="1115"/>
      <c r="D46" s="1124" t="s">
        <v>1167</v>
      </c>
      <c r="E46" s="48">
        <v>100</v>
      </c>
      <c r="F46" s="168">
        <v>100</v>
      </c>
      <c r="G46" s="315">
        <v>100</v>
      </c>
      <c r="H46" s="1073">
        <f t="shared" si="1"/>
        <v>100</v>
      </c>
    </row>
    <row r="47" spans="1:8" s="1056" customFormat="1" ht="14.25" x14ac:dyDescent="0.2">
      <c r="A47" s="50"/>
      <c r="B47" s="19"/>
      <c r="C47" s="1118" t="s">
        <v>1489</v>
      </c>
      <c r="D47" s="1098" t="s">
        <v>1488</v>
      </c>
      <c r="E47" s="55">
        <v>100</v>
      </c>
      <c r="F47" s="314">
        <v>100</v>
      </c>
      <c r="G47" s="316">
        <v>100</v>
      </c>
      <c r="H47" s="1074">
        <f t="shared" si="1"/>
        <v>100</v>
      </c>
    </row>
    <row r="48" spans="1:8" s="1056" customFormat="1" ht="15" x14ac:dyDescent="0.25">
      <c r="A48" s="50">
        <v>3639</v>
      </c>
      <c r="B48" s="19">
        <v>5213</v>
      </c>
      <c r="C48" s="1115"/>
      <c r="D48" s="1124" t="s">
        <v>212</v>
      </c>
      <c r="E48" s="48">
        <v>150</v>
      </c>
      <c r="F48" s="168">
        <v>75</v>
      </c>
      <c r="G48" s="315">
        <v>75</v>
      </c>
      <c r="H48" s="1073">
        <f t="shared" si="1"/>
        <v>100</v>
      </c>
    </row>
    <row r="49" spans="1:18" s="1056" customFormat="1" ht="14.25" x14ac:dyDescent="0.2">
      <c r="A49" s="50"/>
      <c r="B49" s="19"/>
      <c r="C49" s="1118" t="s">
        <v>1489</v>
      </c>
      <c r="D49" s="1098" t="s">
        <v>1488</v>
      </c>
      <c r="E49" s="55">
        <v>150</v>
      </c>
      <c r="F49" s="314">
        <v>75</v>
      </c>
      <c r="G49" s="316">
        <v>75</v>
      </c>
      <c r="H49" s="1074">
        <f t="shared" si="1"/>
        <v>100</v>
      </c>
    </row>
    <row r="50" spans="1:18" s="1056" customFormat="1" ht="15" x14ac:dyDescent="0.25">
      <c r="A50" s="50">
        <v>3639</v>
      </c>
      <c r="B50" s="19">
        <v>5221</v>
      </c>
      <c r="C50" s="1118"/>
      <c r="D50" s="1124" t="s">
        <v>1017</v>
      </c>
      <c r="E50" s="71">
        <f>E51+E52</f>
        <v>45</v>
      </c>
      <c r="F50" s="71">
        <f>F51+F52</f>
        <v>382</v>
      </c>
      <c r="G50" s="71">
        <f>G51+G52</f>
        <v>382</v>
      </c>
      <c r="H50" s="211">
        <f t="shared" ref="H50:H59" si="2">(G50/F50)*100</f>
        <v>100</v>
      </c>
    </row>
    <row r="51" spans="1:18" s="1056" customFormat="1" ht="14.25" x14ac:dyDescent="0.2">
      <c r="A51" s="50"/>
      <c r="B51" s="19"/>
      <c r="C51" s="1118" t="s">
        <v>352</v>
      </c>
      <c r="D51" s="1098" t="s">
        <v>891</v>
      </c>
      <c r="E51" s="55">
        <v>45</v>
      </c>
      <c r="F51" s="314">
        <v>45</v>
      </c>
      <c r="G51" s="316">
        <v>45</v>
      </c>
      <c r="H51" s="1074">
        <f t="shared" si="2"/>
        <v>100</v>
      </c>
    </row>
    <row r="52" spans="1:18" s="1056" customFormat="1" ht="14.25" x14ac:dyDescent="0.2">
      <c r="A52" s="50"/>
      <c r="B52" s="19"/>
      <c r="C52" s="1118" t="s">
        <v>1852</v>
      </c>
      <c r="D52" s="1098" t="s">
        <v>1853</v>
      </c>
      <c r="E52" s="55"/>
      <c r="F52" s="314">
        <v>337</v>
      </c>
      <c r="G52" s="316">
        <v>337</v>
      </c>
      <c r="H52" s="1074">
        <f t="shared" si="2"/>
        <v>100</v>
      </c>
    </row>
    <row r="53" spans="1:18" s="1056" customFormat="1" ht="15" x14ac:dyDescent="0.25">
      <c r="A53" s="50">
        <v>3639</v>
      </c>
      <c r="B53" s="19">
        <v>5222</v>
      </c>
      <c r="C53" s="1342"/>
      <c r="D53" s="1339" t="s">
        <v>1131</v>
      </c>
      <c r="E53" s="71">
        <f>E54+E55</f>
        <v>1955</v>
      </c>
      <c r="F53" s="71">
        <f>F54+F55</f>
        <v>280</v>
      </c>
      <c r="G53" s="71">
        <f>G54+G55</f>
        <v>280</v>
      </c>
      <c r="H53" s="211">
        <f t="shared" si="2"/>
        <v>100</v>
      </c>
    </row>
    <row r="54" spans="1:18" s="1056" customFormat="1" ht="14.25" x14ac:dyDescent="0.2">
      <c r="A54" s="50"/>
      <c r="B54" s="19"/>
      <c r="C54" s="1118" t="s">
        <v>352</v>
      </c>
      <c r="D54" s="1098" t="s">
        <v>891</v>
      </c>
      <c r="E54" s="55">
        <v>1955</v>
      </c>
      <c r="F54" s="314">
        <v>0</v>
      </c>
      <c r="G54" s="316">
        <v>0</v>
      </c>
      <c r="H54" s="1198">
        <v>0</v>
      </c>
    </row>
    <row r="55" spans="1:18" s="1056" customFormat="1" ht="15" x14ac:dyDescent="0.25">
      <c r="A55" s="50"/>
      <c r="B55" s="19"/>
      <c r="C55" s="1118" t="s">
        <v>1852</v>
      </c>
      <c r="D55" s="1098" t="s">
        <v>1853</v>
      </c>
      <c r="E55" s="71"/>
      <c r="F55" s="314">
        <v>280</v>
      </c>
      <c r="G55" s="316">
        <v>280</v>
      </c>
      <c r="H55" s="1074">
        <f t="shared" si="2"/>
        <v>100</v>
      </c>
    </row>
    <row r="56" spans="1:18" s="1056" customFormat="1" ht="15" x14ac:dyDescent="0.25">
      <c r="A56" s="50">
        <v>3639</v>
      </c>
      <c r="B56" s="19">
        <v>5229</v>
      </c>
      <c r="C56" s="1118"/>
      <c r="D56" s="1341" t="s">
        <v>1132</v>
      </c>
      <c r="E56" s="71">
        <v>600</v>
      </c>
      <c r="F56" s="313">
        <v>675</v>
      </c>
      <c r="G56" s="315">
        <v>675</v>
      </c>
      <c r="H56" s="212">
        <f t="shared" si="2"/>
        <v>100</v>
      </c>
    </row>
    <row r="57" spans="1:18" s="1056" customFormat="1" ht="14.25" x14ac:dyDescent="0.2">
      <c r="A57" s="50"/>
      <c r="B57" s="19"/>
      <c r="C57" s="1118" t="s">
        <v>1489</v>
      </c>
      <c r="D57" s="1098" t="s">
        <v>1488</v>
      </c>
      <c r="E57" s="55">
        <v>600</v>
      </c>
      <c r="F57" s="314">
        <v>675</v>
      </c>
      <c r="G57" s="316">
        <v>675</v>
      </c>
      <c r="H57" s="1074">
        <f t="shared" si="2"/>
        <v>100</v>
      </c>
    </row>
    <row r="58" spans="1:18" s="1056" customFormat="1" ht="13.5" customHeight="1" x14ac:dyDescent="0.25">
      <c r="A58" s="50">
        <v>3639</v>
      </c>
      <c r="B58" s="19">
        <v>5321</v>
      </c>
      <c r="C58" s="1115"/>
      <c r="D58" s="1124" t="s">
        <v>1201</v>
      </c>
      <c r="E58" s="48">
        <f>E59+E60</f>
        <v>12500</v>
      </c>
      <c r="F58" s="168">
        <v>500</v>
      </c>
      <c r="G58" s="315">
        <v>500</v>
      </c>
      <c r="H58" s="211">
        <f t="shared" si="2"/>
        <v>100</v>
      </c>
      <c r="J58" s="1097"/>
      <c r="R58"/>
    </row>
    <row r="59" spans="1:18" s="1056" customFormat="1" ht="13.5" customHeight="1" x14ac:dyDescent="0.2">
      <c r="A59" s="50"/>
      <c r="B59" s="19"/>
      <c r="C59" s="1118" t="s">
        <v>352</v>
      </c>
      <c r="D59" s="1098" t="s">
        <v>891</v>
      </c>
      <c r="E59" s="1120">
        <v>500</v>
      </c>
      <c r="F59" s="448">
        <v>500</v>
      </c>
      <c r="G59" s="316">
        <v>500</v>
      </c>
      <c r="H59" s="1198">
        <f t="shared" si="2"/>
        <v>100</v>
      </c>
      <c r="J59" s="1071"/>
      <c r="R59"/>
    </row>
    <row r="60" spans="1:18" s="1056" customFormat="1" ht="14.25" customHeight="1" x14ac:dyDescent="0.2">
      <c r="A60" s="50"/>
      <c r="B60" s="19"/>
      <c r="C60" s="1084" t="s">
        <v>1016</v>
      </c>
      <c r="D60" s="1125" t="s">
        <v>1034</v>
      </c>
      <c r="E60" s="1120">
        <v>12000</v>
      </c>
      <c r="F60" s="448">
        <v>0</v>
      </c>
      <c r="G60" s="316">
        <v>0</v>
      </c>
      <c r="H60" s="1074">
        <v>0</v>
      </c>
      <c r="J60" s="1071"/>
      <c r="R60"/>
    </row>
    <row r="61" spans="1:18" s="1056" customFormat="1" ht="16.5" thickBot="1" x14ac:dyDescent="0.3">
      <c r="A61" s="50">
        <v>3713</v>
      </c>
      <c r="B61" s="19">
        <v>5169</v>
      </c>
      <c r="C61" s="1115"/>
      <c r="D61" s="1124" t="s">
        <v>852</v>
      </c>
      <c r="E61" s="71">
        <v>1362</v>
      </c>
      <c r="F61" s="313">
        <v>1362</v>
      </c>
      <c r="G61" s="315">
        <v>1290</v>
      </c>
      <c r="H61" s="212">
        <f>(G61/F61)*100</f>
        <v>94.713656387665196</v>
      </c>
      <c r="J61" s="1071"/>
      <c r="R61"/>
    </row>
    <row r="62" spans="1:18" s="360" customFormat="1" ht="35.25" customHeight="1" thickTop="1" thickBot="1" x14ac:dyDescent="0.3">
      <c r="A62" s="637" t="s">
        <v>245</v>
      </c>
      <c r="B62" s="638"/>
      <c r="C62" s="639"/>
      <c r="D62" s="640"/>
      <c r="E62" s="641">
        <f>E10+E12+E14+E16+E18+E20+E22+E24+E26+E33+E34+E35+E36+E38+E40+E41+E42+E43+E46+E48+E50+E53+E58+E61+E30+E56</f>
        <v>25523</v>
      </c>
      <c r="F62" s="641">
        <f>F10+F12+F14+F16+F18+F20+F22+F24+F26+F30+F33+F34+F35+F36+F38+F40+F41+F42+F43+F46+F48+F50+F53+F56+F58+F61+F28+F31</f>
        <v>17375</v>
      </c>
      <c r="G62" s="641">
        <f>G10+G12+G14+G16+G18+G20+G22+G24+G26+G30+G33+G34+G35+G36+G38+G40+G41+G42+G43+G46+G48+G50+G53+G56+G58+G61+G28+G31</f>
        <v>16111</v>
      </c>
      <c r="H62" s="642">
        <f>(G62/F62)*100</f>
        <v>92.725179856115105</v>
      </c>
      <c r="J62" s="693"/>
      <c r="K62" s="693"/>
    </row>
    <row r="63" spans="1:18" s="139" customFormat="1" ht="15.75" thickTop="1" x14ac:dyDescent="0.25">
      <c r="A63" s="643"/>
      <c r="B63" s="629"/>
      <c r="C63" s="941"/>
      <c r="D63" s="234"/>
      <c r="E63" s="1717"/>
      <c r="F63" s="942"/>
      <c r="G63" s="1717"/>
      <c r="H63" s="943"/>
      <c r="I63" s="137"/>
      <c r="J63" s="137"/>
    </row>
    <row r="64" spans="1:18" s="139" customFormat="1" ht="15" x14ac:dyDescent="0.25">
      <c r="A64" s="643"/>
      <c r="B64" s="629"/>
      <c r="C64" s="941"/>
      <c r="D64" s="234"/>
      <c r="E64" s="1717"/>
      <c r="F64" s="942"/>
      <c r="G64" s="1717"/>
      <c r="H64" s="943"/>
      <c r="I64" s="137"/>
      <c r="J64" s="137"/>
    </row>
    <row r="65" spans="1:10" s="139" customFormat="1" ht="15" x14ac:dyDescent="0.25">
      <c r="A65" s="643"/>
      <c r="B65" s="629"/>
      <c r="C65" s="941"/>
      <c r="D65" s="234"/>
      <c r="E65" s="1717"/>
      <c r="F65" s="942"/>
      <c r="G65" s="1717"/>
      <c r="H65" s="943"/>
      <c r="I65" s="137"/>
      <c r="J65" s="137"/>
    </row>
    <row r="66" spans="1:10" s="139" customFormat="1" ht="15" x14ac:dyDescent="0.25">
      <c r="A66" s="643"/>
      <c r="B66" s="629"/>
      <c r="C66" s="941"/>
      <c r="D66" s="234"/>
      <c r="E66" s="1717"/>
      <c r="F66" s="942"/>
      <c r="G66" s="1717"/>
      <c r="H66" s="943"/>
      <c r="I66" s="137"/>
      <c r="J66" s="137"/>
    </row>
    <row r="67" spans="1:10" s="139" customFormat="1" ht="15" x14ac:dyDescent="0.25">
      <c r="A67" s="643"/>
      <c r="B67" s="629"/>
      <c r="C67" s="941"/>
      <c r="D67" s="234"/>
      <c r="E67" s="1717"/>
      <c r="F67" s="942"/>
      <c r="G67" s="1717"/>
      <c r="H67" s="943"/>
      <c r="I67" s="137"/>
      <c r="J67" s="137"/>
    </row>
    <row r="68" spans="1:10" s="139" customFormat="1" ht="15" x14ac:dyDescent="0.25">
      <c r="A68" s="643"/>
      <c r="B68" s="629"/>
      <c r="C68" s="941"/>
      <c r="D68" s="234"/>
      <c r="E68" s="1717"/>
      <c r="F68" s="942"/>
      <c r="G68" s="1717"/>
      <c r="H68" s="943"/>
      <c r="I68" s="137"/>
      <c r="J68" s="137"/>
    </row>
    <row r="69" spans="1:10" s="139" customFormat="1" ht="15" x14ac:dyDescent="0.25">
      <c r="A69" s="643"/>
      <c r="B69" s="629"/>
      <c r="C69" s="941"/>
      <c r="D69" s="234"/>
      <c r="E69" s="1717"/>
      <c r="F69" s="942"/>
      <c r="G69" s="1717"/>
      <c r="H69" s="943"/>
      <c r="I69" s="137"/>
      <c r="J69" s="137"/>
    </row>
    <row r="70" spans="1:10" s="139" customFormat="1" ht="15.75" customHeight="1" x14ac:dyDescent="0.25">
      <c r="A70" s="33" t="s">
        <v>1248</v>
      </c>
      <c r="B70" s="28"/>
      <c r="C70" s="10"/>
      <c r="E70" s="137"/>
      <c r="F70" s="16"/>
      <c r="G70" s="17"/>
      <c r="H70" s="664"/>
      <c r="I70" s="137"/>
      <c r="J70" s="137"/>
    </row>
    <row r="71" spans="1:10" s="139" customFormat="1" ht="13.5" thickBot="1" x14ac:dyDescent="0.25">
      <c r="A71" s="629"/>
      <c r="B71" s="629"/>
      <c r="C71" s="630"/>
      <c r="D71" s="532"/>
      <c r="E71" s="493"/>
      <c r="F71" s="940"/>
      <c r="G71" s="493"/>
      <c r="H71" s="664" t="s">
        <v>161</v>
      </c>
      <c r="I71" s="137"/>
      <c r="J71" s="137"/>
    </row>
    <row r="72" spans="1:10" s="107" customFormat="1" ht="20.25" customHeight="1" thickTop="1" thickBot="1" x14ac:dyDescent="0.25">
      <c r="A72" s="631" t="s">
        <v>162</v>
      </c>
      <c r="B72" s="632" t="s">
        <v>163</v>
      </c>
      <c r="C72" s="670" t="s">
        <v>705</v>
      </c>
      <c r="D72" s="774" t="s">
        <v>164</v>
      </c>
      <c r="E72" s="774" t="s">
        <v>165</v>
      </c>
      <c r="F72" s="634" t="s">
        <v>881</v>
      </c>
      <c r="G72" s="634" t="s">
        <v>882</v>
      </c>
      <c r="H72" s="635" t="s">
        <v>883</v>
      </c>
    </row>
    <row r="73" spans="1:10" s="383" customFormat="1" ht="13.5" thickTop="1" thickBot="1" x14ac:dyDescent="0.25">
      <c r="A73" s="566">
        <v>1</v>
      </c>
      <c r="B73" s="567">
        <v>2</v>
      </c>
      <c r="C73" s="567">
        <v>3</v>
      </c>
      <c r="D73" s="567">
        <v>4</v>
      </c>
      <c r="E73" s="567">
        <v>5</v>
      </c>
      <c r="F73" s="541">
        <v>6</v>
      </c>
      <c r="G73" s="541">
        <v>7</v>
      </c>
      <c r="H73" s="636" t="s">
        <v>61</v>
      </c>
      <c r="I73" s="107"/>
    </row>
    <row r="74" spans="1:10" s="1107" customFormat="1" ht="14.25" customHeight="1" thickTop="1" x14ac:dyDescent="0.25">
      <c r="A74" s="1166">
        <v>2212</v>
      </c>
      <c r="B74" s="268">
        <v>6341</v>
      </c>
      <c r="C74" s="1084"/>
      <c r="D74" s="1057" t="s">
        <v>248</v>
      </c>
      <c r="E74" s="1119"/>
      <c r="F74" s="313">
        <v>549</v>
      </c>
      <c r="G74" s="315">
        <v>549</v>
      </c>
      <c r="H74" s="203">
        <f>(G74/F74)*100</f>
        <v>100</v>
      </c>
    </row>
    <row r="75" spans="1:10" s="1107" customFormat="1" ht="14.25" customHeight="1" x14ac:dyDescent="0.2">
      <c r="A75" s="1166"/>
      <c r="B75" s="268"/>
      <c r="C75" s="1084" t="s">
        <v>1016</v>
      </c>
      <c r="D75" s="1063" t="s">
        <v>1034</v>
      </c>
      <c r="E75" s="1119"/>
      <c r="F75" s="314">
        <v>549</v>
      </c>
      <c r="G75" s="316">
        <v>549</v>
      </c>
      <c r="H75" s="1065">
        <f t="shared" ref="H75:H87" si="3">(G75/F75)*100</f>
        <v>100</v>
      </c>
    </row>
    <row r="76" spans="1:10" s="1107" customFormat="1" ht="14.25" customHeight="1" x14ac:dyDescent="0.25">
      <c r="A76" s="1166">
        <v>2219</v>
      </c>
      <c r="B76" s="268">
        <v>6341</v>
      </c>
      <c r="C76" s="1084"/>
      <c r="D76" s="1057" t="s">
        <v>248</v>
      </c>
      <c r="E76" s="1119"/>
      <c r="F76" s="313">
        <v>1929</v>
      </c>
      <c r="G76" s="315">
        <v>1929</v>
      </c>
      <c r="H76" s="203">
        <f t="shared" si="3"/>
        <v>100</v>
      </c>
    </row>
    <row r="77" spans="1:10" s="1107" customFormat="1" ht="14.25" customHeight="1" x14ac:dyDescent="0.2">
      <c r="A77" s="1166"/>
      <c r="B77" s="268"/>
      <c r="C77" s="1084" t="s">
        <v>1016</v>
      </c>
      <c r="D77" s="1063" t="s">
        <v>1034</v>
      </c>
      <c r="E77" s="1119"/>
      <c r="F77" s="314">
        <v>1929</v>
      </c>
      <c r="G77" s="316">
        <v>1929</v>
      </c>
      <c r="H77" s="1065">
        <f t="shared" si="3"/>
        <v>100</v>
      </c>
    </row>
    <row r="78" spans="1:10" s="1107" customFormat="1" ht="14.25" customHeight="1" x14ac:dyDescent="0.25">
      <c r="A78" s="1166">
        <v>3349</v>
      </c>
      <c r="B78" s="268">
        <v>6341</v>
      </c>
      <c r="C78" s="1084"/>
      <c r="D78" s="1057" t="s">
        <v>248</v>
      </c>
      <c r="E78" s="1119"/>
      <c r="F78" s="313">
        <v>150</v>
      </c>
      <c r="G78" s="315">
        <v>150</v>
      </c>
      <c r="H78" s="203">
        <f t="shared" si="3"/>
        <v>100</v>
      </c>
    </row>
    <row r="79" spans="1:10" s="1107" customFormat="1" ht="14.25" customHeight="1" x14ac:dyDescent="0.2">
      <c r="A79" s="1166"/>
      <c r="B79" s="268"/>
      <c r="C79" s="1084" t="s">
        <v>1016</v>
      </c>
      <c r="D79" s="1063" t="s">
        <v>1034</v>
      </c>
      <c r="E79" s="1119"/>
      <c r="F79" s="314">
        <v>150</v>
      </c>
      <c r="G79" s="316">
        <v>150</v>
      </c>
      <c r="H79" s="1065">
        <f t="shared" si="3"/>
        <v>100</v>
      </c>
    </row>
    <row r="80" spans="1:10" s="1107" customFormat="1" ht="13.5" customHeight="1" x14ac:dyDescent="0.25">
      <c r="A80" s="1166">
        <v>3631</v>
      </c>
      <c r="B80" s="268">
        <v>6341</v>
      </c>
      <c r="C80" s="1084"/>
      <c r="D80" s="1057" t="s">
        <v>248</v>
      </c>
      <c r="E80" s="124"/>
      <c r="F80" s="313">
        <v>100</v>
      </c>
      <c r="G80" s="315">
        <v>100</v>
      </c>
      <c r="H80" s="203">
        <f t="shared" si="3"/>
        <v>100</v>
      </c>
    </row>
    <row r="81" spans="1:18" s="1107" customFormat="1" ht="13.5" customHeight="1" x14ac:dyDescent="0.2">
      <c r="A81" s="1166"/>
      <c r="B81" s="268"/>
      <c r="C81" s="1084" t="s">
        <v>1016</v>
      </c>
      <c r="D81" s="1063" t="s">
        <v>1034</v>
      </c>
      <c r="E81" s="124"/>
      <c r="F81" s="314">
        <v>100</v>
      </c>
      <c r="G81" s="316">
        <v>100</v>
      </c>
      <c r="H81" s="1065">
        <f t="shared" si="3"/>
        <v>100</v>
      </c>
    </row>
    <row r="82" spans="1:18" s="1056" customFormat="1" ht="15" x14ac:dyDescent="0.25">
      <c r="A82" s="34">
        <v>3636</v>
      </c>
      <c r="B82" s="1088">
        <v>6341</v>
      </c>
      <c r="C82" s="1084"/>
      <c r="D82" s="1057" t="s">
        <v>248</v>
      </c>
      <c r="E82" s="55"/>
      <c r="F82" s="313">
        <v>4151</v>
      </c>
      <c r="G82" s="315">
        <v>4096</v>
      </c>
      <c r="H82" s="1062">
        <f t="shared" si="3"/>
        <v>98.67501806793544</v>
      </c>
    </row>
    <row r="83" spans="1:18" s="1056" customFormat="1" ht="14.25" x14ac:dyDescent="0.2">
      <c r="A83" s="34"/>
      <c r="B83" s="1088"/>
      <c r="C83" s="1084" t="s">
        <v>1016</v>
      </c>
      <c r="D83" s="1063" t="s">
        <v>1034</v>
      </c>
      <c r="E83" s="55"/>
      <c r="F83" s="314">
        <v>4151</v>
      </c>
      <c r="G83" s="316">
        <v>4096</v>
      </c>
      <c r="H83" s="1065">
        <f t="shared" si="3"/>
        <v>98.67501806793544</v>
      </c>
    </row>
    <row r="84" spans="1:18" s="1056" customFormat="1" ht="15" x14ac:dyDescent="0.25">
      <c r="A84" s="34">
        <v>3639</v>
      </c>
      <c r="B84" s="1088">
        <v>6321</v>
      </c>
      <c r="C84" s="1084"/>
      <c r="D84" s="87" t="s">
        <v>1854</v>
      </c>
      <c r="E84" s="55"/>
      <c r="F84" s="313">
        <v>582</v>
      </c>
      <c r="G84" s="315">
        <v>543</v>
      </c>
      <c r="H84" s="1062">
        <f t="shared" si="3"/>
        <v>93.298969072164951</v>
      </c>
    </row>
    <row r="85" spans="1:18" s="1056" customFormat="1" ht="14.25" x14ac:dyDescent="0.2">
      <c r="A85" s="34"/>
      <c r="B85" s="1088"/>
      <c r="C85" s="1118" t="s">
        <v>1852</v>
      </c>
      <c r="D85" s="1098" t="s">
        <v>1853</v>
      </c>
      <c r="E85" s="55"/>
      <c r="F85" s="314">
        <v>582</v>
      </c>
      <c r="G85" s="316">
        <v>543</v>
      </c>
      <c r="H85" s="1065">
        <f t="shared" si="3"/>
        <v>93.298969072164951</v>
      </c>
    </row>
    <row r="86" spans="1:18" s="1056" customFormat="1" ht="15" x14ac:dyDescent="0.25">
      <c r="A86" s="34">
        <v>3639</v>
      </c>
      <c r="B86" s="1088">
        <v>6322</v>
      </c>
      <c r="C86" s="1118"/>
      <c r="D86" s="1075" t="s">
        <v>1855</v>
      </c>
      <c r="E86" s="55"/>
      <c r="F86" s="313">
        <v>475</v>
      </c>
      <c r="G86" s="315">
        <v>475</v>
      </c>
      <c r="H86" s="203">
        <f t="shared" si="3"/>
        <v>100</v>
      </c>
    </row>
    <row r="87" spans="1:18" s="1056" customFormat="1" ht="14.25" x14ac:dyDescent="0.2">
      <c r="A87" s="34"/>
      <c r="B87" s="1088"/>
      <c r="C87" s="1118" t="s">
        <v>1852</v>
      </c>
      <c r="D87" s="1098" t="s">
        <v>1853</v>
      </c>
      <c r="E87" s="55"/>
      <c r="F87" s="314">
        <v>475</v>
      </c>
      <c r="G87" s="316">
        <v>475</v>
      </c>
      <c r="H87" s="1065">
        <f t="shared" si="3"/>
        <v>100</v>
      </c>
    </row>
    <row r="88" spans="1:18" s="1056" customFormat="1" ht="16.5" thickBot="1" x14ac:dyDescent="0.3">
      <c r="A88" s="34">
        <v>3713</v>
      </c>
      <c r="B88" s="1088">
        <v>6122</v>
      </c>
      <c r="C88" s="1069"/>
      <c r="D88" s="1075" t="s">
        <v>604</v>
      </c>
      <c r="E88" s="71">
        <v>1627</v>
      </c>
      <c r="F88" s="313">
        <v>1627</v>
      </c>
      <c r="G88" s="315">
        <v>1625</v>
      </c>
      <c r="H88" s="203">
        <f>(G88/F88)*100</f>
        <v>99.877074370006142</v>
      </c>
      <c r="J88" s="1071"/>
      <c r="R88"/>
    </row>
    <row r="89" spans="1:18" s="360" customFormat="1" ht="35.25" customHeight="1" thickTop="1" thickBot="1" x14ac:dyDescent="0.3">
      <c r="A89" s="637" t="s">
        <v>244</v>
      </c>
      <c r="B89" s="944"/>
      <c r="C89" s="675"/>
      <c r="D89" s="640"/>
      <c r="E89" s="641">
        <f>E88</f>
        <v>1627</v>
      </c>
      <c r="F89" s="641">
        <f>F74+F76+F78+F80+F82+F84+F86+F88</f>
        <v>9563</v>
      </c>
      <c r="G89" s="641">
        <f>G74+G76+G78+G80+G82+G84+G86+G88</f>
        <v>9467</v>
      </c>
      <c r="H89" s="945">
        <f>(G89/F89)*100</f>
        <v>98.996130921259024</v>
      </c>
      <c r="I89" s="946"/>
    </row>
    <row r="90" spans="1:18" ht="13.5" thickTop="1" x14ac:dyDescent="0.2">
      <c r="A90" s="629"/>
      <c r="I90" s="949"/>
      <c r="J90" s="532"/>
    </row>
    <row r="91" spans="1:18" x14ac:dyDescent="0.2">
      <c r="A91" s="629"/>
      <c r="I91" s="949"/>
      <c r="J91" s="532"/>
    </row>
    <row r="92" spans="1:18" s="665" customFormat="1" ht="16.5" x14ac:dyDescent="0.25">
      <c r="A92" s="361" t="s">
        <v>594</v>
      </c>
      <c r="B92" s="362"/>
      <c r="C92" s="363"/>
      <c r="D92" s="363"/>
      <c r="E92" s="934">
        <f>E93+E94+E95+E96</f>
        <v>27150</v>
      </c>
      <c r="F92" s="934">
        <f>F93+F94+F95+F96</f>
        <v>26938</v>
      </c>
      <c r="G92" s="934">
        <f>G93+G94+G95+G96</f>
        <v>25578</v>
      </c>
      <c r="H92" s="305">
        <f>G92/F92*100</f>
        <v>94.951369812161261</v>
      </c>
    </row>
    <row r="93" spans="1:18" s="1270" customFormat="1" ht="15" x14ac:dyDescent="0.2">
      <c r="A93" s="555" t="s">
        <v>263</v>
      </c>
      <c r="B93" s="585"/>
      <c r="C93" s="586"/>
      <c r="D93" s="586"/>
      <c r="E93" s="935">
        <f>E62</f>
        <v>25523</v>
      </c>
      <c r="F93" s="935">
        <f>F62-F95</f>
        <v>17375</v>
      </c>
      <c r="G93" s="935">
        <f>G62-G95</f>
        <v>16111</v>
      </c>
      <c r="H93" s="306">
        <f>G93/F93*100</f>
        <v>92.725179856115105</v>
      </c>
    </row>
    <row r="94" spans="1:18" s="1270" customFormat="1" ht="15" x14ac:dyDescent="0.2">
      <c r="A94" s="555" t="s">
        <v>264</v>
      </c>
      <c r="B94" s="590"/>
      <c r="C94" s="586"/>
      <c r="D94" s="586"/>
      <c r="E94" s="936">
        <f>E89</f>
        <v>1627</v>
      </c>
      <c r="F94" s="936">
        <f>F89</f>
        <v>9563</v>
      </c>
      <c r="G94" s="936">
        <f>G89</f>
        <v>9467</v>
      </c>
      <c r="H94" s="306">
        <f>G94/F94*100</f>
        <v>98.996130921259024</v>
      </c>
    </row>
    <row r="95" spans="1:18" s="1270" customFormat="1" ht="15" x14ac:dyDescent="0.2">
      <c r="A95" s="555" t="s">
        <v>208</v>
      </c>
      <c r="B95" s="590"/>
      <c r="C95" s="586"/>
      <c r="D95" s="586"/>
      <c r="E95" s="935">
        <v>0</v>
      </c>
      <c r="F95" s="588">
        <v>0</v>
      </c>
      <c r="G95" s="588">
        <v>0</v>
      </c>
      <c r="H95" s="306">
        <v>0</v>
      </c>
    </row>
    <row r="96" spans="1:18" s="1270" customFormat="1" ht="15" x14ac:dyDescent="0.2">
      <c r="A96" s="555" t="s">
        <v>1147</v>
      </c>
      <c r="B96" s="590"/>
      <c r="C96" s="586"/>
      <c r="D96" s="586"/>
      <c r="E96" s="935">
        <v>0</v>
      </c>
      <c r="F96" s="592">
        <v>0</v>
      </c>
      <c r="G96" s="592">
        <v>0</v>
      </c>
      <c r="H96" s="306">
        <v>0</v>
      </c>
    </row>
    <row r="97" spans="1:10" s="58" customFormat="1" ht="47.25" customHeight="1" thickBot="1" x14ac:dyDescent="0.4">
      <c r="A97" s="2640" t="s">
        <v>50</v>
      </c>
      <c r="B97" s="2644"/>
      <c r="C97" s="2644"/>
      <c r="D97" s="2644"/>
      <c r="E97" s="593">
        <f>E89+E62</f>
        <v>27150</v>
      </c>
      <c r="F97" s="593">
        <f>F89+F62</f>
        <v>26938</v>
      </c>
      <c r="G97" s="593">
        <f>G89+G62</f>
        <v>25578</v>
      </c>
      <c r="H97" s="745">
        <f>(G97/F97)*100</f>
        <v>94.951369812161261</v>
      </c>
      <c r="I97" s="115"/>
    </row>
    <row r="98" spans="1:10" s="644" customFormat="1" ht="13.5" thickTop="1" x14ac:dyDescent="0.2">
      <c r="A98" s="643"/>
      <c r="B98" s="629"/>
      <c r="C98" s="950"/>
      <c r="E98" s="914"/>
      <c r="F98" s="951"/>
      <c r="G98" s="952"/>
      <c r="H98" s="953"/>
      <c r="I98" s="914"/>
      <c r="J98" s="914"/>
    </row>
  </sheetData>
  <mergeCells count="2">
    <mergeCell ref="A97:D97"/>
    <mergeCell ref="D31:D32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8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 enableFormatConditionsCalculation="0">
    <tabColor indexed="42"/>
  </sheetPr>
  <dimension ref="A1:O46"/>
  <sheetViews>
    <sheetView showGridLines="0" topLeftCell="A21" zoomScaleNormal="100" workbookViewId="0">
      <selection activeCell="G42" sqref="G42"/>
    </sheetView>
  </sheetViews>
  <sheetFormatPr defaultRowHeight="12.75" x14ac:dyDescent="0.2"/>
  <cols>
    <col min="1" max="1" width="5" style="75" customWidth="1"/>
    <col min="2" max="2" width="4.7109375" style="163" customWidth="1"/>
    <col min="3" max="3" width="6.28515625" style="136" hidden="1" customWidth="1"/>
    <col min="4" max="4" width="6.7109375" style="146" customWidth="1"/>
    <col min="5" max="5" width="47.140625" style="120" customWidth="1"/>
    <col min="6" max="6" width="12.5703125" style="121" customWidth="1"/>
    <col min="7" max="7" width="14" style="121" customWidth="1"/>
    <col min="8" max="8" width="13.7109375" style="121" customWidth="1"/>
    <col min="9" max="9" width="9.42578125" style="202" customWidth="1"/>
    <col min="10" max="16384" width="9.140625" style="120"/>
  </cols>
  <sheetData>
    <row r="1" spans="1:9" s="136" customFormat="1" ht="18.75" thickBot="1" x14ac:dyDescent="0.3">
      <c r="A1" s="76" t="s">
        <v>522</v>
      </c>
      <c r="B1" s="133"/>
      <c r="C1" s="134"/>
      <c r="D1" s="159"/>
      <c r="E1" s="162"/>
      <c r="F1" s="152"/>
      <c r="G1" s="79" t="s">
        <v>523</v>
      </c>
      <c r="H1" s="135"/>
      <c r="I1" s="201"/>
    </row>
    <row r="3" spans="1:9" ht="12.75" customHeight="1" x14ac:dyDescent="0.25">
      <c r="A3" s="67" t="s">
        <v>367</v>
      </c>
      <c r="B3" s="28"/>
      <c r="C3" s="143" t="s">
        <v>214</v>
      </c>
      <c r="D3" s="143" t="s">
        <v>214</v>
      </c>
      <c r="E3" s="14"/>
      <c r="F3" s="16"/>
      <c r="G3" s="17"/>
      <c r="H3" s="18"/>
    </row>
    <row r="4" spans="1:9" ht="12.75" customHeight="1" x14ac:dyDescent="0.25">
      <c r="A4" s="6"/>
      <c r="B4" s="28"/>
      <c r="C4" s="143" t="s">
        <v>524</v>
      </c>
      <c r="D4" s="143" t="s">
        <v>524</v>
      </c>
      <c r="E4" s="135"/>
      <c r="F4" s="16"/>
      <c r="G4" s="17"/>
      <c r="H4" s="18"/>
    </row>
    <row r="8" spans="1:9" ht="13.5" thickBot="1" x14ac:dyDescent="0.25">
      <c r="A8" s="70" t="s">
        <v>1021</v>
      </c>
      <c r="B8" s="1"/>
      <c r="C8" s="120"/>
      <c r="I8" s="202" t="s">
        <v>161</v>
      </c>
    </row>
    <row r="9" spans="1:9" s="24" customFormat="1" ht="20.25" customHeight="1" thickTop="1" thickBot="1" x14ac:dyDescent="0.25">
      <c r="A9" s="21" t="s">
        <v>162</v>
      </c>
      <c r="B9" s="23" t="s">
        <v>163</v>
      </c>
      <c r="C9" s="173" t="s">
        <v>705</v>
      </c>
      <c r="D9" s="173" t="s">
        <v>705</v>
      </c>
      <c r="E9" s="46" t="s">
        <v>164</v>
      </c>
      <c r="F9" s="47" t="s">
        <v>165</v>
      </c>
      <c r="G9" s="46" t="s">
        <v>881</v>
      </c>
      <c r="H9" s="46" t="s">
        <v>882</v>
      </c>
      <c r="I9" s="196" t="s">
        <v>883</v>
      </c>
    </row>
    <row r="10" spans="1:9" s="323" customFormat="1" ht="13.5" thickTop="1" thickBot="1" x14ac:dyDescent="0.25">
      <c r="A10" s="319">
        <v>1</v>
      </c>
      <c r="B10" s="320">
        <v>2</v>
      </c>
      <c r="C10" s="320">
        <v>3</v>
      </c>
      <c r="D10" s="320">
        <v>4</v>
      </c>
      <c r="E10" s="320">
        <v>5</v>
      </c>
      <c r="F10" s="321">
        <v>6</v>
      </c>
      <c r="G10" s="321">
        <v>7</v>
      </c>
      <c r="H10" s="322">
        <v>8</v>
      </c>
      <c r="I10" s="357" t="s">
        <v>762</v>
      </c>
    </row>
    <row r="11" spans="1:9" ht="15.75" customHeight="1" thickTop="1" x14ac:dyDescent="0.25">
      <c r="A11" s="222">
        <v>3636</v>
      </c>
      <c r="B11" s="241">
        <v>5212</v>
      </c>
      <c r="C11" s="155">
        <v>5213</v>
      </c>
      <c r="D11" s="242"/>
      <c r="E11" s="317" t="s">
        <v>878</v>
      </c>
      <c r="F11" s="38">
        <v>186</v>
      </c>
      <c r="G11" s="88">
        <v>2</v>
      </c>
      <c r="H11" s="233">
        <v>2</v>
      </c>
      <c r="I11" s="206">
        <f>(H11/G11)*100</f>
        <v>100</v>
      </c>
    </row>
    <row r="12" spans="1:9" ht="15.75" thickBot="1" x14ac:dyDescent="0.3">
      <c r="A12" s="50">
        <v>3636</v>
      </c>
      <c r="B12" s="31">
        <v>5213</v>
      </c>
      <c r="C12" s="154"/>
      <c r="D12" s="156"/>
      <c r="E12" s="87" t="s">
        <v>731</v>
      </c>
      <c r="F12" s="39">
        <v>153</v>
      </c>
      <c r="G12" s="71">
        <v>13</v>
      </c>
      <c r="H12" s="94">
        <v>13</v>
      </c>
      <c r="I12" s="198">
        <v>0</v>
      </c>
    </row>
    <row r="13" spans="1:9" ht="18" customHeight="1" thickTop="1" thickBot="1" x14ac:dyDescent="0.3">
      <c r="A13" s="2646" t="s">
        <v>245</v>
      </c>
      <c r="B13" s="2647"/>
      <c r="C13" s="2647"/>
      <c r="D13" s="2647"/>
      <c r="E13" s="2647"/>
      <c r="F13" s="64">
        <f>F11+F12</f>
        <v>339</v>
      </c>
      <c r="G13" s="64">
        <f>G11+G12</f>
        <v>15</v>
      </c>
      <c r="H13" s="64">
        <f>H11+H12</f>
        <v>15</v>
      </c>
      <c r="I13" s="207">
        <f>(H13/G13)*100</f>
        <v>100</v>
      </c>
    </row>
    <row r="14" spans="1:9" ht="15.75" thickTop="1" x14ac:dyDescent="0.25">
      <c r="A14" s="34">
        <v>3636</v>
      </c>
      <c r="B14" s="5">
        <v>6312</v>
      </c>
      <c r="C14" s="19"/>
      <c r="D14" s="129"/>
      <c r="E14" s="62" t="s">
        <v>732</v>
      </c>
      <c r="F14" s="310">
        <v>423</v>
      </c>
      <c r="G14" s="88">
        <v>96</v>
      </c>
      <c r="H14" s="86">
        <v>96</v>
      </c>
      <c r="I14" s="190">
        <f>(H14/G14)*100</f>
        <v>100</v>
      </c>
    </row>
    <row r="15" spans="1:9" ht="15.75" thickBot="1" x14ac:dyDescent="0.3">
      <c r="A15" s="180">
        <v>3636</v>
      </c>
      <c r="B15" s="19">
        <v>6313</v>
      </c>
      <c r="C15" s="19"/>
      <c r="D15" s="122"/>
      <c r="E15" s="72" t="s">
        <v>1170</v>
      </c>
      <c r="F15" s="165">
        <v>271</v>
      </c>
      <c r="G15" s="71">
        <v>387</v>
      </c>
      <c r="H15" s="86">
        <v>387</v>
      </c>
      <c r="I15" s="190">
        <f>(H15/G15)*100</f>
        <v>100</v>
      </c>
    </row>
    <row r="16" spans="1:9" ht="18" customHeight="1" thickTop="1" thickBot="1" x14ac:dyDescent="0.3">
      <c r="A16" s="2646" t="s">
        <v>244</v>
      </c>
      <c r="B16" s="2647"/>
      <c r="C16" s="2647"/>
      <c r="D16" s="2647"/>
      <c r="E16" s="2647"/>
      <c r="F16" s="64">
        <f>F14+F15</f>
        <v>694</v>
      </c>
      <c r="G16" s="64">
        <f>G14+G15</f>
        <v>483</v>
      </c>
      <c r="H16" s="64">
        <f>H14+H15</f>
        <v>483</v>
      </c>
      <c r="I16" s="207">
        <v>0</v>
      </c>
    </row>
    <row r="17" spans="1:9" ht="18" customHeight="1" thickTop="1" thickBot="1" x14ac:dyDescent="0.3">
      <c r="A17" s="2646" t="s">
        <v>715</v>
      </c>
      <c r="B17" s="2647"/>
      <c r="C17" s="2647"/>
      <c r="D17" s="2647"/>
      <c r="E17" s="2647"/>
      <c r="F17" s="111">
        <f>F13+F16</f>
        <v>1033</v>
      </c>
      <c r="G17" s="111">
        <f>G13+G16</f>
        <v>498</v>
      </c>
      <c r="H17" s="111">
        <f>H13+H16</f>
        <v>498</v>
      </c>
      <c r="I17" s="208">
        <f>(H17/G17)*100</f>
        <v>100</v>
      </c>
    </row>
    <row r="18" spans="1:9" ht="13.5" thickTop="1" x14ac:dyDescent="0.2"/>
    <row r="20" spans="1:9" ht="13.5" thickBot="1" x14ac:dyDescent="0.25">
      <c r="A20" s="70" t="s">
        <v>713</v>
      </c>
      <c r="B20" s="1"/>
      <c r="C20" s="120"/>
      <c r="I20" s="202" t="s">
        <v>161</v>
      </c>
    </row>
    <row r="21" spans="1:9" s="24" customFormat="1" ht="20.25" customHeight="1" thickTop="1" thickBot="1" x14ac:dyDescent="0.25">
      <c r="A21" s="21" t="s">
        <v>162</v>
      </c>
      <c r="B21" s="23" t="s">
        <v>163</v>
      </c>
      <c r="C21" s="169" t="s">
        <v>705</v>
      </c>
      <c r="D21" s="173" t="s">
        <v>705</v>
      </c>
      <c r="E21" s="46" t="s">
        <v>164</v>
      </c>
      <c r="F21" s="46" t="s">
        <v>165</v>
      </c>
      <c r="G21" s="46" t="s">
        <v>881</v>
      </c>
      <c r="H21" s="46" t="s">
        <v>882</v>
      </c>
      <c r="I21" s="197" t="s">
        <v>883</v>
      </c>
    </row>
    <row r="22" spans="1:9" s="323" customFormat="1" ht="13.5" thickTop="1" thickBot="1" x14ac:dyDescent="0.25">
      <c r="A22" s="319">
        <v>1</v>
      </c>
      <c r="B22" s="320">
        <v>2</v>
      </c>
      <c r="C22" s="320">
        <v>3</v>
      </c>
      <c r="D22" s="320">
        <v>4</v>
      </c>
      <c r="E22" s="320">
        <v>5</v>
      </c>
      <c r="F22" s="321">
        <v>6</v>
      </c>
      <c r="G22" s="321">
        <v>7</v>
      </c>
      <c r="H22" s="322">
        <v>8</v>
      </c>
      <c r="I22" s="357" t="s">
        <v>762</v>
      </c>
    </row>
    <row r="23" spans="1:9" s="164" customFormat="1" ht="15" customHeight="1" thickTop="1" thickBot="1" x14ac:dyDescent="0.3">
      <c r="A23" s="34">
        <v>3419</v>
      </c>
      <c r="B23" s="116">
        <v>6322</v>
      </c>
      <c r="C23" s="157"/>
      <c r="D23" s="158"/>
      <c r="E23" s="72" t="s">
        <v>1171</v>
      </c>
      <c r="F23" s="48">
        <v>690</v>
      </c>
      <c r="G23" s="71">
        <v>0</v>
      </c>
      <c r="H23" s="71">
        <v>0</v>
      </c>
      <c r="I23" s="199">
        <v>0</v>
      </c>
    </row>
    <row r="24" spans="1:9" ht="18" customHeight="1" thickTop="1" thickBot="1" x14ac:dyDescent="0.3">
      <c r="A24" s="2646" t="s">
        <v>244</v>
      </c>
      <c r="B24" s="2647"/>
      <c r="C24" s="2647"/>
      <c r="D24" s="2647"/>
      <c r="E24" s="2647"/>
      <c r="F24" s="64">
        <f t="shared" ref="F24:I25" si="0">F23</f>
        <v>690</v>
      </c>
      <c r="G24" s="64">
        <f t="shared" si="0"/>
        <v>0</v>
      </c>
      <c r="H24" s="64">
        <f t="shared" si="0"/>
        <v>0</v>
      </c>
      <c r="I24" s="377">
        <f t="shared" si="0"/>
        <v>0</v>
      </c>
    </row>
    <row r="25" spans="1:9" ht="18" customHeight="1" thickTop="1" thickBot="1" x14ac:dyDescent="0.3">
      <c r="A25" s="2650" t="s">
        <v>714</v>
      </c>
      <c r="B25" s="2651"/>
      <c r="C25" s="2651"/>
      <c r="D25" s="2651"/>
      <c r="E25" s="2651"/>
      <c r="F25" s="112">
        <f t="shared" si="0"/>
        <v>690</v>
      </c>
      <c r="G25" s="112">
        <f t="shared" si="0"/>
        <v>0</v>
      </c>
      <c r="H25" s="112">
        <f t="shared" si="0"/>
        <v>0</v>
      </c>
      <c r="I25" s="378">
        <f t="shared" si="0"/>
        <v>0</v>
      </c>
    </row>
    <row r="26" spans="1:9" ht="13.5" thickTop="1" x14ac:dyDescent="0.2"/>
    <row r="28" spans="1:9" ht="13.5" thickBot="1" x14ac:dyDescent="0.25">
      <c r="A28" s="243" t="s">
        <v>1022</v>
      </c>
      <c r="B28" s="1"/>
      <c r="C28" s="120"/>
      <c r="I28" s="202" t="s">
        <v>161</v>
      </c>
    </row>
    <row r="29" spans="1:9" s="24" customFormat="1" ht="20.25" customHeight="1" thickTop="1" thickBot="1" x14ac:dyDescent="0.25">
      <c r="A29" s="21" t="s">
        <v>162</v>
      </c>
      <c r="B29" s="23" t="s">
        <v>163</v>
      </c>
      <c r="C29" s="169" t="s">
        <v>705</v>
      </c>
      <c r="D29" s="173" t="s">
        <v>705</v>
      </c>
      <c r="E29" s="46" t="s">
        <v>164</v>
      </c>
      <c r="F29" s="46" t="s">
        <v>165</v>
      </c>
      <c r="G29" s="46" t="s">
        <v>881</v>
      </c>
      <c r="H29" s="46" t="s">
        <v>882</v>
      </c>
      <c r="I29" s="197" t="s">
        <v>883</v>
      </c>
    </row>
    <row r="30" spans="1:9" s="323" customFormat="1" ht="13.5" thickTop="1" thickBot="1" x14ac:dyDescent="0.25">
      <c r="A30" s="319">
        <v>1</v>
      </c>
      <c r="B30" s="320">
        <v>2</v>
      </c>
      <c r="C30" s="320">
        <v>3</v>
      </c>
      <c r="D30" s="320">
        <v>4</v>
      </c>
      <c r="E30" s="320">
        <v>5</v>
      </c>
      <c r="F30" s="321">
        <v>6</v>
      </c>
      <c r="G30" s="321">
        <v>7</v>
      </c>
      <c r="H30" s="322">
        <v>8</v>
      </c>
      <c r="I30" s="357" t="s">
        <v>762</v>
      </c>
    </row>
    <row r="31" spans="1:9" ht="16.5" thickTop="1" thickBot="1" x14ac:dyDescent="0.3">
      <c r="A31" s="34">
        <v>3636</v>
      </c>
      <c r="B31" s="116">
        <v>5222</v>
      </c>
      <c r="C31" s="244"/>
      <c r="D31" s="245"/>
      <c r="E31" s="72" t="s">
        <v>221</v>
      </c>
      <c r="F31" s="165">
        <v>277</v>
      </c>
      <c r="G31" s="84">
        <v>277</v>
      </c>
      <c r="H31" s="84">
        <v>277</v>
      </c>
      <c r="I31" s="199">
        <f>(H31/G31)*100</f>
        <v>100</v>
      </c>
    </row>
    <row r="32" spans="1:9" ht="18" customHeight="1" thickTop="1" thickBot="1" x14ac:dyDescent="0.3">
      <c r="A32" s="2646" t="s">
        <v>245</v>
      </c>
      <c r="B32" s="2647"/>
      <c r="C32" s="2647"/>
      <c r="D32" s="2647"/>
      <c r="E32" s="2647"/>
      <c r="F32" s="111">
        <f t="shared" ref="F32:H33" si="1">F31</f>
        <v>277</v>
      </c>
      <c r="G32" s="111">
        <f t="shared" si="1"/>
        <v>277</v>
      </c>
      <c r="H32" s="111">
        <f t="shared" si="1"/>
        <v>277</v>
      </c>
      <c r="I32" s="208">
        <f>(H32/G32)*100</f>
        <v>100</v>
      </c>
    </row>
    <row r="33" spans="1:15" ht="18" customHeight="1" thickTop="1" thickBot="1" x14ac:dyDescent="0.3">
      <c r="A33" s="2646" t="s">
        <v>621</v>
      </c>
      <c r="B33" s="2647"/>
      <c r="C33" s="2647"/>
      <c r="D33" s="2647"/>
      <c r="E33" s="2647"/>
      <c r="F33" s="111">
        <f t="shared" si="1"/>
        <v>277</v>
      </c>
      <c r="G33" s="111">
        <f t="shared" si="1"/>
        <v>277</v>
      </c>
      <c r="H33" s="111">
        <f t="shared" si="1"/>
        <v>277</v>
      </c>
      <c r="I33" s="208">
        <f>(H33/G33)*100</f>
        <v>100</v>
      </c>
    </row>
    <row r="34" spans="1:15" ht="13.5" thickTop="1" x14ac:dyDescent="0.2"/>
    <row r="36" spans="1:15" customFormat="1" ht="15.75" x14ac:dyDescent="0.25">
      <c r="A36" s="2648" t="s">
        <v>1014</v>
      </c>
      <c r="B36" s="2649"/>
      <c r="C36" s="2649"/>
      <c r="D36" s="2649"/>
      <c r="E36" s="2649"/>
      <c r="F36" s="304"/>
      <c r="G36" s="304"/>
      <c r="H36" s="305"/>
    </row>
    <row r="37" spans="1:15" customFormat="1" ht="15.75" x14ac:dyDescent="0.25">
      <c r="A37" s="2649"/>
      <c r="B37" s="2649"/>
      <c r="C37" s="2649"/>
      <c r="D37" s="2649"/>
      <c r="E37" s="2649"/>
      <c r="F37" s="304">
        <f>SUM(F38:F41)</f>
        <v>2000</v>
      </c>
      <c r="G37" s="304">
        <f>SUM(G38:G41)</f>
        <v>775</v>
      </c>
      <c r="H37" s="304">
        <f>SUM(H38:H41)</f>
        <v>775</v>
      </c>
      <c r="I37" s="209">
        <f>H37/G37*100</f>
        <v>100</v>
      </c>
    </row>
    <row r="38" spans="1:15" s="104" customFormat="1" ht="15" x14ac:dyDescent="0.2">
      <c r="A38" s="260" t="s">
        <v>263</v>
      </c>
      <c r="B38" s="110"/>
      <c r="D38" s="160"/>
      <c r="F38" s="261">
        <f>F32+F13</f>
        <v>616</v>
      </c>
      <c r="G38" s="261">
        <f>G32+G13</f>
        <v>292</v>
      </c>
      <c r="H38" s="261">
        <f>H32+H13</f>
        <v>292</v>
      </c>
      <c r="I38" s="215">
        <f>H38/G38*100</f>
        <v>100</v>
      </c>
      <c r="L38" s="246"/>
      <c r="M38" s="246"/>
      <c r="N38" s="246"/>
      <c r="O38" s="247"/>
    </row>
    <row r="39" spans="1:15" s="104" customFormat="1" ht="15" x14ac:dyDescent="0.2">
      <c r="A39" s="260" t="s">
        <v>264</v>
      </c>
      <c r="B39" s="110"/>
      <c r="D39" s="160"/>
      <c r="F39" s="261">
        <f>F24+F16</f>
        <v>1384</v>
      </c>
      <c r="G39" s="261">
        <f>G24+G16</f>
        <v>483</v>
      </c>
      <c r="H39" s="261">
        <f>H24+H16</f>
        <v>483</v>
      </c>
      <c r="I39" s="215">
        <f>H39/G39*100</f>
        <v>100</v>
      </c>
      <c r="L39" s="246"/>
      <c r="M39" s="246"/>
      <c r="N39" s="246"/>
      <c r="O39" s="247"/>
    </row>
    <row r="40" spans="1:15" s="104" customFormat="1" ht="15" x14ac:dyDescent="0.2">
      <c r="A40" s="260" t="s">
        <v>208</v>
      </c>
      <c r="B40" s="110"/>
      <c r="D40" s="160"/>
      <c r="F40" s="261">
        <v>0</v>
      </c>
      <c r="G40" s="261">
        <v>0</v>
      </c>
      <c r="H40" s="261">
        <v>0</v>
      </c>
      <c r="I40" s="215">
        <v>0</v>
      </c>
      <c r="L40" s="246"/>
      <c r="M40" s="246"/>
      <c r="N40" s="246"/>
      <c r="O40" s="247"/>
    </row>
    <row r="41" spans="1:15" s="104" customFormat="1" ht="15" x14ac:dyDescent="0.2">
      <c r="A41" s="260" t="s">
        <v>1147</v>
      </c>
      <c r="B41" s="110"/>
      <c r="D41" s="160"/>
      <c r="F41" s="261">
        <v>0</v>
      </c>
      <c r="G41" s="261">
        <v>0</v>
      </c>
      <c r="H41" s="261">
        <v>0</v>
      </c>
      <c r="I41" s="215">
        <v>0</v>
      </c>
      <c r="L41" s="246"/>
      <c r="M41" s="246"/>
      <c r="N41" s="246"/>
      <c r="O41" s="247"/>
    </row>
    <row r="42" spans="1:15" s="104" customFormat="1" ht="15.75" x14ac:dyDescent="0.25">
      <c r="A42" s="110"/>
      <c r="B42" s="110"/>
      <c r="D42" s="160"/>
      <c r="F42" s="100"/>
      <c r="G42" s="100"/>
      <c r="H42" s="100"/>
      <c r="I42" s="209"/>
      <c r="L42" s="246"/>
      <c r="M42" s="246"/>
      <c r="N42" s="246"/>
      <c r="O42" s="247"/>
    </row>
    <row r="44" spans="1:15" s="58" customFormat="1" ht="31.5" customHeight="1" x14ac:dyDescent="0.35">
      <c r="A44" s="2654" t="s">
        <v>156</v>
      </c>
      <c r="B44" s="2655"/>
      <c r="C44" s="2655"/>
      <c r="D44" s="2655"/>
      <c r="E44" s="2655"/>
      <c r="F44" s="2656">
        <f>F38+F39</f>
        <v>2000</v>
      </c>
      <c r="G44" s="2656">
        <f>G38+G39</f>
        <v>775</v>
      </c>
      <c r="H44" s="2656">
        <f>H38+H39</f>
        <v>775</v>
      </c>
      <c r="I44" s="2652">
        <f>(H44/G44)*100</f>
        <v>100</v>
      </c>
    </row>
    <row r="45" spans="1:15" ht="13.5" thickBot="1" x14ac:dyDescent="0.25">
      <c r="A45" s="2653"/>
      <c r="B45" s="2653"/>
      <c r="C45" s="2653"/>
      <c r="D45" s="2653"/>
      <c r="E45" s="2653"/>
      <c r="F45" s="2653"/>
      <c r="G45" s="2653"/>
      <c r="H45" s="2653"/>
      <c r="I45" s="2653"/>
    </row>
    <row r="46" spans="1:15" ht="13.5" thickTop="1" x14ac:dyDescent="0.2"/>
  </sheetData>
  <mergeCells count="13">
    <mergeCell ref="I44:I45"/>
    <mergeCell ref="A44:E45"/>
    <mergeCell ref="G44:G45"/>
    <mergeCell ref="F44:F45"/>
    <mergeCell ref="H44:H45"/>
    <mergeCell ref="A24:E24"/>
    <mergeCell ref="A13:E13"/>
    <mergeCell ref="A16:E16"/>
    <mergeCell ref="A17:E17"/>
    <mergeCell ref="A36:E37"/>
    <mergeCell ref="A25:E25"/>
    <mergeCell ref="A32:E32"/>
    <mergeCell ref="A33:E33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41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 enableFormatConditionsCalculation="0">
    <tabColor indexed="33"/>
  </sheetPr>
  <dimension ref="A1:J48"/>
  <sheetViews>
    <sheetView showGridLines="0" zoomScaleNormal="100" workbookViewId="0">
      <selection activeCell="A5" sqref="A5"/>
    </sheetView>
  </sheetViews>
  <sheetFormatPr defaultRowHeight="12.75" x14ac:dyDescent="0.2"/>
  <cols>
    <col min="1" max="1" width="6.140625" style="1" customWidth="1"/>
    <col min="2" max="2" width="5.42578125" style="120" customWidth="1"/>
    <col min="3" max="3" width="6.7109375" style="146" customWidth="1"/>
    <col min="4" max="4" width="47.85546875" style="120" customWidth="1"/>
    <col min="5" max="5" width="12.140625" style="121" customWidth="1"/>
    <col min="6" max="6" width="12.7109375" style="121" customWidth="1"/>
    <col min="7" max="7" width="11.5703125" style="121" customWidth="1"/>
    <col min="8" max="8" width="8.7109375" style="202" customWidth="1"/>
    <col min="9" max="10" width="9.140625" style="121"/>
    <col min="11" max="16384" width="9.140625" style="120"/>
  </cols>
  <sheetData>
    <row r="1" spans="1:10" ht="18.75" thickBot="1" x14ac:dyDescent="0.3">
      <c r="A1" s="2" t="s">
        <v>122</v>
      </c>
      <c r="B1" s="26"/>
      <c r="C1" s="141"/>
      <c r="D1" s="9"/>
      <c r="E1" s="152"/>
      <c r="F1" s="11" t="s">
        <v>123</v>
      </c>
      <c r="I1" s="18"/>
    </row>
    <row r="2" spans="1:10" ht="12.75" customHeight="1" x14ac:dyDescent="0.25">
      <c r="A2" s="6"/>
      <c r="B2" s="28"/>
      <c r="C2" s="142"/>
      <c r="D2" s="10"/>
      <c r="E2" s="137"/>
      <c r="F2" s="137"/>
      <c r="G2" s="16"/>
      <c r="H2" s="194"/>
      <c r="I2" s="18"/>
    </row>
    <row r="3" spans="1:10" ht="12.75" customHeight="1" x14ac:dyDescent="0.25">
      <c r="A3" s="67" t="s">
        <v>367</v>
      </c>
      <c r="B3" s="28"/>
      <c r="C3" s="143" t="s">
        <v>214</v>
      </c>
      <c r="D3" s="14"/>
      <c r="E3" s="137"/>
      <c r="F3" s="16"/>
      <c r="G3" s="17"/>
      <c r="H3" s="195"/>
      <c r="I3" s="120"/>
      <c r="J3" s="120"/>
    </row>
    <row r="4" spans="1:10" ht="12.75" customHeight="1" x14ac:dyDescent="0.25">
      <c r="A4" s="6"/>
      <c r="B4" s="28"/>
      <c r="C4" s="143" t="s">
        <v>215</v>
      </c>
      <c r="D4" s="135"/>
      <c r="E4" s="138"/>
      <c r="F4" s="16"/>
      <c r="G4" s="17"/>
      <c r="H4" s="195"/>
      <c r="I4" s="120"/>
      <c r="J4" s="120"/>
    </row>
    <row r="5" spans="1:10" ht="12.75" customHeight="1" x14ac:dyDescent="0.25">
      <c r="A5" s="6"/>
      <c r="B5" s="28"/>
      <c r="C5" s="142"/>
      <c r="D5" s="10"/>
      <c r="E5" s="137"/>
      <c r="F5" s="137"/>
      <c r="G5" s="16"/>
      <c r="H5" s="194"/>
      <c r="I5" s="18"/>
    </row>
    <row r="6" spans="1:10" ht="18" x14ac:dyDescent="0.25">
      <c r="A6" s="33" t="s">
        <v>884</v>
      </c>
      <c r="B6" s="28"/>
      <c r="C6" s="142"/>
      <c r="D6" s="10"/>
      <c r="E6" s="137"/>
      <c r="F6" s="137"/>
      <c r="G6" s="16"/>
      <c r="H6" s="194"/>
      <c r="I6" s="18"/>
    </row>
    <row r="7" spans="1:10" ht="13.5" thickBot="1" x14ac:dyDescent="0.25">
      <c r="A7" s="25"/>
      <c r="B7" s="25"/>
      <c r="C7" s="144"/>
      <c r="D7" s="3"/>
      <c r="G7" s="140"/>
      <c r="H7" s="202" t="s">
        <v>161</v>
      </c>
    </row>
    <row r="8" spans="1:10" s="24" customFormat="1" ht="20.25" customHeight="1" thickTop="1" thickBot="1" x14ac:dyDescent="0.25">
      <c r="A8" s="21" t="s">
        <v>162</v>
      </c>
      <c r="B8" s="22" t="s">
        <v>163</v>
      </c>
      <c r="C8" s="173" t="s">
        <v>705</v>
      </c>
      <c r="D8" s="46" t="s">
        <v>164</v>
      </c>
      <c r="E8" s="46" t="s">
        <v>165</v>
      </c>
      <c r="F8" s="46" t="s">
        <v>881</v>
      </c>
      <c r="G8" s="46" t="s">
        <v>882</v>
      </c>
      <c r="H8" s="197" t="s">
        <v>883</v>
      </c>
      <c r="I8" s="54"/>
      <c r="J8" s="54"/>
    </row>
    <row r="9" spans="1:10" ht="15.75" thickTop="1" x14ac:dyDescent="0.25">
      <c r="A9" s="34">
        <v>6172</v>
      </c>
      <c r="B9" s="19">
        <v>5163</v>
      </c>
      <c r="C9" s="122"/>
      <c r="D9" s="128" t="s">
        <v>892</v>
      </c>
      <c r="E9" s="29"/>
      <c r="F9" s="148">
        <v>4</v>
      </c>
      <c r="G9" s="149">
        <v>3</v>
      </c>
      <c r="H9" s="190">
        <f>(G9/F9)*100</f>
        <v>75</v>
      </c>
    </row>
    <row r="10" spans="1:10" ht="18" x14ac:dyDescent="0.25">
      <c r="A10" s="34"/>
      <c r="B10" s="19"/>
      <c r="C10" s="122"/>
      <c r="D10" s="83" t="s">
        <v>390</v>
      </c>
      <c r="E10" s="29"/>
      <c r="F10" s="130"/>
      <c r="G10" s="150"/>
      <c r="H10" s="190"/>
    </row>
    <row r="11" spans="1:10" ht="15.75" thickBot="1" x14ac:dyDescent="0.3">
      <c r="A11" s="49"/>
      <c r="B11" s="20"/>
      <c r="C11" s="127"/>
      <c r="D11" s="32" t="s">
        <v>124</v>
      </c>
      <c r="E11" s="30"/>
      <c r="F11" s="97">
        <v>4</v>
      </c>
      <c r="G11" s="151"/>
      <c r="H11" s="193"/>
    </row>
    <row r="12" spans="1:10" s="8" customFormat="1" ht="35.25" customHeight="1" thickTop="1" thickBot="1" x14ac:dyDescent="0.3">
      <c r="A12" s="35" t="s">
        <v>245</v>
      </c>
      <c r="B12" s="51"/>
      <c r="C12" s="145"/>
      <c r="D12" s="36"/>
      <c r="E12" s="37">
        <v>0</v>
      </c>
      <c r="F12" s="37">
        <v>4</v>
      </c>
      <c r="G12" s="37">
        <v>3</v>
      </c>
      <c r="H12" s="191">
        <f>(G12/F12)*100</f>
        <v>75</v>
      </c>
    </row>
    <row r="13" spans="1:10" ht="13.5" thickTop="1" x14ac:dyDescent="0.2">
      <c r="A13" s="25"/>
      <c r="B13" s="27"/>
      <c r="I13" s="153"/>
      <c r="J13" s="120"/>
    </row>
    <row r="14" spans="1:10" x14ac:dyDescent="0.2">
      <c r="A14" s="25"/>
      <c r="B14" s="27"/>
      <c r="I14" s="153"/>
      <c r="J14" s="120"/>
    </row>
    <row r="15" spans="1:10" ht="15.75" x14ac:dyDescent="0.25">
      <c r="A15" s="161" t="s">
        <v>1136</v>
      </c>
      <c r="B15" s="27"/>
      <c r="I15" s="153"/>
      <c r="J15" s="120"/>
    </row>
    <row r="16" spans="1:10" x14ac:dyDescent="0.2">
      <c r="A16" s="25"/>
      <c r="B16" s="27"/>
      <c r="I16" s="153"/>
      <c r="J16" s="120"/>
    </row>
    <row r="17" spans="1:10" customFormat="1" ht="13.5" thickBot="1" x14ac:dyDescent="0.25">
      <c r="A17" s="70" t="s">
        <v>125</v>
      </c>
      <c r="B17" s="1"/>
      <c r="D17" s="146"/>
      <c r="F17" s="12"/>
      <c r="G17" s="12"/>
      <c r="H17" s="113" t="s">
        <v>161</v>
      </c>
      <c r="I17" s="12"/>
    </row>
    <row r="18" spans="1:10" s="24" customFormat="1" ht="20.25" customHeight="1" thickTop="1" thickBot="1" x14ac:dyDescent="0.25">
      <c r="A18" s="21" t="s">
        <v>162</v>
      </c>
      <c r="B18" s="22" t="s">
        <v>163</v>
      </c>
      <c r="C18" s="173" t="s">
        <v>705</v>
      </c>
      <c r="D18" s="46" t="s">
        <v>164</v>
      </c>
      <c r="E18" s="46" t="s">
        <v>165</v>
      </c>
      <c r="F18" s="46" t="s">
        <v>881</v>
      </c>
      <c r="G18" s="46" t="s">
        <v>882</v>
      </c>
      <c r="H18" s="197" t="s">
        <v>883</v>
      </c>
      <c r="I18" s="54"/>
      <c r="J18" s="54"/>
    </row>
    <row r="19" spans="1:10" ht="15.75" thickTop="1" x14ac:dyDescent="0.25">
      <c r="A19" s="34">
        <v>3314</v>
      </c>
      <c r="B19" s="19">
        <v>6119</v>
      </c>
      <c r="C19" s="122"/>
      <c r="D19" s="128" t="s">
        <v>126</v>
      </c>
      <c r="E19" s="29"/>
      <c r="F19" s="61">
        <v>346</v>
      </c>
      <c r="G19" s="59">
        <v>346</v>
      </c>
      <c r="H19" s="190">
        <f>(G19/F19)*100</f>
        <v>100</v>
      </c>
    </row>
    <row r="20" spans="1:10" ht="15" x14ac:dyDescent="0.25">
      <c r="A20" s="34"/>
      <c r="B20" s="19"/>
      <c r="C20" s="122"/>
      <c r="D20" s="83" t="s">
        <v>390</v>
      </c>
      <c r="E20" s="29"/>
      <c r="F20" s="125"/>
      <c r="G20" s="177"/>
      <c r="H20" s="190"/>
    </row>
    <row r="21" spans="1:10" ht="15.75" thickBot="1" x14ac:dyDescent="0.3">
      <c r="A21" s="49"/>
      <c r="B21" s="20"/>
      <c r="C21" s="127"/>
      <c r="D21" s="85" t="s">
        <v>127</v>
      </c>
      <c r="E21" s="30"/>
      <c r="F21" s="178">
        <v>346</v>
      </c>
      <c r="G21" s="179"/>
      <c r="H21" s="189"/>
    </row>
    <row r="22" spans="1:10" s="8" customFormat="1" ht="35.25" customHeight="1" thickTop="1" thickBot="1" x14ac:dyDescent="0.3">
      <c r="A22" s="35" t="s">
        <v>128</v>
      </c>
      <c r="B22" s="51"/>
      <c r="C22" s="145"/>
      <c r="D22" s="36"/>
      <c r="E22" s="37">
        <v>0</v>
      </c>
      <c r="F22" s="37">
        <v>346</v>
      </c>
      <c r="G22" s="37">
        <v>346</v>
      </c>
      <c r="H22" s="191">
        <f>(G22/F22)*100</f>
        <v>100</v>
      </c>
    </row>
    <row r="23" spans="1:10" ht="13.5" thickTop="1" x14ac:dyDescent="0.2">
      <c r="A23" s="25"/>
      <c r="B23" s="27"/>
      <c r="I23" s="153"/>
      <c r="J23" s="120"/>
    </row>
    <row r="24" spans="1:10" x14ac:dyDescent="0.2">
      <c r="A24" s="25"/>
      <c r="B24" s="27"/>
      <c r="I24" s="153"/>
      <c r="J24" s="120"/>
    </row>
    <row r="25" spans="1:10" customFormat="1" ht="13.5" thickBot="1" x14ac:dyDescent="0.25">
      <c r="A25" s="70" t="s">
        <v>946</v>
      </c>
      <c r="B25" s="1"/>
      <c r="D25" s="146"/>
      <c r="F25" s="12"/>
      <c r="G25" s="12"/>
      <c r="H25" s="113" t="s">
        <v>161</v>
      </c>
      <c r="I25" s="12"/>
    </row>
    <row r="26" spans="1:10" s="24" customFormat="1" ht="20.25" customHeight="1" thickTop="1" thickBot="1" x14ac:dyDescent="0.25">
      <c r="A26" s="21" t="s">
        <v>162</v>
      </c>
      <c r="B26" s="22" t="s">
        <v>163</v>
      </c>
      <c r="C26" s="173" t="s">
        <v>705</v>
      </c>
      <c r="D26" s="46" t="s">
        <v>164</v>
      </c>
      <c r="E26" s="46" t="s">
        <v>165</v>
      </c>
      <c r="F26" s="46" t="s">
        <v>881</v>
      </c>
      <c r="G26" s="46" t="s">
        <v>882</v>
      </c>
      <c r="H26" s="197" t="s">
        <v>883</v>
      </c>
      <c r="I26" s="54"/>
      <c r="J26" s="54"/>
    </row>
    <row r="27" spans="1:10" ht="15.75" thickTop="1" x14ac:dyDescent="0.25">
      <c r="A27" s="34">
        <v>2140</v>
      </c>
      <c r="B27" s="19">
        <v>5169</v>
      </c>
      <c r="C27" s="122"/>
      <c r="D27" s="128" t="s">
        <v>852</v>
      </c>
      <c r="E27" s="29"/>
      <c r="F27" s="61">
        <v>251</v>
      </c>
      <c r="G27" s="59">
        <v>251</v>
      </c>
      <c r="H27" s="190">
        <f>(G27/F27)*100</f>
        <v>100</v>
      </c>
    </row>
    <row r="28" spans="1:10" ht="15" x14ac:dyDescent="0.25">
      <c r="A28" s="34"/>
      <c r="B28" s="19"/>
      <c r="C28" s="122"/>
      <c r="D28" s="83" t="s">
        <v>390</v>
      </c>
      <c r="E28" s="29"/>
      <c r="F28" s="125"/>
      <c r="G28" s="177"/>
      <c r="H28" s="190"/>
    </row>
    <row r="29" spans="1:10" ht="15.75" thickBot="1" x14ac:dyDescent="0.3">
      <c r="A29" s="49"/>
      <c r="B29" s="20"/>
      <c r="C29" s="127">
        <v>4</v>
      </c>
      <c r="D29" s="85" t="s">
        <v>947</v>
      </c>
      <c r="E29" s="30"/>
      <c r="F29" s="178">
        <v>251</v>
      </c>
      <c r="G29" s="179">
        <v>251</v>
      </c>
      <c r="H29" s="189">
        <f>(G29/F29)*100</f>
        <v>100</v>
      </c>
    </row>
    <row r="30" spans="1:10" s="8" customFormat="1" ht="35.25" customHeight="1" thickTop="1" thickBot="1" x14ac:dyDescent="0.3">
      <c r="A30" s="35" t="s">
        <v>1137</v>
      </c>
      <c r="B30" s="51"/>
      <c r="C30" s="145"/>
      <c r="D30" s="36"/>
      <c r="E30" s="37">
        <v>0</v>
      </c>
      <c r="F30" s="37">
        <v>251</v>
      </c>
      <c r="G30" s="37">
        <v>251</v>
      </c>
      <c r="H30" s="191">
        <f>(G30/F30)*100</f>
        <v>100</v>
      </c>
    </row>
    <row r="31" spans="1:10" ht="13.5" thickTop="1" x14ac:dyDescent="0.2">
      <c r="A31" s="25"/>
      <c r="B31" s="27"/>
      <c r="I31" s="153"/>
      <c r="J31" s="120"/>
    </row>
    <row r="32" spans="1:10" x14ac:dyDescent="0.2">
      <c r="A32" s="25"/>
      <c r="B32" s="27"/>
      <c r="I32" s="153"/>
      <c r="J32" s="120"/>
    </row>
    <row r="33" spans="1:10" customFormat="1" ht="13.5" thickBot="1" x14ac:dyDescent="0.25">
      <c r="A33" s="70" t="s">
        <v>1134</v>
      </c>
      <c r="B33" s="1"/>
      <c r="D33" s="146"/>
      <c r="F33" s="12"/>
      <c r="G33" s="12"/>
      <c r="H33" s="113" t="s">
        <v>161</v>
      </c>
      <c r="I33" s="12"/>
    </row>
    <row r="34" spans="1:10" s="24" customFormat="1" ht="20.25" customHeight="1" thickTop="1" thickBot="1" x14ac:dyDescent="0.25">
      <c r="A34" s="21" t="s">
        <v>162</v>
      </c>
      <c r="B34" s="22" t="s">
        <v>163</v>
      </c>
      <c r="C34" s="173" t="s">
        <v>705</v>
      </c>
      <c r="D34" s="46" t="s">
        <v>164</v>
      </c>
      <c r="E34" s="46" t="s">
        <v>165</v>
      </c>
      <c r="F34" s="46" t="s">
        <v>881</v>
      </c>
      <c r="G34" s="46" t="s">
        <v>882</v>
      </c>
      <c r="H34" s="197" t="s">
        <v>883</v>
      </c>
      <c r="I34" s="54"/>
      <c r="J34" s="54"/>
    </row>
    <row r="35" spans="1:10" ht="15.75" thickTop="1" x14ac:dyDescent="0.25">
      <c r="A35" s="34">
        <v>2212</v>
      </c>
      <c r="B35" s="19">
        <v>6121</v>
      </c>
      <c r="C35" s="122"/>
      <c r="D35" s="128" t="s">
        <v>603</v>
      </c>
      <c r="E35" s="29"/>
      <c r="F35" s="148">
        <v>123</v>
      </c>
      <c r="G35" s="149">
        <v>123</v>
      </c>
      <c r="H35" s="190">
        <f>(G35/F35)*100</f>
        <v>100</v>
      </c>
    </row>
    <row r="36" spans="1:10" ht="18" x14ac:dyDescent="0.25">
      <c r="A36" s="34"/>
      <c r="B36" s="19"/>
      <c r="C36" s="122"/>
      <c r="D36" s="83" t="s">
        <v>390</v>
      </c>
      <c r="E36" s="29"/>
      <c r="F36" s="130"/>
      <c r="G36" s="150"/>
      <c r="H36" s="190"/>
    </row>
    <row r="37" spans="1:10" ht="15.75" thickBot="1" x14ac:dyDescent="0.3">
      <c r="A37" s="49"/>
      <c r="B37" s="20"/>
      <c r="C37" s="127"/>
      <c r="D37" s="85" t="s">
        <v>1135</v>
      </c>
      <c r="E37" s="30"/>
      <c r="F37" s="97">
        <v>123</v>
      </c>
      <c r="G37" s="151"/>
      <c r="H37" s="193"/>
    </row>
    <row r="38" spans="1:10" s="8" customFormat="1" ht="35.25" customHeight="1" thickTop="1" thickBot="1" x14ac:dyDescent="0.3">
      <c r="A38" s="35" t="s">
        <v>128</v>
      </c>
      <c r="B38" s="51"/>
      <c r="C38" s="145"/>
      <c r="D38" s="36"/>
      <c r="E38" s="37">
        <v>0</v>
      </c>
      <c r="F38" s="37">
        <v>123</v>
      </c>
      <c r="G38" s="37">
        <v>123</v>
      </c>
      <c r="H38" s="191">
        <f>(G38/F38)*100</f>
        <v>100</v>
      </c>
    </row>
    <row r="39" spans="1:10" ht="13.5" thickTop="1" x14ac:dyDescent="0.2">
      <c r="A39" s="25"/>
      <c r="B39" s="27"/>
      <c r="I39" s="153"/>
      <c r="J39" s="120"/>
    </row>
    <row r="40" spans="1:10" s="99" customFormat="1" ht="15.75" x14ac:dyDescent="0.25">
      <c r="A40" s="101" t="s">
        <v>130</v>
      </c>
      <c r="B40" s="102"/>
      <c r="C40" s="103"/>
      <c r="D40" s="104"/>
      <c r="E40" s="100"/>
      <c r="F40" s="100">
        <f>SUM(F12)</f>
        <v>4</v>
      </c>
      <c r="G40" s="100">
        <f>SUM(G12)</f>
        <v>3</v>
      </c>
      <c r="H40" s="209">
        <f>G40/F40*100</f>
        <v>75</v>
      </c>
    </row>
    <row r="41" spans="1:10" s="99" customFormat="1" ht="15.75" x14ac:dyDescent="0.25">
      <c r="A41" s="101" t="s">
        <v>1138</v>
      </c>
      <c r="B41" s="101"/>
      <c r="C41" s="105"/>
      <c r="D41" s="106"/>
      <c r="E41" s="100"/>
      <c r="F41" s="100">
        <f>SUM(F30)</f>
        <v>251</v>
      </c>
      <c r="G41" s="100">
        <f>SUM(G30)</f>
        <v>251</v>
      </c>
      <c r="H41" s="209">
        <f>G41/F41*100</f>
        <v>100</v>
      </c>
    </row>
    <row r="42" spans="1:10" s="99" customFormat="1" ht="15.75" x14ac:dyDescent="0.25">
      <c r="A42" s="101" t="s">
        <v>1139</v>
      </c>
      <c r="B42" s="101"/>
      <c r="C42" s="105"/>
      <c r="D42" s="106"/>
      <c r="E42" s="100"/>
      <c r="F42" s="100">
        <f>SUM(F22,F38)</f>
        <v>469</v>
      </c>
      <c r="G42" s="100">
        <f>SUM(G22,G38)</f>
        <v>469</v>
      </c>
      <c r="H42" s="209">
        <f>G42/F42*100</f>
        <v>100</v>
      </c>
    </row>
    <row r="43" spans="1:10" x14ac:dyDescent="0.2">
      <c r="A43" s="25"/>
      <c r="B43" s="27"/>
      <c r="I43" s="153"/>
      <c r="J43" s="120"/>
    </row>
    <row r="44" spans="1:10" x14ac:dyDescent="0.2">
      <c r="A44" s="25"/>
      <c r="B44" s="27"/>
      <c r="I44" s="153"/>
      <c r="J44" s="120"/>
    </row>
    <row r="45" spans="1:10" x14ac:dyDescent="0.2">
      <c r="A45" s="25"/>
      <c r="B45" s="27"/>
      <c r="I45" s="153"/>
      <c r="J45" s="120"/>
    </row>
    <row r="46" spans="1:10" x14ac:dyDescent="0.2">
      <c r="A46" s="25"/>
      <c r="B46" s="27"/>
      <c r="I46" s="153"/>
      <c r="J46" s="120"/>
    </row>
    <row r="47" spans="1:10" s="58" customFormat="1" ht="47.25" customHeight="1" thickBot="1" x14ac:dyDescent="0.4">
      <c r="A47" s="2657" t="s">
        <v>717</v>
      </c>
      <c r="B47" s="2658"/>
      <c r="C47" s="2658"/>
      <c r="D47" s="2658"/>
      <c r="E47" s="44">
        <v>0</v>
      </c>
      <c r="F47" s="44">
        <f>SUM(F40,F41,F42)</f>
        <v>724</v>
      </c>
      <c r="G47" s="44">
        <f>SUM(G40,G41,G42)</f>
        <v>723</v>
      </c>
      <c r="H47" s="192">
        <f>(G47/F47)*100</f>
        <v>99.861878453038671</v>
      </c>
      <c r="I47" s="115"/>
    </row>
    <row r="48" spans="1:10" s="4" customFormat="1" ht="13.5" thickTop="1" x14ac:dyDescent="0.2">
      <c r="A48" s="1"/>
      <c r="B48" s="1"/>
      <c r="C48" s="147"/>
      <c r="E48" s="53"/>
      <c r="F48" s="56"/>
      <c r="G48" s="13"/>
      <c r="H48" s="205"/>
      <c r="I48" s="53"/>
      <c r="J48" s="53"/>
    </row>
  </sheetData>
  <mergeCells count="1">
    <mergeCell ref="A47:D47"/>
  </mergeCells>
  <phoneticPr fontId="34" type="noConversion"/>
  <pageMargins left="0.59055118110236227" right="0.39370078740157483" top="0.98425196850393704" bottom="0.98425196850393704" header="0.51181102362204722" footer="0.51181102362204722"/>
  <pageSetup paperSize="9" scale="85" firstPageNumber="69" orientation="portrait" r:id="rId1"/>
  <headerFooter alignWithMargins="0">
    <oddFooter xml:space="preserve">&amp;L&amp;"Arial,Kurzíva"Zastupitelstvo Olomouckého kraje 22.4.2005
5-Rozpočet Olomouckého kraje 2004 - závěrečný účet Olomouckého kraje za rok 2004
Příloha č. 2: Plnění rozpočtu výdajů OK k 31.12.2004&amp;R&amp;"Arial,Kurzíva"Stránka &amp;P (celkem 700)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/>
  <dimension ref="A1"/>
  <sheetViews>
    <sheetView workbookViewId="0"/>
  </sheetViews>
  <sheetFormatPr defaultRowHeight="12.75" x14ac:dyDescent="0.2"/>
  <sheetData/>
  <phoneticPr fontId="34" type="noConversion"/>
  <pageMargins left="0.78740157499999996" right="0.78740157499999996" top="0.984251969" bottom="0.984251969" header="0.4921259845" footer="0.492125984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 enableFormatConditionsCalculation="0">
    <tabColor rgb="FFFF0000"/>
  </sheetPr>
  <dimension ref="A1:L129"/>
  <sheetViews>
    <sheetView showGridLines="0" view="pageBreakPreview" topLeftCell="A85" zoomScaleNormal="100" zoomScaleSheetLayoutView="100" workbookViewId="0">
      <selection activeCell="I10" sqref="I10"/>
    </sheetView>
  </sheetViews>
  <sheetFormatPr defaultRowHeight="14.25" x14ac:dyDescent="0.2"/>
  <cols>
    <col min="1" max="1" width="4.7109375" style="643" customWidth="1"/>
    <col min="2" max="2" width="4.7109375" style="532" customWidth="1"/>
    <col min="3" max="3" width="8.85546875" style="663" customWidth="1"/>
    <col min="4" max="4" width="47.28515625" style="532" customWidth="1"/>
    <col min="5" max="5" width="12.7109375" style="491" customWidth="1"/>
    <col min="6" max="7" width="13.140625" style="491" customWidth="1"/>
    <col min="8" max="8" width="8.5703125" style="812" customWidth="1"/>
    <col min="9" max="9" width="9.140625" style="665"/>
    <col min="10" max="11" width="9.42578125" style="665" bestFit="1" customWidth="1"/>
    <col min="12" max="16384" width="9.140625" style="665"/>
  </cols>
  <sheetData>
    <row r="1" spans="1:10" s="532" customFormat="1" ht="18.75" thickBot="1" x14ac:dyDescent="0.3">
      <c r="A1" s="463" t="s">
        <v>708</v>
      </c>
      <c r="B1" s="464"/>
      <c r="C1" s="465"/>
      <c r="D1" s="475"/>
      <c r="E1" s="490"/>
      <c r="F1" s="467" t="s">
        <v>709</v>
      </c>
      <c r="G1" s="491"/>
      <c r="H1" s="812"/>
      <c r="I1" s="17"/>
      <c r="J1" s="493"/>
    </row>
    <row r="2" spans="1:10" s="532" customFormat="1" ht="12.75" customHeight="1" x14ac:dyDescent="0.25">
      <c r="A2" s="6"/>
      <c r="B2" s="28"/>
      <c r="C2" s="142"/>
      <c r="D2" s="10"/>
      <c r="E2" s="167"/>
      <c r="F2" s="167"/>
      <c r="G2" s="168"/>
      <c r="H2" s="210"/>
      <c r="I2" s="17"/>
      <c r="J2" s="493"/>
    </row>
    <row r="3" spans="1:10" s="532" customFormat="1" ht="12.75" customHeight="1" x14ac:dyDescent="0.25">
      <c r="A3" s="67" t="s">
        <v>367</v>
      </c>
      <c r="B3" s="28"/>
      <c r="C3" s="2136" t="s">
        <v>1655</v>
      </c>
      <c r="D3" s="627"/>
      <c r="E3" s="167"/>
      <c r="F3" s="168"/>
      <c r="G3" s="181"/>
      <c r="H3" s="210"/>
    </row>
    <row r="4" spans="1:10" s="532" customFormat="1" ht="12.75" customHeight="1" x14ac:dyDescent="0.25">
      <c r="A4" s="6"/>
      <c r="B4" s="28"/>
      <c r="C4" s="666" t="s">
        <v>399</v>
      </c>
      <c r="D4" s="667"/>
      <c r="E4" s="167"/>
      <c r="F4" s="168"/>
      <c r="G4" s="181"/>
      <c r="H4" s="210"/>
    </row>
    <row r="5" spans="1:10" s="532" customFormat="1" ht="12.75" customHeight="1" x14ac:dyDescent="0.25">
      <c r="A5" s="6"/>
      <c r="B5" s="28"/>
      <c r="C5" s="142"/>
      <c r="D5" s="10"/>
      <c r="E5" s="167"/>
      <c r="F5" s="167"/>
      <c r="G5" s="168"/>
      <c r="H5" s="210"/>
      <c r="I5" s="17"/>
      <c r="J5" s="493"/>
    </row>
    <row r="6" spans="1:10" s="532" customFormat="1" ht="18" x14ac:dyDescent="0.25">
      <c r="A6" s="33" t="s">
        <v>884</v>
      </c>
      <c r="B6" s="28"/>
      <c r="C6" s="142"/>
      <c r="D6" s="10"/>
      <c r="E6" s="167"/>
      <c r="F6" s="167"/>
      <c r="G6" s="168"/>
      <c r="H6" s="210"/>
      <c r="I6" s="17"/>
      <c r="J6" s="493"/>
    </row>
    <row r="7" spans="1:10" ht="12" customHeight="1" thickBot="1" x14ac:dyDescent="0.25">
      <c r="A7" s="629"/>
      <c r="B7" s="629"/>
      <c r="C7" s="676"/>
      <c r="D7" s="630"/>
      <c r="G7" s="816"/>
      <c r="H7" s="812" t="s">
        <v>161</v>
      </c>
      <c r="I7" s="667"/>
      <c r="J7" s="667"/>
    </row>
    <row r="8" spans="1:10" s="107" customFormat="1" ht="20.25" customHeight="1" thickTop="1" thickBot="1" x14ac:dyDescent="0.25">
      <c r="A8" s="631" t="s">
        <v>162</v>
      </c>
      <c r="B8" s="632" t="s">
        <v>163</v>
      </c>
      <c r="C8" s="670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818" t="s">
        <v>883</v>
      </c>
      <c r="I8" s="906"/>
      <c r="J8" s="906"/>
    </row>
    <row r="9" spans="1:10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636" t="s">
        <v>61</v>
      </c>
      <c r="I9" s="107"/>
    </row>
    <row r="10" spans="1:10" s="1107" customFormat="1" ht="15.75" customHeight="1" thickTop="1" x14ac:dyDescent="0.25">
      <c r="A10" s="34">
        <v>1014</v>
      </c>
      <c r="B10" s="1088">
        <v>5169</v>
      </c>
      <c r="C10" s="1084"/>
      <c r="D10" s="1057" t="s">
        <v>852</v>
      </c>
      <c r="E10" s="60">
        <v>50</v>
      </c>
      <c r="F10" s="313">
        <v>0</v>
      </c>
      <c r="G10" s="315">
        <v>0</v>
      </c>
      <c r="H10" s="203">
        <v>0</v>
      </c>
    </row>
    <row r="11" spans="1:10" s="1107" customFormat="1" ht="12" customHeight="1" x14ac:dyDescent="0.25">
      <c r="A11" s="34">
        <v>1019</v>
      </c>
      <c r="B11" s="1088">
        <v>5169</v>
      </c>
      <c r="C11" s="1084"/>
      <c r="D11" s="1057" t="s">
        <v>852</v>
      </c>
      <c r="E11" s="60"/>
      <c r="F11" s="313">
        <v>50</v>
      </c>
      <c r="G11" s="315">
        <v>50</v>
      </c>
      <c r="H11" s="203">
        <f t="shared" ref="H11:H37" si="0">(G11/F11)*100</f>
        <v>100</v>
      </c>
    </row>
    <row r="12" spans="1:10" s="1107" customFormat="1" ht="12" customHeight="1" x14ac:dyDescent="0.25">
      <c r="A12" s="34">
        <v>1019</v>
      </c>
      <c r="B12" s="1088">
        <v>5213</v>
      </c>
      <c r="C12" s="1084"/>
      <c r="D12" s="1057" t="s">
        <v>614</v>
      </c>
      <c r="E12" s="60"/>
      <c r="F12" s="313">
        <v>200</v>
      </c>
      <c r="G12" s="315">
        <v>200</v>
      </c>
      <c r="H12" s="203">
        <f t="shared" si="0"/>
        <v>100</v>
      </c>
    </row>
    <row r="13" spans="1:10" s="1107" customFormat="1" ht="12" customHeight="1" x14ac:dyDescent="0.25">
      <c r="A13" s="34"/>
      <c r="B13" s="1088"/>
      <c r="C13" s="1084" t="s">
        <v>249</v>
      </c>
      <c r="D13" s="1063" t="s">
        <v>318</v>
      </c>
      <c r="E13" s="60"/>
      <c r="F13" s="314">
        <v>200</v>
      </c>
      <c r="G13" s="316">
        <v>200</v>
      </c>
      <c r="H13" s="1065">
        <f t="shared" si="0"/>
        <v>100</v>
      </c>
    </row>
    <row r="14" spans="1:10" s="1107" customFormat="1" ht="15.75" customHeight="1" x14ac:dyDescent="0.25">
      <c r="A14" s="34">
        <v>1019</v>
      </c>
      <c r="B14" s="1088">
        <v>5222</v>
      </c>
      <c r="C14" s="1084"/>
      <c r="D14" s="1165" t="s">
        <v>327</v>
      </c>
      <c r="E14" s="60"/>
      <c r="F14" s="315">
        <v>189</v>
      </c>
      <c r="G14" s="315">
        <v>189</v>
      </c>
      <c r="H14" s="203">
        <f t="shared" si="0"/>
        <v>100</v>
      </c>
    </row>
    <row r="15" spans="1:10" s="1107" customFormat="1" ht="15.75" customHeight="1" x14ac:dyDescent="0.25">
      <c r="A15" s="34"/>
      <c r="B15" s="1088"/>
      <c r="C15" s="1084" t="s">
        <v>249</v>
      </c>
      <c r="D15" s="1063" t="s">
        <v>318</v>
      </c>
      <c r="E15" s="60"/>
      <c r="F15" s="314">
        <v>129</v>
      </c>
      <c r="G15" s="316">
        <v>129</v>
      </c>
      <c r="H15" s="1065">
        <f t="shared" si="0"/>
        <v>100</v>
      </c>
    </row>
    <row r="16" spans="1:10" s="1107" customFormat="1" ht="15.75" customHeight="1" x14ac:dyDescent="0.25">
      <c r="A16" s="34"/>
      <c r="B16" s="1088"/>
      <c r="C16" s="1084" t="s">
        <v>1202</v>
      </c>
      <c r="D16" s="1631" t="s">
        <v>1635</v>
      </c>
      <c r="E16" s="60"/>
      <c r="F16" s="314">
        <v>60</v>
      </c>
      <c r="G16" s="316">
        <v>60</v>
      </c>
      <c r="H16" s="1065">
        <f t="shared" si="0"/>
        <v>100</v>
      </c>
    </row>
    <row r="17" spans="1:8" s="1056" customFormat="1" ht="15" x14ac:dyDescent="0.25">
      <c r="A17" s="34">
        <v>1032</v>
      </c>
      <c r="B17" s="1088">
        <v>5165</v>
      </c>
      <c r="C17" s="1343"/>
      <c r="D17" s="1057" t="s">
        <v>952</v>
      </c>
      <c r="E17" s="48">
        <v>2</v>
      </c>
      <c r="F17" s="168">
        <v>2</v>
      </c>
      <c r="G17" s="315">
        <v>1</v>
      </c>
      <c r="H17" s="203">
        <f>(G17/F17)*100</f>
        <v>50</v>
      </c>
    </row>
    <row r="18" spans="1:8" s="1056" customFormat="1" ht="15" x14ac:dyDescent="0.25">
      <c r="A18" s="34">
        <v>1036</v>
      </c>
      <c r="B18" s="1088">
        <v>5134</v>
      </c>
      <c r="C18" s="1343"/>
      <c r="D18" s="1057" t="s">
        <v>607</v>
      </c>
      <c r="E18" s="48">
        <v>60</v>
      </c>
      <c r="F18" s="168">
        <v>60</v>
      </c>
      <c r="G18" s="315">
        <v>60</v>
      </c>
      <c r="H18" s="203">
        <f>(G18/F18)*100</f>
        <v>100</v>
      </c>
    </row>
    <row r="19" spans="1:8" s="1056" customFormat="1" ht="15" x14ac:dyDescent="0.25">
      <c r="A19" s="34">
        <v>1036</v>
      </c>
      <c r="B19" s="1088">
        <v>5164</v>
      </c>
      <c r="C19" s="1343"/>
      <c r="D19" s="1363" t="s">
        <v>170</v>
      </c>
      <c r="E19" s="48"/>
      <c r="F19" s="168">
        <v>3</v>
      </c>
      <c r="G19" s="315">
        <v>3</v>
      </c>
      <c r="H19" s="203">
        <f t="shared" si="0"/>
        <v>100</v>
      </c>
    </row>
    <row r="20" spans="1:8" s="1056" customFormat="1" ht="15" x14ac:dyDescent="0.25">
      <c r="A20" s="34">
        <v>1036</v>
      </c>
      <c r="B20" s="1088">
        <v>5169</v>
      </c>
      <c r="C20" s="1343"/>
      <c r="D20" s="1057" t="s">
        <v>852</v>
      </c>
      <c r="E20" s="48">
        <v>45</v>
      </c>
      <c r="F20" s="168">
        <v>85</v>
      </c>
      <c r="G20" s="315">
        <v>85</v>
      </c>
      <c r="H20" s="203">
        <f t="shared" si="0"/>
        <v>100</v>
      </c>
    </row>
    <row r="21" spans="1:8" s="1056" customFormat="1" ht="15" x14ac:dyDescent="0.25">
      <c r="A21" s="34">
        <v>1037</v>
      </c>
      <c r="B21" s="1088">
        <v>5212</v>
      </c>
      <c r="C21" s="1343"/>
      <c r="D21" s="1057" t="s">
        <v>611</v>
      </c>
      <c r="E21" s="48"/>
      <c r="F21" s="168">
        <v>1036</v>
      </c>
      <c r="G21" s="315">
        <v>1036</v>
      </c>
      <c r="H21" s="203">
        <f t="shared" si="0"/>
        <v>100</v>
      </c>
    </row>
    <row r="22" spans="1:8" s="1056" customFormat="1" ht="15" x14ac:dyDescent="0.25">
      <c r="A22" s="34"/>
      <c r="B22" s="1088"/>
      <c r="C22" s="1069" t="s">
        <v>612</v>
      </c>
      <c r="D22" s="1063" t="s">
        <v>613</v>
      </c>
      <c r="E22" s="48"/>
      <c r="F22" s="314">
        <v>1036</v>
      </c>
      <c r="G22" s="316">
        <v>1036</v>
      </c>
      <c r="H22" s="1065">
        <f t="shared" si="0"/>
        <v>100</v>
      </c>
    </row>
    <row r="23" spans="1:8" s="1056" customFormat="1" ht="15" x14ac:dyDescent="0.25">
      <c r="A23" s="34">
        <v>1037</v>
      </c>
      <c r="B23" s="1088">
        <v>5213</v>
      </c>
      <c r="C23" s="122"/>
      <c r="D23" s="1057" t="s">
        <v>614</v>
      </c>
      <c r="E23" s="48">
        <v>9000</v>
      </c>
      <c r="F23" s="446">
        <f>F24+F25</f>
        <v>5592</v>
      </c>
      <c r="G23" s="446">
        <f>G24+G25</f>
        <v>5586</v>
      </c>
      <c r="H23" s="203">
        <f t="shared" si="0"/>
        <v>99.892703862660952</v>
      </c>
    </row>
    <row r="24" spans="1:8" s="1056" customFormat="1" x14ac:dyDescent="0.2">
      <c r="A24" s="34"/>
      <c r="B24" s="1088"/>
      <c r="C24" s="1069" t="s">
        <v>612</v>
      </c>
      <c r="D24" s="1063" t="s">
        <v>613</v>
      </c>
      <c r="E24" s="55">
        <v>9000</v>
      </c>
      <c r="F24" s="314">
        <v>3768</v>
      </c>
      <c r="G24" s="316">
        <v>3763</v>
      </c>
      <c r="H24" s="1065">
        <f t="shared" si="0"/>
        <v>99.867303609341832</v>
      </c>
    </row>
    <row r="25" spans="1:8" s="1056" customFormat="1" x14ac:dyDescent="0.2">
      <c r="A25" s="34"/>
      <c r="B25" s="1088"/>
      <c r="C25" s="1069" t="s">
        <v>1636</v>
      </c>
      <c r="D25" s="2636" t="s">
        <v>1637</v>
      </c>
      <c r="E25" s="55"/>
      <c r="F25" s="314">
        <v>1824</v>
      </c>
      <c r="G25" s="316">
        <v>1823</v>
      </c>
      <c r="H25" s="1065">
        <f t="shared" si="0"/>
        <v>99.945175438596493</v>
      </c>
    </row>
    <row r="26" spans="1:8" s="1056" customFormat="1" x14ac:dyDescent="0.2">
      <c r="A26" s="34"/>
      <c r="B26" s="1088"/>
      <c r="C26" s="1069"/>
      <c r="D26" s="2645"/>
      <c r="E26" s="55"/>
      <c r="F26" s="314"/>
      <c r="G26" s="316"/>
      <c r="H26" s="1065"/>
    </row>
    <row r="27" spans="1:8" s="1056" customFormat="1" ht="15" x14ac:dyDescent="0.25">
      <c r="A27" s="34">
        <v>1037</v>
      </c>
      <c r="B27" s="1088">
        <v>5321</v>
      </c>
      <c r="C27" s="1069"/>
      <c r="D27" s="1057" t="s">
        <v>1201</v>
      </c>
      <c r="E27" s="55"/>
      <c r="F27" s="313">
        <v>3780</v>
      </c>
      <c r="G27" s="315">
        <v>3780</v>
      </c>
      <c r="H27" s="203">
        <f t="shared" si="0"/>
        <v>100</v>
      </c>
    </row>
    <row r="28" spans="1:8" s="1056" customFormat="1" x14ac:dyDescent="0.2">
      <c r="A28" s="34"/>
      <c r="B28" s="1088"/>
      <c r="C28" s="1069" t="s">
        <v>612</v>
      </c>
      <c r="D28" s="1063" t="s">
        <v>613</v>
      </c>
      <c r="E28" s="55"/>
      <c r="F28" s="314">
        <v>3780</v>
      </c>
      <c r="G28" s="316">
        <v>3780</v>
      </c>
      <c r="H28" s="1065">
        <f t="shared" si="0"/>
        <v>100</v>
      </c>
    </row>
    <row r="29" spans="1:8" s="1056" customFormat="1" ht="15" x14ac:dyDescent="0.25">
      <c r="A29" s="34">
        <v>1037</v>
      </c>
      <c r="B29" s="1088">
        <v>5331</v>
      </c>
      <c r="C29" s="1069"/>
      <c r="D29" s="1057" t="s">
        <v>914</v>
      </c>
      <c r="E29" s="55"/>
      <c r="F29" s="313">
        <v>426</v>
      </c>
      <c r="G29" s="315">
        <v>426</v>
      </c>
      <c r="H29" s="203">
        <f t="shared" si="0"/>
        <v>100</v>
      </c>
    </row>
    <row r="30" spans="1:8" s="1056" customFormat="1" x14ac:dyDescent="0.2">
      <c r="A30" s="34"/>
      <c r="B30" s="1088"/>
      <c r="C30" s="1069" t="s">
        <v>612</v>
      </c>
      <c r="D30" s="1063" t="s">
        <v>613</v>
      </c>
      <c r="E30" s="55"/>
      <c r="F30" s="314">
        <v>426</v>
      </c>
      <c r="G30" s="316">
        <v>426</v>
      </c>
      <c r="H30" s="1065">
        <f t="shared" si="0"/>
        <v>100</v>
      </c>
    </row>
    <row r="31" spans="1:8" s="1056" customFormat="1" ht="15" x14ac:dyDescent="0.25">
      <c r="A31" s="34">
        <v>1037</v>
      </c>
      <c r="B31" s="1088">
        <v>5493</v>
      </c>
      <c r="C31" s="1069"/>
      <c r="D31" s="309" t="s">
        <v>692</v>
      </c>
      <c r="E31" s="55"/>
      <c r="F31" s="313">
        <v>990</v>
      </c>
      <c r="G31" s="315">
        <v>990</v>
      </c>
      <c r="H31" s="203">
        <f t="shared" si="0"/>
        <v>100</v>
      </c>
    </row>
    <row r="32" spans="1:8" s="1056" customFormat="1" x14ac:dyDescent="0.2">
      <c r="A32" s="34"/>
      <c r="B32" s="1088"/>
      <c r="C32" s="1069" t="s">
        <v>612</v>
      </c>
      <c r="D32" s="1063" t="s">
        <v>613</v>
      </c>
      <c r="E32" s="55"/>
      <c r="F32" s="314">
        <v>990</v>
      </c>
      <c r="G32" s="316">
        <v>990</v>
      </c>
      <c r="H32" s="1065">
        <f t="shared" si="0"/>
        <v>100</v>
      </c>
    </row>
    <row r="33" spans="1:8" s="1056" customFormat="1" ht="15" x14ac:dyDescent="0.25">
      <c r="A33" s="34">
        <v>1039</v>
      </c>
      <c r="B33" s="1088">
        <v>5222</v>
      </c>
      <c r="C33" s="1069"/>
      <c r="D33" s="1165" t="s">
        <v>327</v>
      </c>
      <c r="E33" s="55"/>
      <c r="F33" s="313">
        <v>25</v>
      </c>
      <c r="G33" s="315">
        <v>21</v>
      </c>
      <c r="H33" s="203">
        <f t="shared" si="0"/>
        <v>84</v>
      </c>
    </row>
    <row r="34" spans="1:8" s="1056" customFormat="1" x14ac:dyDescent="0.2">
      <c r="A34" s="34"/>
      <c r="B34" s="1088"/>
      <c r="C34" s="1084" t="s">
        <v>1202</v>
      </c>
      <c r="D34" s="1631" t="s">
        <v>1635</v>
      </c>
      <c r="E34" s="55"/>
      <c r="F34" s="314">
        <v>25</v>
      </c>
      <c r="G34" s="316">
        <v>21</v>
      </c>
      <c r="H34" s="1065">
        <f t="shared" si="0"/>
        <v>84</v>
      </c>
    </row>
    <row r="35" spans="1:8" s="1056" customFormat="1" ht="15" x14ac:dyDescent="0.25">
      <c r="A35" s="34">
        <v>1070</v>
      </c>
      <c r="B35" s="1088">
        <v>5169</v>
      </c>
      <c r="C35" s="1084"/>
      <c r="D35" s="1057" t="s">
        <v>852</v>
      </c>
      <c r="E35" s="55"/>
      <c r="F35" s="313">
        <v>200</v>
      </c>
      <c r="G35" s="315">
        <v>200</v>
      </c>
      <c r="H35" s="203">
        <f t="shared" si="0"/>
        <v>100</v>
      </c>
    </row>
    <row r="36" spans="1:8" s="1056" customFormat="1" ht="15" x14ac:dyDescent="0.25">
      <c r="A36" s="34">
        <v>1070</v>
      </c>
      <c r="B36" s="1088">
        <v>5222</v>
      </c>
      <c r="C36" s="1084"/>
      <c r="D36" s="1165" t="s">
        <v>327</v>
      </c>
      <c r="E36" s="55"/>
      <c r="F36" s="313">
        <v>40</v>
      </c>
      <c r="G36" s="315">
        <v>40</v>
      </c>
      <c r="H36" s="203">
        <f t="shared" si="0"/>
        <v>100</v>
      </c>
    </row>
    <row r="37" spans="1:8" s="1056" customFormat="1" x14ac:dyDescent="0.2">
      <c r="A37" s="34"/>
      <c r="B37" s="1088"/>
      <c r="C37" s="1084" t="s">
        <v>1202</v>
      </c>
      <c r="D37" s="1631" t="s">
        <v>1635</v>
      </c>
      <c r="E37" s="55"/>
      <c r="F37" s="314">
        <v>40</v>
      </c>
      <c r="G37" s="316">
        <v>40</v>
      </c>
      <c r="H37" s="1065">
        <f t="shared" si="0"/>
        <v>100</v>
      </c>
    </row>
    <row r="38" spans="1:8" s="1056" customFormat="1" ht="15" x14ac:dyDescent="0.25">
      <c r="A38" s="34">
        <v>1099</v>
      </c>
      <c r="B38" s="1088">
        <v>5192</v>
      </c>
      <c r="C38" s="122"/>
      <c r="D38" s="1057" t="s">
        <v>1228</v>
      </c>
      <c r="E38" s="71">
        <v>50</v>
      </c>
      <c r="F38" s="313">
        <v>65</v>
      </c>
      <c r="G38" s="315">
        <v>63</v>
      </c>
      <c r="H38" s="203">
        <f t="shared" ref="H38:H49" si="1">(G38/F38)*100</f>
        <v>96.92307692307692</v>
      </c>
    </row>
    <row r="39" spans="1:8" s="1056" customFormat="1" ht="15" x14ac:dyDescent="0.25">
      <c r="A39" s="34">
        <v>1099</v>
      </c>
      <c r="B39" s="1088">
        <v>5222</v>
      </c>
      <c r="C39" s="1069"/>
      <c r="D39" s="1165" t="s">
        <v>327</v>
      </c>
      <c r="E39" s="71"/>
      <c r="F39" s="313">
        <v>25</v>
      </c>
      <c r="G39" s="315">
        <v>25</v>
      </c>
      <c r="H39" s="203">
        <f t="shared" si="1"/>
        <v>100</v>
      </c>
    </row>
    <row r="40" spans="1:8" s="1056" customFormat="1" ht="15" x14ac:dyDescent="0.25">
      <c r="A40" s="34"/>
      <c r="B40" s="1088"/>
      <c r="C40" s="1084" t="s">
        <v>1202</v>
      </c>
      <c r="D40" s="1631" t="s">
        <v>1635</v>
      </c>
      <c r="E40" s="71"/>
      <c r="F40" s="314">
        <v>25</v>
      </c>
      <c r="G40" s="316">
        <v>25</v>
      </c>
      <c r="H40" s="1065">
        <f t="shared" si="1"/>
        <v>100</v>
      </c>
    </row>
    <row r="41" spans="1:8" s="1056" customFormat="1" ht="15" x14ac:dyDescent="0.25">
      <c r="A41" s="34">
        <v>1099</v>
      </c>
      <c r="B41" s="1088">
        <v>5493</v>
      </c>
      <c r="C41" s="1084"/>
      <c r="D41" s="309" t="s">
        <v>692</v>
      </c>
      <c r="E41" s="71">
        <v>400</v>
      </c>
      <c r="F41" s="313">
        <v>400</v>
      </c>
      <c r="G41" s="315">
        <v>360</v>
      </c>
      <c r="H41" s="203">
        <f t="shared" si="1"/>
        <v>90</v>
      </c>
    </row>
    <row r="42" spans="1:8" s="1056" customFormat="1" x14ac:dyDescent="0.2">
      <c r="A42" s="34"/>
      <c r="B42" s="1088"/>
      <c r="C42" s="1069" t="s">
        <v>1348</v>
      </c>
      <c r="D42" s="1063" t="s">
        <v>1349</v>
      </c>
      <c r="E42" s="55">
        <v>400</v>
      </c>
      <c r="F42" s="314">
        <v>400</v>
      </c>
      <c r="G42" s="316">
        <v>360</v>
      </c>
      <c r="H42" s="1065">
        <f t="shared" si="1"/>
        <v>90</v>
      </c>
    </row>
    <row r="43" spans="1:8" s="1056" customFormat="1" ht="15" x14ac:dyDescent="0.25">
      <c r="A43" s="34">
        <v>2310</v>
      </c>
      <c r="B43" s="1088">
        <v>5321</v>
      </c>
      <c r="C43" s="122"/>
      <c r="D43" s="1057" t="s">
        <v>1201</v>
      </c>
      <c r="E43" s="71">
        <v>5000</v>
      </c>
      <c r="F43" s="313">
        <v>1308</v>
      </c>
      <c r="G43" s="315">
        <v>1308</v>
      </c>
      <c r="H43" s="203">
        <f t="shared" si="1"/>
        <v>100</v>
      </c>
    </row>
    <row r="44" spans="1:8" s="1056" customFormat="1" x14ac:dyDescent="0.2">
      <c r="A44" s="34"/>
      <c r="B44" s="1088"/>
      <c r="C44" s="1069" t="s">
        <v>615</v>
      </c>
      <c r="D44" s="1063" t="s">
        <v>616</v>
      </c>
      <c r="E44" s="55">
        <v>5000</v>
      </c>
      <c r="F44" s="314">
        <v>1308</v>
      </c>
      <c r="G44" s="316">
        <v>1308</v>
      </c>
      <c r="H44" s="1065">
        <f t="shared" si="1"/>
        <v>100</v>
      </c>
    </row>
    <row r="45" spans="1:8" s="1056" customFormat="1" ht="15" x14ac:dyDescent="0.25">
      <c r="A45" s="34">
        <v>2321</v>
      </c>
      <c r="B45" s="1088">
        <v>5321</v>
      </c>
      <c r="C45" s="122"/>
      <c r="D45" s="1057" t="s">
        <v>1201</v>
      </c>
      <c r="E45" s="71"/>
      <c r="F45" s="313">
        <v>1892</v>
      </c>
      <c r="G45" s="315">
        <v>1892</v>
      </c>
      <c r="H45" s="203">
        <f t="shared" si="1"/>
        <v>100</v>
      </c>
    </row>
    <row r="46" spans="1:8" s="1056" customFormat="1" ht="15" x14ac:dyDescent="0.25">
      <c r="A46" s="34"/>
      <c r="B46" s="1088"/>
      <c r="C46" s="1069" t="s">
        <v>615</v>
      </c>
      <c r="D46" s="1063" t="s">
        <v>616</v>
      </c>
      <c r="E46" s="71"/>
      <c r="F46" s="314">
        <v>1892</v>
      </c>
      <c r="G46" s="316">
        <v>1892</v>
      </c>
      <c r="H46" s="1065">
        <f t="shared" si="1"/>
        <v>100</v>
      </c>
    </row>
    <row r="47" spans="1:8" s="1056" customFormat="1" ht="15" x14ac:dyDescent="0.25">
      <c r="A47" s="34">
        <v>2339</v>
      </c>
      <c r="B47" s="1088">
        <v>5213</v>
      </c>
      <c r="C47" s="1069"/>
      <c r="D47" s="1057" t="s">
        <v>614</v>
      </c>
      <c r="E47" s="71"/>
      <c r="F47" s="313">
        <v>250</v>
      </c>
      <c r="G47" s="315">
        <v>250</v>
      </c>
      <c r="H47" s="203">
        <f t="shared" si="1"/>
        <v>100</v>
      </c>
    </row>
    <row r="48" spans="1:8" s="1056" customFormat="1" ht="15" x14ac:dyDescent="0.25">
      <c r="A48" s="34"/>
      <c r="B48" s="1088"/>
      <c r="C48" s="1084" t="s">
        <v>352</v>
      </c>
      <c r="D48" s="1098" t="s">
        <v>891</v>
      </c>
      <c r="E48" s="71"/>
      <c r="F48" s="314">
        <v>250</v>
      </c>
      <c r="G48" s="316">
        <v>250</v>
      </c>
      <c r="H48" s="1065">
        <f t="shared" si="1"/>
        <v>100</v>
      </c>
    </row>
    <row r="49" spans="1:12" s="1056" customFormat="1" ht="15" x14ac:dyDescent="0.25">
      <c r="A49" s="34">
        <v>2369</v>
      </c>
      <c r="B49" s="1088">
        <v>5166</v>
      </c>
      <c r="C49" s="1343"/>
      <c r="D49" s="1057" t="s">
        <v>609</v>
      </c>
      <c r="E49" s="48">
        <v>100</v>
      </c>
      <c r="F49" s="168">
        <v>107</v>
      </c>
      <c r="G49" s="315">
        <v>106</v>
      </c>
      <c r="H49" s="203">
        <f t="shared" si="1"/>
        <v>99.065420560747668</v>
      </c>
    </row>
    <row r="50" spans="1:12" s="1056" customFormat="1" ht="15" x14ac:dyDescent="0.25">
      <c r="A50" s="34">
        <v>3429</v>
      </c>
      <c r="B50" s="1088">
        <v>5212</v>
      </c>
      <c r="C50" s="1084"/>
      <c r="D50" s="1057" t="s">
        <v>611</v>
      </c>
      <c r="E50" s="48"/>
      <c r="F50" s="313">
        <v>25</v>
      </c>
      <c r="G50" s="315">
        <v>25</v>
      </c>
      <c r="H50" s="203">
        <f t="shared" ref="H50:H56" si="2">(G50/F50)*100</f>
        <v>100</v>
      </c>
    </row>
    <row r="51" spans="1:12" s="1056" customFormat="1" ht="15" x14ac:dyDescent="0.25">
      <c r="A51" s="34"/>
      <c r="B51" s="1088"/>
      <c r="C51" s="1084" t="s">
        <v>1202</v>
      </c>
      <c r="D51" s="1631" t="s">
        <v>1635</v>
      </c>
      <c r="E51" s="48"/>
      <c r="F51" s="314">
        <v>25</v>
      </c>
      <c r="G51" s="316">
        <v>25</v>
      </c>
      <c r="H51" s="1065">
        <f t="shared" si="2"/>
        <v>100</v>
      </c>
    </row>
    <row r="52" spans="1:12" s="1056" customFormat="1" ht="15" x14ac:dyDescent="0.25">
      <c r="A52" s="34">
        <v>3429</v>
      </c>
      <c r="B52" s="1088">
        <v>5222</v>
      </c>
      <c r="C52" s="1084"/>
      <c r="D52" s="1165" t="s">
        <v>327</v>
      </c>
      <c r="E52" s="48"/>
      <c r="F52" s="313">
        <v>745</v>
      </c>
      <c r="G52" s="315">
        <v>745</v>
      </c>
      <c r="H52" s="203">
        <f t="shared" si="2"/>
        <v>100</v>
      </c>
    </row>
    <row r="53" spans="1:12" s="1056" customFormat="1" ht="15" x14ac:dyDescent="0.25">
      <c r="A53" s="34"/>
      <c r="B53" s="1088"/>
      <c r="C53" s="1084" t="s">
        <v>249</v>
      </c>
      <c r="D53" s="1063" t="s">
        <v>318</v>
      </c>
      <c r="E53" s="48"/>
      <c r="F53" s="314">
        <v>300</v>
      </c>
      <c r="G53" s="316">
        <v>300</v>
      </c>
      <c r="H53" s="1065">
        <f t="shared" si="2"/>
        <v>100</v>
      </c>
    </row>
    <row r="54" spans="1:12" s="1056" customFormat="1" ht="15" x14ac:dyDescent="0.25">
      <c r="A54" s="34"/>
      <c r="B54" s="1088"/>
      <c r="C54" s="1084" t="s">
        <v>1202</v>
      </c>
      <c r="D54" s="1631" t="s">
        <v>1635</v>
      </c>
      <c r="E54" s="48"/>
      <c r="F54" s="314">
        <v>445</v>
      </c>
      <c r="G54" s="316">
        <v>445</v>
      </c>
      <c r="H54" s="1065">
        <f t="shared" si="2"/>
        <v>100</v>
      </c>
    </row>
    <row r="55" spans="1:12" s="1056" customFormat="1" ht="15" x14ac:dyDescent="0.25">
      <c r="A55" s="34">
        <v>3429</v>
      </c>
      <c r="B55" s="1088">
        <v>5493</v>
      </c>
      <c r="C55" s="1084"/>
      <c r="D55" s="309" t="s">
        <v>692</v>
      </c>
      <c r="E55" s="48"/>
      <c r="F55" s="313">
        <v>25</v>
      </c>
      <c r="G55" s="315">
        <v>25</v>
      </c>
      <c r="H55" s="203">
        <f t="shared" si="2"/>
        <v>100</v>
      </c>
    </row>
    <row r="56" spans="1:12" s="1056" customFormat="1" ht="15" x14ac:dyDescent="0.25">
      <c r="A56" s="34"/>
      <c r="B56" s="1088"/>
      <c r="C56" s="1084" t="s">
        <v>1202</v>
      </c>
      <c r="D56" s="1631" t="s">
        <v>1635</v>
      </c>
      <c r="E56" s="48"/>
      <c r="F56" s="314">
        <v>25</v>
      </c>
      <c r="G56" s="316">
        <v>25</v>
      </c>
      <c r="H56" s="1065">
        <f t="shared" si="2"/>
        <v>100</v>
      </c>
    </row>
    <row r="57" spans="1:12" s="1056" customFormat="1" ht="15" x14ac:dyDescent="0.25">
      <c r="A57" s="34">
        <v>3719</v>
      </c>
      <c r="B57" s="1088">
        <v>5166</v>
      </c>
      <c r="C57" s="1343"/>
      <c r="D57" s="1057" t="s">
        <v>609</v>
      </c>
      <c r="E57" s="48">
        <v>50</v>
      </c>
      <c r="F57" s="168">
        <v>50</v>
      </c>
      <c r="G57" s="315">
        <v>0</v>
      </c>
      <c r="H57" s="203">
        <f t="shared" ref="H57:H65" si="3">(G57/F57)*100</f>
        <v>0</v>
      </c>
    </row>
    <row r="58" spans="1:12" s="1056" customFormat="1" ht="15" x14ac:dyDescent="0.25">
      <c r="A58" s="34">
        <v>3725</v>
      </c>
      <c r="B58" s="1088">
        <v>5169</v>
      </c>
      <c r="C58" s="1343"/>
      <c r="D58" s="1057" t="s">
        <v>852</v>
      </c>
      <c r="E58" s="48">
        <v>700</v>
      </c>
      <c r="F58" s="168">
        <v>741</v>
      </c>
      <c r="G58" s="315">
        <v>439</v>
      </c>
      <c r="H58" s="203">
        <f t="shared" si="3"/>
        <v>59.244264507422407</v>
      </c>
    </row>
    <row r="59" spans="1:12" s="1056" customFormat="1" ht="15" x14ac:dyDescent="0.25">
      <c r="A59" s="34">
        <v>3729</v>
      </c>
      <c r="B59" s="1088">
        <v>5164</v>
      </c>
      <c r="C59" s="1343"/>
      <c r="D59" s="1057" t="s">
        <v>170</v>
      </c>
      <c r="E59" s="48"/>
      <c r="F59" s="168">
        <v>3</v>
      </c>
      <c r="G59" s="315">
        <v>2</v>
      </c>
      <c r="H59" s="203">
        <f t="shared" si="3"/>
        <v>66.666666666666657</v>
      </c>
    </row>
    <row r="60" spans="1:12" s="1056" customFormat="1" ht="12.75" customHeight="1" x14ac:dyDescent="0.25">
      <c r="A60" s="34">
        <v>3729</v>
      </c>
      <c r="B60" s="1088">
        <v>5166</v>
      </c>
      <c r="C60" s="1343"/>
      <c r="D60" s="1057" t="s">
        <v>609</v>
      </c>
      <c r="E60" s="48">
        <v>300</v>
      </c>
      <c r="F60" s="168">
        <v>9</v>
      </c>
      <c r="G60" s="315">
        <v>0</v>
      </c>
      <c r="H60" s="203">
        <f t="shared" si="3"/>
        <v>0</v>
      </c>
    </row>
    <row r="61" spans="1:12" s="1056" customFormat="1" ht="12.75" customHeight="1" x14ac:dyDescent="0.25">
      <c r="A61" s="34">
        <v>3729</v>
      </c>
      <c r="B61" s="1088">
        <v>5169</v>
      </c>
      <c r="C61" s="1069"/>
      <c r="D61" s="1057" t="s">
        <v>852</v>
      </c>
      <c r="E61" s="55"/>
      <c r="F61" s="313">
        <v>21</v>
      </c>
      <c r="G61" s="315">
        <v>15</v>
      </c>
      <c r="H61" s="203">
        <f t="shared" si="3"/>
        <v>71.428571428571431</v>
      </c>
      <c r="J61" s="1090"/>
      <c r="K61" s="1090"/>
      <c r="L61" s="1090"/>
    </row>
    <row r="62" spans="1:12" s="1056" customFormat="1" ht="12.75" customHeight="1" x14ac:dyDescent="0.25">
      <c r="A62" s="34">
        <v>3729</v>
      </c>
      <c r="B62" s="1088">
        <v>5173</v>
      </c>
      <c r="C62" s="1069"/>
      <c r="D62" s="1057" t="s">
        <v>1152</v>
      </c>
      <c r="E62" s="55"/>
      <c r="F62" s="313">
        <v>4</v>
      </c>
      <c r="G62" s="315">
        <v>4</v>
      </c>
      <c r="H62" s="203">
        <f t="shared" si="3"/>
        <v>100</v>
      </c>
      <c r="J62" s="1090"/>
      <c r="K62" s="1090"/>
      <c r="L62" s="1090"/>
    </row>
    <row r="63" spans="1:12" s="1056" customFormat="1" ht="12.75" customHeight="1" x14ac:dyDescent="0.25">
      <c r="A63" s="34">
        <v>3729</v>
      </c>
      <c r="B63" s="19">
        <v>5175</v>
      </c>
      <c r="C63" s="1069"/>
      <c r="D63" s="1363" t="s">
        <v>669</v>
      </c>
      <c r="E63" s="55"/>
      <c r="F63" s="315">
        <v>30</v>
      </c>
      <c r="G63" s="315">
        <v>23</v>
      </c>
      <c r="H63" s="2137">
        <f t="shared" si="3"/>
        <v>76.666666666666671</v>
      </c>
    </row>
    <row r="64" spans="1:12" s="1056" customFormat="1" ht="12.75" customHeight="1" x14ac:dyDescent="0.25">
      <c r="A64" s="34">
        <v>3729</v>
      </c>
      <c r="B64" s="19">
        <v>5361</v>
      </c>
      <c r="C64" s="1069"/>
      <c r="D64" s="1363" t="s">
        <v>600</v>
      </c>
      <c r="E64" s="55"/>
      <c r="F64" s="315">
        <v>1</v>
      </c>
      <c r="G64" s="315">
        <v>0</v>
      </c>
      <c r="H64" s="2137">
        <f t="shared" si="3"/>
        <v>0</v>
      </c>
    </row>
    <row r="65" spans="1:10" s="1056" customFormat="1" ht="12.75" customHeight="1" thickBot="1" x14ac:dyDescent="0.3">
      <c r="A65" s="1095">
        <v>3729</v>
      </c>
      <c r="B65" s="1082">
        <v>5365</v>
      </c>
      <c r="C65" s="1081"/>
      <c r="D65" s="2396" t="s">
        <v>1856</v>
      </c>
      <c r="E65" s="1099"/>
      <c r="F65" s="442">
        <v>1</v>
      </c>
      <c r="G65" s="442">
        <v>0</v>
      </c>
      <c r="H65" s="2138">
        <f t="shared" si="3"/>
        <v>0</v>
      </c>
    </row>
    <row r="66" spans="1:10" s="1056" customFormat="1" ht="12.75" customHeight="1" thickTop="1" x14ac:dyDescent="0.25">
      <c r="A66" s="1088"/>
      <c r="B66" s="1088"/>
      <c r="C66" s="1059"/>
      <c r="D66" s="1057"/>
      <c r="E66" s="1281"/>
      <c r="F66" s="313"/>
      <c r="G66" s="313"/>
      <c r="H66" s="428"/>
    </row>
    <row r="67" spans="1:10" s="1056" customFormat="1" ht="12.75" customHeight="1" x14ac:dyDescent="0.25">
      <c r="A67" s="1088"/>
      <c r="B67" s="1088"/>
      <c r="C67" s="1059"/>
      <c r="D67" s="1057"/>
      <c r="E67" s="1281"/>
      <c r="F67" s="313"/>
      <c r="G67" s="313"/>
      <c r="H67" s="428"/>
    </row>
    <row r="68" spans="1:10" s="1056" customFormat="1" ht="12.75" customHeight="1" x14ac:dyDescent="0.25">
      <c r="A68" s="1088"/>
      <c r="B68" s="1088"/>
      <c r="C68" s="1059"/>
      <c r="D68" s="1057"/>
      <c r="E68" s="1281"/>
      <c r="F68" s="313"/>
      <c r="G68" s="313"/>
      <c r="H68" s="428"/>
    </row>
    <row r="69" spans="1:10" s="1056" customFormat="1" ht="12.75" customHeight="1" x14ac:dyDescent="0.25">
      <c r="A69" s="1088"/>
      <c r="B69" s="1088"/>
      <c r="C69" s="1059"/>
      <c r="D69" s="1057"/>
      <c r="E69" s="1281"/>
      <c r="F69" s="313"/>
      <c r="G69" s="313"/>
      <c r="H69" s="428"/>
    </row>
    <row r="70" spans="1:10" s="1056" customFormat="1" ht="12.75" customHeight="1" x14ac:dyDescent="0.25">
      <c r="A70" s="1088"/>
      <c r="B70" s="1088"/>
      <c r="C70" s="1059"/>
      <c r="D70" s="1057"/>
      <c r="E70" s="1281"/>
      <c r="F70" s="313"/>
      <c r="G70" s="313"/>
      <c r="H70" s="428"/>
    </row>
    <row r="71" spans="1:10" s="1056" customFormat="1" ht="12.75" customHeight="1" x14ac:dyDescent="0.25">
      <c r="A71" s="1088"/>
      <c r="B71" s="1088"/>
      <c r="C71" s="1059"/>
      <c r="D71" s="1057"/>
      <c r="E71" s="1281"/>
      <c r="F71" s="313"/>
      <c r="G71" s="313"/>
      <c r="H71" s="428"/>
    </row>
    <row r="72" spans="1:10" ht="12" customHeight="1" thickBot="1" x14ac:dyDescent="0.25">
      <c r="A72" s="629"/>
      <c r="B72" s="629"/>
      <c r="C72" s="676"/>
      <c r="D72" s="630"/>
      <c r="G72" s="816"/>
      <c r="H72" s="812" t="s">
        <v>161</v>
      </c>
      <c r="I72" s="667"/>
      <c r="J72" s="667"/>
    </row>
    <row r="73" spans="1:10" s="107" customFormat="1" ht="20.25" customHeight="1" thickTop="1" thickBot="1" x14ac:dyDescent="0.25">
      <c r="A73" s="631" t="s">
        <v>162</v>
      </c>
      <c r="B73" s="632" t="s">
        <v>163</v>
      </c>
      <c r="C73" s="670" t="s">
        <v>705</v>
      </c>
      <c r="D73" s="634" t="s">
        <v>164</v>
      </c>
      <c r="E73" s="634" t="s">
        <v>165</v>
      </c>
      <c r="F73" s="634" t="s">
        <v>881</v>
      </c>
      <c r="G73" s="634" t="s">
        <v>882</v>
      </c>
      <c r="H73" s="818" t="s">
        <v>883</v>
      </c>
      <c r="I73" s="906"/>
      <c r="J73" s="906"/>
    </row>
    <row r="74" spans="1:10" s="383" customFormat="1" ht="13.5" thickTop="1" thickBot="1" x14ac:dyDescent="0.25">
      <c r="A74" s="566">
        <v>1</v>
      </c>
      <c r="B74" s="567">
        <v>2</v>
      </c>
      <c r="C74" s="567">
        <v>3</v>
      </c>
      <c r="D74" s="567">
        <v>4</v>
      </c>
      <c r="E74" s="567">
        <v>5</v>
      </c>
      <c r="F74" s="541">
        <v>6</v>
      </c>
      <c r="G74" s="541">
        <v>7</v>
      </c>
      <c r="H74" s="636" t="s">
        <v>61</v>
      </c>
      <c r="I74" s="107"/>
    </row>
    <row r="75" spans="1:10" s="1056" customFormat="1" ht="15.75" thickTop="1" x14ac:dyDescent="0.25">
      <c r="A75" s="50">
        <v>3741</v>
      </c>
      <c r="B75" s="19">
        <v>5169</v>
      </c>
      <c r="C75" s="1343"/>
      <c r="D75" s="1057" t="s">
        <v>852</v>
      </c>
      <c r="E75" s="48">
        <v>250</v>
      </c>
      <c r="F75" s="168">
        <v>250</v>
      </c>
      <c r="G75" s="315">
        <v>250</v>
      </c>
      <c r="H75" s="203">
        <f>(G75/F75)*100</f>
        <v>100</v>
      </c>
    </row>
    <row r="76" spans="1:10" s="1056" customFormat="1" ht="15" x14ac:dyDescent="0.25">
      <c r="A76" s="50">
        <v>3741</v>
      </c>
      <c r="B76" s="19">
        <v>5222</v>
      </c>
      <c r="C76" s="1343"/>
      <c r="D76" s="1165" t="s">
        <v>327</v>
      </c>
      <c r="E76" s="48"/>
      <c r="F76" s="168">
        <v>65</v>
      </c>
      <c r="G76" s="315">
        <v>65</v>
      </c>
      <c r="H76" s="212">
        <f t="shared" ref="H76:H89" si="4">(G76/F76)*100</f>
        <v>100</v>
      </c>
    </row>
    <row r="77" spans="1:10" s="1056" customFormat="1" ht="15" x14ac:dyDescent="0.25">
      <c r="A77" s="50"/>
      <c r="B77" s="19"/>
      <c r="C77" s="1084" t="s">
        <v>1202</v>
      </c>
      <c r="D77" s="1631" t="s">
        <v>1635</v>
      </c>
      <c r="E77" s="48"/>
      <c r="F77" s="314">
        <v>65</v>
      </c>
      <c r="G77" s="316">
        <v>65</v>
      </c>
      <c r="H77" s="1074">
        <f t="shared" si="4"/>
        <v>100</v>
      </c>
    </row>
    <row r="78" spans="1:10" s="1056" customFormat="1" ht="15" x14ac:dyDescent="0.25">
      <c r="A78" s="50">
        <v>3742</v>
      </c>
      <c r="B78" s="19">
        <v>5139</v>
      </c>
      <c r="C78" s="1084"/>
      <c r="D78" s="1629" t="s">
        <v>1851</v>
      </c>
      <c r="E78" s="48"/>
      <c r="F78" s="313">
        <v>58</v>
      </c>
      <c r="G78" s="315">
        <v>58</v>
      </c>
      <c r="H78" s="212">
        <f t="shared" si="4"/>
        <v>100</v>
      </c>
    </row>
    <row r="79" spans="1:10" s="1056" customFormat="1" ht="15" x14ac:dyDescent="0.25">
      <c r="A79" s="50">
        <v>3742</v>
      </c>
      <c r="B79" s="19">
        <v>5166</v>
      </c>
      <c r="C79" s="1343"/>
      <c r="D79" s="1057" t="s">
        <v>609</v>
      </c>
      <c r="E79" s="48">
        <v>150</v>
      </c>
      <c r="F79" s="168">
        <v>146</v>
      </c>
      <c r="G79" s="315">
        <v>65</v>
      </c>
      <c r="H79" s="212">
        <f t="shared" si="4"/>
        <v>44.520547945205479</v>
      </c>
    </row>
    <row r="80" spans="1:10" s="1056" customFormat="1" ht="15" x14ac:dyDescent="0.25">
      <c r="A80" s="50">
        <v>3742</v>
      </c>
      <c r="B80" s="19">
        <v>5169</v>
      </c>
      <c r="C80" s="1343"/>
      <c r="D80" s="1057" t="s">
        <v>852</v>
      </c>
      <c r="E80" s="48">
        <v>2900</v>
      </c>
      <c r="F80" s="168">
        <v>2792</v>
      </c>
      <c r="G80" s="315">
        <v>2662</v>
      </c>
      <c r="H80" s="212">
        <f t="shared" si="4"/>
        <v>95.343839541547283</v>
      </c>
    </row>
    <row r="81" spans="1:12" s="1056" customFormat="1" ht="15" x14ac:dyDescent="0.25">
      <c r="A81" s="50">
        <v>3742</v>
      </c>
      <c r="B81" s="19">
        <v>5175</v>
      </c>
      <c r="C81" s="1343"/>
      <c r="D81" s="1363" t="s">
        <v>669</v>
      </c>
      <c r="E81" s="48"/>
      <c r="F81" s="168">
        <v>4</v>
      </c>
      <c r="G81" s="315">
        <v>4</v>
      </c>
      <c r="H81" s="212">
        <f t="shared" si="4"/>
        <v>100</v>
      </c>
    </row>
    <row r="82" spans="1:12" s="1056" customFormat="1" ht="15" x14ac:dyDescent="0.25">
      <c r="A82" s="50">
        <v>3742</v>
      </c>
      <c r="B82" s="19">
        <v>5222</v>
      </c>
      <c r="C82" s="1084"/>
      <c r="D82" s="1165" t="s">
        <v>327</v>
      </c>
      <c r="E82" s="48"/>
      <c r="F82" s="313">
        <v>15</v>
      </c>
      <c r="G82" s="315">
        <v>15</v>
      </c>
      <c r="H82" s="212">
        <f t="shared" si="4"/>
        <v>100</v>
      </c>
    </row>
    <row r="83" spans="1:12" s="1056" customFormat="1" ht="15" x14ac:dyDescent="0.25">
      <c r="A83" s="50"/>
      <c r="B83" s="19"/>
      <c r="C83" s="1084" t="s">
        <v>1202</v>
      </c>
      <c r="D83" s="1631" t="s">
        <v>1635</v>
      </c>
      <c r="E83" s="48"/>
      <c r="F83" s="314">
        <v>15</v>
      </c>
      <c r="G83" s="316">
        <v>15</v>
      </c>
      <c r="H83" s="1074">
        <f t="shared" si="4"/>
        <v>100</v>
      </c>
    </row>
    <row r="84" spans="1:12" s="1056" customFormat="1" ht="15" x14ac:dyDescent="0.25">
      <c r="A84" s="50">
        <v>3749</v>
      </c>
      <c r="B84" s="19">
        <v>5222</v>
      </c>
      <c r="C84" s="1084"/>
      <c r="D84" s="1165" t="s">
        <v>327</v>
      </c>
      <c r="E84" s="48"/>
      <c r="F84" s="313">
        <v>50</v>
      </c>
      <c r="G84" s="315">
        <v>50</v>
      </c>
      <c r="H84" s="212">
        <f t="shared" si="4"/>
        <v>100</v>
      </c>
    </row>
    <row r="85" spans="1:12" s="1056" customFormat="1" ht="15" x14ac:dyDescent="0.25">
      <c r="A85" s="50"/>
      <c r="B85" s="19"/>
      <c r="C85" s="1084" t="s">
        <v>249</v>
      </c>
      <c r="D85" s="1063" t="s">
        <v>318</v>
      </c>
      <c r="E85" s="48"/>
      <c r="F85" s="314">
        <v>50</v>
      </c>
      <c r="G85" s="316">
        <v>50</v>
      </c>
      <c r="H85" s="1074">
        <f t="shared" si="4"/>
        <v>100</v>
      </c>
    </row>
    <row r="86" spans="1:12" s="1056" customFormat="1" ht="15" x14ac:dyDescent="0.25">
      <c r="A86" s="50">
        <v>3769</v>
      </c>
      <c r="B86" s="19">
        <v>5166</v>
      </c>
      <c r="C86" s="1343"/>
      <c r="D86" s="1057" t="s">
        <v>609</v>
      </c>
      <c r="E86" s="48">
        <v>280</v>
      </c>
      <c r="F86" s="168">
        <v>4</v>
      </c>
      <c r="G86" s="315">
        <v>0</v>
      </c>
      <c r="H86" s="212">
        <f t="shared" si="4"/>
        <v>0</v>
      </c>
    </row>
    <row r="87" spans="1:12" s="1056" customFormat="1" ht="15" x14ac:dyDescent="0.25">
      <c r="A87" s="50">
        <v>3769</v>
      </c>
      <c r="B87" s="19">
        <v>5169</v>
      </c>
      <c r="C87" s="1343"/>
      <c r="D87" s="1057" t="s">
        <v>852</v>
      </c>
      <c r="E87" s="48">
        <v>20</v>
      </c>
      <c r="F87" s="168">
        <v>69</v>
      </c>
      <c r="G87" s="315">
        <v>0</v>
      </c>
      <c r="H87" s="212">
        <f t="shared" si="4"/>
        <v>0</v>
      </c>
    </row>
    <row r="88" spans="1:12" s="1056" customFormat="1" ht="15" x14ac:dyDescent="0.25">
      <c r="A88" s="50">
        <v>3769</v>
      </c>
      <c r="B88" s="19">
        <v>5192</v>
      </c>
      <c r="C88" s="1343"/>
      <c r="D88" s="1057" t="s">
        <v>1228</v>
      </c>
      <c r="E88" s="48"/>
      <c r="F88" s="168">
        <v>573</v>
      </c>
      <c r="G88" s="315">
        <v>573</v>
      </c>
      <c r="H88" s="212">
        <f t="shared" si="4"/>
        <v>100</v>
      </c>
    </row>
    <row r="89" spans="1:12" s="1056" customFormat="1" ht="15.75" thickBot="1" x14ac:dyDescent="0.3">
      <c r="A89" s="34"/>
      <c r="B89" s="154"/>
      <c r="C89" s="1069" t="s">
        <v>617</v>
      </c>
      <c r="D89" s="1064" t="s">
        <v>618</v>
      </c>
      <c r="E89" s="48"/>
      <c r="F89" s="314">
        <v>573</v>
      </c>
      <c r="G89" s="316">
        <v>573</v>
      </c>
      <c r="H89" s="1074">
        <f t="shared" si="4"/>
        <v>100</v>
      </c>
      <c r="J89" s="1090"/>
      <c r="K89" s="1090"/>
    </row>
    <row r="90" spans="1:12" s="360" customFormat="1" ht="35.25" customHeight="1" thickTop="1" thickBot="1" x14ac:dyDescent="0.3">
      <c r="A90" s="637" t="s">
        <v>245</v>
      </c>
      <c r="B90" s="638"/>
      <c r="C90" s="675"/>
      <c r="D90" s="640"/>
      <c r="E90" s="641">
        <f>E10+E17+E18+E20+E23+E38+E41+E43+E49+E57+E58+E60+E75+E79+E80+E86+E87</f>
        <v>19357</v>
      </c>
      <c r="F90" s="641">
        <f>F10+F11+F12+F14+F17+F18+F19+F20+F21+F23+F27+F29+F31+F33+F35+F36+F38+F39+F41+F43+F45+F47+F49+F50+F52+F55+F57+F58+F59+F60+F61+F62+F63+F64+F65+F75+F76+F78+F79+F80+F81+F82+F84+F86+F87+F88</f>
        <v>22406</v>
      </c>
      <c r="G90" s="641">
        <f>G10+G11+G12+G14+G17+G18+G19+G20+G21+G23+G27+G29+G31+G33+G35+G36+G38+G39+G41+G43+G45+G47+G49+G50+G52+G55+G57+G58+G59+G60+G61+G62+G63+G64+G65+G75+G76+G78+G79+G80+G81+G82+G84+G86+G87+G88</f>
        <v>21691</v>
      </c>
      <c r="H90" s="932">
        <f>(G90/F90)*100</f>
        <v>96.808890475765423</v>
      </c>
      <c r="J90" s="693"/>
      <c r="K90" s="693"/>
      <c r="L90" s="693"/>
    </row>
    <row r="91" spans="1:12" s="360" customFormat="1" ht="18.75" customHeight="1" thickTop="1" x14ac:dyDescent="0.25">
      <c r="A91" s="358"/>
      <c r="B91" s="359"/>
      <c r="C91" s="142"/>
      <c r="D91" s="359"/>
      <c r="E91" s="181"/>
      <c r="F91" s="181"/>
      <c r="G91" s="181"/>
      <c r="H91" s="210"/>
    </row>
    <row r="92" spans="1:12" s="360" customFormat="1" ht="18.75" customHeight="1" x14ac:dyDescent="0.25">
      <c r="A92" s="358"/>
      <c r="B92" s="359"/>
      <c r="C92" s="142"/>
      <c r="D92" s="359"/>
      <c r="E92" s="181"/>
      <c r="F92" s="181"/>
      <c r="G92" s="181"/>
      <c r="H92" s="210"/>
    </row>
    <row r="93" spans="1:12" s="360" customFormat="1" ht="18.75" customHeight="1" x14ac:dyDescent="0.25">
      <c r="A93" s="358"/>
      <c r="B93" s="359"/>
      <c r="C93" s="142"/>
      <c r="D93" s="359"/>
      <c r="E93" s="181"/>
      <c r="F93" s="181"/>
      <c r="G93" s="181"/>
      <c r="H93" s="210"/>
    </row>
    <row r="94" spans="1:12" s="532" customFormat="1" ht="15.75" x14ac:dyDescent="0.25">
      <c r="A94" s="33" t="s">
        <v>1248</v>
      </c>
      <c r="B94" s="643"/>
      <c r="C94" s="676"/>
      <c r="D94" s="677"/>
      <c r="E94" s="678"/>
      <c r="F94" s="679"/>
      <c r="G94" s="680"/>
      <c r="H94" s="681"/>
    </row>
    <row r="95" spans="1:12" s="532" customFormat="1" ht="15.75" thickBot="1" x14ac:dyDescent="0.3">
      <c r="A95" s="643"/>
      <c r="B95" s="643"/>
      <c r="C95" s="676"/>
      <c r="D95" s="677"/>
      <c r="E95" s="678"/>
      <c r="F95" s="679"/>
      <c r="G95" s="680"/>
      <c r="H95" s="812" t="s">
        <v>161</v>
      </c>
    </row>
    <row r="96" spans="1:12" s="107" customFormat="1" ht="20.25" customHeight="1" thickTop="1" thickBot="1" x14ac:dyDescent="0.25">
      <c r="A96" s="631" t="s">
        <v>162</v>
      </c>
      <c r="B96" s="632" t="s">
        <v>163</v>
      </c>
      <c r="C96" s="670" t="s">
        <v>705</v>
      </c>
      <c r="D96" s="774" t="s">
        <v>164</v>
      </c>
      <c r="E96" s="634" t="s">
        <v>165</v>
      </c>
      <c r="F96" s="634" t="s">
        <v>881</v>
      </c>
      <c r="G96" s="634" t="s">
        <v>882</v>
      </c>
      <c r="H96" s="818" t="s">
        <v>883</v>
      </c>
    </row>
    <row r="97" spans="1:9" s="383" customFormat="1" ht="13.5" thickTop="1" thickBot="1" x14ac:dyDescent="0.25">
      <c r="A97" s="566">
        <v>1</v>
      </c>
      <c r="B97" s="567">
        <v>2</v>
      </c>
      <c r="C97" s="567">
        <v>3</v>
      </c>
      <c r="D97" s="567">
        <v>4</v>
      </c>
      <c r="E97" s="567">
        <v>5</v>
      </c>
      <c r="F97" s="541">
        <v>6</v>
      </c>
      <c r="G97" s="541">
        <v>7</v>
      </c>
      <c r="H97" s="636" t="s">
        <v>61</v>
      </c>
      <c r="I97" s="107"/>
    </row>
    <row r="98" spans="1:9" s="1056" customFormat="1" ht="15.75" thickTop="1" x14ac:dyDescent="0.25">
      <c r="A98" s="1094">
        <v>1037</v>
      </c>
      <c r="B98" s="1169">
        <v>6313</v>
      </c>
      <c r="C98" s="1085"/>
      <c r="D98" s="1188" t="s">
        <v>1238</v>
      </c>
      <c r="E98" s="1186"/>
      <c r="F98" s="449">
        <v>11596</v>
      </c>
      <c r="G98" s="370">
        <v>11596</v>
      </c>
      <c r="H98" s="203">
        <f>(G98/F98)*100</f>
        <v>100</v>
      </c>
    </row>
    <row r="99" spans="1:9" s="1056" customFormat="1" x14ac:dyDescent="0.2">
      <c r="A99" s="34"/>
      <c r="B99" s="1088"/>
      <c r="C99" s="1068" t="s">
        <v>1028</v>
      </c>
      <c r="D99" s="2659" t="s">
        <v>1239</v>
      </c>
      <c r="E99" s="55"/>
      <c r="F99" s="314">
        <v>11596</v>
      </c>
      <c r="G99" s="316">
        <v>11596</v>
      </c>
      <c r="H99" s="1065">
        <f>(G99/F99)*100</f>
        <v>100</v>
      </c>
    </row>
    <row r="100" spans="1:9" s="1056" customFormat="1" x14ac:dyDescent="0.2">
      <c r="A100" s="34"/>
      <c r="B100" s="1088"/>
      <c r="C100" s="1068"/>
      <c r="D100" s="2659"/>
      <c r="E100" s="55"/>
      <c r="F100" s="314"/>
      <c r="G100" s="316"/>
      <c r="H100" s="1065"/>
    </row>
    <row r="101" spans="1:9" s="1056" customFormat="1" ht="30" x14ac:dyDescent="0.25">
      <c r="A101" s="2397">
        <v>1099</v>
      </c>
      <c r="B101" s="2398">
        <v>6312</v>
      </c>
      <c r="C101" s="1068"/>
      <c r="D101" s="1165" t="s">
        <v>1857</v>
      </c>
      <c r="E101" s="55"/>
      <c r="F101" s="313">
        <v>300</v>
      </c>
      <c r="G101" s="315">
        <v>300</v>
      </c>
      <c r="H101" s="203">
        <f t="shared" ref="H101:H118" si="5">(G101/F101)*100</f>
        <v>100</v>
      </c>
    </row>
    <row r="102" spans="1:9" s="1056" customFormat="1" x14ac:dyDescent="0.2">
      <c r="A102" s="34"/>
      <c r="B102" s="1088"/>
      <c r="C102" s="1084" t="s">
        <v>249</v>
      </c>
      <c r="D102" s="1063" t="s">
        <v>318</v>
      </c>
      <c r="E102" s="55"/>
      <c r="F102" s="314">
        <v>300</v>
      </c>
      <c r="G102" s="316">
        <v>300</v>
      </c>
      <c r="H102" s="1065">
        <f t="shared" si="5"/>
        <v>100</v>
      </c>
    </row>
    <row r="103" spans="1:9" s="1056" customFormat="1" ht="15" x14ac:dyDescent="0.25">
      <c r="A103" s="34">
        <v>1099</v>
      </c>
      <c r="B103" s="1088">
        <v>6341</v>
      </c>
      <c r="C103" s="1343"/>
      <c r="D103" s="1057" t="s">
        <v>248</v>
      </c>
      <c r="E103" s="55"/>
      <c r="F103" s="313">
        <v>100</v>
      </c>
      <c r="G103" s="315">
        <v>100</v>
      </c>
      <c r="H103" s="203">
        <f t="shared" si="5"/>
        <v>100</v>
      </c>
    </row>
    <row r="104" spans="1:9" s="1056" customFormat="1" x14ac:dyDescent="0.2">
      <c r="A104" s="34"/>
      <c r="B104" s="1088"/>
      <c r="C104" s="1084" t="s">
        <v>249</v>
      </c>
      <c r="D104" s="1063" t="s">
        <v>318</v>
      </c>
      <c r="E104" s="55"/>
      <c r="F104" s="314">
        <v>100</v>
      </c>
      <c r="G104" s="316">
        <v>100</v>
      </c>
      <c r="H104" s="1065">
        <f t="shared" si="5"/>
        <v>100</v>
      </c>
    </row>
    <row r="105" spans="1:9" s="1056" customFormat="1" ht="15" x14ac:dyDescent="0.25">
      <c r="A105" s="34">
        <v>2310</v>
      </c>
      <c r="B105" s="1088">
        <v>6341</v>
      </c>
      <c r="C105" s="1343"/>
      <c r="D105" s="1057" t="s">
        <v>248</v>
      </c>
      <c r="E105" s="48"/>
      <c r="F105" s="168">
        <v>1300</v>
      </c>
      <c r="G105" s="315">
        <v>1300</v>
      </c>
      <c r="H105" s="203">
        <f t="shared" si="5"/>
        <v>100</v>
      </c>
    </row>
    <row r="106" spans="1:9" s="1056" customFormat="1" x14ac:dyDescent="0.2">
      <c r="A106" s="34"/>
      <c r="B106" s="1088"/>
      <c r="C106" s="1069" t="s">
        <v>615</v>
      </c>
      <c r="D106" s="1063" t="s">
        <v>616</v>
      </c>
      <c r="E106" s="55"/>
      <c r="F106" s="314">
        <v>1300</v>
      </c>
      <c r="G106" s="316">
        <v>1300</v>
      </c>
      <c r="H106" s="1065">
        <f t="shared" si="5"/>
        <v>100</v>
      </c>
    </row>
    <row r="107" spans="1:9" s="1056" customFormat="1" ht="15" x14ac:dyDescent="0.25">
      <c r="A107" s="34">
        <v>2321</v>
      </c>
      <c r="B107" s="1088">
        <v>6341</v>
      </c>
      <c r="C107" s="1069"/>
      <c r="D107" s="1057" t="s">
        <v>248</v>
      </c>
      <c r="E107" s="55"/>
      <c r="F107" s="313">
        <v>2500</v>
      </c>
      <c r="G107" s="315">
        <v>2500</v>
      </c>
      <c r="H107" s="203">
        <f t="shared" si="5"/>
        <v>100</v>
      </c>
    </row>
    <row r="108" spans="1:9" s="1056" customFormat="1" x14ac:dyDescent="0.2">
      <c r="A108" s="34"/>
      <c r="B108" s="1088"/>
      <c r="C108" s="1084" t="s">
        <v>352</v>
      </c>
      <c r="D108" s="1098" t="s">
        <v>891</v>
      </c>
      <c r="E108" s="55"/>
      <c r="F108" s="314">
        <v>2000</v>
      </c>
      <c r="G108" s="316">
        <v>2000</v>
      </c>
      <c r="H108" s="1065">
        <f t="shared" si="5"/>
        <v>100</v>
      </c>
    </row>
    <row r="109" spans="1:9" s="1056" customFormat="1" x14ac:dyDescent="0.2">
      <c r="A109" s="34"/>
      <c r="B109" s="1088"/>
      <c r="C109" s="1069" t="s">
        <v>615</v>
      </c>
      <c r="D109" s="1063" t="s">
        <v>616</v>
      </c>
      <c r="E109" s="55"/>
      <c r="F109" s="314">
        <v>500</v>
      </c>
      <c r="G109" s="316">
        <v>500</v>
      </c>
      <c r="H109" s="1065">
        <f t="shared" si="5"/>
        <v>100</v>
      </c>
    </row>
    <row r="110" spans="1:9" s="1056" customFormat="1" ht="15" x14ac:dyDescent="0.25">
      <c r="A110" s="34">
        <v>2399</v>
      </c>
      <c r="B110" s="1088">
        <v>6313</v>
      </c>
      <c r="C110" s="1069"/>
      <c r="D110" s="309" t="s">
        <v>1238</v>
      </c>
      <c r="E110" s="71">
        <v>500</v>
      </c>
      <c r="F110" s="313">
        <v>3</v>
      </c>
      <c r="G110" s="315">
        <v>0</v>
      </c>
      <c r="H110" s="203">
        <f t="shared" si="5"/>
        <v>0</v>
      </c>
    </row>
    <row r="111" spans="1:9" s="1056" customFormat="1" x14ac:dyDescent="0.2">
      <c r="A111" s="34"/>
      <c r="B111" s="1088"/>
      <c r="C111" s="1084" t="s">
        <v>352</v>
      </c>
      <c r="D111" s="1098" t="s">
        <v>891</v>
      </c>
      <c r="E111" s="55">
        <v>500</v>
      </c>
      <c r="F111" s="314">
        <v>3</v>
      </c>
      <c r="G111" s="316">
        <v>0</v>
      </c>
      <c r="H111" s="1065">
        <f t="shared" si="5"/>
        <v>0</v>
      </c>
    </row>
    <row r="112" spans="1:9" s="1056" customFormat="1" ht="15" x14ac:dyDescent="0.25">
      <c r="A112" s="34">
        <v>3429</v>
      </c>
      <c r="B112" s="1088">
        <v>6313</v>
      </c>
      <c r="C112" s="1084"/>
      <c r="D112" s="309" t="s">
        <v>1238</v>
      </c>
      <c r="E112" s="55"/>
      <c r="F112" s="313">
        <v>100</v>
      </c>
      <c r="G112" s="315">
        <v>100</v>
      </c>
      <c r="H112" s="203">
        <f t="shared" si="5"/>
        <v>100</v>
      </c>
    </row>
    <row r="113" spans="1:11" s="1056" customFormat="1" x14ac:dyDescent="0.2">
      <c r="A113" s="34"/>
      <c r="B113" s="1088"/>
      <c r="C113" s="1084" t="s">
        <v>249</v>
      </c>
      <c r="D113" s="1063" t="s">
        <v>318</v>
      </c>
      <c r="E113" s="55"/>
      <c r="F113" s="314">
        <v>100</v>
      </c>
      <c r="G113" s="316">
        <v>100</v>
      </c>
      <c r="H113" s="1065">
        <f t="shared" si="5"/>
        <v>100</v>
      </c>
    </row>
    <row r="114" spans="1:11" s="1056" customFormat="1" ht="15" x14ac:dyDescent="0.25">
      <c r="A114" s="34">
        <v>3429</v>
      </c>
      <c r="B114" s="1088">
        <v>6322</v>
      </c>
      <c r="C114" s="1084"/>
      <c r="D114" s="87" t="s">
        <v>70</v>
      </c>
      <c r="E114" s="48"/>
      <c r="F114" s="313">
        <v>50</v>
      </c>
      <c r="G114" s="315">
        <v>50</v>
      </c>
      <c r="H114" s="203">
        <f t="shared" si="5"/>
        <v>100</v>
      </c>
    </row>
    <row r="115" spans="1:11" s="1056" customFormat="1" ht="15" x14ac:dyDescent="0.25">
      <c r="A115" s="34"/>
      <c r="B115" s="1088"/>
      <c r="C115" s="1084" t="s">
        <v>249</v>
      </c>
      <c r="D115" s="1063" t="s">
        <v>318</v>
      </c>
      <c r="E115" s="48"/>
      <c r="F115" s="314">
        <v>50</v>
      </c>
      <c r="G115" s="316">
        <v>50</v>
      </c>
      <c r="H115" s="1065">
        <f t="shared" si="5"/>
        <v>100</v>
      </c>
    </row>
    <row r="116" spans="1:11" s="1056" customFormat="1" ht="15" x14ac:dyDescent="0.25">
      <c r="A116" s="34">
        <v>3732</v>
      </c>
      <c r="B116" s="19">
        <v>6341</v>
      </c>
      <c r="C116" s="1084"/>
      <c r="D116" s="1057" t="s">
        <v>248</v>
      </c>
      <c r="E116" s="48"/>
      <c r="F116" s="313">
        <v>6000</v>
      </c>
      <c r="G116" s="315">
        <v>6000</v>
      </c>
      <c r="H116" s="203">
        <f t="shared" si="5"/>
        <v>100</v>
      </c>
    </row>
    <row r="117" spans="1:11" s="1056" customFormat="1" ht="15.75" thickBot="1" x14ac:dyDescent="0.3">
      <c r="A117" s="1095"/>
      <c r="B117" s="1092"/>
      <c r="C117" s="1187" t="s">
        <v>22</v>
      </c>
      <c r="D117" s="1784" t="s">
        <v>1203</v>
      </c>
      <c r="E117" s="1083"/>
      <c r="F117" s="440">
        <v>6000</v>
      </c>
      <c r="G117" s="441">
        <v>6000</v>
      </c>
      <c r="H117" s="1331">
        <f t="shared" si="5"/>
        <v>100</v>
      </c>
    </row>
    <row r="118" spans="1:11" s="360" customFormat="1" ht="35.25" customHeight="1" thickTop="1" thickBot="1" x14ac:dyDescent="0.3">
      <c r="A118" s="688" t="s">
        <v>244</v>
      </c>
      <c r="B118" s="689"/>
      <c r="C118" s="690"/>
      <c r="D118" s="689"/>
      <c r="E118" s="691">
        <f>E110</f>
        <v>500</v>
      </c>
      <c r="F118" s="691">
        <f>F98+F101+F103+F105+F107+F110+F112+F114+F116</f>
        <v>21949</v>
      </c>
      <c r="G118" s="691">
        <f>G98+G101+G103+G105+G107+G110+G112+G114+G116</f>
        <v>21946</v>
      </c>
      <c r="H118" s="933">
        <f t="shared" si="5"/>
        <v>99.986331951341739</v>
      </c>
    </row>
    <row r="119" spans="1:11" s="532" customFormat="1" ht="15.75" thickTop="1" x14ac:dyDescent="0.25">
      <c r="A119" s="643"/>
      <c r="B119" s="643"/>
      <c r="C119" s="676"/>
      <c r="D119" s="677"/>
      <c r="E119" s="678"/>
      <c r="F119" s="679"/>
      <c r="G119" s="680"/>
      <c r="H119" s="681"/>
    </row>
    <row r="120" spans="1:11" s="532" customFormat="1" ht="15" x14ac:dyDescent="0.25">
      <c r="A120" s="643"/>
      <c r="B120" s="643"/>
      <c r="C120" s="676"/>
      <c r="D120" s="677"/>
      <c r="E120" s="678"/>
      <c r="F120" s="679"/>
      <c r="G120" s="680"/>
      <c r="H120" s="681"/>
    </row>
    <row r="121" spans="1:11" ht="16.5" x14ac:dyDescent="0.25">
      <c r="A121" s="361" t="s">
        <v>201</v>
      </c>
      <c r="B121" s="362"/>
      <c r="C121" s="363"/>
      <c r="D121" s="363"/>
      <c r="E121" s="934">
        <f>E122+E123+E124+E125</f>
        <v>19857</v>
      </c>
      <c r="F121" s="934">
        <f>F122+F123+F124+F125</f>
        <v>44355</v>
      </c>
      <c r="G121" s="934">
        <f>G122+G123+G124+G125</f>
        <v>43637</v>
      </c>
      <c r="H121" s="305">
        <f>G121/F121*100</f>
        <v>98.38124225002818</v>
      </c>
    </row>
    <row r="122" spans="1:11" s="1270" customFormat="1" ht="15" x14ac:dyDescent="0.2">
      <c r="A122" s="555" t="s">
        <v>263</v>
      </c>
      <c r="B122" s="585"/>
      <c r="C122" s="586"/>
      <c r="D122" s="586"/>
      <c r="E122" s="935">
        <f>E90</f>
        <v>19357</v>
      </c>
      <c r="F122" s="935">
        <f>F90-F124</f>
        <v>20009</v>
      </c>
      <c r="G122" s="935">
        <f>G90-G124</f>
        <v>19295</v>
      </c>
      <c r="H122" s="306">
        <f>G122/F122*100</f>
        <v>96.431605777400165</v>
      </c>
    </row>
    <row r="123" spans="1:11" s="1270" customFormat="1" ht="15" x14ac:dyDescent="0.2">
      <c r="A123" s="555" t="s">
        <v>264</v>
      </c>
      <c r="B123" s="590"/>
      <c r="C123" s="586"/>
      <c r="D123" s="586"/>
      <c r="E123" s="936">
        <f>E118</f>
        <v>500</v>
      </c>
      <c r="F123" s="936">
        <f>F118-F125</f>
        <v>10353</v>
      </c>
      <c r="G123" s="936">
        <f>G118-G125</f>
        <v>10350</v>
      </c>
      <c r="H123" s="306">
        <f>G123/F123*100</f>
        <v>99.971022891915382</v>
      </c>
    </row>
    <row r="124" spans="1:11" s="1270" customFormat="1" ht="15" x14ac:dyDescent="0.2">
      <c r="A124" s="555" t="s">
        <v>208</v>
      </c>
      <c r="B124" s="590"/>
      <c r="C124" s="586"/>
      <c r="D124" s="586"/>
      <c r="E124" s="935">
        <v>0</v>
      </c>
      <c r="F124" s="935">
        <f>F25+F89</f>
        <v>2397</v>
      </c>
      <c r="G124" s="935">
        <f>G25+G89</f>
        <v>2396</v>
      </c>
      <c r="H124" s="306">
        <f>G124/F124*100</f>
        <v>99.958281184814339</v>
      </c>
      <c r="J124" s="1271"/>
      <c r="K124" s="1271"/>
    </row>
    <row r="125" spans="1:11" s="1270" customFormat="1" ht="15" x14ac:dyDescent="0.2">
      <c r="A125" s="555" t="s">
        <v>1147</v>
      </c>
      <c r="B125" s="590"/>
      <c r="C125" s="586"/>
      <c r="D125" s="586"/>
      <c r="E125" s="935">
        <v>0</v>
      </c>
      <c r="F125" s="592">
        <f>F99</f>
        <v>11596</v>
      </c>
      <c r="G125" s="592">
        <f>G99</f>
        <v>11596</v>
      </c>
      <c r="H125" s="306">
        <f>G125/F125*100</f>
        <v>100</v>
      </c>
    </row>
    <row r="126" spans="1:11" s="1270" customFormat="1" ht="15" x14ac:dyDescent="0.2">
      <c r="A126" s="555"/>
      <c r="B126" s="590"/>
      <c r="C126" s="586"/>
      <c r="D126" s="586"/>
      <c r="E126" s="935"/>
      <c r="F126" s="592"/>
      <c r="G126" s="592"/>
      <c r="H126" s="306"/>
    </row>
    <row r="127" spans="1:11" s="532" customFormat="1" x14ac:dyDescent="0.2">
      <c r="A127" s="746"/>
      <c r="B127" s="937"/>
      <c r="C127" s="938"/>
      <c r="D127" s="108"/>
      <c r="E127" s="448"/>
      <c r="F127" s="448"/>
      <c r="G127" s="448"/>
      <c r="H127" s="893"/>
    </row>
    <row r="128" spans="1:11" s="58" customFormat="1" ht="47.25" customHeight="1" thickBot="1" x14ac:dyDescent="0.4">
      <c r="A128" s="2640" t="s">
        <v>1187</v>
      </c>
      <c r="B128" s="2641"/>
      <c r="C128" s="2641"/>
      <c r="D128" s="2641"/>
      <c r="E128" s="593">
        <f>E118+E90</f>
        <v>19857</v>
      </c>
      <c r="F128" s="593">
        <f>F118+F90</f>
        <v>44355</v>
      </c>
      <c r="G128" s="593">
        <f>G118+G90</f>
        <v>43637</v>
      </c>
      <c r="H128" s="939">
        <f>(G128/F128)*100</f>
        <v>98.38124225002818</v>
      </c>
    </row>
    <row r="129" ht="15" thickTop="1" x14ac:dyDescent="0.2"/>
  </sheetData>
  <mergeCells count="3">
    <mergeCell ref="A128:D128"/>
    <mergeCell ref="D99:D100"/>
    <mergeCell ref="D25:D26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40" orientation="portrait" useFirstPageNumber="1" r:id="rId1"/>
  <headerFooter alignWithMargins="0">
    <oddFooter xml:space="preserve">&amp;L&amp;"Arial,Kurzíva"Zastupitelstvo Olomouckého kraje 26.6.2015
4. - Závěrečný  účet Olomouckého kraje za rok 2014
Příloha č. 3: Plnění rozpočtu výdajů Olomouckého kraje k 31.12.2014&amp;R&amp;"Arial,Kurzíva"Strana &amp;P (Celkem 484)
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 enableFormatConditionsCalculation="0">
    <tabColor rgb="FFFF0000"/>
  </sheetPr>
  <dimension ref="A1:U327"/>
  <sheetViews>
    <sheetView showGridLines="0" view="pageBreakPreview" topLeftCell="A40" zoomScaleNormal="100" zoomScaleSheetLayoutView="100" workbookViewId="0">
      <selection activeCell="I10" sqref="I10"/>
    </sheetView>
  </sheetViews>
  <sheetFormatPr defaultRowHeight="14.25" x14ac:dyDescent="0.2"/>
  <cols>
    <col min="1" max="1" width="5.28515625" style="643" customWidth="1"/>
    <col min="2" max="2" width="5.28515625" style="381" customWidth="1"/>
    <col min="3" max="3" width="8.85546875" style="663" customWidth="1"/>
    <col min="4" max="4" width="47.140625" style="381" customWidth="1"/>
    <col min="5" max="5" width="12.42578125" style="524" customWidth="1"/>
    <col min="6" max="6" width="14.85546875" style="524" customWidth="1"/>
    <col min="7" max="7" width="14.5703125" style="524" customWidth="1"/>
    <col min="8" max="8" width="8.28515625" style="765" customWidth="1"/>
    <col min="9" max="9" width="11.7109375" style="381" bestFit="1" customWidth="1"/>
    <col min="10" max="10" width="11.7109375" style="381" customWidth="1"/>
    <col min="11" max="11" width="14" style="381" customWidth="1"/>
    <col min="12" max="12" width="14.5703125" style="381" customWidth="1"/>
    <col min="13" max="13" width="10" style="381" bestFit="1" customWidth="1"/>
    <col min="14" max="16384" width="9.140625" style="381"/>
  </cols>
  <sheetData>
    <row r="1" spans="1:9" ht="18.75" thickBot="1" x14ac:dyDescent="0.3">
      <c r="A1" s="463" t="s">
        <v>710</v>
      </c>
      <c r="B1" s="464"/>
      <c r="C1" s="465"/>
      <c r="D1" s="475"/>
      <c r="E1" s="1451"/>
      <c r="F1" s="467" t="s">
        <v>711</v>
      </c>
    </row>
    <row r="2" spans="1:9" ht="12.75" customHeight="1" x14ac:dyDescent="0.25">
      <c r="A2" s="6"/>
      <c r="B2" s="28"/>
      <c r="C2" s="142"/>
      <c r="D2" s="10"/>
      <c r="E2" s="461"/>
      <c r="F2" s="461"/>
      <c r="G2" s="168"/>
      <c r="H2" s="213"/>
    </row>
    <row r="3" spans="1:9" ht="12.75" customHeight="1" x14ac:dyDescent="0.25">
      <c r="A3" s="67" t="s">
        <v>367</v>
      </c>
      <c r="B3" s="308"/>
      <c r="C3" s="2441" t="s">
        <v>216</v>
      </c>
      <c r="D3" s="627"/>
      <c r="E3" s="461"/>
      <c r="F3" s="168"/>
      <c r="G3" s="181"/>
      <c r="H3" s="213"/>
    </row>
    <row r="4" spans="1:9" ht="12.75" customHeight="1" x14ac:dyDescent="0.25">
      <c r="A4" s="6"/>
      <c r="B4" s="28"/>
      <c r="C4" s="2441" t="s">
        <v>464</v>
      </c>
      <c r="D4" s="382"/>
      <c r="E4" s="461"/>
      <c r="F4" s="168"/>
      <c r="G4" s="181"/>
      <c r="H4" s="213"/>
    </row>
    <row r="5" spans="1:9" ht="6" customHeight="1" x14ac:dyDescent="0.25">
      <c r="A5" s="6"/>
      <c r="B5" s="28"/>
      <c r="C5" s="142"/>
      <c r="D5" s="10"/>
      <c r="E5" s="461"/>
      <c r="F5" s="461"/>
      <c r="G5" s="168"/>
      <c r="H5" s="213"/>
    </row>
    <row r="6" spans="1:9" ht="15.75" x14ac:dyDescent="0.25">
      <c r="A6" s="98" t="s">
        <v>884</v>
      </c>
      <c r="B6" s="28"/>
      <c r="C6" s="142"/>
      <c r="D6" s="10"/>
      <c r="E6" s="461"/>
      <c r="F6" s="461"/>
      <c r="G6" s="168"/>
    </row>
    <row r="7" spans="1:9" ht="12.75" customHeight="1" thickBot="1" x14ac:dyDescent="0.3">
      <c r="A7" s="98"/>
      <c r="B7" s="28"/>
      <c r="C7" s="142"/>
      <c r="D7" s="10"/>
      <c r="E7" s="461"/>
      <c r="F7" s="461"/>
      <c r="G7" s="168"/>
      <c r="H7" s="1735" t="s">
        <v>161</v>
      </c>
    </row>
    <row r="8" spans="1:9" s="107" customFormat="1" ht="20.25" customHeight="1" thickTop="1" thickBot="1" x14ac:dyDescent="0.25">
      <c r="A8" s="631" t="s">
        <v>162</v>
      </c>
      <c r="B8" s="632" t="s">
        <v>163</v>
      </c>
      <c r="C8" s="670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635" t="s">
        <v>883</v>
      </c>
    </row>
    <row r="9" spans="1:9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636" t="s">
        <v>61</v>
      </c>
      <c r="I9" s="107"/>
    </row>
    <row r="10" spans="1:9" s="383" customFormat="1" ht="15.75" thickTop="1" x14ac:dyDescent="0.25">
      <c r="A10" s="50">
        <v>3111</v>
      </c>
      <c r="B10" s="19">
        <v>5321</v>
      </c>
      <c r="C10" s="122"/>
      <c r="D10" s="1363" t="s">
        <v>1201</v>
      </c>
      <c r="E10" s="48"/>
      <c r="F10" s="313">
        <v>300</v>
      </c>
      <c r="G10" s="315">
        <v>300</v>
      </c>
      <c r="H10" s="1062">
        <f>(G10/F10)*100</f>
        <v>100</v>
      </c>
      <c r="I10" s="107"/>
    </row>
    <row r="11" spans="1:9" s="383" customFormat="1" ht="15" x14ac:dyDescent="0.25">
      <c r="A11" s="50"/>
      <c r="B11" s="19"/>
      <c r="C11" s="1375" t="s">
        <v>249</v>
      </c>
      <c r="D11" s="117" t="s">
        <v>318</v>
      </c>
      <c r="E11" s="48"/>
      <c r="F11" s="314">
        <v>300</v>
      </c>
      <c r="G11" s="316">
        <v>300</v>
      </c>
      <c r="H11" s="1065">
        <f>(G11/F11)*100</f>
        <v>100</v>
      </c>
      <c r="I11" s="107"/>
    </row>
    <row r="12" spans="1:9" s="383" customFormat="1" ht="15" x14ac:dyDescent="0.25">
      <c r="A12" s="223">
        <v>3269</v>
      </c>
      <c r="B12" s="96">
        <v>5139</v>
      </c>
      <c r="C12" s="1357"/>
      <c r="D12" s="68" t="s">
        <v>625</v>
      </c>
      <c r="E12" s="60">
        <f>E13+E14</f>
        <v>35</v>
      </c>
      <c r="F12" s="60">
        <f>F13+F14</f>
        <v>85</v>
      </c>
      <c r="G12" s="60">
        <f>G13+G14</f>
        <v>63</v>
      </c>
      <c r="H12" s="1062">
        <f>(G12/F12)*100</f>
        <v>74.117647058823536</v>
      </c>
      <c r="I12" s="107"/>
    </row>
    <row r="13" spans="1:9" s="383" customFormat="1" x14ac:dyDescent="0.2">
      <c r="A13" s="223"/>
      <c r="B13" s="96"/>
      <c r="C13" s="1069" t="s">
        <v>753</v>
      </c>
      <c r="D13" s="1063" t="s">
        <v>1259</v>
      </c>
      <c r="E13" s="124">
        <v>35</v>
      </c>
      <c r="F13" s="314">
        <v>60</v>
      </c>
      <c r="G13" s="316">
        <v>40</v>
      </c>
      <c r="H13" s="1065">
        <f>(G13/F13)*100</f>
        <v>66.666666666666657</v>
      </c>
      <c r="I13" s="107"/>
    </row>
    <row r="14" spans="1:9" s="383" customFormat="1" ht="15" x14ac:dyDescent="0.25">
      <c r="A14" s="223"/>
      <c r="B14" s="96"/>
      <c r="C14" s="1375" t="s">
        <v>370</v>
      </c>
      <c r="D14" s="225" t="s">
        <v>1339</v>
      </c>
      <c r="E14" s="60"/>
      <c r="F14" s="314">
        <v>25</v>
      </c>
      <c r="G14" s="316">
        <v>23</v>
      </c>
      <c r="H14" s="1065">
        <f>(G14/F14)*100</f>
        <v>92</v>
      </c>
      <c r="I14" s="107"/>
    </row>
    <row r="15" spans="1:9" s="1107" customFormat="1" ht="14.25" customHeight="1" x14ac:dyDescent="0.25">
      <c r="A15" s="223">
        <v>3269</v>
      </c>
      <c r="B15" s="96">
        <v>5162</v>
      </c>
      <c r="C15" s="1357"/>
      <c r="D15" s="68" t="s">
        <v>131</v>
      </c>
      <c r="E15" s="60">
        <v>5</v>
      </c>
      <c r="F15" s="313">
        <v>4</v>
      </c>
      <c r="G15" s="315">
        <v>0</v>
      </c>
      <c r="H15" s="1062">
        <v>0</v>
      </c>
    </row>
    <row r="16" spans="1:9" s="1107" customFormat="1" ht="14.25" customHeight="1" x14ac:dyDescent="0.25">
      <c r="A16" s="223">
        <v>3269</v>
      </c>
      <c r="B16" s="96">
        <v>5164</v>
      </c>
      <c r="C16" s="1357"/>
      <c r="D16" s="68" t="s">
        <v>170</v>
      </c>
      <c r="E16" s="60">
        <f>E17+E18</f>
        <v>108</v>
      </c>
      <c r="F16" s="60">
        <f>F17+F18</f>
        <v>123</v>
      </c>
      <c r="G16" s="60">
        <f>G17+G18</f>
        <v>67</v>
      </c>
      <c r="H16" s="1062">
        <f>(G16/F16)*100</f>
        <v>54.471544715447152</v>
      </c>
    </row>
    <row r="17" spans="1:21" s="1107" customFormat="1" ht="14.25" customHeight="1" x14ac:dyDescent="0.2">
      <c r="A17" s="223"/>
      <c r="B17" s="96"/>
      <c r="C17" s="1069" t="s">
        <v>753</v>
      </c>
      <c r="D17" s="1063" t="s">
        <v>1259</v>
      </c>
      <c r="E17" s="124">
        <v>108</v>
      </c>
      <c r="F17" s="314">
        <v>108</v>
      </c>
      <c r="G17" s="316">
        <v>52</v>
      </c>
      <c r="H17" s="1065">
        <f>(G17/F17)*100</f>
        <v>48.148148148148145</v>
      </c>
    </row>
    <row r="18" spans="1:21" s="1107" customFormat="1" ht="14.25" customHeight="1" x14ac:dyDescent="0.25">
      <c r="A18" s="223"/>
      <c r="B18" s="96"/>
      <c r="C18" s="1375" t="s">
        <v>370</v>
      </c>
      <c r="D18" s="225" t="s">
        <v>1339</v>
      </c>
      <c r="E18" s="60"/>
      <c r="F18" s="314">
        <v>15</v>
      </c>
      <c r="G18" s="316">
        <v>15</v>
      </c>
      <c r="H18" s="1065">
        <f>(G18/F18)*100</f>
        <v>100</v>
      </c>
    </row>
    <row r="19" spans="1:21" s="1107" customFormat="1" ht="14.25" customHeight="1" x14ac:dyDescent="0.25">
      <c r="A19" s="223">
        <v>3269</v>
      </c>
      <c r="B19" s="96">
        <v>5168</v>
      </c>
      <c r="C19" s="1375"/>
      <c r="D19" s="2667" t="s">
        <v>1932</v>
      </c>
      <c r="E19" s="60"/>
      <c r="F19" s="313">
        <v>2</v>
      </c>
      <c r="G19" s="315">
        <v>2</v>
      </c>
      <c r="H19" s="203">
        <f>(G19/F19)*100</f>
        <v>100</v>
      </c>
    </row>
    <row r="20" spans="1:21" s="1107" customFormat="1" ht="14.25" customHeight="1" x14ac:dyDescent="0.25">
      <c r="A20" s="223"/>
      <c r="B20" s="96"/>
      <c r="C20" s="1375"/>
      <c r="D20" s="2633"/>
      <c r="E20" s="60"/>
      <c r="F20" s="313"/>
      <c r="G20" s="315"/>
      <c r="H20" s="203"/>
    </row>
    <row r="21" spans="1:21" s="1107" customFormat="1" ht="14.25" customHeight="1" x14ac:dyDescent="0.25">
      <c r="A21" s="50">
        <v>3269</v>
      </c>
      <c r="B21" s="19">
        <v>5169</v>
      </c>
      <c r="C21" s="1374"/>
      <c r="D21" s="72" t="s">
        <v>852</v>
      </c>
      <c r="E21" s="71">
        <f>E22+E24</f>
        <v>13514</v>
      </c>
      <c r="F21" s="71">
        <f>F22+F23+F24</f>
        <v>13199</v>
      </c>
      <c r="G21" s="71">
        <f>G22+G23+G24</f>
        <v>13099</v>
      </c>
      <c r="H21" s="1062">
        <f t="shared" ref="H21:H30" si="0">(G21/F21)*100</f>
        <v>99.24236684597318</v>
      </c>
      <c r="I21" s="1056"/>
      <c r="J21" s="1056"/>
      <c r="K21" s="1056"/>
      <c r="L21" s="1056"/>
      <c r="M21" s="1056"/>
      <c r="N21" s="1056"/>
      <c r="O21" s="1056"/>
      <c r="P21" s="1056"/>
      <c r="Q21" s="1056"/>
      <c r="R21" s="1056"/>
      <c r="S21" s="1056"/>
      <c r="T21" s="1056"/>
      <c r="U21" s="1056"/>
    </row>
    <row r="22" spans="1:21" s="1107" customFormat="1" ht="14.25" customHeight="1" x14ac:dyDescent="0.2">
      <c r="A22" s="50"/>
      <c r="B22" s="19"/>
      <c r="C22" s="1069" t="s">
        <v>753</v>
      </c>
      <c r="D22" s="1063" t="s">
        <v>1259</v>
      </c>
      <c r="E22" s="55">
        <v>13064</v>
      </c>
      <c r="F22" s="314">
        <v>12699</v>
      </c>
      <c r="G22" s="316">
        <v>12599</v>
      </c>
      <c r="H22" s="1065">
        <f t="shared" si="0"/>
        <v>99.21253642019056</v>
      </c>
      <c r="I22" s="1056"/>
      <c r="J22" s="1056"/>
      <c r="K22" s="1056"/>
      <c r="L22" s="1056"/>
      <c r="M22" s="1056"/>
      <c r="N22" s="1056"/>
      <c r="O22" s="1056"/>
      <c r="P22" s="1056"/>
      <c r="Q22" s="1056"/>
      <c r="R22" s="1056"/>
      <c r="S22" s="1056"/>
      <c r="T22" s="1056"/>
      <c r="U22" s="1056"/>
    </row>
    <row r="23" spans="1:21" s="1107" customFormat="1" ht="14.25" customHeight="1" x14ac:dyDescent="0.25">
      <c r="A23" s="50"/>
      <c r="B23" s="19"/>
      <c r="C23" s="1375" t="s">
        <v>370</v>
      </c>
      <c r="D23" s="225" t="s">
        <v>1339</v>
      </c>
      <c r="E23" s="71"/>
      <c r="F23" s="314">
        <v>65</v>
      </c>
      <c r="G23" s="316">
        <v>65</v>
      </c>
      <c r="H23" s="1065">
        <f t="shared" si="0"/>
        <v>100</v>
      </c>
      <c r="I23" s="1056"/>
      <c r="J23" s="1056"/>
      <c r="K23" s="1056"/>
      <c r="L23" s="1056"/>
      <c r="M23" s="1056"/>
      <c r="N23" s="1056"/>
      <c r="O23" s="1056"/>
      <c r="P23" s="1056"/>
      <c r="Q23" s="1056"/>
      <c r="R23" s="1056"/>
      <c r="S23" s="1056"/>
      <c r="T23" s="1056"/>
      <c r="U23" s="1056"/>
    </row>
    <row r="24" spans="1:21" s="1107" customFormat="1" ht="14.25" customHeight="1" x14ac:dyDescent="0.2">
      <c r="A24" s="50"/>
      <c r="B24" s="19"/>
      <c r="C24" s="1375" t="s">
        <v>1675</v>
      </c>
      <c r="D24" s="225" t="s">
        <v>1676</v>
      </c>
      <c r="E24" s="55">
        <v>450</v>
      </c>
      <c r="F24" s="314">
        <v>435</v>
      </c>
      <c r="G24" s="316">
        <v>435</v>
      </c>
      <c r="H24" s="1065">
        <f t="shared" si="0"/>
        <v>100</v>
      </c>
      <c r="I24" s="1056"/>
      <c r="J24" s="1056"/>
      <c r="K24" s="1056"/>
      <c r="L24" s="1056"/>
      <c r="M24" s="1056"/>
      <c r="N24" s="1056"/>
      <c r="O24" s="1056"/>
      <c r="P24" s="1056"/>
      <c r="Q24" s="1056"/>
      <c r="R24" s="1056"/>
      <c r="S24" s="1056"/>
      <c r="T24" s="1056"/>
      <c r="U24" s="1056"/>
    </row>
    <row r="25" spans="1:21" s="1107" customFormat="1" ht="14.25" customHeight="1" x14ac:dyDescent="0.25">
      <c r="A25" s="50">
        <v>3269</v>
      </c>
      <c r="B25" s="19">
        <v>5175</v>
      </c>
      <c r="C25" s="1374"/>
      <c r="D25" s="1363" t="s">
        <v>669</v>
      </c>
      <c r="E25" s="48">
        <f>E26+E27+E28</f>
        <v>117</v>
      </c>
      <c r="F25" s="71">
        <f>F26+F27+F28</f>
        <v>165</v>
      </c>
      <c r="G25" s="71">
        <f>G26+G27+G28</f>
        <v>143</v>
      </c>
      <c r="H25" s="1062">
        <f t="shared" si="0"/>
        <v>86.666666666666671</v>
      </c>
      <c r="I25" s="1056"/>
      <c r="J25" s="1056"/>
      <c r="K25" s="1056"/>
      <c r="L25" s="1056"/>
      <c r="M25" s="1056"/>
      <c r="N25" s="1056"/>
      <c r="O25" s="1056"/>
      <c r="P25" s="1056"/>
      <c r="Q25" s="1056"/>
      <c r="R25" s="1056"/>
      <c r="S25" s="1056"/>
      <c r="T25" s="1056"/>
      <c r="U25" s="1056"/>
    </row>
    <row r="26" spans="1:21" s="1107" customFormat="1" ht="14.25" customHeight="1" x14ac:dyDescent="0.2">
      <c r="A26" s="50"/>
      <c r="B26" s="19"/>
      <c r="C26" s="1069" t="s">
        <v>753</v>
      </c>
      <c r="D26" s="1063" t="s">
        <v>1259</v>
      </c>
      <c r="E26" s="55">
        <v>97</v>
      </c>
      <c r="F26" s="314">
        <v>97</v>
      </c>
      <c r="G26" s="316">
        <v>75</v>
      </c>
      <c r="H26" s="1065">
        <f t="shared" si="0"/>
        <v>77.319587628865989</v>
      </c>
      <c r="I26" s="1056"/>
      <c r="J26" s="1056"/>
      <c r="K26" s="1056"/>
      <c r="L26" s="1056"/>
      <c r="M26" s="1056"/>
      <c r="N26" s="1056"/>
      <c r="O26" s="1056"/>
      <c r="P26" s="1056"/>
      <c r="Q26" s="1056"/>
      <c r="R26" s="1056"/>
      <c r="S26" s="1056"/>
      <c r="T26" s="1056"/>
      <c r="U26" s="1056"/>
    </row>
    <row r="27" spans="1:21" s="1107" customFormat="1" ht="14.25" customHeight="1" x14ac:dyDescent="0.25">
      <c r="A27" s="50"/>
      <c r="B27" s="19"/>
      <c r="C27" s="1375" t="s">
        <v>370</v>
      </c>
      <c r="D27" s="225" t="s">
        <v>1339</v>
      </c>
      <c r="E27" s="48"/>
      <c r="F27" s="314">
        <v>60</v>
      </c>
      <c r="G27" s="316">
        <v>60</v>
      </c>
      <c r="H27" s="1065">
        <f t="shared" si="0"/>
        <v>100</v>
      </c>
      <c r="I27" s="1056"/>
      <c r="J27" s="1056"/>
      <c r="K27" s="1056"/>
      <c r="L27" s="1056"/>
      <c r="M27" s="1056"/>
      <c r="N27" s="1056"/>
      <c r="O27" s="1056"/>
      <c r="P27" s="1056"/>
      <c r="Q27" s="1056"/>
      <c r="R27" s="1056"/>
      <c r="S27" s="1056"/>
      <c r="T27" s="1056"/>
      <c r="U27" s="1056"/>
    </row>
    <row r="28" spans="1:21" s="1107" customFormat="1" ht="14.25" customHeight="1" x14ac:dyDescent="0.2">
      <c r="A28" s="50"/>
      <c r="B28" s="19"/>
      <c r="C28" s="1375" t="s">
        <v>1675</v>
      </c>
      <c r="D28" s="225" t="s">
        <v>1676</v>
      </c>
      <c r="E28" s="55">
        <v>20</v>
      </c>
      <c r="F28" s="314">
        <v>8</v>
      </c>
      <c r="G28" s="316">
        <v>8</v>
      </c>
      <c r="H28" s="1065">
        <f t="shared" si="0"/>
        <v>100</v>
      </c>
      <c r="I28" s="1056"/>
      <c r="J28" s="1056"/>
      <c r="K28" s="1056"/>
      <c r="L28" s="1056"/>
      <c r="M28" s="1056"/>
      <c r="N28" s="1056"/>
      <c r="O28" s="1056"/>
      <c r="P28" s="1056"/>
      <c r="Q28" s="1056"/>
      <c r="R28" s="1056"/>
      <c r="S28" s="1056"/>
      <c r="T28" s="1056"/>
      <c r="U28" s="1056"/>
    </row>
    <row r="29" spans="1:21" s="1107" customFormat="1" ht="12.75" customHeight="1" x14ac:dyDescent="0.25">
      <c r="A29" s="50">
        <v>3269</v>
      </c>
      <c r="B29" s="19">
        <v>5194</v>
      </c>
      <c r="C29" s="1374"/>
      <c r="D29" s="1363" t="s">
        <v>599</v>
      </c>
      <c r="E29" s="48">
        <v>500</v>
      </c>
      <c r="F29" s="313">
        <v>406</v>
      </c>
      <c r="G29" s="315">
        <v>391</v>
      </c>
      <c r="H29" s="203">
        <f t="shared" si="0"/>
        <v>96.305418719211815</v>
      </c>
      <c r="I29" s="1056"/>
      <c r="J29" s="1056"/>
      <c r="K29" s="1056"/>
      <c r="L29" s="1056"/>
      <c r="M29" s="1056"/>
      <c r="N29" s="1056"/>
      <c r="O29" s="1056"/>
      <c r="P29" s="1056"/>
      <c r="Q29" s="1056"/>
      <c r="R29" s="1056"/>
      <c r="S29" s="1056"/>
      <c r="T29" s="1056"/>
      <c r="U29" s="1056"/>
    </row>
    <row r="30" spans="1:21" s="1107" customFormat="1" ht="12.75" customHeight="1" x14ac:dyDescent="0.2">
      <c r="A30" s="50"/>
      <c r="B30" s="19"/>
      <c r="C30" s="1375" t="s">
        <v>1675</v>
      </c>
      <c r="D30" s="225" t="s">
        <v>1676</v>
      </c>
      <c r="E30" s="55">
        <v>500</v>
      </c>
      <c r="F30" s="314">
        <v>406</v>
      </c>
      <c r="G30" s="316">
        <v>391</v>
      </c>
      <c r="H30" s="1065">
        <f t="shared" si="0"/>
        <v>96.305418719211815</v>
      </c>
      <c r="I30" s="1056"/>
      <c r="J30" s="1056"/>
      <c r="K30" s="1056"/>
      <c r="L30" s="1056"/>
      <c r="M30" s="1056"/>
      <c r="N30" s="1056"/>
      <c r="O30" s="1056"/>
      <c r="P30" s="1056"/>
      <c r="Q30" s="1056"/>
      <c r="R30" s="1056"/>
      <c r="S30" s="1056"/>
      <c r="T30" s="1056"/>
      <c r="U30" s="1056"/>
    </row>
    <row r="31" spans="1:21" s="1056" customFormat="1" ht="15" x14ac:dyDescent="0.25">
      <c r="A31" s="50">
        <v>3269</v>
      </c>
      <c r="B31" s="19">
        <v>5493</v>
      </c>
      <c r="C31" s="1375"/>
      <c r="D31" s="380" t="s">
        <v>692</v>
      </c>
      <c r="E31" s="71">
        <v>450</v>
      </c>
      <c r="F31" s="313">
        <v>20</v>
      </c>
      <c r="G31" s="315">
        <v>0</v>
      </c>
      <c r="H31" s="203">
        <v>0</v>
      </c>
    </row>
    <row r="32" spans="1:21" s="1056" customFormat="1" x14ac:dyDescent="0.2">
      <c r="A32" s="50"/>
      <c r="B32" s="19"/>
      <c r="C32" s="1375" t="s">
        <v>370</v>
      </c>
      <c r="D32" s="225" t="s">
        <v>1339</v>
      </c>
      <c r="E32" s="55">
        <v>450</v>
      </c>
      <c r="F32" s="314">
        <v>20</v>
      </c>
      <c r="G32" s="316">
        <v>0</v>
      </c>
      <c r="H32" s="1065">
        <v>0</v>
      </c>
    </row>
    <row r="33" spans="1:21" s="1056" customFormat="1" ht="15" x14ac:dyDescent="0.25">
      <c r="A33" s="50">
        <v>3269</v>
      </c>
      <c r="B33" s="19">
        <v>5494</v>
      </c>
      <c r="C33" s="1375"/>
      <c r="D33" s="68" t="s">
        <v>920</v>
      </c>
      <c r="E33" s="55"/>
      <c r="F33" s="313">
        <v>166</v>
      </c>
      <c r="G33" s="315">
        <v>166</v>
      </c>
      <c r="H33" s="1062">
        <f t="shared" ref="H33:H42" si="1">(G33/F33)*100</f>
        <v>100</v>
      </c>
    </row>
    <row r="34" spans="1:21" s="1056" customFormat="1" x14ac:dyDescent="0.2">
      <c r="A34" s="50"/>
      <c r="B34" s="19"/>
      <c r="C34" s="1375" t="s">
        <v>370</v>
      </c>
      <c r="D34" s="225" t="s">
        <v>1339</v>
      </c>
      <c r="E34" s="55"/>
      <c r="F34" s="314">
        <v>166</v>
      </c>
      <c r="G34" s="316">
        <v>166</v>
      </c>
      <c r="H34" s="1065">
        <f t="shared" si="1"/>
        <v>100</v>
      </c>
    </row>
    <row r="35" spans="1:21" s="1107" customFormat="1" ht="14.25" customHeight="1" x14ac:dyDescent="0.25">
      <c r="A35" s="50">
        <v>3269</v>
      </c>
      <c r="B35" s="19">
        <v>5499</v>
      </c>
      <c r="C35" s="1374"/>
      <c r="D35" s="1363" t="s">
        <v>718</v>
      </c>
      <c r="E35" s="48">
        <v>35</v>
      </c>
      <c r="F35" s="313">
        <v>35</v>
      </c>
      <c r="G35" s="315">
        <v>15</v>
      </c>
      <c r="H35" s="203">
        <f t="shared" si="1"/>
        <v>42.857142857142854</v>
      </c>
      <c r="I35" s="1056"/>
      <c r="J35" s="1056"/>
      <c r="K35" s="1056"/>
      <c r="L35" s="1056"/>
      <c r="M35" s="1056"/>
      <c r="N35" s="1056"/>
      <c r="O35" s="1056"/>
      <c r="P35" s="1056"/>
      <c r="Q35" s="1056"/>
      <c r="R35" s="1056"/>
      <c r="S35" s="1056"/>
      <c r="T35" s="1056"/>
      <c r="U35" s="1056"/>
    </row>
    <row r="36" spans="1:21" s="1107" customFormat="1" ht="14.25" customHeight="1" x14ac:dyDescent="0.25">
      <c r="A36" s="50">
        <v>3299</v>
      </c>
      <c r="B36" s="19">
        <v>5221</v>
      </c>
      <c r="C36" s="122"/>
      <c r="D36" s="1339" t="s">
        <v>578</v>
      </c>
      <c r="E36" s="48"/>
      <c r="F36" s="315">
        <f>F37+F38</f>
        <v>8380</v>
      </c>
      <c r="G36" s="1477">
        <f>G37+G38</f>
        <v>8380</v>
      </c>
      <c r="H36" s="1062">
        <f t="shared" si="1"/>
        <v>100</v>
      </c>
      <c r="I36" s="1056"/>
      <c r="J36" s="1056"/>
      <c r="K36" s="1056"/>
      <c r="L36" s="1056"/>
      <c r="M36" s="1056"/>
      <c r="N36" s="1056"/>
      <c r="O36" s="1056"/>
      <c r="P36" s="1056"/>
      <c r="Q36" s="1056"/>
      <c r="R36" s="1056"/>
      <c r="S36" s="1056"/>
      <c r="T36" s="1056"/>
      <c r="U36" s="1056"/>
    </row>
    <row r="37" spans="1:21" s="1107" customFormat="1" ht="14.25" customHeight="1" x14ac:dyDescent="0.25">
      <c r="A37" s="50"/>
      <c r="B37" s="19"/>
      <c r="C37" s="1375" t="s">
        <v>249</v>
      </c>
      <c r="D37" s="117" t="s">
        <v>318</v>
      </c>
      <c r="E37" s="48"/>
      <c r="F37" s="314">
        <v>1580</v>
      </c>
      <c r="G37" s="316">
        <v>1580</v>
      </c>
      <c r="H37" s="1065">
        <f t="shared" si="1"/>
        <v>100</v>
      </c>
      <c r="I37" s="1056"/>
      <c r="J37" s="1056"/>
      <c r="K37" s="1056"/>
      <c r="L37" s="1056"/>
      <c r="M37" s="1056"/>
      <c r="N37" s="1056"/>
      <c r="O37" s="1056"/>
      <c r="P37" s="1056"/>
      <c r="Q37" s="1056"/>
      <c r="R37" s="1056"/>
      <c r="S37" s="1056"/>
      <c r="T37" s="1056"/>
      <c r="U37" s="1056"/>
    </row>
    <row r="38" spans="1:21" s="1107" customFormat="1" ht="14.25" customHeight="1" x14ac:dyDescent="0.25">
      <c r="A38" s="50"/>
      <c r="B38" s="19"/>
      <c r="C38" s="1059" t="s">
        <v>1434</v>
      </c>
      <c r="D38" s="117" t="s">
        <v>1433</v>
      </c>
      <c r="E38" s="48"/>
      <c r="F38" s="314">
        <v>6800</v>
      </c>
      <c r="G38" s="316">
        <v>6800</v>
      </c>
      <c r="H38" s="1065">
        <f t="shared" si="1"/>
        <v>100</v>
      </c>
      <c r="I38" s="1056"/>
      <c r="J38" s="1056"/>
      <c r="K38" s="1056"/>
      <c r="L38" s="1056"/>
      <c r="M38" s="1056"/>
      <c r="N38" s="1056"/>
      <c r="O38" s="1056"/>
      <c r="P38" s="1056"/>
      <c r="Q38" s="1056"/>
      <c r="R38" s="1056"/>
      <c r="S38" s="1056"/>
      <c r="T38" s="1056"/>
      <c r="U38" s="1056"/>
    </row>
    <row r="39" spans="1:21" s="1107" customFormat="1" ht="14.25" customHeight="1" x14ac:dyDescent="0.25">
      <c r="A39" s="50">
        <v>3299</v>
      </c>
      <c r="B39" s="19">
        <v>5229</v>
      </c>
      <c r="C39" s="1069"/>
      <c r="D39" s="1339" t="s">
        <v>1132</v>
      </c>
      <c r="E39" s="48"/>
      <c r="F39" s="313">
        <v>200</v>
      </c>
      <c r="G39" s="315">
        <v>200</v>
      </c>
      <c r="H39" s="203">
        <f t="shared" si="1"/>
        <v>100</v>
      </c>
      <c r="I39" s="1056"/>
      <c r="J39" s="1056"/>
      <c r="K39" s="1056"/>
      <c r="L39" s="1056"/>
      <c r="M39" s="1056"/>
      <c r="N39" s="1056"/>
      <c r="O39" s="1056"/>
      <c r="P39" s="1056"/>
      <c r="Q39" s="1056"/>
      <c r="R39" s="1056"/>
      <c r="S39" s="1056"/>
      <c r="T39" s="1056"/>
      <c r="U39" s="1056"/>
    </row>
    <row r="40" spans="1:21" s="1107" customFormat="1" ht="14.25" customHeight="1" x14ac:dyDescent="0.25">
      <c r="A40" s="50"/>
      <c r="B40" s="19"/>
      <c r="C40" s="1059" t="s">
        <v>1434</v>
      </c>
      <c r="D40" s="117" t="s">
        <v>1433</v>
      </c>
      <c r="E40" s="48"/>
      <c r="F40" s="314">
        <v>200</v>
      </c>
      <c r="G40" s="316">
        <v>200</v>
      </c>
      <c r="H40" s="1065">
        <f t="shared" si="1"/>
        <v>100</v>
      </c>
      <c r="I40" s="1056"/>
      <c r="J40" s="1056"/>
      <c r="K40" s="1056"/>
      <c r="L40" s="1056"/>
      <c r="M40" s="1056"/>
      <c r="N40" s="1056"/>
      <c r="O40" s="1056"/>
      <c r="P40" s="1056"/>
      <c r="Q40" s="1056"/>
      <c r="R40" s="1056"/>
      <c r="S40" s="1056"/>
      <c r="T40" s="1056"/>
      <c r="U40" s="1056"/>
    </row>
    <row r="41" spans="1:21" s="1107" customFormat="1" ht="14.25" customHeight="1" x14ac:dyDescent="0.25">
      <c r="A41" s="50">
        <v>3299</v>
      </c>
      <c r="B41" s="19">
        <v>5339</v>
      </c>
      <c r="C41" s="1059"/>
      <c r="D41" s="1157" t="s">
        <v>1237</v>
      </c>
      <c r="E41" s="48"/>
      <c r="F41" s="313">
        <v>600</v>
      </c>
      <c r="G41" s="315">
        <v>600</v>
      </c>
      <c r="H41" s="203">
        <f t="shared" si="1"/>
        <v>100</v>
      </c>
      <c r="I41" s="1056"/>
      <c r="J41" s="1056"/>
      <c r="K41" s="1056"/>
      <c r="L41" s="1056"/>
      <c r="M41" s="1056"/>
      <c r="N41" s="1056"/>
      <c r="O41" s="1056"/>
      <c r="P41" s="1056"/>
      <c r="Q41" s="1056"/>
      <c r="R41" s="1056"/>
      <c r="S41" s="1056"/>
      <c r="T41" s="1056"/>
      <c r="U41" s="1056"/>
    </row>
    <row r="42" spans="1:21" s="1107" customFormat="1" ht="14.25" customHeight="1" x14ac:dyDescent="0.25">
      <c r="A42" s="50"/>
      <c r="B42" s="19"/>
      <c r="C42" s="1059" t="s">
        <v>1434</v>
      </c>
      <c r="D42" s="117" t="s">
        <v>1433</v>
      </c>
      <c r="E42" s="48"/>
      <c r="F42" s="314">
        <v>600</v>
      </c>
      <c r="G42" s="316">
        <v>600</v>
      </c>
      <c r="H42" s="1065">
        <f t="shared" si="1"/>
        <v>100</v>
      </c>
      <c r="I42" s="1056"/>
      <c r="J42" s="1056"/>
      <c r="K42" s="1056"/>
      <c r="L42" s="1056"/>
      <c r="M42" s="1056"/>
      <c r="N42" s="1056"/>
      <c r="O42" s="1056"/>
      <c r="P42" s="1056"/>
      <c r="Q42" s="1056"/>
      <c r="R42" s="1056"/>
      <c r="S42" s="1056"/>
      <c r="T42" s="1056"/>
      <c r="U42" s="1056"/>
    </row>
    <row r="43" spans="1:21" s="1107" customFormat="1" ht="14.25" customHeight="1" x14ac:dyDescent="0.25">
      <c r="A43" s="50">
        <v>3319</v>
      </c>
      <c r="B43" s="19">
        <v>5221</v>
      </c>
      <c r="C43" s="1069"/>
      <c r="D43" s="1339" t="s">
        <v>578</v>
      </c>
      <c r="E43" s="55"/>
      <c r="F43" s="313">
        <v>60</v>
      </c>
      <c r="G43" s="315">
        <v>0</v>
      </c>
      <c r="H43" s="203">
        <v>0</v>
      </c>
      <c r="I43" s="1056"/>
      <c r="J43" s="1056"/>
      <c r="K43" s="1056"/>
      <c r="L43" s="1056"/>
      <c r="M43" s="1056"/>
      <c r="N43" s="1056"/>
      <c r="O43" s="1056"/>
      <c r="P43" s="1056"/>
      <c r="Q43" s="1056"/>
      <c r="R43" s="1056"/>
      <c r="S43" s="1056"/>
      <c r="T43" s="1056"/>
      <c r="U43" s="1056"/>
    </row>
    <row r="44" spans="1:21" s="1107" customFormat="1" ht="14.25" customHeight="1" x14ac:dyDescent="0.2">
      <c r="A44" s="50"/>
      <c r="B44" s="19"/>
      <c r="C44" s="1375" t="s">
        <v>249</v>
      </c>
      <c r="D44" s="117" t="s">
        <v>318</v>
      </c>
      <c r="E44" s="55"/>
      <c r="F44" s="314">
        <v>60</v>
      </c>
      <c r="G44" s="316">
        <v>0</v>
      </c>
      <c r="H44" s="1065">
        <v>0</v>
      </c>
      <c r="I44" s="1056"/>
      <c r="J44" s="1056"/>
      <c r="K44" s="1056"/>
      <c r="L44" s="1056"/>
      <c r="M44" s="1056"/>
      <c r="N44" s="1056"/>
      <c r="O44" s="1056"/>
      <c r="P44" s="1056"/>
      <c r="Q44" s="1056"/>
      <c r="R44" s="1056"/>
      <c r="S44" s="1056"/>
      <c r="T44" s="1056"/>
      <c r="U44" s="1056"/>
    </row>
    <row r="45" spans="1:21" s="1107" customFormat="1" ht="14.25" customHeight="1" x14ac:dyDescent="0.25">
      <c r="A45" s="50">
        <v>3319</v>
      </c>
      <c r="B45" s="19">
        <v>5222</v>
      </c>
      <c r="C45" s="1069"/>
      <c r="D45" s="1793" t="s">
        <v>327</v>
      </c>
      <c r="E45" s="55"/>
      <c r="F45" s="315">
        <f>F46+F47</f>
        <v>102</v>
      </c>
      <c r="G45" s="315">
        <f>G46+G47</f>
        <v>102</v>
      </c>
      <c r="H45" s="203">
        <f t="shared" ref="H45:H92" si="2">(G45/F45)*100</f>
        <v>100</v>
      </c>
      <c r="I45" s="1056"/>
      <c r="J45" s="1056"/>
      <c r="K45" s="1056"/>
      <c r="L45" s="1056"/>
      <c r="M45" s="1056"/>
      <c r="N45" s="1056"/>
      <c r="O45" s="1056"/>
      <c r="P45" s="1056"/>
      <c r="Q45" s="1056"/>
      <c r="R45" s="1056"/>
      <c r="S45" s="1056"/>
      <c r="T45" s="1056"/>
      <c r="U45" s="1056"/>
    </row>
    <row r="46" spans="1:21" s="1107" customFormat="1" ht="14.25" customHeight="1" x14ac:dyDescent="0.2">
      <c r="A46" s="50"/>
      <c r="B46" s="19"/>
      <c r="C46" s="1375" t="s">
        <v>249</v>
      </c>
      <c r="D46" s="117" t="s">
        <v>318</v>
      </c>
      <c r="E46" s="55"/>
      <c r="F46" s="314">
        <v>80</v>
      </c>
      <c r="G46" s="316">
        <v>80</v>
      </c>
      <c r="H46" s="1065">
        <f t="shared" si="2"/>
        <v>100</v>
      </c>
      <c r="I46" s="1056"/>
      <c r="J46" s="1056"/>
      <c r="K46" s="1056"/>
      <c r="L46" s="1056"/>
      <c r="M46" s="1056"/>
      <c r="N46" s="1056"/>
      <c r="O46" s="1056"/>
      <c r="P46" s="1056"/>
      <c r="Q46" s="1056"/>
      <c r="R46" s="1056"/>
      <c r="S46" s="1056"/>
      <c r="T46" s="1056"/>
      <c r="U46" s="1056"/>
    </row>
    <row r="47" spans="1:21" s="1107" customFormat="1" ht="14.25" customHeight="1" x14ac:dyDescent="0.2">
      <c r="A47" s="50"/>
      <c r="B47" s="19"/>
      <c r="C47" s="1084" t="s">
        <v>1202</v>
      </c>
      <c r="D47" s="1631" t="s">
        <v>1635</v>
      </c>
      <c r="E47" s="55"/>
      <c r="F47" s="314">
        <v>22</v>
      </c>
      <c r="G47" s="316">
        <v>22</v>
      </c>
      <c r="H47" s="1065">
        <f t="shared" si="2"/>
        <v>100</v>
      </c>
      <c r="I47" s="1056"/>
      <c r="J47" s="1056"/>
      <c r="K47" s="1056"/>
      <c r="L47" s="1056"/>
      <c r="M47" s="1056"/>
      <c r="N47" s="1056"/>
      <c r="O47" s="1056"/>
      <c r="P47" s="1056"/>
      <c r="Q47" s="1056"/>
      <c r="R47" s="1056"/>
      <c r="S47" s="1056"/>
      <c r="T47" s="1056"/>
      <c r="U47" s="1056"/>
    </row>
    <row r="48" spans="1:21" s="1107" customFormat="1" ht="15.75" customHeight="1" x14ac:dyDescent="0.25">
      <c r="A48" s="50">
        <v>3419</v>
      </c>
      <c r="B48" s="19">
        <v>5212</v>
      </c>
      <c r="C48" s="1069"/>
      <c r="D48" s="672" t="s">
        <v>674</v>
      </c>
      <c r="E48" s="55"/>
      <c r="F48" s="315">
        <f>F49+F50</f>
        <v>355</v>
      </c>
      <c r="G48" s="315">
        <f>G49+G50</f>
        <v>355</v>
      </c>
      <c r="H48" s="203">
        <f t="shared" si="2"/>
        <v>100</v>
      </c>
      <c r="I48" s="1056"/>
      <c r="J48" s="1056"/>
      <c r="K48" s="1056"/>
      <c r="L48" s="1056"/>
      <c r="M48" s="1056"/>
      <c r="N48" s="1056"/>
      <c r="O48" s="1056"/>
      <c r="P48" s="1056"/>
      <c r="Q48" s="1056"/>
      <c r="R48" s="1056"/>
      <c r="S48" s="1056"/>
      <c r="T48" s="1056"/>
      <c r="U48" s="1056"/>
    </row>
    <row r="49" spans="1:21" s="1107" customFormat="1" ht="15.75" customHeight="1" x14ac:dyDescent="0.2">
      <c r="A49" s="50"/>
      <c r="B49" s="19"/>
      <c r="C49" s="1084" t="s">
        <v>249</v>
      </c>
      <c r="D49" s="1125" t="s">
        <v>318</v>
      </c>
      <c r="E49" s="55"/>
      <c r="F49" s="314">
        <v>250</v>
      </c>
      <c r="G49" s="316">
        <v>250</v>
      </c>
      <c r="H49" s="1065">
        <f t="shared" si="2"/>
        <v>100</v>
      </c>
      <c r="I49" s="1056"/>
      <c r="J49" s="1090"/>
      <c r="K49" s="1090"/>
      <c r="L49" s="1056"/>
      <c r="M49" s="1056"/>
      <c r="N49" s="1056"/>
      <c r="O49" s="1056"/>
      <c r="P49" s="1056"/>
      <c r="Q49" s="1056"/>
      <c r="R49" s="1056"/>
      <c r="S49" s="1056"/>
      <c r="T49" s="1056"/>
      <c r="U49" s="1056"/>
    </row>
    <row r="50" spans="1:21" s="1107" customFormat="1" ht="15.75" customHeight="1" x14ac:dyDescent="0.2">
      <c r="A50" s="50"/>
      <c r="B50" s="19"/>
      <c r="C50" s="1084" t="s">
        <v>1202</v>
      </c>
      <c r="D50" s="1631" t="s">
        <v>1635</v>
      </c>
      <c r="E50" s="55"/>
      <c r="F50" s="314">
        <v>105</v>
      </c>
      <c r="G50" s="316">
        <v>105</v>
      </c>
      <c r="H50" s="1065">
        <f t="shared" si="2"/>
        <v>100</v>
      </c>
      <c r="I50" s="1056"/>
      <c r="J50" s="1056"/>
      <c r="K50" s="1056"/>
      <c r="L50" s="1056"/>
      <c r="M50" s="1056"/>
      <c r="N50" s="1056"/>
      <c r="O50" s="1056"/>
      <c r="P50" s="1056"/>
      <c r="Q50" s="1056"/>
      <c r="R50" s="1056"/>
      <c r="S50" s="1056"/>
      <c r="T50" s="1056"/>
      <c r="U50" s="1056"/>
    </row>
    <row r="51" spans="1:21" s="1107" customFormat="1" ht="15.75" customHeight="1" x14ac:dyDescent="0.25">
      <c r="A51" s="50">
        <v>3419</v>
      </c>
      <c r="B51" s="19">
        <v>5213</v>
      </c>
      <c r="C51" s="1084"/>
      <c r="D51" s="1339" t="s">
        <v>328</v>
      </c>
      <c r="E51" s="71"/>
      <c r="F51" s="315">
        <f>F52+F53+F54</f>
        <v>4269</v>
      </c>
      <c r="G51" s="315">
        <f>G52+G53+G54</f>
        <v>4269</v>
      </c>
      <c r="H51" s="1062">
        <f t="shared" si="2"/>
        <v>100</v>
      </c>
      <c r="I51" s="1056"/>
      <c r="J51" s="1056"/>
      <c r="K51" s="1056"/>
      <c r="L51" s="1056"/>
      <c r="M51" s="1056"/>
      <c r="N51" s="1056"/>
      <c r="O51" s="1056"/>
      <c r="P51" s="1056"/>
      <c r="Q51" s="1056"/>
      <c r="R51" s="1056"/>
      <c r="S51" s="1056"/>
      <c r="T51" s="1056"/>
      <c r="U51" s="1056"/>
    </row>
    <row r="52" spans="1:21" s="1107" customFormat="1" ht="15.75" customHeight="1" x14ac:dyDescent="0.2">
      <c r="A52" s="50"/>
      <c r="B52" s="19"/>
      <c r="C52" s="1084" t="s">
        <v>249</v>
      </c>
      <c r="D52" s="1125" t="s">
        <v>318</v>
      </c>
      <c r="E52" s="55"/>
      <c r="F52" s="314">
        <v>1610</v>
      </c>
      <c r="G52" s="316">
        <v>1610</v>
      </c>
      <c r="H52" s="1065">
        <f t="shared" si="2"/>
        <v>100</v>
      </c>
      <c r="I52" s="1056"/>
      <c r="J52" s="1056"/>
      <c r="K52" s="1056"/>
      <c r="L52" s="1056"/>
      <c r="M52" s="1056"/>
      <c r="N52" s="1056"/>
      <c r="O52" s="1056"/>
      <c r="P52" s="1056"/>
      <c r="Q52" s="1056"/>
      <c r="R52" s="1056"/>
      <c r="S52" s="1056"/>
      <c r="T52" s="1056"/>
      <c r="U52" s="1056"/>
    </row>
    <row r="53" spans="1:21" s="1107" customFormat="1" ht="15.75" customHeight="1" x14ac:dyDescent="0.2">
      <c r="A53" s="50"/>
      <c r="B53" s="19"/>
      <c r="C53" s="1084" t="s">
        <v>1202</v>
      </c>
      <c r="D53" s="1631" t="s">
        <v>1635</v>
      </c>
      <c r="E53" s="55"/>
      <c r="F53" s="314">
        <v>90</v>
      </c>
      <c r="G53" s="316">
        <v>90</v>
      </c>
      <c r="H53" s="1065">
        <f t="shared" si="2"/>
        <v>100</v>
      </c>
      <c r="I53" s="1056"/>
      <c r="J53" s="1056"/>
      <c r="K53" s="1056"/>
      <c r="L53" s="1056"/>
      <c r="M53" s="1056"/>
      <c r="N53" s="1056"/>
      <c r="O53" s="1056"/>
      <c r="P53" s="1056"/>
      <c r="Q53" s="1056"/>
      <c r="R53" s="1056"/>
      <c r="S53" s="1056"/>
      <c r="T53" s="1056"/>
      <c r="U53" s="1056"/>
    </row>
    <row r="54" spans="1:21" s="1107" customFormat="1" ht="15.75" customHeight="1" x14ac:dyDescent="0.2">
      <c r="A54" s="50"/>
      <c r="B54" s="19"/>
      <c r="C54" s="1069" t="s">
        <v>326</v>
      </c>
      <c r="D54" s="1786" t="s">
        <v>691</v>
      </c>
      <c r="E54" s="55"/>
      <c r="F54" s="314">
        <v>2569</v>
      </c>
      <c r="G54" s="316">
        <v>2569</v>
      </c>
      <c r="H54" s="1065">
        <f t="shared" si="2"/>
        <v>100</v>
      </c>
      <c r="I54" s="1056"/>
      <c r="J54" s="1056"/>
      <c r="K54" s="1056"/>
      <c r="L54" s="1056"/>
      <c r="M54" s="1056"/>
      <c r="N54" s="1056"/>
      <c r="O54" s="1056"/>
      <c r="P54" s="1056"/>
      <c r="Q54" s="1056"/>
      <c r="R54" s="1056"/>
      <c r="S54" s="1056"/>
      <c r="T54" s="1056"/>
      <c r="U54" s="1056"/>
    </row>
    <row r="55" spans="1:21" s="1107" customFormat="1" ht="15.75" customHeight="1" x14ac:dyDescent="0.25">
      <c r="A55" s="50">
        <v>3419</v>
      </c>
      <c r="B55" s="19">
        <v>5221</v>
      </c>
      <c r="C55" s="1069"/>
      <c r="D55" s="1339" t="s">
        <v>578</v>
      </c>
      <c r="E55" s="55"/>
      <c r="F55" s="315">
        <f>F56+F57+F58</f>
        <v>2015</v>
      </c>
      <c r="G55" s="315">
        <f>G56+G57+G58</f>
        <v>2015</v>
      </c>
      <c r="H55" s="203">
        <f t="shared" si="2"/>
        <v>100</v>
      </c>
      <c r="I55" s="1056"/>
      <c r="J55" s="1056"/>
      <c r="K55" s="1056"/>
      <c r="L55" s="1056"/>
      <c r="M55" s="1056"/>
      <c r="N55" s="1056"/>
      <c r="O55" s="1056"/>
      <c r="P55" s="1056"/>
      <c r="Q55" s="1056"/>
      <c r="R55" s="1056"/>
      <c r="S55" s="1056"/>
      <c r="T55" s="1056"/>
      <c r="U55" s="1056"/>
    </row>
    <row r="56" spans="1:21" s="1107" customFormat="1" ht="15.75" customHeight="1" x14ac:dyDescent="0.2">
      <c r="A56" s="50"/>
      <c r="B56" s="19"/>
      <c r="C56" s="1084" t="s">
        <v>249</v>
      </c>
      <c r="D56" s="1125" t="s">
        <v>318</v>
      </c>
      <c r="E56" s="55"/>
      <c r="F56" s="314">
        <v>1900</v>
      </c>
      <c r="G56" s="316">
        <v>1900</v>
      </c>
      <c r="H56" s="1065">
        <f t="shared" ref="H56:H58" si="3">(G56/F56)*100</f>
        <v>100</v>
      </c>
      <c r="I56" s="1056"/>
      <c r="J56" s="1056"/>
      <c r="K56" s="1056"/>
      <c r="L56" s="1056"/>
      <c r="M56" s="1056"/>
      <c r="N56" s="1056"/>
      <c r="O56" s="1056"/>
      <c r="P56" s="1056"/>
      <c r="Q56" s="1056"/>
      <c r="R56" s="1056"/>
      <c r="S56" s="1056"/>
      <c r="T56" s="1056"/>
      <c r="U56" s="1056"/>
    </row>
    <row r="57" spans="1:21" s="1107" customFormat="1" ht="15.75" customHeight="1" x14ac:dyDescent="0.2">
      <c r="A57" s="50"/>
      <c r="B57" s="19"/>
      <c r="C57" s="1084" t="s">
        <v>1202</v>
      </c>
      <c r="D57" s="1631" t="s">
        <v>1635</v>
      </c>
      <c r="E57" s="55"/>
      <c r="F57" s="314">
        <v>15</v>
      </c>
      <c r="G57" s="316">
        <v>15</v>
      </c>
      <c r="H57" s="1065">
        <f t="shared" si="3"/>
        <v>100</v>
      </c>
      <c r="I57" s="1056"/>
      <c r="J57" s="1056"/>
      <c r="K57" s="1056"/>
      <c r="L57" s="1056"/>
      <c r="M57" s="1056"/>
      <c r="N57" s="1056"/>
      <c r="O57" s="1056"/>
      <c r="P57" s="1056"/>
      <c r="Q57" s="1056"/>
      <c r="R57" s="1056"/>
      <c r="S57" s="1056"/>
      <c r="T57" s="1056"/>
      <c r="U57" s="1056"/>
    </row>
    <row r="58" spans="1:21" s="1107" customFormat="1" ht="15.75" customHeight="1" x14ac:dyDescent="0.2">
      <c r="A58" s="50"/>
      <c r="B58" s="19"/>
      <c r="C58" s="1069" t="s">
        <v>326</v>
      </c>
      <c r="D58" s="1786" t="s">
        <v>691</v>
      </c>
      <c r="E58" s="55"/>
      <c r="F58" s="314">
        <v>100</v>
      </c>
      <c r="G58" s="316">
        <v>100</v>
      </c>
      <c r="H58" s="1065">
        <f t="shared" si="3"/>
        <v>100</v>
      </c>
      <c r="I58" s="1056"/>
      <c r="J58" s="1056"/>
      <c r="K58" s="1056"/>
      <c r="L58" s="1056"/>
      <c r="M58" s="1056"/>
      <c r="N58" s="1056"/>
      <c r="O58" s="1056"/>
      <c r="P58" s="1056"/>
      <c r="Q58" s="1056"/>
      <c r="R58" s="1056"/>
      <c r="S58" s="1056"/>
      <c r="T58" s="1056"/>
      <c r="U58" s="1056"/>
    </row>
    <row r="59" spans="1:21" s="1056" customFormat="1" ht="15" x14ac:dyDescent="0.25">
      <c r="A59" s="50">
        <v>3419</v>
      </c>
      <c r="B59" s="19">
        <v>5222</v>
      </c>
      <c r="C59" s="1086"/>
      <c r="D59" s="1793" t="s">
        <v>327</v>
      </c>
      <c r="E59" s="71">
        <f>E63+E60</f>
        <v>44750</v>
      </c>
      <c r="F59" s="315">
        <f>F60+F61+F63+F62</f>
        <v>47966</v>
      </c>
      <c r="G59" s="315">
        <f>G60+G61+G63+G62</f>
        <v>47866</v>
      </c>
      <c r="H59" s="1062">
        <f t="shared" si="2"/>
        <v>99.791518992619771</v>
      </c>
    </row>
    <row r="60" spans="1:21" s="1056" customFormat="1" x14ac:dyDescent="0.2">
      <c r="A60" s="50"/>
      <c r="B60" s="19"/>
      <c r="C60" s="1084" t="s">
        <v>249</v>
      </c>
      <c r="D60" s="1125" t="s">
        <v>318</v>
      </c>
      <c r="E60" s="55">
        <v>12050</v>
      </c>
      <c r="F60" s="314">
        <v>15120</v>
      </c>
      <c r="G60" s="316">
        <v>15020</v>
      </c>
      <c r="H60" s="1065">
        <f t="shared" si="2"/>
        <v>99.338624338624342</v>
      </c>
    </row>
    <row r="61" spans="1:21" s="1056" customFormat="1" ht="15" x14ac:dyDescent="0.25">
      <c r="A61" s="50"/>
      <c r="B61" s="19"/>
      <c r="C61" s="1084" t="s">
        <v>1202</v>
      </c>
      <c r="D61" s="1631" t="s">
        <v>1635</v>
      </c>
      <c r="E61" s="71"/>
      <c r="F61" s="314">
        <v>1640</v>
      </c>
      <c r="G61" s="316">
        <v>1640</v>
      </c>
      <c r="H61" s="1065">
        <f t="shared" si="2"/>
        <v>100</v>
      </c>
    </row>
    <row r="62" spans="1:21" s="1056" customFormat="1" ht="15" x14ac:dyDescent="0.25">
      <c r="A62" s="50"/>
      <c r="B62" s="19"/>
      <c r="C62" s="1069" t="s">
        <v>352</v>
      </c>
      <c r="D62" s="1125" t="s">
        <v>891</v>
      </c>
      <c r="E62" s="71"/>
      <c r="F62" s="314">
        <v>775</v>
      </c>
      <c r="G62" s="316">
        <v>775</v>
      </c>
      <c r="H62" s="1065">
        <f t="shared" si="2"/>
        <v>100</v>
      </c>
    </row>
    <row r="63" spans="1:21" s="1056" customFormat="1" x14ac:dyDescent="0.2">
      <c r="A63" s="50"/>
      <c r="B63" s="19"/>
      <c r="C63" s="1069" t="s">
        <v>326</v>
      </c>
      <c r="D63" s="1786" t="s">
        <v>691</v>
      </c>
      <c r="E63" s="55">
        <v>32700</v>
      </c>
      <c r="F63" s="314">
        <v>30431</v>
      </c>
      <c r="G63" s="316">
        <v>30431</v>
      </c>
      <c r="H63" s="1065">
        <f t="shared" si="2"/>
        <v>100</v>
      </c>
    </row>
    <row r="64" spans="1:21" s="1056" customFormat="1" ht="15" x14ac:dyDescent="0.25">
      <c r="A64" s="50">
        <v>3419</v>
      </c>
      <c r="B64" s="19">
        <v>5229</v>
      </c>
      <c r="C64" s="1069"/>
      <c r="D64" s="1339" t="s">
        <v>1132</v>
      </c>
      <c r="E64" s="71">
        <v>200</v>
      </c>
      <c r="F64" s="313">
        <v>150</v>
      </c>
      <c r="G64" s="315">
        <v>150</v>
      </c>
      <c r="H64" s="203">
        <f t="shared" si="2"/>
        <v>100</v>
      </c>
    </row>
    <row r="65" spans="1:12" s="1056" customFormat="1" x14ac:dyDescent="0.2">
      <c r="A65" s="50"/>
      <c r="B65" s="19"/>
      <c r="C65" s="1069" t="s">
        <v>352</v>
      </c>
      <c r="D65" s="1125" t="s">
        <v>891</v>
      </c>
      <c r="E65" s="55">
        <v>200</v>
      </c>
      <c r="F65" s="316">
        <v>150</v>
      </c>
      <c r="G65" s="445">
        <v>150</v>
      </c>
      <c r="H65" s="1065">
        <f t="shared" si="2"/>
        <v>100</v>
      </c>
    </row>
    <row r="66" spans="1:12" s="1056" customFormat="1" ht="15" x14ac:dyDescent="0.25">
      <c r="A66" s="50">
        <v>3419</v>
      </c>
      <c r="B66" s="19">
        <v>5493</v>
      </c>
      <c r="C66" s="1069"/>
      <c r="D66" s="1231" t="s">
        <v>692</v>
      </c>
      <c r="E66" s="55"/>
      <c r="F66" s="315">
        <f>F67+F68</f>
        <v>853</v>
      </c>
      <c r="G66" s="315">
        <f>G67+G68</f>
        <v>853</v>
      </c>
      <c r="H66" s="1062">
        <f t="shared" si="2"/>
        <v>100</v>
      </c>
    </row>
    <row r="67" spans="1:12" s="1056" customFormat="1" x14ac:dyDescent="0.2">
      <c r="A67" s="50"/>
      <c r="B67" s="19"/>
      <c r="C67" s="1084" t="s">
        <v>249</v>
      </c>
      <c r="D67" s="1125" t="s">
        <v>318</v>
      </c>
      <c r="E67" s="55"/>
      <c r="F67" s="314">
        <v>145</v>
      </c>
      <c r="G67" s="316">
        <v>145</v>
      </c>
      <c r="H67" s="1065">
        <f t="shared" si="2"/>
        <v>100</v>
      </c>
    </row>
    <row r="68" spans="1:12" s="1056" customFormat="1" x14ac:dyDescent="0.2">
      <c r="A68" s="50"/>
      <c r="B68" s="19"/>
      <c r="C68" s="1084" t="s">
        <v>1202</v>
      </c>
      <c r="D68" s="1631" t="s">
        <v>1635</v>
      </c>
      <c r="E68" s="55"/>
      <c r="F68" s="314">
        <v>708</v>
      </c>
      <c r="G68" s="316">
        <v>708</v>
      </c>
      <c r="H68" s="1065">
        <f t="shared" si="2"/>
        <v>100</v>
      </c>
    </row>
    <row r="69" spans="1:12" s="1056" customFormat="1" ht="15" x14ac:dyDescent="0.25">
      <c r="A69" s="50">
        <v>3421</v>
      </c>
      <c r="B69" s="19">
        <v>5321</v>
      </c>
      <c r="C69" s="1084"/>
      <c r="D69" s="1363" t="s">
        <v>1201</v>
      </c>
      <c r="E69" s="55"/>
      <c r="F69" s="315">
        <v>47</v>
      </c>
      <c r="G69" s="315">
        <v>47</v>
      </c>
      <c r="H69" s="203">
        <f t="shared" si="2"/>
        <v>100</v>
      </c>
    </row>
    <row r="70" spans="1:12" s="1056" customFormat="1" ht="15" thickBot="1" x14ac:dyDescent="0.25">
      <c r="A70" s="1076"/>
      <c r="B70" s="1082"/>
      <c r="C70" s="1081" t="s">
        <v>352</v>
      </c>
      <c r="D70" s="1784" t="s">
        <v>891</v>
      </c>
      <c r="E70" s="1099"/>
      <c r="F70" s="440">
        <v>47</v>
      </c>
      <c r="G70" s="441">
        <v>47</v>
      </c>
      <c r="H70" s="1331">
        <f t="shared" si="2"/>
        <v>100</v>
      </c>
    </row>
    <row r="71" spans="1:12" s="1063" customFormat="1" ht="15" thickTop="1" x14ac:dyDescent="0.2">
      <c r="A71" s="1088"/>
      <c r="B71" s="1088"/>
      <c r="C71" s="1059"/>
      <c r="E71" s="1281"/>
      <c r="F71" s="314"/>
      <c r="G71" s="314"/>
      <c r="H71" s="429"/>
    </row>
    <row r="72" spans="1:12" ht="12.75" customHeight="1" thickBot="1" x14ac:dyDescent="0.3">
      <c r="A72" s="98"/>
      <c r="B72" s="28"/>
      <c r="C72" s="142"/>
      <c r="D72" s="10"/>
      <c r="E72" s="461"/>
      <c r="F72" s="461"/>
      <c r="G72" s="168"/>
      <c r="H72" s="1735" t="s">
        <v>161</v>
      </c>
    </row>
    <row r="73" spans="1:12" s="107" customFormat="1" ht="20.25" customHeight="1" thickTop="1" thickBot="1" x14ac:dyDescent="0.25">
      <c r="A73" s="631" t="s">
        <v>162</v>
      </c>
      <c r="B73" s="632" t="s">
        <v>163</v>
      </c>
      <c r="C73" s="670" t="s">
        <v>705</v>
      </c>
      <c r="D73" s="634" t="s">
        <v>164</v>
      </c>
      <c r="E73" s="634" t="s">
        <v>165</v>
      </c>
      <c r="F73" s="634" t="s">
        <v>881</v>
      </c>
      <c r="G73" s="634" t="s">
        <v>882</v>
      </c>
      <c r="H73" s="635" t="s">
        <v>883</v>
      </c>
    </row>
    <row r="74" spans="1:12" s="383" customFormat="1" ht="13.5" thickTop="1" thickBot="1" x14ac:dyDescent="0.25">
      <c r="A74" s="566">
        <v>1</v>
      </c>
      <c r="B74" s="567">
        <v>2</v>
      </c>
      <c r="C74" s="567">
        <v>3</v>
      </c>
      <c r="D74" s="567">
        <v>4</v>
      </c>
      <c r="E74" s="567">
        <v>5</v>
      </c>
      <c r="F74" s="541">
        <v>6</v>
      </c>
      <c r="G74" s="541">
        <v>7</v>
      </c>
      <c r="H74" s="636" t="s">
        <v>61</v>
      </c>
      <c r="I74" s="107"/>
    </row>
    <row r="75" spans="1:12" s="1056" customFormat="1" ht="15.75" thickTop="1" x14ac:dyDescent="0.25">
      <c r="A75" s="50">
        <v>3429</v>
      </c>
      <c r="B75" s="19">
        <v>5212</v>
      </c>
      <c r="C75" s="1084"/>
      <c r="D75" s="672" t="s">
        <v>674</v>
      </c>
      <c r="E75" s="55"/>
      <c r="F75" s="313">
        <v>60</v>
      </c>
      <c r="G75" s="315">
        <v>60</v>
      </c>
      <c r="H75" s="203">
        <f t="shared" si="2"/>
        <v>100</v>
      </c>
    </row>
    <row r="76" spans="1:12" s="1056" customFormat="1" x14ac:dyDescent="0.2">
      <c r="A76" s="50"/>
      <c r="B76" s="19"/>
      <c r="C76" s="1084" t="s">
        <v>1202</v>
      </c>
      <c r="D76" s="1631" t="s">
        <v>1635</v>
      </c>
      <c r="E76" s="55"/>
      <c r="F76" s="314">
        <v>60</v>
      </c>
      <c r="G76" s="316">
        <v>60</v>
      </c>
      <c r="H76" s="1065">
        <f t="shared" si="2"/>
        <v>100</v>
      </c>
      <c r="J76" s="1090"/>
      <c r="K76" s="1090"/>
    </row>
    <row r="77" spans="1:12" s="1056" customFormat="1" ht="15" x14ac:dyDescent="0.25">
      <c r="A77" s="50">
        <v>3429</v>
      </c>
      <c r="B77" s="19">
        <v>5213</v>
      </c>
      <c r="C77" s="1375"/>
      <c r="D77" s="1156" t="s">
        <v>328</v>
      </c>
      <c r="E77" s="55"/>
      <c r="F77" s="313">
        <v>25</v>
      </c>
      <c r="G77" s="315">
        <v>25</v>
      </c>
      <c r="H77" s="203">
        <f t="shared" si="2"/>
        <v>100</v>
      </c>
    </row>
    <row r="78" spans="1:12" s="1056" customFormat="1" x14ac:dyDescent="0.2">
      <c r="A78" s="50"/>
      <c r="B78" s="19"/>
      <c r="C78" s="1084" t="s">
        <v>1202</v>
      </c>
      <c r="D78" s="1631" t="s">
        <v>1635</v>
      </c>
      <c r="E78" s="55"/>
      <c r="F78" s="314">
        <v>25</v>
      </c>
      <c r="G78" s="316">
        <v>25</v>
      </c>
      <c r="H78" s="1065">
        <f t="shared" si="2"/>
        <v>100</v>
      </c>
    </row>
    <row r="79" spans="1:12" s="1056" customFormat="1" ht="15" x14ac:dyDescent="0.25">
      <c r="A79" s="50">
        <v>3429</v>
      </c>
      <c r="B79" s="19">
        <v>5221</v>
      </c>
      <c r="C79" s="1084"/>
      <c r="D79" s="1339" t="s">
        <v>578</v>
      </c>
      <c r="E79" s="55"/>
      <c r="F79" s="313">
        <v>100</v>
      </c>
      <c r="G79" s="315">
        <v>100</v>
      </c>
      <c r="H79" s="203">
        <f t="shared" si="2"/>
        <v>100</v>
      </c>
    </row>
    <row r="80" spans="1:12" s="1056" customFormat="1" x14ac:dyDescent="0.2">
      <c r="A80" s="50"/>
      <c r="B80" s="19"/>
      <c r="C80" s="1084" t="s">
        <v>249</v>
      </c>
      <c r="D80" s="1125" t="s">
        <v>318</v>
      </c>
      <c r="E80" s="55"/>
      <c r="F80" s="314">
        <v>100</v>
      </c>
      <c r="G80" s="316">
        <v>100</v>
      </c>
      <c r="H80" s="1065">
        <f t="shared" si="2"/>
        <v>100</v>
      </c>
      <c r="J80" s="1090">
        <f>E12+E15+E16+E21+E25+E29+E31+E35+E59+E64</f>
        <v>59714</v>
      </c>
      <c r="K80" s="1090">
        <f>F10+F12+F15+F16+F19+F21+F25+F29+F31+F33+F35+F43+F45+F48+F51+F55+F59+F64+F66+F69+F75+F77+F79+F36+F39+F41</f>
        <v>79687</v>
      </c>
      <c r="L80" s="1090">
        <f>G10+G12+G15+G16+G19+G21+G25+G29+G31+G33+G35+G43+G45+G48+G51+G55+G59+G64+G66+G69+G75+G77+G79+G36+G39+G41</f>
        <v>79268</v>
      </c>
    </row>
    <row r="81" spans="1:9" s="1056" customFormat="1" ht="15" x14ac:dyDescent="0.25">
      <c r="A81" s="50">
        <v>3429</v>
      </c>
      <c r="B81" s="19">
        <v>5222</v>
      </c>
      <c r="C81" s="1384"/>
      <c r="D81" s="1364" t="s">
        <v>327</v>
      </c>
      <c r="E81" s="55"/>
      <c r="F81" s="315">
        <f>F82+F83</f>
        <v>882</v>
      </c>
      <c r="G81" s="315">
        <f>G82+G83</f>
        <v>882</v>
      </c>
      <c r="H81" s="203">
        <f>(G81/F81)*100</f>
        <v>100</v>
      </c>
    </row>
    <row r="82" spans="1:9" s="1056" customFormat="1" x14ac:dyDescent="0.2">
      <c r="A82" s="50"/>
      <c r="B82" s="19"/>
      <c r="C82" s="1084" t="s">
        <v>249</v>
      </c>
      <c r="D82" s="1125" t="s">
        <v>318</v>
      </c>
      <c r="E82" s="55"/>
      <c r="F82" s="314">
        <v>280</v>
      </c>
      <c r="G82" s="316">
        <v>280</v>
      </c>
      <c r="H82" s="1065">
        <f t="shared" si="2"/>
        <v>100</v>
      </c>
    </row>
    <row r="83" spans="1:9" s="1056" customFormat="1" x14ac:dyDescent="0.2">
      <c r="A83" s="50"/>
      <c r="B83" s="19"/>
      <c r="C83" s="1084" t="s">
        <v>1202</v>
      </c>
      <c r="D83" s="1631" t="s">
        <v>1635</v>
      </c>
      <c r="E83" s="55"/>
      <c r="F83" s="314">
        <v>602</v>
      </c>
      <c r="G83" s="316">
        <v>602</v>
      </c>
      <c r="H83" s="1065">
        <f t="shared" si="2"/>
        <v>100</v>
      </c>
      <c r="I83" s="1063"/>
    </row>
    <row r="84" spans="1:9" s="1056" customFormat="1" ht="15" x14ac:dyDescent="0.25">
      <c r="A84" s="50">
        <v>3429</v>
      </c>
      <c r="B84" s="19">
        <v>5229</v>
      </c>
      <c r="C84" s="1084"/>
      <c r="D84" s="1339" t="s">
        <v>1132</v>
      </c>
      <c r="E84" s="55"/>
      <c r="F84" s="313">
        <v>20</v>
      </c>
      <c r="G84" s="315">
        <v>18</v>
      </c>
      <c r="H84" s="203">
        <f t="shared" si="2"/>
        <v>90</v>
      </c>
    </row>
    <row r="85" spans="1:9" s="1056" customFormat="1" x14ac:dyDescent="0.2">
      <c r="A85" s="50"/>
      <c r="B85" s="19"/>
      <c r="C85" s="1084" t="s">
        <v>1202</v>
      </c>
      <c r="D85" s="1631" t="s">
        <v>1635</v>
      </c>
      <c r="E85" s="55"/>
      <c r="F85" s="314">
        <v>20</v>
      </c>
      <c r="G85" s="316">
        <v>18</v>
      </c>
      <c r="H85" s="1065">
        <f t="shared" si="2"/>
        <v>90</v>
      </c>
    </row>
    <row r="86" spans="1:9" s="1056" customFormat="1" ht="15" x14ac:dyDescent="0.25">
      <c r="A86" s="50">
        <v>3429</v>
      </c>
      <c r="B86" s="19">
        <v>5321</v>
      </c>
      <c r="C86" s="1084"/>
      <c r="D86" s="1363" t="s">
        <v>1201</v>
      </c>
      <c r="E86" s="55"/>
      <c r="F86" s="315">
        <f>F87+F88</f>
        <v>525</v>
      </c>
      <c r="G86" s="315">
        <f>G87+G88</f>
        <v>525</v>
      </c>
      <c r="H86" s="203">
        <f t="shared" si="2"/>
        <v>100</v>
      </c>
    </row>
    <row r="87" spans="1:9" s="1056" customFormat="1" x14ac:dyDescent="0.2">
      <c r="A87" s="50"/>
      <c r="B87" s="19"/>
      <c r="C87" s="1084" t="s">
        <v>249</v>
      </c>
      <c r="D87" s="1125" t="s">
        <v>318</v>
      </c>
      <c r="E87" s="55"/>
      <c r="F87" s="314">
        <v>500</v>
      </c>
      <c r="G87" s="316">
        <v>500</v>
      </c>
      <c r="H87" s="1065">
        <f t="shared" si="2"/>
        <v>100</v>
      </c>
    </row>
    <row r="88" spans="1:9" s="1056" customFormat="1" x14ac:dyDescent="0.2">
      <c r="A88" s="50"/>
      <c r="B88" s="19"/>
      <c r="C88" s="1084" t="s">
        <v>1202</v>
      </c>
      <c r="D88" s="1631" t="s">
        <v>1635</v>
      </c>
      <c r="E88" s="55"/>
      <c r="F88" s="314">
        <v>25</v>
      </c>
      <c r="G88" s="316">
        <v>25</v>
      </c>
      <c r="H88" s="1065">
        <f t="shared" si="2"/>
        <v>100</v>
      </c>
    </row>
    <row r="89" spans="1:9" s="1056" customFormat="1" ht="15" x14ac:dyDescent="0.25">
      <c r="A89" s="50">
        <v>3429</v>
      </c>
      <c r="B89" s="19">
        <v>5493</v>
      </c>
      <c r="C89" s="1084"/>
      <c r="D89" s="1231" t="s">
        <v>692</v>
      </c>
      <c r="E89" s="55"/>
      <c r="F89" s="313">
        <v>130</v>
      </c>
      <c r="G89" s="315">
        <v>130</v>
      </c>
      <c r="H89" s="203">
        <f t="shared" si="2"/>
        <v>100</v>
      </c>
    </row>
    <row r="90" spans="1:9" s="1056" customFormat="1" x14ac:dyDescent="0.2">
      <c r="A90" s="50"/>
      <c r="B90" s="19"/>
      <c r="C90" s="1084" t="s">
        <v>1202</v>
      </c>
      <c r="D90" s="1631" t="s">
        <v>1635</v>
      </c>
      <c r="E90" s="55"/>
      <c r="F90" s="314">
        <v>130</v>
      </c>
      <c r="G90" s="316">
        <v>130</v>
      </c>
      <c r="H90" s="1065">
        <f t="shared" si="2"/>
        <v>100</v>
      </c>
    </row>
    <row r="91" spans="1:9" s="1056" customFormat="1" ht="15" x14ac:dyDescent="0.25">
      <c r="A91" s="50">
        <v>3792</v>
      </c>
      <c r="B91" s="19">
        <v>5164</v>
      </c>
      <c r="C91" s="1068"/>
      <c r="D91" s="1794" t="s">
        <v>170</v>
      </c>
      <c r="E91" s="71">
        <v>20</v>
      </c>
      <c r="F91" s="313">
        <v>20</v>
      </c>
      <c r="G91" s="315">
        <v>20</v>
      </c>
      <c r="H91" s="203">
        <f t="shared" si="2"/>
        <v>100</v>
      </c>
    </row>
    <row r="92" spans="1:9" s="1056" customFormat="1" x14ac:dyDescent="0.2">
      <c r="A92" s="50"/>
      <c r="B92" s="19"/>
      <c r="C92" s="1069" t="s">
        <v>1319</v>
      </c>
      <c r="D92" s="1125" t="s">
        <v>369</v>
      </c>
      <c r="E92" s="55">
        <v>20</v>
      </c>
      <c r="F92" s="314">
        <v>20</v>
      </c>
      <c r="G92" s="316">
        <v>20</v>
      </c>
      <c r="H92" s="1065">
        <f t="shared" si="2"/>
        <v>100</v>
      </c>
    </row>
    <row r="93" spans="1:9" s="1056" customFormat="1" ht="15" x14ac:dyDescent="0.25">
      <c r="A93" s="50">
        <v>3792</v>
      </c>
      <c r="B93" s="19">
        <v>5169</v>
      </c>
      <c r="C93" s="1069"/>
      <c r="D93" s="1423" t="s">
        <v>852</v>
      </c>
      <c r="E93" s="71">
        <v>70</v>
      </c>
      <c r="F93" s="313">
        <v>50</v>
      </c>
      <c r="G93" s="315">
        <v>26</v>
      </c>
      <c r="H93" s="1062">
        <f t="shared" ref="H93:H110" si="4">(G93/F93)*100</f>
        <v>52</v>
      </c>
    </row>
    <row r="94" spans="1:9" s="1056" customFormat="1" x14ac:dyDescent="0.2">
      <c r="A94" s="50"/>
      <c r="B94" s="19"/>
      <c r="C94" s="1059" t="s">
        <v>1319</v>
      </c>
      <c r="D94" s="117" t="s">
        <v>369</v>
      </c>
      <c r="E94" s="55">
        <v>70</v>
      </c>
      <c r="F94" s="314">
        <v>50</v>
      </c>
      <c r="G94" s="316">
        <v>26</v>
      </c>
      <c r="H94" s="1065">
        <f t="shared" si="4"/>
        <v>52</v>
      </c>
    </row>
    <row r="95" spans="1:9" s="1056" customFormat="1" ht="15" x14ac:dyDescent="0.25">
      <c r="A95" s="50">
        <v>3792</v>
      </c>
      <c r="B95" s="19">
        <v>5175</v>
      </c>
      <c r="C95" s="1059"/>
      <c r="D95" s="72" t="s">
        <v>669</v>
      </c>
      <c r="E95" s="71">
        <v>20</v>
      </c>
      <c r="F95" s="313">
        <v>40</v>
      </c>
      <c r="G95" s="315">
        <v>40</v>
      </c>
      <c r="H95" s="203">
        <f t="shared" si="4"/>
        <v>100</v>
      </c>
    </row>
    <row r="96" spans="1:9" s="1056" customFormat="1" x14ac:dyDescent="0.2">
      <c r="A96" s="50"/>
      <c r="B96" s="19"/>
      <c r="C96" s="1059" t="s">
        <v>1319</v>
      </c>
      <c r="D96" s="117" t="s">
        <v>369</v>
      </c>
      <c r="E96" s="55">
        <v>20</v>
      </c>
      <c r="F96" s="314">
        <v>40</v>
      </c>
      <c r="G96" s="316">
        <v>40</v>
      </c>
      <c r="H96" s="1065">
        <f t="shared" si="4"/>
        <v>100</v>
      </c>
    </row>
    <row r="97" spans="1:11" s="1056" customFormat="1" ht="15" x14ac:dyDescent="0.25">
      <c r="A97" s="50">
        <v>3792</v>
      </c>
      <c r="B97" s="19">
        <v>5221</v>
      </c>
      <c r="C97" s="1069"/>
      <c r="D97" s="1339" t="s">
        <v>578</v>
      </c>
      <c r="E97" s="55"/>
      <c r="F97" s="313">
        <v>36</v>
      </c>
      <c r="G97" s="315">
        <v>36</v>
      </c>
      <c r="H97" s="203">
        <f t="shared" si="4"/>
        <v>100</v>
      </c>
    </row>
    <row r="98" spans="1:11" s="1056" customFormat="1" x14ac:dyDescent="0.2">
      <c r="A98" s="50"/>
      <c r="B98" s="19"/>
      <c r="C98" s="1059" t="s">
        <v>1933</v>
      </c>
      <c r="D98" s="117" t="s">
        <v>1934</v>
      </c>
      <c r="E98" s="55"/>
      <c r="F98" s="314">
        <v>36</v>
      </c>
      <c r="G98" s="316">
        <v>36</v>
      </c>
      <c r="H98" s="1065">
        <f t="shared" si="4"/>
        <v>100</v>
      </c>
    </row>
    <row r="99" spans="1:11" s="1056" customFormat="1" ht="15" x14ac:dyDescent="0.25">
      <c r="A99" s="50">
        <v>3792</v>
      </c>
      <c r="B99" s="19">
        <v>5222</v>
      </c>
      <c r="C99" s="1059"/>
      <c r="D99" s="1364" t="s">
        <v>327</v>
      </c>
      <c r="E99" s="55"/>
      <c r="F99" s="313">
        <v>36</v>
      </c>
      <c r="G99" s="315">
        <v>36</v>
      </c>
      <c r="H99" s="203">
        <f t="shared" si="4"/>
        <v>100</v>
      </c>
    </row>
    <row r="100" spans="1:11" s="1056" customFormat="1" x14ac:dyDescent="0.2">
      <c r="A100" s="50"/>
      <c r="B100" s="19"/>
      <c r="C100" s="1059" t="s">
        <v>1933</v>
      </c>
      <c r="D100" s="117" t="s">
        <v>1934</v>
      </c>
      <c r="E100" s="55"/>
      <c r="F100" s="314">
        <v>36</v>
      </c>
      <c r="G100" s="316">
        <v>36</v>
      </c>
      <c r="H100" s="1065">
        <f t="shared" si="4"/>
        <v>100</v>
      </c>
    </row>
    <row r="101" spans="1:11" s="1056" customFormat="1" ht="15" x14ac:dyDescent="0.25">
      <c r="A101" s="50">
        <v>3792</v>
      </c>
      <c r="B101" s="19">
        <v>5321</v>
      </c>
      <c r="C101" s="1059"/>
      <c r="D101" s="1363" t="s">
        <v>1201</v>
      </c>
      <c r="E101" s="55"/>
      <c r="F101" s="315">
        <f>F102+F103</f>
        <v>263</v>
      </c>
      <c r="G101" s="315">
        <f>G102+G103</f>
        <v>263</v>
      </c>
      <c r="H101" s="203">
        <f t="shared" si="4"/>
        <v>100</v>
      </c>
    </row>
    <row r="102" spans="1:11" s="1056" customFormat="1" x14ac:dyDescent="0.2">
      <c r="A102" s="50"/>
      <c r="B102" s="19"/>
      <c r="C102" s="1059" t="s">
        <v>1319</v>
      </c>
      <c r="D102" s="117" t="s">
        <v>369</v>
      </c>
      <c r="E102" s="55"/>
      <c r="F102" s="314">
        <v>227</v>
      </c>
      <c r="G102" s="316">
        <v>227</v>
      </c>
      <c r="H102" s="1065">
        <f t="shared" si="4"/>
        <v>100</v>
      </c>
    </row>
    <row r="103" spans="1:11" s="1056" customFormat="1" x14ac:dyDescent="0.2">
      <c r="A103" s="50"/>
      <c r="B103" s="19"/>
      <c r="C103" s="1059" t="s">
        <v>1933</v>
      </c>
      <c r="D103" s="117" t="s">
        <v>1934</v>
      </c>
      <c r="E103" s="55"/>
      <c r="F103" s="314">
        <v>36</v>
      </c>
      <c r="G103" s="316">
        <v>36</v>
      </c>
      <c r="H103" s="1065">
        <f t="shared" si="4"/>
        <v>100</v>
      </c>
    </row>
    <row r="104" spans="1:11" s="1056" customFormat="1" ht="15" x14ac:dyDescent="0.25">
      <c r="A104" s="50">
        <v>3792</v>
      </c>
      <c r="B104" s="19">
        <v>5329</v>
      </c>
      <c r="C104" s="1059"/>
      <c r="D104" s="2668" t="s">
        <v>976</v>
      </c>
      <c r="E104" s="55"/>
      <c r="F104" s="313">
        <v>10</v>
      </c>
      <c r="G104" s="315">
        <v>10</v>
      </c>
      <c r="H104" s="203">
        <f t="shared" si="4"/>
        <v>100</v>
      </c>
    </row>
    <row r="105" spans="1:11" s="1056" customFormat="1" x14ac:dyDescent="0.2">
      <c r="A105" s="50"/>
      <c r="B105" s="19"/>
      <c r="C105" s="1059"/>
      <c r="D105" s="2633"/>
      <c r="E105" s="55"/>
      <c r="F105" s="314"/>
      <c r="G105" s="316"/>
      <c r="H105" s="1065"/>
    </row>
    <row r="106" spans="1:11" s="1056" customFormat="1" x14ac:dyDescent="0.2">
      <c r="A106" s="50"/>
      <c r="B106" s="19"/>
      <c r="C106" s="1059" t="s">
        <v>1319</v>
      </c>
      <c r="D106" s="117" t="s">
        <v>369</v>
      </c>
      <c r="E106" s="55"/>
      <c r="F106" s="314">
        <v>10</v>
      </c>
      <c r="G106" s="316">
        <v>10</v>
      </c>
      <c r="H106" s="1065">
        <f t="shared" si="4"/>
        <v>100</v>
      </c>
    </row>
    <row r="107" spans="1:11" s="1056" customFormat="1" ht="15" x14ac:dyDescent="0.25">
      <c r="A107" s="50">
        <v>3792</v>
      </c>
      <c r="B107" s="19">
        <v>5336</v>
      </c>
      <c r="C107" s="1059"/>
      <c r="D107" s="1365" t="s">
        <v>930</v>
      </c>
      <c r="E107" s="55"/>
      <c r="F107" s="313">
        <v>35</v>
      </c>
      <c r="G107" s="315">
        <v>35</v>
      </c>
      <c r="H107" s="203">
        <f t="shared" si="4"/>
        <v>100</v>
      </c>
      <c r="J107" s="1090">
        <f>F98+F100+F103+F108</f>
        <v>143</v>
      </c>
      <c r="K107" s="1056" t="s">
        <v>1935</v>
      </c>
    </row>
    <row r="108" spans="1:11" s="1056" customFormat="1" x14ac:dyDescent="0.2">
      <c r="A108" s="50"/>
      <c r="B108" s="19"/>
      <c r="C108" s="1059" t="s">
        <v>1933</v>
      </c>
      <c r="D108" s="117" t="s">
        <v>1934</v>
      </c>
      <c r="E108" s="55"/>
      <c r="F108" s="314">
        <v>35</v>
      </c>
      <c r="G108" s="316">
        <v>35</v>
      </c>
      <c r="H108" s="1065">
        <f t="shared" si="4"/>
        <v>100</v>
      </c>
    </row>
    <row r="109" spans="1:11" s="1056" customFormat="1" ht="15" x14ac:dyDescent="0.25">
      <c r="A109" s="50">
        <v>6330</v>
      </c>
      <c r="B109" s="19">
        <v>5345</v>
      </c>
      <c r="C109" s="1059"/>
      <c r="D109" s="72" t="s">
        <v>767</v>
      </c>
      <c r="E109" s="55"/>
      <c r="F109" s="313"/>
      <c r="G109" s="315">
        <v>62</v>
      </c>
      <c r="H109" s="203">
        <v>0</v>
      </c>
    </row>
    <row r="110" spans="1:11" s="1056" customFormat="1" ht="15" x14ac:dyDescent="0.25">
      <c r="A110" s="50">
        <v>6402</v>
      </c>
      <c r="B110" s="19">
        <v>5364</v>
      </c>
      <c r="C110" s="1059"/>
      <c r="D110" s="2637" t="s">
        <v>1121</v>
      </c>
      <c r="E110" s="55"/>
      <c r="F110" s="313">
        <v>2873</v>
      </c>
      <c r="G110" s="315">
        <v>2873</v>
      </c>
      <c r="H110" s="203">
        <f t="shared" si="4"/>
        <v>100</v>
      </c>
    </row>
    <row r="111" spans="1:11" s="1056" customFormat="1" x14ac:dyDescent="0.2">
      <c r="A111" s="50"/>
      <c r="B111" s="19"/>
      <c r="C111" s="1059"/>
      <c r="D111" s="2637"/>
      <c r="E111" s="55"/>
      <c r="F111" s="314"/>
      <c r="G111" s="316"/>
      <c r="H111" s="1065"/>
    </row>
    <row r="112" spans="1:11" s="1056" customFormat="1" ht="15.75" thickBot="1" x14ac:dyDescent="0.3">
      <c r="A112" s="1076"/>
      <c r="B112" s="1082"/>
      <c r="C112" s="1361" t="s">
        <v>572</v>
      </c>
      <c r="D112" s="1368" t="s">
        <v>922</v>
      </c>
      <c r="E112" s="1083"/>
      <c r="F112" s="440">
        <v>2873</v>
      </c>
      <c r="G112" s="441">
        <v>2873</v>
      </c>
      <c r="H112" s="1331">
        <f>(G112/F112)*100</f>
        <v>100</v>
      </c>
    </row>
    <row r="113" spans="1:21" s="360" customFormat="1" ht="35.25" customHeight="1" thickTop="1" thickBot="1" x14ac:dyDescent="0.3">
      <c r="A113" s="2432" t="s">
        <v>245</v>
      </c>
      <c r="B113" s="751"/>
      <c r="C113" s="1163"/>
      <c r="D113" s="751"/>
      <c r="E113" s="691">
        <f>J80+J113</f>
        <v>59824</v>
      </c>
      <c r="F113" s="691">
        <f>K80+K113</f>
        <v>84607</v>
      </c>
      <c r="G113" s="691">
        <f>L80+L113</f>
        <v>84224</v>
      </c>
      <c r="H113" s="917">
        <f>(G113/F113)*100</f>
        <v>99.547318779769995</v>
      </c>
      <c r="J113" s="1280">
        <f>E91+E93+E95</f>
        <v>110</v>
      </c>
      <c r="K113" s="1280">
        <f>F81+F84+F86+F89+F91+F93+F95+F97+F99+F101+F109+F110+F104+F107</f>
        <v>4920</v>
      </c>
      <c r="L113" s="1280">
        <f>G81+G84+G86+G89+G91+G93+G95+G97+G99+G101+G109+G110+G104+G107</f>
        <v>4956</v>
      </c>
      <c r="M113" s="1279"/>
      <c r="N113" s="1279"/>
    </row>
    <row r="114" spans="1:21" s="1056" customFormat="1" ht="15.75" thickTop="1" x14ac:dyDescent="0.25">
      <c r="A114" s="1088"/>
      <c r="B114" s="1088"/>
      <c r="C114" s="1059"/>
      <c r="D114" s="1064"/>
      <c r="E114" s="1358"/>
      <c r="F114" s="1360"/>
      <c r="G114" s="1360"/>
      <c r="H114" s="1284"/>
    </row>
    <row r="115" spans="1:21" s="1056" customFormat="1" ht="15" x14ac:dyDescent="0.25">
      <c r="A115" s="1088"/>
      <c r="B115" s="1088"/>
      <c r="C115" s="1059"/>
      <c r="D115" s="1064"/>
      <c r="E115" s="1358"/>
      <c r="F115" s="1360"/>
      <c r="G115" s="1360"/>
      <c r="H115" s="1284"/>
    </row>
    <row r="116" spans="1:21" s="360" customFormat="1" ht="18" x14ac:dyDescent="0.25">
      <c r="A116" s="358"/>
      <c r="B116" s="359"/>
      <c r="C116" s="142"/>
      <c r="D116" s="359"/>
      <c r="E116" s="17"/>
      <c r="F116" s="17"/>
      <c r="G116" s="17"/>
      <c r="H116" s="194"/>
      <c r="K116" s="1283"/>
      <c r="L116" s="1283"/>
    </row>
    <row r="117" spans="1:21" ht="18.75" customHeight="1" x14ac:dyDescent="0.25">
      <c r="A117" s="98" t="s">
        <v>853</v>
      </c>
      <c r="B117" s="643"/>
      <c r="C117" s="676"/>
      <c r="D117" s="915"/>
      <c r="E117" s="678"/>
      <c r="F117" s="916"/>
      <c r="G117" s="678"/>
      <c r="H117" s="647"/>
    </row>
    <row r="118" spans="1:21" ht="16.5" thickBot="1" x14ac:dyDescent="0.3">
      <c r="A118" s="98"/>
      <c r="B118" s="28"/>
      <c r="C118" s="142"/>
      <c r="D118" s="10"/>
      <c r="E118" s="461"/>
      <c r="F118" s="461"/>
      <c r="G118" s="168"/>
      <c r="H118" s="1735" t="s">
        <v>161</v>
      </c>
    </row>
    <row r="119" spans="1:21" s="107" customFormat="1" ht="20.25" customHeight="1" thickTop="1" thickBot="1" x14ac:dyDescent="0.25">
      <c r="A119" s="631" t="s">
        <v>162</v>
      </c>
      <c r="B119" s="632" t="s">
        <v>163</v>
      </c>
      <c r="C119" s="670" t="s">
        <v>705</v>
      </c>
      <c r="D119" s="634" t="s">
        <v>164</v>
      </c>
      <c r="E119" s="634" t="s">
        <v>165</v>
      </c>
      <c r="F119" s="634" t="s">
        <v>881</v>
      </c>
      <c r="G119" s="634" t="s">
        <v>882</v>
      </c>
      <c r="H119" s="635" t="s">
        <v>883</v>
      </c>
    </row>
    <row r="120" spans="1:21" s="383" customFormat="1" ht="13.5" thickTop="1" thickBot="1" x14ac:dyDescent="0.25">
      <c r="A120" s="566">
        <v>1</v>
      </c>
      <c r="B120" s="567">
        <v>2</v>
      </c>
      <c r="C120" s="567">
        <v>3</v>
      </c>
      <c r="D120" s="567">
        <v>4</v>
      </c>
      <c r="E120" s="567">
        <v>5</v>
      </c>
      <c r="F120" s="541">
        <v>6</v>
      </c>
      <c r="G120" s="541">
        <v>7</v>
      </c>
      <c r="H120" s="636" t="s">
        <v>61</v>
      </c>
      <c r="I120" s="107"/>
    </row>
    <row r="121" spans="1:21" s="1107" customFormat="1" ht="15.75" customHeight="1" thickTop="1" x14ac:dyDescent="0.25">
      <c r="A121" s="50">
        <v>3299</v>
      </c>
      <c r="B121" s="19">
        <v>6359</v>
      </c>
      <c r="C121" s="1059"/>
      <c r="D121" s="792" t="s">
        <v>923</v>
      </c>
      <c r="E121" s="94">
        <v>9000</v>
      </c>
      <c r="F121" s="315">
        <v>1400</v>
      </c>
      <c r="G121" s="315">
        <v>1400</v>
      </c>
      <c r="H121" s="212">
        <f t="shared" ref="H121:H129" si="5">(G121/F121)*100</f>
        <v>100</v>
      </c>
      <c r="I121" s="1056"/>
      <c r="J121" s="1056"/>
      <c r="K121" s="1056"/>
      <c r="L121" s="1056"/>
      <c r="M121" s="1056"/>
      <c r="N121" s="1056"/>
      <c r="O121" s="1056"/>
      <c r="P121" s="1056"/>
      <c r="Q121" s="1056"/>
      <c r="R121" s="1056"/>
      <c r="S121" s="1056"/>
      <c r="T121" s="1056"/>
      <c r="U121" s="1056"/>
    </row>
    <row r="122" spans="1:21" s="1107" customFormat="1" ht="13.5" customHeight="1" x14ac:dyDescent="0.2">
      <c r="A122" s="50"/>
      <c r="B122" s="19"/>
      <c r="C122" s="1059" t="s">
        <v>1434</v>
      </c>
      <c r="D122" s="117" t="s">
        <v>1433</v>
      </c>
      <c r="E122" s="1281">
        <v>9000</v>
      </c>
      <c r="F122" s="316">
        <v>1400</v>
      </c>
      <c r="G122" s="316">
        <v>1400</v>
      </c>
      <c r="H122" s="1074">
        <f t="shared" si="5"/>
        <v>100</v>
      </c>
      <c r="I122" s="1056"/>
      <c r="J122" s="1056"/>
      <c r="K122" s="1056"/>
      <c r="L122" s="1056"/>
      <c r="M122" s="1056"/>
      <c r="N122" s="1056"/>
      <c r="O122" s="1056"/>
      <c r="P122" s="1056"/>
      <c r="Q122" s="1056"/>
      <c r="R122" s="1056"/>
      <c r="S122" s="1056"/>
      <c r="T122" s="1056"/>
      <c r="U122" s="1056"/>
    </row>
    <row r="123" spans="1:21" s="1107" customFormat="1" ht="13.5" customHeight="1" x14ac:dyDescent="0.25">
      <c r="A123" s="50">
        <v>3419</v>
      </c>
      <c r="B123" s="19">
        <v>6321</v>
      </c>
      <c r="C123" s="1059"/>
      <c r="D123" s="72" t="s">
        <v>1937</v>
      </c>
      <c r="E123" s="1281"/>
      <c r="F123" s="315">
        <v>1000</v>
      </c>
      <c r="G123" s="315">
        <v>1000</v>
      </c>
      <c r="H123" s="212">
        <f t="shared" si="5"/>
        <v>100</v>
      </c>
      <c r="I123" s="1056"/>
      <c r="J123" s="1056"/>
      <c r="K123" s="1056"/>
      <c r="L123" s="1056"/>
      <c r="M123" s="1056"/>
      <c r="N123" s="1056"/>
      <c r="O123" s="1056"/>
      <c r="P123" s="1056"/>
      <c r="Q123" s="1056"/>
      <c r="R123" s="1056"/>
      <c r="S123" s="1056"/>
      <c r="T123" s="1056"/>
      <c r="U123" s="1056"/>
    </row>
    <row r="124" spans="1:21" s="1107" customFormat="1" ht="13.5" customHeight="1" x14ac:dyDescent="0.2">
      <c r="A124" s="50"/>
      <c r="B124" s="19"/>
      <c r="C124" s="1375" t="s">
        <v>249</v>
      </c>
      <c r="D124" s="117" t="s">
        <v>318</v>
      </c>
      <c r="E124" s="1281"/>
      <c r="F124" s="316">
        <v>1000</v>
      </c>
      <c r="G124" s="316">
        <v>1000</v>
      </c>
      <c r="H124" s="1074">
        <f t="shared" si="5"/>
        <v>100</v>
      </c>
      <c r="I124" s="1056"/>
      <c r="J124" s="1056"/>
      <c r="K124" s="1056"/>
      <c r="L124" s="1056"/>
      <c r="M124" s="1056"/>
      <c r="N124" s="1056"/>
      <c r="O124" s="1056"/>
      <c r="P124" s="1056"/>
      <c r="Q124" s="1056"/>
      <c r="R124" s="1056"/>
      <c r="S124" s="1056"/>
      <c r="T124" s="1056"/>
      <c r="U124" s="1056"/>
    </row>
    <row r="125" spans="1:21" s="1056" customFormat="1" ht="15" x14ac:dyDescent="0.25">
      <c r="A125" s="50">
        <v>3419</v>
      </c>
      <c r="B125" s="19">
        <v>6322</v>
      </c>
      <c r="C125" s="1375"/>
      <c r="D125" s="174" t="s">
        <v>693</v>
      </c>
      <c r="E125" s="1281"/>
      <c r="F125" s="315">
        <f>F126+F127</f>
        <v>5130</v>
      </c>
      <c r="G125" s="315">
        <f>G126+G127</f>
        <v>5130</v>
      </c>
      <c r="H125" s="212">
        <f t="shared" si="5"/>
        <v>100</v>
      </c>
    </row>
    <row r="126" spans="1:21" s="1056" customFormat="1" x14ac:dyDescent="0.2">
      <c r="A126" s="50"/>
      <c r="B126" s="19"/>
      <c r="C126" s="1375" t="s">
        <v>249</v>
      </c>
      <c r="D126" s="117" t="s">
        <v>318</v>
      </c>
      <c r="E126" s="1281"/>
      <c r="F126" s="316">
        <v>1630</v>
      </c>
      <c r="G126" s="316">
        <v>1630</v>
      </c>
      <c r="H126" s="1074">
        <f t="shared" si="5"/>
        <v>100</v>
      </c>
    </row>
    <row r="127" spans="1:21" s="1056" customFormat="1" x14ac:dyDescent="0.2">
      <c r="A127" s="50"/>
      <c r="B127" s="19"/>
      <c r="C127" s="1069" t="s">
        <v>352</v>
      </c>
      <c r="D127" s="1125" t="s">
        <v>891</v>
      </c>
      <c r="E127" s="1281"/>
      <c r="F127" s="316">
        <v>3500</v>
      </c>
      <c r="G127" s="316">
        <v>3500</v>
      </c>
      <c r="H127" s="1074">
        <f t="shared" si="5"/>
        <v>100</v>
      </c>
    </row>
    <row r="128" spans="1:21" s="1056" customFormat="1" ht="15" x14ac:dyDescent="0.25">
      <c r="A128" s="50">
        <v>3429</v>
      </c>
      <c r="B128" s="19">
        <v>6322</v>
      </c>
      <c r="C128" s="1375"/>
      <c r="D128" s="380" t="s">
        <v>70</v>
      </c>
      <c r="E128" s="1281"/>
      <c r="F128" s="315">
        <v>90</v>
      </c>
      <c r="G128" s="315">
        <v>90</v>
      </c>
      <c r="H128" s="212">
        <f t="shared" si="5"/>
        <v>100</v>
      </c>
    </row>
    <row r="129" spans="1:14" s="1056" customFormat="1" x14ac:dyDescent="0.2">
      <c r="A129" s="50"/>
      <c r="B129" s="19"/>
      <c r="C129" s="1375" t="s">
        <v>249</v>
      </c>
      <c r="D129" s="117" t="s">
        <v>318</v>
      </c>
      <c r="E129" s="1281"/>
      <c r="F129" s="316">
        <v>90</v>
      </c>
      <c r="G129" s="316">
        <v>90</v>
      </c>
      <c r="H129" s="1074">
        <f t="shared" si="5"/>
        <v>100</v>
      </c>
    </row>
    <row r="130" spans="1:14" s="1056" customFormat="1" ht="15" x14ac:dyDescent="0.25">
      <c r="A130" s="50">
        <v>3429</v>
      </c>
      <c r="B130" s="19">
        <v>6341</v>
      </c>
      <c r="C130" s="1375"/>
      <c r="D130" s="380" t="s">
        <v>248</v>
      </c>
      <c r="E130" s="1281"/>
      <c r="F130" s="315">
        <v>300</v>
      </c>
      <c r="G130" s="315">
        <v>200</v>
      </c>
      <c r="H130" s="212">
        <f t="shared" ref="H130:H131" si="6">(G130/F130)*100</f>
        <v>66.666666666666657</v>
      </c>
    </row>
    <row r="131" spans="1:14" s="1056" customFormat="1" ht="15" thickBot="1" x14ac:dyDescent="0.25">
      <c r="A131" s="1076"/>
      <c r="B131" s="1082"/>
      <c r="C131" s="1349" t="s">
        <v>249</v>
      </c>
      <c r="D131" s="1121" t="s">
        <v>318</v>
      </c>
      <c r="E131" s="1350"/>
      <c r="F131" s="441">
        <v>300</v>
      </c>
      <c r="G131" s="441">
        <v>200</v>
      </c>
      <c r="H131" s="1096">
        <f t="shared" si="6"/>
        <v>66.666666666666657</v>
      </c>
    </row>
    <row r="132" spans="1:14" s="360" customFormat="1" ht="35.25" customHeight="1" thickTop="1" thickBot="1" x14ac:dyDescent="0.3">
      <c r="A132" s="688" t="s">
        <v>244</v>
      </c>
      <c r="B132" s="913"/>
      <c r="C132" s="690"/>
      <c r="D132" s="689"/>
      <c r="E132" s="1369">
        <f>E121</f>
        <v>9000</v>
      </c>
      <c r="F132" s="691">
        <f>F121+F125+F128+F130+F123</f>
        <v>7920</v>
      </c>
      <c r="G132" s="691">
        <f>G121+G125+G128+G130+G123</f>
        <v>7820</v>
      </c>
      <c r="H132" s="917">
        <f>(G132/F132)*100</f>
        <v>98.73737373737373</v>
      </c>
      <c r="J132" s="1280"/>
      <c r="K132" s="1280"/>
      <c r="L132" s="1280"/>
      <c r="M132" s="1279"/>
      <c r="N132" s="1279"/>
    </row>
    <row r="133" spans="1:14" ht="16.5" customHeight="1" thickTop="1" x14ac:dyDescent="0.25">
      <c r="B133" s="643"/>
      <c r="C133" s="676"/>
      <c r="D133" s="915"/>
      <c r="E133" s="678"/>
      <c r="F133" s="381"/>
      <c r="G133" s="916"/>
      <c r="H133" s="647"/>
    </row>
    <row r="134" spans="1:14" ht="16.5" customHeight="1" x14ac:dyDescent="0.25">
      <c r="B134" s="643"/>
      <c r="C134" s="676"/>
      <c r="D134" s="915"/>
      <c r="E134" s="678"/>
      <c r="F134" s="381"/>
      <c r="G134" s="916"/>
      <c r="H134" s="647"/>
    </row>
    <row r="135" spans="1:14" ht="16.5" customHeight="1" x14ac:dyDescent="0.25">
      <c r="B135" s="643"/>
      <c r="C135" s="676"/>
      <c r="D135" s="915"/>
      <c r="E135" s="678"/>
      <c r="F135" s="381"/>
      <c r="G135" s="916"/>
      <c r="H135" s="647"/>
    </row>
    <row r="136" spans="1:14" ht="15.75" x14ac:dyDescent="0.25">
      <c r="A136" s="98" t="s">
        <v>626</v>
      </c>
      <c r="C136" s="918"/>
      <c r="D136" s="719"/>
      <c r="E136" s="678"/>
      <c r="F136" s="773"/>
      <c r="G136" s="678"/>
    </row>
    <row r="137" spans="1:14" ht="16.5" thickBot="1" x14ac:dyDescent="0.3">
      <c r="A137" s="98"/>
      <c r="C137" s="918"/>
      <c r="D137" s="719"/>
      <c r="E137" s="678"/>
      <c r="F137" s="773"/>
      <c r="G137" s="678"/>
      <c r="H137" s="1735" t="s">
        <v>161</v>
      </c>
    </row>
    <row r="138" spans="1:14" s="107" customFormat="1" ht="20.25" customHeight="1" thickTop="1" thickBot="1" x14ac:dyDescent="0.25">
      <c r="A138" s="631" t="s">
        <v>162</v>
      </c>
      <c r="B138" s="632" t="s">
        <v>163</v>
      </c>
      <c r="C138" s="670" t="s">
        <v>705</v>
      </c>
      <c r="D138" s="774" t="s">
        <v>164</v>
      </c>
      <c r="E138" s="634" t="s">
        <v>165</v>
      </c>
      <c r="F138" s="634" t="s">
        <v>881</v>
      </c>
      <c r="G138" s="634" t="s">
        <v>882</v>
      </c>
      <c r="H138" s="635" t="s">
        <v>883</v>
      </c>
    </row>
    <row r="139" spans="1:14" s="383" customFormat="1" ht="13.5" thickTop="1" thickBot="1" x14ac:dyDescent="0.25">
      <c r="A139" s="566">
        <v>1</v>
      </c>
      <c r="B139" s="567">
        <v>2</v>
      </c>
      <c r="C139" s="567">
        <v>3</v>
      </c>
      <c r="D139" s="567">
        <v>4</v>
      </c>
      <c r="E139" s="567">
        <v>5</v>
      </c>
      <c r="F139" s="541">
        <v>6</v>
      </c>
      <c r="G139" s="541">
        <v>7</v>
      </c>
      <c r="H139" s="636" t="s">
        <v>61</v>
      </c>
      <c r="I139" s="107"/>
    </row>
    <row r="140" spans="1:14" s="1056" customFormat="1" ht="15.75" thickTop="1" x14ac:dyDescent="0.25">
      <c r="A140" s="50">
        <v>3299</v>
      </c>
      <c r="B140" s="31">
        <v>5331</v>
      </c>
      <c r="C140" s="1059"/>
      <c r="D140" s="1363" t="s">
        <v>914</v>
      </c>
      <c r="E140" s="71">
        <f>E141+E142+E143+E144</f>
        <v>6266</v>
      </c>
      <c r="F140" s="71">
        <f>F143</f>
        <v>5</v>
      </c>
      <c r="G140" s="71">
        <v>0</v>
      </c>
      <c r="H140" s="212">
        <v>0</v>
      </c>
      <c r="J140" s="1107"/>
    </row>
    <row r="141" spans="1:14" s="1056" customFormat="1" x14ac:dyDescent="0.2">
      <c r="A141" s="50"/>
      <c r="B141" s="31"/>
      <c r="C141" s="1059" t="s">
        <v>570</v>
      </c>
      <c r="D141" s="31" t="s">
        <v>71</v>
      </c>
      <c r="E141" s="1281">
        <v>466</v>
      </c>
      <c r="F141" s="55">
        <v>0</v>
      </c>
      <c r="G141" s="55">
        <v>0</v>
      </c>
      <c r="H141" s="1074">
        <v>0</v>
      </c>
      <c r="J141" s="1107"/>
    </row>
    <row r="142" spans="1:14" s="1056" customFormat="1" x14ac:dyDescent="0.2">
      <c r="A142" s="50"/>
      <c r="B142" s="31"/>
      <c r="C142" s="1059" t="s">
        <v>1122</v>
      </c>
      <c r="D142" s="117" t="s">
        <v>24</v>
      </c>
      <c r="E142" s="1281">
        <v>150</v>
      </c>
      <c r="F142" s="55">
        <v>0</v>
      </c>
      <c r="G142" s="55">
        <v>0</v>
      </c>
      <c r="H142" s="1074">
        <v>0</v>
      </c>
      <c r="J142" s="1107"/>
    </row>
    <row r="143" spans="1:14" s="1056" customFormat="1" x14ac:dyDescent="0.2">
      <c r="A143" s="50"/>
      <c r="B143" s="31"/>
      <c r="C143" s="1059" t="s">
        <v>490</v>
      </c>
      <c r="D143" s="117" t="s">
        <v>1241</v>
      </c>
      <c r="E143" s="1281">
        <v>50</v>
      </c>
      <c r="F143" s="55">
        <v>5</v>
      </c>
      <c r="G143" s="55">
        <v>0</v>
      </c>
      <c r="H143" s="1074">
        <v>0</v>
      </c>
      <c r="J143" s="1107"/>
    </row>
    <row r="144" spans="1:14" s="1056" customFormat="1" x14ac:dyDescent="0.2">
      <c r="A144" s="50"/>
      <c r="B144" s="31"/>
      <c r="C144" s="1059" t="s">
        <v>924</v>
      </c>
      <c r="D144" s="117" t="s">
        <v>925</v>
      </c>
      <c r="E144" s="1281">
        <v>5600</v>
      </c>
      <c r="F144" s="55">
        <v>0</v>
      </c>
      <c r="G144" s="55">
        <v>0</v>
      </c>
      <c r="H144" s="1074">
        <v>0</v>
      </c>
      <c r="J144" s="1107"/>
    </row>
    <row r="145" spans="1:8" s="1056" customFormat="1" ht="15" x14ac:dyDescent="0.25">
      <c r="A145" s="50">
        <v>3792</v>
      </c>
      <c r="B145" s="19">
        <v>5331</v>
      </c>
      <c r="C145" s="1059"/>
      <c r="D145" s="1363" t="s">
        <v>914</v>
      </c>
      <c r="E145" s="94">
        <v>340</v>
      </c>
      <c r="F145" s="315">
        <v>3</v>
      </c>
      <c r="G145" s="315">
        <v>0</v>
      </c>
      <c r="H145" s="212">
        <v>0</v>
      </c>
    </row>
    <row r="146" spans="1:8" s="1056" customFormat="1" x14ac:dyDescent="0.2">
      <c r="A146" s="50"/>
      <c r="B146" s="19"/>
      <c r="C146" s="1059" t="s">
        <v>1319</v>
      </c>
      <c r="D146" s="117" t="s">
        <v>369</v>
      </c>
      <c r="E146" s="1281">
        <v>340</v>
      </c>
      <c r="F146" s="451">
        <v>3</v>
      </c>
      <c r="G146" s="316">
        <v>0</v>
      </c>
      <c r="H146" s="1074">
        <v>0</v>
      </c>
    </row>
    <row r="147" spans="1:8" s="1056" customFormat="1" ht="15" x14ac:dyDescent="0.25">
      <c r="A147" s="50" t="s">
        <v>521</v>
      </c>
      <c r="B147" s="19">
        <v>5331</v>
      </c>
      <c r="C147" s="1059"/>
      <c r="D147" s="1363" t="s">
        <v>914</v>
      </c>
      <c r="E147" s="48">
        <f>SUM(E148:E162)</f>
        <v>390628</v>
      </c>
      <c r="F147" s="48">
        <f>SUM(F148:F162)</f>
        <v>399743</v>
      </c>
      <c r="G147" s="48">
        <f>SUM(G148:G162)</f>
        <v>399743</v>
      </c>
      <c r="H147" s="212">
        <f>(G147/F147)*100</f>
        <v>100</v>
      </c>
    </row>
    <row r="148" spans="1:8" s="1056" customFormat="1" ht="15" x14ac:dyDescent="0.25">
      <c r="A148" s="50"/>
      <c r="B148" s="19"/>
      <c r="C148" s="1084" t="s">
        <v>249</v>
      </c>
      <c r="D148" s="1125" t="s">
        <v>318</v>
      </c>
      <c r="E148" s="1287"/>
      <c r="F148" s="55">
        <v>200</v>
      </c>
      <c r="G148" s="55">
        <v>200</v>
      </c>
      <c r="H148" s="1074">
        <f t="shared" ref="H148:H161" si="7">(G148/F148)*100</f>
        <v>100</v>
      </c>
    </row>
    <row r="149" spans="1:8" s="1056" customFormat="1" ht="15" x14ac:dyDescent="0.25">
      <c r="A149" s="50"/>
      <c r="B149" s="1157"/>
      <c r="C149" s="1059" t="s">
        <v>575</v>
      </c>
      <c r="D149" s="31" t="s">
        <v>694</v>
      </c>
      <c r="E149" s="1311">
        <v>88713</v>
      </c>
      <c r="F149" s="451">
        <v>90301</v>
      </c>
      <c r="G149" s="451">
        <v>90301</v>
      </c>
      <c r="H149" s="1074">
        <f t="shared" si="7"/>
        <v>100</v>
      </c>
    </row>
    <row r="150" spans="1:8" s="1056" customFormat="1" ht="15" x14ac:dyDescent="0.25">
      <c r="A150" s="50"/>
      <c r="B150" s="1157"/>
      <c r="C150" s="1059" t="s">
        <v>184</v>
      </c>
      <c r="D150" s="117" t="s">
        <v>712</v>
      </c>
      <c r="E150" s="1311"/>
      <c r="F150" s="451">
        <v>610</v>
      </c>
      <c r="G150" s="451">
        <v>610</v>
      </c>
      <c r="H150" s="1074">
        <f t="shared" si="7"/>
        <v>100</v>
      </c>
    </row>
    <row r="151" spans="1:8" s="1056" customFormat="1" ht="15" x14ac:dyDescent="0.25">
      <c r="A151" s="50"/>
      <c r="B151" s="1157"/>
      <c r="C151" s="1059" t="s">
        <v>352</v>
      </c>
      <c r="D151" s="117" t="s">
        <v>891</v>
      </c>
      <c r="E151" s="1311"/>
      <c r="F151" s="451">
        <v>253</v>
      </c>
      <c r="G151" s="451">
        <v>253</v>
      </c>
      <c r="H151" s="1074">
        <f t="shared" si="7"/>
        <v>100</v>
      </c>
    </row>
    <row r="152" spans="1:8" s="1056" customFormat="1" ht="15" x14ac:dyDescent="0.25">
      <c r="A152" s="50"/>
      <c r="B152" s="1157"/>
      <c r="C152" s="1059" t="s">
        <v>570</v>
      </c>
      <c r="D152" s="31" t="s">
        <v>71</v>
      </c>
      <c r="E152" s="1311">
        <v>299376</v>
      </c>
      <c r="F152" s="451">
        <v>295816</v>
      </c>
      <c r="G152" s="451">
        <v>295816</v>
      </c>
      <c r="H152" s="1074">
        <f t="shared" si="7"/>
        <v>100</v>
      </c>
    </row>
    <row r="153" spans="1:8" s="1056" customFormat="1" ht="15" x14ac:dyDescent="0.25">
      <c r="A153" s="50"/>
      <c r="B153" s="1157"/>
      <c r="C153" s="1059" t="s">
        <v>1125</v>
      </c>
      <c r="D153" s="31" t="s">
        <v>1133</v>
      </c>
      <c r="E153" s="1311"/>
      <c r="F153" s="451">
        <v>596</v>
      </c>
      <c r="G153" s="451">
        <v>596</v>
      </c>
      <c r="H153" s="1074">
        <f t="shared" si="7"/>
        <v>100</v>
      </c>
    </row>
    <row r="154" spans="1:8" s="1056" customFormat="1" ht="15" x14ac:dyDescent="0.25">
      <c r="A154" s="50"/>
      <c r="B154" s="1157"/>
      <c r="C154" s="1059" t="s">
        <v>1123</v>
      </c>
      <c r="D154" s="31" t="s">
        <v>25</v>
      </c>
      <c r="E154" s="1311">
        <v>101</v>
      </c>
      <c r="F154" s="451">
        <v>101</v>
      </c>
      <c r="G154" s="316">
        <v>101</v>
      </c>
      <c r="H154" s="1074">
        <f t="shared" si="7"/>
        <v>100</v>
      </c>
    </row>
    <row r="155" spans="1:8" s="1056" customFormat="1" ht="15" x14ac:dyDescent="0.25">
      <c r="A155" s="50"/>
      <c r="B155" s="1157"/>
      <c r="C155" s="1403" t="s">
        <v>22</v>
      </c>
      <c r="D155" s="117" t="s">
        <v>1203</v>
      </c>
      <c r="E155" s="1311"/>
      <c r="F155" s="451">
        <v>1646</v>
      </c>
      <c r="G155" s="316">
        <v>1646</v>
      </c>
      <c r="H155" s="1074">
        <f t="shared" si="7"/>
        <v>100</v>
      </c>
    </row>
    <row r="156" spans="1:8" s="1056" customFormat="1" ht="15" x14ac:dyDescent="0.25">
      <c r="A156" s="50"/>
      <c r="B156" s="1157"/>
      <c r="C156" s="1059" t="s">
        <v>665</v>
      </c>
      <c r="D156" s="31" t="s">
        <v>1294</v>
      </c>
      <c r="E156" s="1311">
        <v>738</v>
      </c>
      <c r="F156" s="451">
        <v>2354</v>
      </c>
      <c r="G156" s="316">
        <v>2354</v>
      </c>
      <c r="H156" s="1074">
        <f t="shared" si="7"/>
        <v>100</v>
      </c>
    </row>
    <row r="157" spans="1:8" s="1056" customFormat="1" ht="15" x14ac:dyDescent="0.25">
      <c r="A157" s="50"/>
      <c r="B157" s="1157"/>
      <c r="C157" s="1059" t="s">
        <v>1122</v>
      </c>
      <c r="D157" s="117" t="s">
        <v>24</v>
      </c>
      <c r="E157" s="1311"/>
      <c r="F157" s="451">
        <v>150</v>
      </c>
      <c r="G157" s="316">
        <v>150</v>
      </c>
      <c r="H157" s="1074">
        <f t="shared" si="7"/>
        <v>100</v>
      </c>
    </row>
    <row r="158" spans="1:8" s="1056" customFormat="1" ht="15" x14ac:dyDescent="0.25">
      <c r="A158" s="50"/>
      <c r="B158" s="1157"/>
      <c r="C158" s="1059" t="s">
        <v>1319</v>
      </c>
      <c r="D158" s="117" t="s">
        <v>369</v>
      </c>
      <c r="E158" s="1311"/>
      <c r="F158" s="451">
        <v>90</v>
      </c>
      <c r="G158" s="316">
        <v>90</v>
      </c>
      <c r="H158" s="1074">
        <f t="shared" si="7"/>
        <v>100</v>
      </c>
    </row>
    <row r="159" spans="1:8" s="1056" customFormat="1" ht="15" x14ac:dyDescent="0.25">
      <c r="A159" s="50"/>
      <c r="B159" s="1157"/>
      <c r="C159" s="1059" t="s">
        <v>490</v>
      </c>
      <c r="D159" s="117" t="s">
        <v>1241</v>
      </c>
      <c r="E159" s="1311"/>
      <c r="F159" s="451">
        <v>45</v>
      </c>
      <c r="G159" s="316">
        <v>45</v>
      </c>
      <c r="H159" s="1074">
        <f t="shared" si="7"/>
        <v>100</v>
      </c>
    </row>
    <row r="160" spans="1:8" s="1056" customFormat="1" ht="15" x14ac:dyDescent="0.25">
      <c r="A160" s="50"/>
      <c r="B160" s="1157"/>
      <c r="C160" s="1375" t="s">
        <v>370</v>
      </c>
      <c r="D160" s="225" t="s">
        <v>1339</v>
      </c>
      <c r="E160" s="1311"/>
      <c r="F160" s="451">
        <v>98</v>
      </c>
      <c r="G160" s="316">
        <v>98</v>
      </c>
      <c r="H160" s="1074">
        <f t="shared" si="7"/>
        <v>100</v>
      </c>
    </row>
    <row r="161" spans="1:8" s="1056" customFormat="1" ht="15" x14ac:dyDescent="0.25">
      <c r="A161" s="50"/>
      <c r="B161" s="1157"/>
      <c r="C161" s="1059" t="s">
        <v>924</v>
      </c>
      <c r="D161" s="117" t="s">
        <v>925</v>
      </c>
      <c r="E161" s="1311"/>
      <c r="F161" s="451">
        <v>7483</v>
      </c>
      <c r="G161" s="316">
        <v>7483</v>
      </c>
      <c r="H161" s="1074">
        <f t="shared" si="7"/>
        <v>100</v>
      </c>
    </row>
    <row r="162" spans="1:8" s="1056" customFormat="1" ht="15" x14ac:dyDescent="0.25">
      <c r="A162" s="50"/>
      <c r="B162" s="1157"/>
      <c r="C162" s="1059" t="s">
        <v>1917</v>
      </c>
      <c r="D162" s="2435" t="s">
        <v>1918</v>
      </c>
      <c r="E162" s="1311">
        <v>1700</v>
      </c>
      <c r="F162" s="451">
        <v>0</v>
      </c>
      <c r="G162" s="316">
        <v>0</v>
      </c>
      <c r="H162" s="1074">
        <v>0</v>
      </c>
    </row>
    <row r="163" spans="1:8" ht="15" x14ac:dyDescent="0.25">
      <c r="A163" s="1370"/>
      <c r="B163" s="919">
        <v>5336</v>
      </c>
      <c r="C163" s="2540"/>
      <c r="D163" s="672" t="s">
        <v>2054</v>
      </c>
      <c r="E163" s="314"/>
      <c r="F163" s="315">
        <f>F164+F165+F167+F169+F171+F173+F174+F175+F177+F179+F180+F181+F183+F184+F185+F188+F190+F191+F192+F193+F194+F196+F197+F198+F200+F201+F202+F210+F211+F212+F213+F214</f>
        <v>1960720</v>
      </c>
      <c r="G163" s="315">
        <f>G164+G165+G167+G169+G171+G173+G174+G175+G177+G179+G180+G181+G183+G184+G185+G188+G190+G191+G192+G193+G194+G196+G197+G198+G200+G201+G202+G210+G211+G212+G213+G214</f>
        <v>1960720</v>
      </c>
      <c r="H163" s="1073">
        <f t="shared" ref="H163:H212" si="8">(G163/F163)*100</f>
        <v>100</v>
      </c>
    </row>
    <row r="164" spans="1:8" x14ac:dyDescent="0.2">
      <c r="A164" s="1370"/>
      <c r="B164" s="919"/>
      <c r="C164" s="1059" t="s">
        <v>1126</v>
      </c>
      <c r="D164" s="91" t="s">
        <v>1242</v>
      </c>
      <c r="E164" s="314"/>
      <c r="F164" s="316">
        <v>2300</v>
      </c>
      <c r="G164" s="316">
        <v>2300</v>
      </c>
      <c r="H164" s="1074">
        <f t="shared" si="8"/>
        <v>100</v>
      </c>
    </row>
    <row r="165" spans="1:8" ht="15" customHeight="1" x14ac:dyDescent="0.2">
      <c r="A165" s="1370"/>
      <c r="B165" s="919"/>
      <c r="C165" s="552" t="s">
        <v>576</v>
      </c>
      <c r="D165" s="2662" t="s">
        <v>577</v>
      </c>
      <c r="E165" s="314"/>
      <c r="F165" s="316">
        <v>123</v>
      </c>
      <c r="G165" s="316">
        <v>123</v>
      </c>
      <c r="H165" s="1074">
        <f t="shared" si="8"/>
        <v>100</v>
      </c>
    </row>
    <row r="166" spans="1:8" ht="15" customHeight="1" x14ac:dyDescent="0.25">
      <c r="A166" s="1370"/>
      <c r="B166" s="919"/>
      <c r="C166" s="552"/>
      <c r="D166" s="2662"/>
      <c r="E166" s="314"/>
      <c r="F166" s="315"/>
      <c r="G166" s="315"/>
      <c r="H166" s="1073"/>
    </row>
    <row r="167" spans="1:8" ht="15" customHeight="1" x14ac:dyDescent="0.2">
      <c r="A167" s="1370"/>
      <c r="B167" s="919"/>
      <c r="C167" s="552" t="s">
        <v>1919</v>
      </c>
      <c r="D167" s="2662" t="s">
        <v>1920</v>
      </c>
      <c r="E167" s="314"/>
      <c r="F167" s="316">
        <v>87</v>
      </c>
      <c r="G167" s="316">
        <v>87</v>
      </c>
      <c r="H167" s="1074">
        <f t="shared" si="8"/>
        <v>100</v>
      </c>
    </row>
    <row r="168" spans="1:8" ht="15" customHeight="1" x14ac:dyDescent="0.25">
      <c r="A168" s="1370"/>
      <c r="B168" s="919"/>
      <c r="C168" s="552"/>
      <c r="D168" s="2669"/>
      <c r="E168" s="314"/>
      <c r="F168" s="315"/>
      <c r="G168" s="315"/>
      <c r="H168" s="1073"/>
    </row>
    <row r="169" spans="1:8" ht="15" customHeight="1" x14ac:dyDescent="0.2">
      <c r="A169" s="1370"/>
      <c r="B169" s="919"/>
      <c r="C169" s="552" t="s">
        <v>1921</v>
      </c>
      <c r="D169" s="2662" t="s">
        <v>1922</v>
      </c>
      <c r="E169" s="314"/>
      <c r="F169" s="316">
        <v>5</v>
      </c>
      <c r="G169" s="316">
        <v>5</v>
      </c>
      <c r="H169" s="1074">
        <f t="shared" si="8"/>
        <v>100</v>
      </c>
    </row>
    <row r="170" spans="1:8" ht="15" customHeight="1" x14ac:dyDescent="0.25">
      <c r="A170" s="1370"/>
      <c r="B170" s="919"/>
      <c r="C170" s="552"/>
      <c r="D170" s="2669"/>
      <c r="E170" s="314"/>
      <c r="F170" s="315"/>
      <c r="G170" s="315"/>
      <c r="H170" s="1073"/>
    </row>
    <row r="171" spans="1:8" ht="15" customHeight="1" x14ac:dyDescent="0.2">
      <c r="A171" s="1370"/>
      <c r="B171" s="919"/>
      <c r="C171" s="1069" t="s">
        <v>1169</v>
      </c>
      <c r="D171" s="2665" t="s">
        <v>936</v>
      </c>
      <c r="E171" s="314"/>
      <c r="F171" s="316">
        <v>10</v>
      </c>
      <c r="G171" s="316">
        <v>10</v>
      </c>
      <c r="H171" s="1074">
        <f t="shared" si="8"/>
        <v>100</v>
      </c>
    </row>
    <row r="172" spans="1:8" ht="15" customHeight="1" x14ac:dyDescent="0.25">
      <c r="A172" s="1370"/>
      <c r="B172" s="919"/>
      <c r="C172" s="552"/>
      <c r="D172" s="2665"/>
      <c r="E172" s="314"/>
      <c r="F172" s="315"/>
      <c r="G172" s="315"/>
      <c r="H172" s="1073"/>
    </row>
    <row r="173" spans="1:8" ht="15" customHeight="1" x14ac:dyDescent="0.2">
      <c r="A173" s="1370"/>
      <c r="B173" s="919"/>
      <c r="C173" s="1069" t="s">
        <v>937</v>
      </c>
      <c r="D173" s="2429" t="s">
        <v>1923</v>
      </c>
      <c r="E173" s="314"/>
      <c r="F173" s="316">
        <v>5</v>
      </c>
      <c r="G173" s="316">
        <v>5</v>
      </c>
      <c r="H173" s="1074">
        <f t="shared" si="8"/>
        <v>100</v>
      </c>
    </row>
    <row r="174" spans="1:8" ht="15" customHeight="1" x14ac:dyDescent="0.2">
      <c r="A174" s="1370"/>
      <c r="B174" s="919"/>
      <c r="C174" s="1068" t="s">
        <v>926</v>
      </c>
      <c r="D174" s="1791" t="s">
        <v>579</v>
      </c>
      <c r="E174" s="314"/>
      <c r="F174" s="316">
        <v>56</v>
      </c>
      <c r="G174" s="316">
        <v>56</v>
      </c>
      <c r="H174" s="1074">
        <f t="shared" si="8"/>
        <v>100</v>
      </c>
    </row>
    <row r="175" spans="1:8" ht="15" customHeight="1" x14ac:dyDescent="0.2">
      <c r="A175" s="1370"/>
      <c r="B175" s="919"/>
      <c r="C175" s="2660" t="s">
        <v>1429</v>
      </c>
      <c r="D175" s="2663" t="s">
        <v>1430</v>
      </c>
      <c r="E175" s="314"/>
      <c r="F175" s="316">
        <v>544</v>
      </c>
      <c r="G175" s="316">
        <v>544</v>
      </c>
      <c r="H175" s="1074">
        <f t="shared" si="8"/>
        <v>100</v>
      </c>
    </row>
    <row r="176" spans="1:8" ht="15" customHeight="1" x14ac:dyDescent="0.2">
      <c r="A176" s="1370"/>
      <c r="B176" s="919"/>
      <c r="C176" s="2661"/>
      <c r="D176" s="2663"/>
      <c r="E176" s="314"/>
      <c r="F176" s="316"/>
      <c r="G176" s="316"/>
      <c r="H176" s="1074"/>
    </row>
    <row r="177" spans="1:8" ht="15" customHeight="1" x14ac:dyDescent="0.2">
      <c r="A177" s="1370"/>
      <c r="B177" s="919"/>
      <c r="C177" s="1288" t="s">
        <v>1431</v>
      </c>
      <c r="D177" s="2663" t="s">
        <v>1432</v>
      </c>
      <c r="E177" s="314"/>
      <c r="F177" s="316">
        <v>88</v>
      </c>
      <c r="G177" s="316">
        <v>88</v>
      </c>
      <c r="H177" s="1074">
        <f t="shared" si="8"/>
        <v>100</v>
      </c>
    </row>
    <row r="178" spans="1:8" ht="12.75" customHeight="1" x14ac:dyDescent="0.2">
      <c r="A178" s="1370"/>
      <c r="B178" s="919"/>
      <c r="C178" s="1325"/>
      <c r="D178" s="2663"/>
      <c r="E178" s="314"/>
      <c r="F178" s="316"/>
      <c r="G178" s="316"/>
      <c r="H178" s="1074"/>
    </row>
    <row r="179" spans="1:8" ht="12.75" customHeight="1" x14ac:dyDescent="0.2">
      <c r="A179" s="1370"/>
      <c r="B179" s="919"/>
      <c r="C179" s="1068" t="s">
        <v>1504</v>
      </c>
      <c r="D179" s="1795" t="s">
        <v>1503</v>
      </c>
      <c r="E179" s="314"/>
      <c r="F179" s="316">
        <v>1395</v>
      </c>
      <c r="G179" s="316">
        <v>1395</v>
      </c>
      <c r="H179" s="1074">
        <f t="shared" si="8"/>
        <v>100</v>
      </c>
    </row>
    <row r="180" spans="1:8" ht="12.75" customHeight="1" x14ac:dyDescent="0.2">
      <c r="A180" s="1370"/>
      <c r="B180" s="919"/>
      <c r="C180" s="1325" t="s">
        <v>1667</v>
      </c>
      <c r="D180" s="1795" t="s">
        <v>1668</v>
      </c>
      <c r="E180" s="314"/>
      <c r="F180" s="316">
        <v>42</v>
      </c>
      <c r="G180" s="316">
        <v>42</v>
      </c>
      <c r="H180" s="1074">
        <f t="shared" si="8"/>
        <v>100</v>
      </c>
    </row>
    <row r="181" spans="1:8" ht="12.75" customHeight="1" x14ac:dyDescent="0.2">
      <c r="A181" s="1370"/>
      <c r="B181" s="919"/>
      <c r="C181" s="1068" t="s">
        <v>1924</v>
      </c>
      <c r="D181" s="2664" t="s">
        <v>1925</v>
      </c>
      <c r="E181" s="314"/>
      <c r="F181" s="316">
        <v>97</v>
      </c>
      <c r="G181" s="316">
        <v>97</v>
      </c>
      <c r="H181" s="1074">
        <f t="shared" si="8"/>
        <v>100</v>
      </c>
    </row>
    <row r="182" spans="1:8" ht="12.75" customHeight="1" x14ac:dyDescent="0.2">
      <c r="A182" s="1370"/>
      <c r="B182" s="919"/>
      <c r="C182" s="1068"/>
      <c r="D182" s="2664"/>
      <c r="E182" s="314"/>
      <c r="F182" s="316"/>
      <c r="G182" s="316"/>
      <c r="H182" s="1074"/>
    </row>
    <row r="183" spans="1:8" ht="12.75" customHeight="1" x14ac:dyDescent="0.2">
      <c r="A183" s="1370"/>
      <c r="B183" s="919"/>
      <c r="C183" s="1068" t="s">
        <v>1903</v>
      </c>
      <c r="D183" s="2438" t="s">
        <v>1904</v>
      </c>
      <c r="E183" s="314"/>
      <c r="F183" s="316">
        <v>167</v>
      </c>
      <c r="G183" s="316">
        <v>167</v>
      </c>
      <c r="H183" s="1074">
        <f t="shared" si="8"/>
        <v>100</v>
      </c>
    </row>
    <row r="184" spans="1:8" ht="12.75" customHeight="1" x14ac:dyDescent="0.2">
      <c r="A184" s="1370"/>
      <c r="B184" s="919"/>
      <c r="C184" s="1068" t="s">
        <v>1905</v>
      </c>
      <c r="D184" s="2426" t="s">
        <v>1906</v>
      </c>
      <c r="E184" s="314"/>
      <c r="F184" s="316">
        <v>13410</v>
      </c>
      <c r="G184" s="316">
        <v>13410</v>
      </c>
      <c r="H184" s="1074">
        <f t="shared" si="8"/>
        <v>100</v>
      </c>
    </row>
    <row r="185" spans="1:8" ht="12.75" customHeight="1" x14ac:dyDescent="0.2">
      <c r="A185" s="1370"/>
      <c r="B185" s="919"/>
      <c r="C185" s="1068" t="s">
        <v>1909</v>
      </c>
      <c r="D185" s="2633" t="s">
        <v>1910</v>
      </c>
      <c r="E185" s="314"/>
      <c r="F185" s="316">
        <v>665</v>
      </c>
      <c r="G185" s="316">
        <v>665</v>
      </c>
      <c r="H185" s="1074">
        <f t="shared" si="8"/>
        <v>100</v>
      </c>
    </row>
    <row r="186" spans="1:8" ht="12.75" customHeight="1" x14ac:dyDescent="0.2">
      <c r="A186" s="1370"/>
      <c r="B186" s="919"/>
      <c r="C186" s="1068"/>
      <c r="D186" s="2633"/>
      <c r="E186" s="314"/>
      <c r="F186" s="316"/>
      <c r="G186" s="316"/>
      <c r="H186" s="1074"/>
    </row>
    <row r="187" spans="1:8" ht="12.75" customHeight="1" x14ac:dyDescent="0.2">
      <c r="A187" s="1370"/>
      <c r="B187" s="919"/>
      <c r="C187" s="1068"/>
      <c r="D187" s="2633"/>
      <c r="E187" s="314"/>
      <c r="F187" s="316"/>
      <c r="G187" s="316"/>
      <c r="H187" s="1074"/>
    </row>
    <row r="188" spans="1:8" ht="12.75" customHeight="1" x14ac:dyDescent="0.2">
      <c r="A188" s="1370"/>
      <c r="B188" s="919"/>
      <c r="C188" s="1068" t="s">
        <v>1911</v>
      </c>
      <c r="D188" s="2633" t="s">
        <v>1912</v>
      </c>
      <c r="E188" s="314"/>
      <c r="F188" s="316">
        <v>3142</v>
      </c>
      <c r="G188" s="316">
        <v>3142</v>
      </c>
      <c r="H188" s="1074">
        <f t="shared" si="8"/>
        <v>100</v>
      </c>
    </row>
    <row r="189" spans="1:8" ht="12.75" customHeight="1" x14ac:dyDescent="0.2">
      <c r="A189" s="1370"/>
      <c r="B189" s="919"/>
      <c r="C189" s="1068"/>
      <c r="D189" s="2633"/>
      <c r="E189" s="314"/>
      <c r="F189" s="316"/>
      <c r="G189" s="316"/>
      <c r="H189" s="1074"/>
    </row>
    <row r="190" spans="1:8" ht="12.75" customHeight="1" x14ac:dyDescent="0.2">
      <c r="A190" s="1370"/>
      <c r="B190" s="919"/>
      <c r="C190" s="1068" t="s">
        <v>1913</v>
      </c>
      <c r="D190" s="1796" t="s">
        <v>1914</v>
      </c>
      <c r="E190" s="314"/>
      <c r="F190" s="316">
        <v>10730</v>
      </c>
      <c r="G190" s="316">
        <v>10730</v>
      </c>
      <c r="H190" s="1074">
        <f t="shared" si="8"/>
        <v>100</v>
      </c>
    </row>
    <row r="191" spans="1:8" ht="12.75" customHeight="1" x14ac:dyDescent="0.2">
      <c r="A191" s="1370"/>
      <c r="B191" s="919"/>
      <c r="C191" s="1068" t="s">
        <v>870</v>
      </c>
      <c r="D191" s="1796" t="s">
        <v>1926</v>
      </c>
      <c r="E191" s="314"/>
      <c r="F191" s="316">
        <v>210</v>
      </c>
      <c r="G191" s="316">
        <v>210</v>
      </c>
      <c r="H191" s="1074">
        <f t="shared" si="8"/>
        <v>100</v>
      </c>
    </row>
    <row r="192" spans="1:8" ht="12.75" customHeight="1" x14ac:dyDescent="0.2">
      <c r="A192" s="1370"/>
      <c r="B192" s="919"/>
      <c r="C192" s="1325" t="s">
        <v>1127</v>
      </c>
      <c r="D192" s="1162" t="s">
        <v>927</v>
      </c>
      <c r="E192" s="314"/>
      <c r="F192" s="316">
        <v>541</v>
      </c>
      <c r="G192" s="316">
        <v>541</v>
      </c>
      <c r="H192" s="1074">
        <f t="shared" si="8"/>
        <v>100</v>
      </c>
    </row>
    <row r="193" spans="1:8" ht="12.75" customHeight="1" x14ac:dyDescent="0.2">
      <c r="A193" s="1370"/>
      <c r="B193" s="919"/>
      <c r="C193" s="1325" t="s">
        <v>1128</v>
      </c>
      <c r="D193" s="2437" t="s">
        <v>2072</v>
      </c>
      <c r="E193" s="314"/>
      <c r="F193" s="316">
        <v>893</v>
      </c>
      <c r="G193" s="316">
        <v>893</v>
      </c>
      <c r="H193" s="1074">
        <f t="shared" si="8"/>
        <v>100</v>
      </c>
    </row>
    <row r="194" spans="1:8" ht="12.75" customHeight="1" x14ac:dyDescent="0.2">
      <c r="A194" s="1370"/>
      <c r="B194" s="919"/>
      <c r="C194" s="1068" t="s">
        <v>1129</v>
      </c>
      <c r="D194" s="2664" t="s">
        <v>928</v>
      </c>
      <c r="E194" s="314"/>
      <c r="F194" s="316">
        <v>82</v>
      </c>
      <c r="G194" s="316">
        <v>82</v>
      </c>
      <c r="H194" s="1074">
        <f t="shared" si="8"/>
        <v>100</v>
      </c>
    </row>
    <row r="195" spans="1:8" ht="12.75" customHeight="1" x14ac:dyDescent="0.2">
      <c r="A195" s="1370"/>
      <c r="B195" s="919"/>
      <c r="C195" s="1068"/>
      <c r="D195" s="2664"/>
      <c r="E195" s="314"/>
      <c r="F195" s="316"/>
      <c r="G195" s="316"/>
      <c r="H195" s="1074"/>
    </row>
    <row r="196" spans="1:8" ht="12.75" customHeight="1" x14ac:dyDescent="0.2">
      <c r="A196" s="1370"/>
      <c r="B196" s="919"/>
      <c r="C196" s="1325" t="s">
        <v>1671</v>
      </c>
      <c r="D196" s="2437" t="s">
        <v>1672</v>
      </c>
      <c r="E196" s="314"/>
      <c r="F196" s="316">
        <v>5</v>
      </c>
      <c r="G196" s="316">
        <v>5</v>
      </c>
      <c r="H196" s="1074">
        <f t="shared" si="8"/>
        <v>100</v>
      </c>
    </row>
    <row r="197" spans="1:8" ht="12.75" customHeight="1" x14ac:dyDescent="0.2">
      <c r="A197" s="1370"/>
      <c r="B197" s="919"/>
      <c r="C197" s="1068" t="s">
        <v>1927</v>
      </c>
      <c r="D197" s="2438" t="s">
        <v>1928</v>
      </c>
      <c r="E197" s="314"/>
      <c r="F197" s="316">
        <v>200</v>
      </c>
      <c r="G197" s="316">
        <v>200</v>
      </c>
      <c r="H197" s="1074">
        <f t="shared" si="8"/>
        <v>100</v>
      </c>
    </row>
    <row r="198" spans="1:8" ht="12.75" customHeight="1" x14ac:dyDescent="0.2">
      <c r="A198" s="1370"/>
      <c r="B198" s="919"/>
      <c r="C198" s="1068" t="s">
        <v>1929</v>
      </c>
      <c r="D198" s="2663" t="s">
        <v>1930</v>
      </c>
      <c r="E198" s="314"/>
      <c r="F198" s="316">
        <v>46</v>
      </c>
      <c r="G198" s="316">
        <v>46</v>
      </c>
      <c r="H198" s="1074">
        <f t="shared" si="8"/>
        <v>100</v>
      </c>
    </row>
    <row r="199" spans="1:8" ht="12.75" customHeight="1" x14ac:dyDescent="0.2">
      <c r="A199" s="1370"/>
      <c r="B199" s="919"/>
      <c r="C199" s="1068"/>
      <c r="D199" s="2663"/>
      <c r="E199" s="314"/>
      <c r="F199" s="316"/>
      <c r="G199" s="316"/>
      <c r="H199" s="1074"/>
    </row>
    <row r="200" spans="1:8" x14ac:dyDescent="0.2">
      <c r="A200" s="1370"/>
      <c r="B200" s="919"/>
      <c r="C200" s="1069" t="s">
        <v>1124</v>
      </c>
      <c r="D200" s="1440" t="s">
        <v>26</v>
      </c>
      <c r="E200" s="314"/>
      <c r="F200" s="316">
        <v>1913429</v>
      </c>
      <c r="G200" s="316">
        <v>1913429</v>
      </c>
      <c r="H200" s="1074">
        <f t="shared" si="8"/>
        <v>100</v>
      </c>
    </row>
    <row r="201" spans="1:8" ht="25.5" x14ac:dyDescent="0.2">
      <c r="A201" s="1370"/>
      <c r="B201" s="919"/>
      <c r="C201" s="1325" t="s">
        <v>799</v>
      </c>
      <c r="D201" s="2437" t="s">
        <v>929</v>
      </c>
      <c r="E201" s="314"/>
      <c r="F201" s="1327">
        <v>751</v>
      </c>
      <c r="G201" s="1327">
        <v>751</v>
      </c>
      <c r="H201" s="1344">
        <f t="shared" si="8"/>
        <v>100</v>
      </c>
    </row>
    <row r="202" spans="1:8" ht="15" thickBot="1" x14ac:dyDescent="0.25">
      <c r="A202" s="2430"/>
      <c r="B202" s="2431"/>
      <c r="C202" s="2444" t="s">
        <v>695</v>
      </c>
      <c r="D202" s="2445" t="s">
        <v>934</v>
      </c>
      <c r="E202" s="440"/>
      <c r="F202" s="441">
        <v>1558</v>
      </c>
      <c r="G202" s="441">
        <v>1558</v>
      </c>
      <c r="H202" s="1096">
        <f t="shared" si="8"/>
        <v>100</v>
      </c>
    </row>
    <row r="203" spans="1:8" ht="15" thickTop="1" x14ac:dyDescent="0.2">
      <c r="A203" s="746"/>
      <c r="B203" s="2446"/>
      <c r="C203" s="1379"/>
      <c r="D203" s="2447"/>
      <c r="E203" s="314"/>
      <c r="F203" s="314"/>
      <c r="G203" s="314"/>
      <c r="H203" s="2194"/>
    </row>
    <row r="204" spans="1:8" x14ac:dyDescent="0.2">
      <c r="A204" s="746"/>
      <c r="B204" s="2446"/>
      <c r="C204" s="1379"/>
      <c r="D204" s="2447"/>
      <c r="E204" s="314"/>
      <c r="F204" s="314"/>
      <c r="G204" s="314"/>
      <c r="H204" s="2194"/>
    </row>
    <row r="205" spans="1:8" x14ac:dyDescent="0.2">
      <c r="A205" s="746"/>
      <c r="B205" s="2446"/>
      <c r="C205" s="1379"/>
      <c r="D205" s="2447"/>
      <c r="E205" s="314"/>
      <c r="F205" s="314"/>
      <c r="G205" s="314"/>
      <c r="H205" s="2194"/>
    </row>
    <row r="206" spans="1:8" x14ac:dyDescent="0.2">
      <c r="A206" s="746"/>
      <c r="B206" s="2446"/>
      <c r="C206" s="1379"/>
      <c r="D206" s="2447"/>
      <c r="E206" s="314"/>
      <c r="F206" s="314"/>
      <c r="G206" s="314"/>
      <c r="H206" s="2194"/>
    </row>
    <row r="207" spans="1:8" ht="16.5" thickBot="1" x14ac:dyDescent="0.3">
      <c r="A207" s="98"/>
      <c r="C207" s="918"/>
      <c r="D207" s="719"/>
      <c r="E207" s="678"/>
      <c r="F207" s="773"/>
      <c r="G207" s="678"/>
      <c r="H207" s="1735" t="s">
        <v>161</v>
      </c>
    </row>
    <row r="208" spans="1:8" s="107" customFormat="1" ht="20.25" customHeight="1" thickTop="1" thickBot="1" x14ac:dyDescent="0.25">
      <c r="A208" s="631" t="s">
        <v>162</v>
      </c>
      <c r="B208" s="632" t="s">
        <v>163</v>
      </c>
      <c r="C208" s="670" t="s">
        <v>705</v>
      </c>
      <c r="D208" s="774" t="s">
        <v>164</v>
      </c>
      <c r="E208" s="634" t="s">
        <v>165</v>
      </c>
      <c r="F208" s="634" t="s">
        <v>881</v>
      </c>
      <c r="G208" s="634" t="s">
        <v>882</v>
      </c>
      <c r="H208" s="635" t="s">
        <v>883</v>
      </c>
    </row>
    <row r="209" spans="1:12" s="383" customFormat="1" ht="13.5" thickTop="1" thickBot="1" x14ac:dyDescent="0.25">
      <c r="A209" s="566">
        <v>1</v>
      </c>
      <c r="B209" s="567">
        <v>2</v>
      </c>
      <c r="C209" s="567">
        <v>3</v>
      </c>
      <c r="D209" s="567">
        <v>4</v>
      </c>
      <c r="E209" s="567">
        <v>5</v>
      </c>
      <c r="F209" s="541">
        <v>6</v>
      </c>
      <c r="G209" s="541">
        <v>7</v>
      </c>
      <c r="H209" s="636" t="s">
        <v>61</v>
      </c>
      <c r="I209" s="107"/>
    </row>
    <row r="210" spans="1:12" ht="15" thickTop="1" x14ac:dyDescent="0.2">
      <c r="A210" s="1370"/>
      <c r="B210" s="919"/>
      <c r="C210" s="1325" t="s">
        <v>931</v>
      </c>
      <c r="D210" s="1796" t="s">
        <v>932</v>
      </c>
      <c r="E210" s="314"/>
      <c r="F210" s="316">
        <v>29</v>
      </c>
      <c r="G210" s="356">
        <v>29</v>
      </c>
      <c r="H210" s="1074">
        <f t="shared" si="8"/>
        <v>100</v>
      </c>
    </row>
    <row r="211" spans="1:12" x14ac:dyDescent="0.2">
      <c r="A211" s="1370"/>
      <c r="B211" s="919"/>
      <c r="C211" s="1379" t="s">
        <v>696</v>
      </c>
      <c r="D211" s="1518" t="s">
        <v>934</v>
      </c>
      <c r="E211" s="314"/>
      <c r="F211" s="316">
        <v>8826</v>
      </c>
      <c r="G211" s="356">
        <v>8826</v>
      </c>
      <c r="H211" s="1074">
        <f t="shared" si="8"/>
        <v>100</v>
      </c>
    </row>
    <row r="212" spans="1:12" x14ac:dyDescent="0.2">
      <c r="A212" s="1370"/>
      <c r="B212" s="919"/>
      <c r="C212" s="1068" t="s">
        <v>933</v>
      </c>
      <c r="D212" s="1796" t="s">
        <v>932</v>
      </c>
      <c r="E212" s="314"/>
      <c r="F212" s="316">
        <v>165</v>
      </c>
      <c r="G212" s="356">
        <v>165</v>
      </c>
      <c r="H212" s="1074">
        <f t="shared" si="8"/>
        <v>100</v>
      </c>
    </row>
    <row r="213" spans="1:12" s="1056" customFormat="1" x14ac:dyDescent="0.2">
      <c r="A213" s="50"/>
      <c r="B213" s="31"/>
      <c r="C213" s="1068" t="s">
        <v>1355</v>
      </c>
      <c r="D213" s="1790" t="s">
        <v>1506</v>
      </c>
      <c r="E213" s="1362"/>
      <c r="F213" s="1327">
        <v>168</v>
      </c>
      <c r="G213" s="1327">
        <v>168</v>
      </c>
      <c r="H213" s="1344">
        <f>(G213/F213)*100</f>
        <v>100</v>
      </c>
      <c r="I213" s="1168"/>
      <c r="K213" s="1272"/>
    </row>
    <row r="214" spans="1:12" s="1056" customFormat="1" ht="15" thickBot="1" x14ac:dyDescent="0.25">
      <c r="A214" s="50"/>
      <c r="B214" s="31"/>
      <c r="C214" s="1068" t="s">
        <v>1357</v>
      </c>
      <c r="D214" s="1790" t="s">
        <v>1506</v>
      </c>
      <c r="E214" s="1362"/>
      <c r="F214" s="1327">
        <v>951</v>
      </c>
      <c r="G214" s="1327">
        <v>951</v>
      </c>
      <c r="H214" s="1344">
        <f>(G214/F214)*100</f>
        <v>100</v>
      </c>
      <c r="I214" s="1168"/>
      <c r="K214" s="1272"/>
    </row>
    <row r="215" spans="1:12" s="360" customFormat="1" ht="35.25" customHeight="1" thickTop="1" thickBot="1" x14ac:dyDescent="0.3">
      <c r="A215" s="637" t="s">
        <v>186</v>
      </c>
      <c r="B215" s="638"/>
      <c r="C215" s="675"/>
      <c r="D215" s="640"/>
      <c r="E215" s="641">
        <f>E147+E145+E140</f>
        <v>397234</v>
      </c>
      <c r="F215" s="641">
        <f>F140+F145+F147+F163</f>
        <v>2360471</v>
      </c>
      <c r="G215" s="641">
        <f>G140+G145+G147+G163</f>
        <v>2360463</v>
      </c>
      <c r="H215" s="656">
        <f>(G215/F215)*100</f>
        <v>99.999661084588638</v>
      </c>
      <c r="J215" s="1450"/>
      <c r="K215" s="1450"/>
      <c r="L215" s="951"/>
    </row>
    <row r="216" spans="1:12" s="360" customFormat="1" ht="20.25" customHeight="1" thickTop="1" x14ac:dyDescent="0.25">
      <c r="A216" s="358"/>
      <c r="B216" s="359"/>
      <c r="C216" s="142"/>
      <c r="D216" s="359"/>
      <c r="E216" s="17"/>
      <c r="F216" s="17"/>
      <c r="G216" s="17"/>
      <c r="H216" s="921"/>
      <c r="J216" s="1450"/>
      <c r="K216" s="1450"/>
      <c r="L216" s="693"/>
    </row>
    <row r="217" spans="1:12" s="360" customFormat="1" ht="20.25" customHeight="1" x14ac:dyDescent="0.25">
      <c r="A217" s="358"/>
      <c r="B217" s="359"/>
      <c r="C217" s="142"/>
      <c r="D217" s="359"/>
      <c r="E217" s="17"/>
      <c r="F217" s="17"/>
      <c r="G217" s="17"/>
      <c r="H217" s="921"/>
      <c r="J217" s="1450"/>
      <c r="K217" s="1450"/>
      <c r="L217" s="693"/>
    </row>
    <row r="218" spans="1:12" s="360" customFormat="1" ht="20.25" customHeight="1" x14ac:dyDescent="0.25">
      <c r="A218" s="358"/>
      <c r="B218" s="359"/>
      <c r="C218" s="142"/>
      <c r="D218" s="359"/>
      <c r="E218" s="17"/>
      <c r="F218" s="17"/>
      <c r="G218" s="17"/>
      <c r="H218" s="921"/>
      <c r="J218" s="1450"/>
      <c r="K218" s="1450"/>
      <c r="L218" s="693"/>
    </row>
    <row r="219" spans="1:12" ht="15.75" x14ac:dyDescent="0.25">
      <c r="A219" s="98" t="s">
        <v>628</v>
      </c>
    </row>
    <row r="220" spans="1:12" ht="14.25" customHeight="1" thickBot="1" x14ac:dyDescent="0.3">
      <c r="A220" s="33"/>
      <c r="C220" s="918"/>
      <c r="D220" s="719"/>
      <c r="E220" s="678"/>
      <c r="F220" s="773"/>
      <c r="G220" s="678"/>
      <c r="H220" s="1735" t="s">
        <v>161</v>
      </c>
    </row>
    <row r="221" spans="1:12" s="107" customFormat="1" ht="20.25" customHeight="1" thickTop="1" thickBot="1" x14ac:dyDescent="0.25">
      <c r="A221" s="631" t="s">
        <v>162</v>
      </c>
      <c r="B221" s="632" t="s">
        <v>163</v>
      </c>
      <c r="C221" s="670" t="s">
        <v>705</v>
      </c>
      <c r="D221" s="774" t="s">
        <v>164</v>
      </c>
      <c r="E221" s="634" t="s">
        <v>165</v>
      </c>
      <c r="F221" s="634" t="s">
        <v>881</v>
      </c>
      <c r="G221" s="634" t="s">
        <v>882</v>
      </c>
      <c r="H221" s="635" t="s">
        <v>883</v>
      </c>
    </row>
    <row r="222" spans="1:12" s="383" customFormat="1" ht="13.5" thickTop="1" thickBot="1" x14ac:dyDescent="0.25">
      <c r="A222" s="566">
        <v>1</v>
      </c>
      <c r="B222" s="567">
        <v>2</v>
      </c>
      <c r="C222" s="567">
        <v>3</v>
      </c>
      <c r="D222" s="567">
        <v>4</v>
      </c>
      <c r="E222" s="567">
        <v>5</v>
      </c>
      <c r="F222" s="541">
        <v>6</v>
      </c>
      <c r="G222" s="541">
        <v>7</v>
      </c>
      <c r="H222" s="636" t="s">
        <v>61</v>
      </c>
      <c r="I222" s="107"/>
    </row>
    <row r="223" spans="1:12" s="1056" customFormat="1" ht="15.75" thickTop="1" x14ac:dyDescent="0.25">
      <c r="A223" s="222"/>
      <c r="B223" s="241">
        <v>6351</v>
      </c>
      <c r="C223" s="1378"/>
      <c r="D223" s="1366" t="s">
        <v>620</v>
      </c>
      <c r="E223" s="233">
        <v>0</v>
      </c>
      <c r="F223" s="370">
        <f>SUM(F224:F227)</f>
        <v>17069</v>
      </c>
      <c r="G223" s="370">
        <f>SUM(G224:G227)</f>
        <v>17023</v>
      </c>
      <c r="H223" s="1330">
        <f t="shared" ref="H223:H228" si="9">(G223/F223)*100</f>
        <v>99.730505594938194</v>
      </c>
    </row>
    <row r="224" spans="1:12" s="1056" customFormat="1" ht="15" x14ac:dyDescent="0.25">
      <c r="A224" s="50"/>
      <c r="B224" s="1278"/>
      <c r="C224" s="1059" t="s">
        <v>184</v>
      </c>
      <c r="D224" s="117" t="s">
        <v>712</v>
      </c>
      <c r="E224" s="94"/>
      <c r="F224" s="316">
        <v>898</v>
      </c>
      <c r="G224" s="316">
        <v>898</v>
      </c>
      <c r="H224" s="1065">
        <f t="shared" si="9"/>
        <v>100</v>
      </c>
    </row>
    <row r="225" spans="1:21" s="1056" customFormat="1" ht="15" x14ac:dyDescent="0.25">
      <c r="A225" s="50"/>
      <c r="B225" s="1278"/>
      <c r="C225" s="1069" t="s">
        <v>22</v>
      </c>
      <c r="D225" s="91" t="s">
        <v>1203</v>
      </c>
      <c r="E225" s="94"/>
      <c r="F225" s="316">
        <v>1150</v>
      </c>
      <c r="G225" s="316">
        <v>1150</v>
      </c>
      <c r="H225" s="1065">
        <f t="shared" si="9"/>
        <v>100</v>
      </c>
    </row>
    <row r="226" spans="1:21" s="1056" customFormat="1" ht="15" x14ac:dyDescent="0.25">
      <c r="A226" s="50"/>
      <c r="B226" s="1278"/>
      <c r="C226" s="1059" t="s">
        <v>1875</v>
      </c>
      <c r="D226" s="117" t="s">
        <v>1874</v>
      </c>
      <c r="E226" s="94"/>
      <c r="F226" s="316">
        <v>8132</v>
      </c>
      <c r="G226" s="316">
        <v>8086</v>
      </c>
      <c r="H226" s="1065">
        <f t="shared" si="9"/>
        <v>99.434333497294631</v>
      </c>
    </row>
    <row r="227" spans="1:21" s="1056" customFormat="1" ht="15" thickBot="1" x14ac:dyDescent="0.25">
      <c r="A227" s="50"/>
      <c r="B227" s="1278"/>
      <c r="C227" s="1069" t="s">
        <v>1183</v>
      </c>
      <c r="D227" s="91" t="s">
        <v>1931</v>
      </c>
      <c r="E227" s="1281"/>
      <c r="F227" s="316">
        <v>6889</v>
      </c>
      <c r="G227" s="316">
        <v>6889</v>
      </c>
      <c r="H227" s="1065">
        <f t="shared" si="9"/>
        <v>100</v>
      </c>
    </row>
    <row r="228" spans="1:21" s="360" customFormat="1" ht="35.25" customHeight="1" thickTop="1" thickBot="1" x14ac:dyDescent="0.3">
      <c r="A228" s="637" t="s">
        <v>629</v>
      </c>
      <c r="B228" s="638"/>
      <c r="C228" s="675"/>
      <c r="D228" s="640"/>
      <c r="E228" s="641">
        <f>E223</f>
        <v>0</v>
      </c>
      <c r="F228" s="1380">
        <f>F223</f>
        <v>17069</v>
      </c>
      <c r="G228" s="1380">
        <f>G223</f>
        <v>17023</v>
      </c>
      <c r="H228" s="656">
        <f t="shared" si="9"/>
        <v>99.730505594938194</v>
      </c>
      <c r="J228" s="1449">
        <f>E228+E215</f>
        <v>397234</v>
      </c>
      <c r="K228" s="1449">
        <f>F228+F215</f>
        <v>2377540</v>
      </c>
      <c r="L228" s="1449">
        <f>G228+G215</f>
        <v>2377486</v>
      </c>
      <c r="M228" s="1279"/>
    </row>
    <row r="229" spans="1:21" ht="15" thickTop="1" x14ac:dyDescent="0.2">
      <c r="J229" s="382"/>
      <c r="K229" s="382"/>
      <c r="L229" s="382"/>
    </row>
    <row r="233" spans="1:21" ht="15.75" x14ac:dyDescent="0.25">
      <c r="A233" s="98" t="s">
        <v>627</v>
      </c>
    </row>
    <row r="234" spans="1:21" ht="16.5" thickBot="1" x14ac:dyDescent="0.3">
      <c r="A234" s="98"/>
      <c r="C234" s="918"/>
      <c r="D234" s="719"/>
      <c r="E234" s="678"/>
      <c r="F234" s="773"/>
      <c r="G234" s="678"/>
      <c r="H234" s="1735" t="s">
        <v>161</v>
      </c>
    </row>
    <row r="235" spans="1:21" s="107" customFormat="1" ht="20.25" customHeight="1" thickTop="1" thickBot="1" x14ac:dyDescent="0.25">
      <c r="A235" s="631" t="s">
        <v>162</v>
      </c>
      <c r="B235" s="632" t="s">
        <v>163</v>
      </c>
      <c r="C235" s="670" t="s">
        <v>705</v>
      </c>
      <c r="D235" s="774" t="s">
        <v>164</v>
      </c>
      <c r="E235" s="634" t="s">
        <v>165</v>
      </c>
      <c r="F235" s="634" t="s">
        <v>881</v>
      </c>
      <c r="G235" s="634" t="s">
        <v>882</v>
      </c>
      <c r="H235" s="635" t="s">
        <v>883</v>
      </c>
    </row>
    <row r="236" spans="1:21" s="383" customFormat="1" ht="13.5" thickTop="1" thickBot="1" x14ac:dyDescent="0.25">
      <c r="A236" s="566">
        <v>1</v>
      </c>
      <c r="B236" s="567">
        <v>2</v>
      </c>
      <c r="C236" s="567">
        <v>3</v>
      </c>
      <c r="D236" s="567">
        <v>4</v>
      </c>
      <c r="E236" s="567">
        <v>5</v>
      </c>
      <c r="F236" s="541">
        <v>6</v>
      </c>
      <c r="G236" s="541">
        <v>7</v>
      </c>
      <c r="H236" s="636" t="s">
        <v>61</v>
      </c>
      <c r="I236" s="107"/>
    </row>
    <row r="237" spans="1:21" s="383" customFormat="1" ht="15.75" thickTop="1" x14ac:dyDescent="0.25">
      <c r="A237" s="50"/>
      <c r="B237" s="19">
        <v>5212</v>
      </c>
      <c r="C237" s="1375"/>
      <c r="D237" s="792" t="s">
        <v>674</v>
      </c>
      <c r="E237" s="1310"/>
      <c r="F237" s="412">
        <v>3890</v>
      </c>
      <c r="G237" s="412">
        <v>3890</v>
      </c>
      <c r="H237" s="1330">
        <f>(G237/F237)*100</f>
        <v>100</v>
      </c>
      <c r="I237" s="107"/>
    </row>
    <row r="238" spans="1:21" s="383" customFormat="1" x14ac:dyDescent="0.2">
      <c r="A238" s="1785"/>
      <c r="B238" s="1310"/>
      <c r="C238" s="1059" t="s">
        <v>1130</v>
      </c>
      <c r="D238" s="1274" t="s">
        <v>380</v>
      </c>
      <c r="E238" s="1310"/>
      <c r="F238" s="1387">
        <v>3890</v>
      </c>
      <c r="G238" s="1387">
        <v>3890</v>
      </c>
      <c r="H238" s="1074">
        <f>(G238/F238)*100</f>
        <v>100</v>
      </c>
      <c r="I238" s="107"/>
    </row>
    <row r="239" spans="1:21" s="1056" customFormat="1" ht="15" x14ac:dyDescent="0.25">
      <c r="A239" s="50"/>
      <c r="B239" s="31">
        <v>5213</v>
      </c>
      <c r="C239" s="1357"/>
      <c r="D239" s="1156" t="s">
        <v>328</v>
      </c>
      <c r="E239" s="71"/>
      <c r="F239" s="315">
        <f>F241+F242+F243+F244+F247+F248+F249+F246+F250+F251+F252</f>
        <v>161798</v>
      </c>
      <c r="G239" s="315">
        <f>G241+G242+G243+G244+G247+G248+G249+G246+G250+G251+G252</f>
        <v>161755</v>
      </c>
      <c r="H239" s="1073">
        <f>(G239/F239)*100</f>
        <v>99.973423651713873</v>
      </c>
      <c r="I239" s="24"/>
      <c r="J239" s="4"/>
      <c r="K239" s="4"/>
      <c r="L239" s="24"/>
      <c r="M239" s="24"/>
      <c r="N239" s="24"/>
      <c r="O239" s="24"/>
      <c r="P239" s="24"/>
      <c r="Q239" s="24"/>
      <c r="R239" s="24"/>
      <c r="S239" s="24"/>
      <c r="T239" s="24"/>
      <c r="U239" s="24"/>
    </row>
    <row r="240" spans="1:21" s="1056" customFormat="1" ht="15" x14ac:dyDescent="0.25">
      <c r="A240" s="50"/>
      <c r="B240" s="91"/>
      <c r="C240" s="1787"/>
      <c r="D240" s="1339" t="s">
        <v>379</v>
      </c>
      <c r="E240" s="71"/>
      <c r="F240" s="998"/>
      <c r="G240" s="316"/>
      <c r="H240" s="1074"/>
    </row>
    <row r="241" spans="1:21" s="1056" customFormat="1" ht="15" x14ac:dyDescent="0.25">
      <c r="A241" s="50"/>
      <c r="B241" s="19"/>
      <c r="C241" s="1084" t="s">
        <v>1202</v>
      </c>
      <c r="D241" s="1631" t="s">
        <v>1635</v>
      </c>
      <c r="E241" s="71"/>
      <c r="F241" s="314">
        <v>25</v>
      </c>
      <c r="G241" s="316">
        <v>25</v>
      </c>
      <c r="H241" s="1074">
        <f t="shared" ref="H241:H253" si="10">(G241/F241)*100</f>
        <v>100</v>
      </c>
    </row>
    <row r="242" spans="1:21" s="1056" customFormat="1" ht="15" x14ac:dyDescent="0.25">
      <c r="A242" s="50"/>
      <c r="B242" s="19"/>
      <c r="C242" s="1069" t="s">
        <v>924</v>
      </c>
      <c r="D242" s="1125" t="s">
        <v>925</v>
      </c>
      <c r="E242" s="71"/>
      <c r="F242" s="314">
        <v>224</v>
      </c>
      <c r="G242" s="316">
        <v>224</v>
      </c>
      <c r="H242" s="1074">
        <f t="shared" si="10"/>
        <v>100</v>
      </c>
    </row>
    <row r="243" spans="1:21" s="1056" customFormat="1" ht="15" x14ac:dyDescent="0.25">
      <c r="A243" s="50"/>
      <c r="B243" s="19"/>
      <c r="C243" s="1069" t="s">
        <v>937</v>
      </c>
      <c r="D243" s="1125" t="s">
        <v>1900</v>
      </c>
      <c r="E243" s="71"/>
      <c r="F243" s="314">
        <v>5</v>
      </c>
      <c r="G243" s="316">
        <v>5</v>
      </c>
      <c r="H243" s="1074">
        <f t="shared" si="10"/>
        <v>100</v>
      </c>
    </row>
    <row r="244" spans="1:21" s="1056" customFormat="1" ht="15" x14ac:dyDescent="0.25">
      <c r="A244" s="50"/>
      <c r="B244" s="19"/>
      <c r="C244" s="1069" t="s">
        <v>926</v>
      </c>
      <c r="D244" s="2636" t="s">
        <v>1901</v>
      </c>
      <c r="E244" s="71"/>
      <c r="F244" s="314">
        <v>6</v>
      </c>
      <c r="G244" s="316">
        <v>6</v>
      </c>
      <c r="H244" s="1074">
        <f t="shared" si="10"/>
        <v>100</v>
      </c>
    </row>
    <row r="245" spans="1:21" s="1056" customFormat="1" ht="15" x14ac:dyDescent="0.25">
      <c r="A245" s="50"/>
      <c r="B245" s="19"/>
      <c r="C245" s="1069"/>
      <c r="D245" s="2633"/>
      <c r="E245" s="71"/>
      <c r="F245" s="314"/>
      <c r="G245" s="316"/>
      <c r="H245" s="1074"/>
    </row>
    <row r="246" spans="1:21" s="1056" customFormat="1" ht="15" x14ac:dyDescent="0.25">
      <c r="A246" s="50"/>
      <c r="B246" s="91"/>
      <c r="C246" s="1068" t="s">
        <v>1504</v>
      </c>
      <c r="D246" s="1795" t="s">
        <v>1503</v>
      </c>
      <c r="E246" s="71"/>
      <c r="F246" s="998">
        <v>4</v>
      </c>
      <c r="G246" s="316">
        <v>4</v>
      </c>
      <c r="H246" s="1074">
        <f t="shared" si="10"/>
        <v>100</v>
      </c>
      <c r="I246" s="1090"/>
    </row>
    <row r="247" spans="1:21" s="1056" customFormat="1" ht="15" x14ac:dyDescent="0.25">
      <c r="A247" s="50"/>
      <c r="B247" s="91"/>
      <c r="C247" s="1068" t="s">
        <v>1667</v>
      </c>
      <c r="D247" s="2426" t="s">
        <v>1902</v>
      </c>
      <c r="E247" s="71"/>
      <c r="F247" s="998">
        <v>24</v>
      </c>
      <c r="G247" s="316">
        <v>24</v>
      </c>
      <c r="H247" s="1074">
        <f t="shared" si="10"/>
        <v>100</v>
      </c>
      <c r="I247" s="1090"/>
    </row>
    <row r="248" spans="1:21" s="1056" customFormat="1" ht="15" x14ac:dyDescent="0.25">
      <c r="A248" s="50"/>
      <c r="B248" s="91"/>
      <c r="C248" s="1068" t="s">
        <v>1903</v>
      </c>
      <c r="D248" s="2426" t="s">
        <v>1904</v>
      </c>
      <c r="E248" s="71"/>
      <c r="F248" s="998">
        <v>5</v>
      </c>
      <c r="G248" s="316">
        <v>5</v>
      </c>
      <c r="H248" s="1074">
        <f t="shared" si="10"/>
        <v>100</v>
      </c>
      <c r="I248" s="1090"/>
    </row>
    <row r="249" spans="1:21" s="1056" customFormat="1" ht="15" x14ac:dyDescent="0.25">
      <c r="A249" s="50"/>
      <c r="B249" s="91"/>
      <c r="C249" s="1068" t="s">
        <v>1905</v>
      </c>
      <c r="D249" s="2426" t="s">
        <v>1906</v>
      </c>
      <c r="E249" s="71"/>
      <c r="F249" s="998">
        <v>449</v>
      </c>
      <c r="G249" s="316">
        <v>449</v>
      </c>
      <c r="H249" s="1074">
        <f t="shared" si="10"/>
        <v>100</v>
      </c>
      <c r="I249" s="1090"/>
    </row>
    <row r="250" spans="1:21" s="1056" customFormat="1" ht="15" x14ac:dyDescent="0.25">
      <c r="A250" s="1376"/>
      <c r="B250" s="19"/>
      <c r="C250" s="1069" t="s">
        <v>1130</v>
      </c>
      <c r="D250" s="1786" t="s">
        <v>380</v>
      </c>
      <c r="E250" s="71"/>
      <c r="F250" s="314">
        <v>159059</v>
      </c>
      <c r="G250" s="316">
        <v>159016</v>
      </c>
      <c r="H250" s="1074">
        <f t="shared" si="10"/>
        <v>99.972966006324697</v>
      </c>
    </row>
    <row r="251" spans="1:21" s="1056" customFormat="1" ht="25.5" x14ac:dyDescent="0.25">
      <c r="A251" s="1376"/>
      <c r="B251" s="19"/>
      <c r="C251" s="1068" t="s">
        <v>381</v>
      </c>
      <c r="D251" s="2438" t="s">
        <v>935</v>
      </c>
      <c r="E251" s="71"/>
      <c r="F251" s="1328">
        <v>1889</v>
      </c>
      <c r="G251" s="1327">
        <v>1889</v>
      </c>
      <c r="H251" s="1344">
        <f t="shared" si="10"/>
        <v>100</v>
      </c>
    </row>
    <row r="252" spans="1:21" s="1056" customFormat="1" ht="25.5" x14ac:dyDescent="0.25">
      <c r="A252" s="1376"/>
      <c r="B252" s="19"/>
      <c r="C252" s="1325" t="s">
        <v>799</v>
      </c>
      <c r="D252" s="2437" t="s">
        <v>929</v>
      </c>
      <c r="E252" s="71"/>
      <c r="F252" s="1328">
        <v>108</v>
      </c>
      <c r="G252" s="1327">
        <v>108</v>
      </c>
      <c r="H252" s="1344">
        <f t="shared" si="10"/>
        <v>100</v>
      </c>
    </row>
    <row r="253" spans="1:21" s="1056" customFormat="1" ht="15" x14ac:dyDescent="0.25">
      <c r="A253" s="50"/>
      <c r="B253" s="31">
        <v>5221</v>
      </c>
      <c r="C253" s="1788"/>
      <c r="D253" s="1339" t="s">
        <v>578</v>
      </c>
      <c r="E253" s="71"/>
      <c r="F253" s="315">
        <f>F256+F258+F259+F255+F257</f>
        <v>65129</v>
      </c>
      <c r="G253" s="315">
        <f>G256+G258+G259+G255+G257</f>
        <v>65129</v>
      </c>
      <c r="H253" s="1073">
        <f t="shared" si="10"/>
        <v>100</v>
      </c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</row>
    <row r="254" spans="1:21" s="1056" customFormat="1" ht="14.25" customHeight="1" x14ac:dyDescent="0.25">
      <c r="A254" s="50"/>
      <c r="B254" s="91"/>
      <c r="C254" s="1787"/>
      <c r="D254" s="1339" t="s">
        <v>379</v>
      </c>
      <c r="E254" s="71"/>
      <c r="F254" s="998"/>
      <c r="G254" s="316"/>
      <c r="H254" s="1074"/>
    </row>
    <row r="255" spans="1:21" s="1056" customFormat="1" ht="14.25" customHeight="1" x14ac:dyDescent="0.25">
      <c r="A255" s="50"/>
      <c r="B255" s="91"/>
      <c r="C255" s="1068" t="s">
        <v>1319</v>
      </c>
      <c r="D255" s="1440" t="s">
        <v>1907</v>
      </c>
      <c r="E255" s="71"/>
      <c r="F255" s="998">
        <v>10</v>
      </c>
      <c r="G255" s="316">
        <v>10</v>
      </c>
      <c r="H255" s="1344">
        <f t="shared" ref="H255:H260" si="11">(G255/F255)*100</f>
        <v>100</v>
      </c>
    </row>
    <row r="256" spans="1:21" s="1056" customFormat="1" ht="14.25" customHeight="1" x14ac:dyDescent="0.25">
      <c r="A256" s="50"/>
      <c r="B256" s="91"/>
      <c r="C256" s="1068" t="s">
        <v>926</v>
      </c>
      <c r="D256" s="1791" t="s">
        <v>579</v>
      </c>
      <c r="E256" s="71"/>
      <c r="F256" s="998">
        <v>38</v>
      </c>
      <c r="G256" s="316">
        <v>38</v>
      </c>
      <c r="H256" s="1344">
        <f t="shared" si="11"/>
        <v>100</v>
      </c>
    </row>
    <row r="257" spans="1:21" s="1056" customFormat="1" ht="14.25" customHeight="1" x14ac:dyDescent="0.25">
      <c r="A257" s="50"/>
      <c r="B257" s="91"/>
      <c r="C257" s="1068" t="s">
        <v>1903</v>
      </c>
      <c r="D257" s="2426" t="s">
        <v>1904</v>
      </c>
      <c r="E257" s="71"/>
      <c r="F257" s="998">
        <v>5</v>
      </c>
      <c r="G257" s="316">
        <v>5</v>
      </c>
      <c r="H257" s="1344">
        <f t="shared" si="11"/>
        <v>100</v>
      </c>
    </row>
    <row r="258" spans="1:21" s="1056" customFormat="1" ht="15" x14ac:dyDescent="0.25">
      <c r="A258" s="50"/>
      <c r="B258" s="1275"/>
      <c r="C258" s="1069" t="s">
        <v>1130</v>
      </c>
      <c r="D258" s="1786" t="s">
        <v>382</v>
      </c>
      <c r="E258" s="71"/>
      <c r="F258" s="314">
        <v>61630</v>
      </c>
      <c r="G258" s="356">
        <v>61630</v>
      </c>
      <c r="H258" s="1074">
        <f t="shared" si="11"/>
        <v>100</v>
      </c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</row>
    <row r="259" spans="1:21" s="1056" customFormat="1" ht="25.5" x14ac:dyDescent="0.25">
      <c r="A259" s="50"/>
      <c r="B259" s="1275"/>
      <c r="C259" s="1068" t="s">
        <v>381</v>
      </c>
      <c r="D259" s="2438" t="s">
        <v>935</v>
      </c>
      <c r="E259" s="71"/>
      <c r="F259" s="1328">
        <v>3446</v>
      </c>
      <c r="G259" s="1377">
        <v>3446</v>
      </c>
      <c r="H259" s="1344">
        <f t="shared" si="11"/>
        <v>100</v>
      </c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</row>
    <row r="260" spans="1:21" s="1056" customFormat="1" ht="15" x14ac:dyDescent="0.25">
      <c r="A260" s="50"/>
      <c r="B260" s="31">
        <v>5222</v>
      </c>
      <c r="C260" s="1788"/>
      <c r="D260" s="1339" t="s">
        <v>1131</v>
      </c>
      <c r="E260" s="71"/>
      <c r="F260" s="315">
        <f>F262+F263</f>
        <v>6735</v>
      </c>
      <c r="G260" s="315">
        <f>G262+G263</f>
        <v>6735</v>
      </c>
      <c r="H260" s="1073">
        <f t="shared" si="11"/>
        <v>100</v>
      </c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</row>
    <row r="261" spans="1:21" s="24" customFormat="1" ht="15" x14ac:dyDescent="0.25">
      <c r="A261" s="50"/>
      <c r="B261" s="91"/>
      <c r="C261" s="1787"/>
      <c r="D261" s="1339" t="s">
        <v>379</v>
      </c>
      <c r="E261" s="71"/>
      <c r="F261" s="998"/>
      <c r="G261" s="316"/>
      <c r="H261" s="1074"/>
      <c r="I261" s="1056"/>
      <c r="J261" s="1056"/>
      <c r="K261" s="1056"/>
      <c r="L261" s="1056"/>
      <c r="M261" s="1056"/>
      <c r="N261" s="1056"/>
      <c r="O261" s="1056"/>
      <c r="P261" s="1056"/>
      <c r="Q261" s="1056"/>
      <c r="R261" s="1056"/>
      <c r="S261" s="1056"/>
      <c r="T261" s="1056"/>
      <c r="U261" s="1056"/>
    </row>
    <row r="262" spans="1:21" s="24" customFormat="1" ht="15" x14ac:dyDescent="0.25">
      <c r="A262" s="50"/>
      <c r="B262" s="91"/>
      <c r="C262" s="1069" t="s">
        <v>1130</v>
      </c>
      <c r="D262" s="1786" t="s">
        <v>382</v>
      </c>
      <c r="E262" s="71"/>
      <c r="F262" s="998">
        <v>6242</v>
      </c>
      <c r="G262" s="316">
        <v>6242</v>
      </c>
      <c r="H262" s="1074">
        <f>(G262/F262)*100</f>
        <v>100</v>
      </c>
      <c r="I262" s="1056"/>
      <c r="J262" s="1056"/>
      <c r="K262" s="1056"/>
      <c r="L262" s="1056"/>
      <c r="M262" s="1056"/>
      <c r="N262" s="1056"/>
      <c r="O262" s="1056"/>
      <c r="P262" s="1056"/>
      <c r="Q262" s="1056"/>
      <c r="R262" s="1056"/>
      <c r="S262" s="1056"/>
      <c r="T262" s="1056"/>
      <c r="U262" s="1056"/>
    </row>
    <row r="263" spans="1:21" s="24" customFormat="1" ht="25.5" x14ac:dyDescent="0.25">
      <c r="A263" s="50"/>
      <c r="B263" s="91"/>
      <c r="C263" s="1068" t="s">
        <v>381</v>
      </c>
      <c r="D263" s="2438" t="s">
        <v>935</v>
      </c>
      <c r="E263" s="71"/>
      <c r="F263" s="2427">
        <v>493</v>
      </c>
      <c r="G263" s="1327">
        <v>493</v>
      </c>
      <c r="H263" s="1344">
        <f>(G263/F263)*100</f>
        <v>100</v>
      </c>
      <c r="I263" s="1056"/>
      <c r="J263" s="1056"/>
      <c r="K263" s="1056"/>
      <c r="L263" s="1056"/>
      <c r="M263" s="1056"/>
      <c r="N263" s="1056"/>
      <c r="O263" s="1056"/>
      <c r="P263" s="1056"/>
      <c r="Q263" s="1056"/>
      <c r="R263" s="1056"/>
      <c r="S263" s="1056"/>
      <c r="T263" s="1056"/>
      <c r="U263" s="1056"/>
    </row>
    <row r="264" spans="1:21" s="24" customFormat="1" ht="15" x14ac:dyDescent="0.25">
      <c r="A264" s="50"/>
      <c r="B264" s="91">
        <v>5493</v>
      </c>
      <c r="C264" s="1068"/>
      <c r="D264" s="1231" t="s">
        <v>692</v>
      </c>
      <c r="E264" s="71">
        <v>1500</v>
      </c>
      <c r="F264" s="2404">
        <v>887</v>
      </c>
      <c r="G264" s="447">
        <v>863</v>
      </c>
      <c r="H264" s="1073">
        <f t="shared" ref="H264:H265" si="12">(G264/F264)*100</f>
        <v>97.294250281848932</v>
      </c>
      <c r="I264" s="1056"/>
      <c r="J264" s="1056"/>
      <c r="K264" s="1056"/>
      <c r="L264" s="1056"/>
      <c r="M264" s="1056"/>
      <c r="N264" s="1056"/>
      <c r="O264" s="1056"/>
      <c r="P264" s="1056"/>
      <c r="Q264" s="1056"/>
      <c r="R264" s="1056"/>
      <c r="S264" s="1056"/>
      <c r="T264" s="1056"/>
      <c r="U264" s="1056"/>
    </row>
    <row r="265" spans="1:21" s="24" customFormat="1" ht="15" thickBot="1" x14ac:dyDescent="0.25">
      <c r="A265" s="1076"/>
      <c r="B265" s="1368"/>
      <c r="C265" s="1187" t="s">
        <v>324</v>
      </c>
      <c r="D265" s="1752" t="s">
        <v>1908</v>
      </c>
      <c r="E265" s="1099">
        <v>1500</v>
      </c>
      <c r="F265" s="1789">
        <v>887</v>
      </c>
      <c r="G265" s="1383">
        <v>863</v>
      </c>
      <c r="H265" s="2428">
        <f t="shared" si="12"/>
        <v>97.294250281848932</v>
      </c>
      <c r="I265" s="1056"/>
      <c r="J265" s="1056"/>
      <c r="K265" s="1056"/>
      <c r="L265" s="1056"/>
      <c r="M265" s="1056"/>
      <c r="N265" s="1056"/>
      <c r="O265" s="1056"/>
      <c r="P265" s="1056"/>
      <c r="Q265" s="1056"/>
      <c r="R265" s="1056"/>
      <c r="S265" s="1056"/>
      <c r="T265" s="1056"/>
      <c r="U265" s="1056"/>
    </row>
    <row r="266" spans="1:21" s="360" customFormat="1" ht="35.25" customHeight="1" thickTop="1" thickBot="1" x14ac:dyDescent="0.3">
      <c r="A266" s="688" t="s">
        <v>182</v>
      </c>
      <c r="B266" s="913"/>
      <c r="C266" s="690"/>
      <c r="D266" s="689"/>
      <c r="E266" s="691">
        <f>E264</f>
        <v>1500</v>
      </c>
      <c r="F266" s="1382">
        <f>F237+F239+F253+F260+F264</f>
        <v>238439</v>
      </c>
      <c r="G266" s="1382">
        <f>G237+G239+G253+G260+G264</f>
        <v>238372</v>
      </c>
      <c r="H266" s="922">
        <f>(G266/F266)*100</f>
        <v>99.9719005699571</v>
      </c>
      <c r="J266" s="693"/>
      <c r="K266" s="693"/>
      <c r="L266" s="693"/>
    </row>
    <row r="267" spans="1:21" ht="15" thickTop="1" x14ac:dyDescent="0.2"/>
    <row r="268" spans="1:21" ht="15.75" x14ac:dyDescent="0.25">
      <c r="A268" s="923" t="s">
        <v>519</v>
      </c>
    </row>
    <row r="269" spans="1:21" ht="16.5" thickBot="1" x14ac:dyDescent="0.3">
      <c r="A269" s="923"/>
      <c r="H269" s="1735" t="s">
        <v>1227</v>
      </c>
    </row>
    <row r="270" spans="1:21" s="107" customFormat="1" ht="20.25" customHeight="1" thickTop="1" thickBot="1" x14ac:dyDescent="0.25">
      <c r="A270" s="631" t="s">
        <v>162</v>
      </c>
      <c r="B270" s="924" t="s">
        <v>163</v>
      </c>
      <c r="C270" s="670" t="s">
        <v>377</v>
      </c>
      <c r="D270" s="634" t="s">
        <v>164</v>
      </c>
      <c r="E270" s="634" t="s">
        <v>165</v>
      </c>
      <c r="F270" s="634" t="s">
        <v>881</v>
      </c>
      <c r="G270" s="634" t="s">
        <v>882</v>
      </c>
      <c r="H270" s="635" t="s">
        <v>883</v>
      </c>
      <c r="J270" s="381"/>
      <c r="K270" s="381"/>
      <c r="L270" s="381"/>
      <c r="M270" s="381"/>
      <c r="N270" s="381"/>
      <c r="O270" s="381"/>
    </row>
    <row r="271" spans="1:21" s="383" customFormat="1" ht="13.5" thickTop="1" thickBot="1" x14ac:dyDescent="0.25">
      <c r="A271" s="566">
        <v>1</v>
      </c>
      <c r="B271" s="567">
        <v>2</v>
      </c>
      <c r="C271" s="567">
        <v>3</v>
      </c>
      <c r="D271" s="567">
        <v>4</v>
      </c>
      <c r="E271" s="567">
        <v>5</v>
      </c>
      <c r="F271" s="541">
        <v>6</v>
      </c>
      <c r="G271" s="541">
        <v>7</v>
      </c>
      <c r="H271" s="636" t="s">
        <v>61</v>
      </c>
      <c r="I271" s="107"/>
    </row>
    <row r="272" spans="1:21" s="1056" customFormat="1" ht="15.75" thickTop="1" x14ac:dyDescent="0.25">
      <c r="A272" s="222"/>
      <c r="B272" s="241">
        <v>5229</v>
      </c>
      <c r="C272" s="1372"/>
      <c r="D272" s="1367" t="s">
        <v>1132</v>
      </c>
      <c r="E272" s="233"/>
      <c r="F272" s="370">
        <f>F273+F275+F276+F277+F278+F280+F281+F282+F283+F284+F285+F286</f>
        <v>40339</v>
      </c>
      <c r="G272" s="370">
        <f>G273+G275+G276+G277+G278+G280+G281+G282+G283+G284+G285+G286</f>
        <v>40339</v>
      </c>
      <c r="H272" s="1330">
        <f>(G272/F272)*100</f>
        <v>100</v>
      </c>
    </row>
    <row r="273" spans="1:8" s="1056" customFormat="1" x14ac:dyDescent="0.2">
      <c r="A273" s="50"/>
      <c r="B273" s="31"/>
      <c r="C273" s="1325" t="s">
        <v>1169</v>
      </c>
      <c r="D273" s="2665" t="s">
        <v>936</v>
      </c>
      <c r="E273" s="1281"/>
      <c r="F273" s="316">
        <v>3779</v>
      </c>
      <c r="G273" s="316">
        <v>3779</v>
      </c>
      <c r="H273" s="1065">
        <f>(G273/F273)*100</f>
        <v>100</v>
      </c>
    </row>
    <row r="274" spans="1:8" s="1056" customFormat="1" x14ac:dyDescent="0.2">
      <c r="A274" s="50"/>
      <c r="B274" s="31"/>
      <c r="C274" s="1325"/>
      <c r="D274" s="2665"/>
      <c r="E274" s="1281"/>
      <c r="F274" s="316"/>
      <c r="G274" s="316"/>
      <c r="H274" s="1065"/>
    </row>
    <row r="275" spans="1:8" s="1056" customFormat="1" x14ac:dyDescent="0.2">
      <c r="A275" s="50"/>
      <c r="B275" s="31"/>
      <c r="C275" s="1325" t="s">
        <v>937</v>
      </c>
      <c r="D275" s="2439" t="s">
        <v>1340</v>
      </c>
      <c r="E275" s="1281"/>
      <c r="F275" s="316">
        <v>49</v>
      </c>
      <c r="G275" s="316">
        <v>49</v>
      </c>
      <c r="H275" s="1065">
        <f t="shared" ref="H275:H287" si="13">(G275/F275)*100</f>
        <v>100</v>
      </c>
    </row>
    <row r="276" spans="1:8" s="1056" customFormat="1" x14ac:dyDescent="0.2">
      <c r="A276" s="50"/>
      <c r="B276" s="31"/>
      <c r="C276" s="1068" t="s">
        <v>926</v>
      </c>
      <c r="D276" s="1791" t="s">
        <v>579</v>
      </c>
      <c r="E276" s="1281"/>
      <c r="F276" s="316">
        <v>121</v>
      </c>
      <c r="G276" s="316">
        <v>121</v>
      </c>
      <c r="H276" s="1065">
        <f t="shared" si="13"/>
        <v>100</v>
      </c>
    </row>
    <row r="277" spans="1:8" s="1056" customFormat="1" x14ac:dyDescent="0.2">
      <c r="A277" s="50"/>
      <c r="B277" s="31"/>
      <c r="C277" s="1068" t="s">
        <v>1504</v>
      </c>
      <c r="D277" s="1790" t="s">
        <v>1503</v>
      </c>
      <c r="E277" s="1281"/>
      <c r="F277" s="316">
        <v>42</v>
      </c>
      <c r="G277" s="316">
        <v>42</v>
      </c>
      <c r="H277" s="1065">
        <f t="shared" si="13"/>
        <v>100</v>
      </c>
    </row>
    <row r="278" spans="1:8" s="1056" customFormat="1" x14ac:dyDescent="0.2">
      <c r="A278" s="50"/>
      <c r="B278" s="31"/>
      <c r="C278" s="1068" t="s">
        <v>1669</v>
      </c>
      <c r="D278" s="2633" t="s">
        <v>1670</v>
      </c>
      <c r="E278" s="1281"/>
      <c r="F278" s="316">
        <v>382</v>
      </c>
      <c r="G278" s="316">
        <v>382</v>
      </c>
      <c r="H278" s="1065">
        <f t="shared" si="13"/>
        <v>100</v>
      </c>
    </row>
    <row r="279" spans="1:8" s="1056" customFormat="1" x14ac:dyDescent="0.2">
      <c r="A279" s="50"/>
      <c r="B279" s="31"/>
      <c r="C279" s="1068"/>
      <c r="D279" s="2633"/>
      <c r="E279" s="1281"/>
      <c r="F279" s="316"/>
      <c r="G279" s="316"/>
      <c r="H279" s="1065"/>
    </row>
    <row r="280" spans="1:8" s="1056" customFormat="1" x14ac:dyDescent="0.2">
      <c r="A280" s="50"/>
      <c r="B280" s="31"/>
      <c r="C280" s="1068" t="s">
        <v>1903</v>
      </c>
      <c r="D280" s="2436" t="s">
        <v>1904</v>
      </c>
      <c r="E280" s="1281"/>
      <c r="F280" s="316">
        <v>1115</v>
      </c>
      <c r="G280" s="316">
        <v>1115</v>
      </c>
      <c r="H280" s="1065">
        <f t="shared" si="13"/>
        <v>100</v>
      </c>
    </row>
    <row r="281" spans="1:8" s="1056" customFormat="1" ht="38.25" x14ac:dyDescent="0.2">
      <c r="A281" s="50"/>
      <c r="B281" s="31"/>
      <c r="C281" s="1068" t="s">
        <v>1909</v>
      </c>
      <c r="D281" s="2436" t="s">
        <v>1910</v>
      </c>
      <c r="E281" s="1281"/>
      <c r="F281" s="1327">
        <v>2262</v>
      </c>
      <c r="G281" s="1327">
        <v>2262</v>
      </c>
      <c r="H281" s="1354">
        <f t="shared" si="13"/>
        <v>100</v>
      </c>
    </row>
    <row r="282" spans="1:8" s="1056" customFormat="1" ht="25.5" x14ac:dyDescent="0.2">
      <c r="A282" s="50"/>
      <c r="B282" s="31"/>
      <c r="C282" s="1068" t="s">
        <v>1911</v>
      </c>
      <c r="D282" s="2436" t="s">
        <v>1912</v>
      </c>
      <c r="E282" s="1281"/>
      <c r="F282" s="1327">
        <v>6400</v>
      </c>
      <c r="G282" s="1327">
        <v>6400</v>
      </c>
      <c r="H282" s="1354">
        <f t="shared" si="13"/>
        <v>100</v>
      </c>
    </row>
    <row r="283" spans="1:8" s="1056" customFormat="1" x14ac:dyDescent="0.2">
      <c r="A283" s="50"/>
      <c r="B283" s="31"/>
      <c r="C283" s="1068" t="s">
        <v>1913</v>
      </c>
      <c r="D283" s="2436" t="s">
        <v>1914</v>
      </c>
      <c r="E283" s="1281"/>
      <c r="F283" s="1327">
        <v>18328</v>
      </c>
      <c r="G283" s="1327">
        <v>18328</v>
      </c>
      <c r="H283" s="1354">
        <f t="shared" si="13"/>
        <v>100</v>
      </c>
    </row>
    <row r="284" spans="1:8" s="1056" customFormat="1" x14ac:dyDescent="0.2">
      <c r="A284" s="50"/>
      <c r="B284" s="31"/>
      <c r="C284" s="1068" t="s">
        <v>1128</v>
      </c>
      <c r="D284" s="2437" t="s">
        <v>1915</v>
      </c>
      <c r="E284" s="1281"/>
      <c r="F284" s="316">
        <v>553</v>
      </c>
      <c r="G284" s="316">
        <v>553</v>
      </c>
      <c r="H284" s="1065">
        <f t="shared" si="13"/>
        <v>100</v>
      </c>
    </row>
    <row r="285" spans="1:8" s="1056" customFormat="1" ht="51" x14ac:dyDescent="0.2">
      <c r="A285" s="50"/>
      <c r="B285" s="31"/>
      <c r="C285" s="1325" t="s">
        <v>1505</v>
      </c>
      <c r="D285" s="2437" t="s">
        <v>1916</v>
      </c>
      <c r="E285" s="1281"/>
      <c r="F285" s="1327">
        <v>42</v>
      </c>
      <c r="G285" s="1327">
        <v>42</v>
      </c>
      <c r="H285" s="1354">
        <f t="shared" si="13"/>
        <v>100</v>
      </c>
    </row>
    <row r="286" spans="1:8" s="1056" customFormat="1" ht="25.5" x14ac:dyDescent="0.2">
      <c r="A286" s="50"/>
      <c r="B286" s="1276"/>
      <c r="C286" s="1325" t="s">
        <v>799</v>
      </c>
      <c r="D286" s="2437" t="s">
        <v>929</v>
      </c>
      <c r="E286" s="1281"/>
      <c r="F286" s="1327">
        <v>7266</v>
      </c>
      <c r="G286" s="1327">
        <v>7266</v>
      </c>
      <c r="H286" s="1354">
        <f t="shared" si="13"/>
        <v>100</v>
      </c>
    </row>
    <row r="287" spans="1:8" s="1107" customFormat="1" ht="14.25" customHeight="1" x14ac:dyDescent="0.25">
      <c r="A287" s="223"/>
      <c r="B287" s="96">
        <v>5333</v>
      </c>
      <c r="C287" s="1357"/>
      <c r="D287" s="2667" t="s">
        <v>1318</v>
      </c>
      <c r="E287" s="149"/>
      <c r="F287" s="315">
        <f>F289+F290+F292+F293</f>
        <v>23913</v>
      </c>
      <c r="G287" s="315">
        <f>G289+G290+G292+G293</f>
        <v>23913</v>
      </c>
      <c r="H287" s="203">
        <f t="shared" si="13"/>
        <v>100</v>
      </c>
    </row>
    <row r="288" spans="1:8" s="1107" customFormat="1" ht="14.25" customHeight="1" x14ac:dyDescent="0.25">
      <c r="A288" s="1373"/>
      <c r="B288" s="1371"/>
      <c r="C288" s="1359"/>
      <c r="D288" s="2633"/>
      <c r="E288" s="123"/>
      <c r="F288" s="315"/>
      <c r="G288" s="315"/>
      <c r="H288" s="1062"/>
    </row>
    <row r="289" spans="1:14" s="1107" customFormat="1" ht="14.25" customHeight="1" x14ac:dyDescent="0.25">
      <c r="A289" s="1373"/>
      <c r="B289" s="1371"/>
      <c r="C289" s="1068" t="s">
        <v>1903</v>
      </c>
      <c r="D289" s="2436" t="s">
        <v>1904</v>
      </c>
      <c r="E289" s="123"/>
      <c r="F289" s="316">
        <v>9</v>
      </c>
      <c r="G289" s="316">
        <v>9</v>
      </c>
      <c r="H289" s="1065">
        <f>(G289/F289)*100</f>
        <v>100</v>
      </c>
    </row>
    <row r="290" spans="1:14" s="1107" customFormat="1" ht="14.25" customHeight="1" x14ac:dyDescent="0.25">
      <c r="A290" s="1373"/>
      <c r="B290" s="1371"/>
      <c r="C290" s="1068" t="s">
        <v>1911</v>
      </c>
      <c r="D290" s="2633" t="s">
        <v>1912</v>
      </c>
      <c r="E290" s="123"/>
      <c r="F290" s="316">
        <v>35</v>
      </c>
      <c r="G290" s="316">
        <v>35</v>
      </c>
      <c r="H290" s="1065">
        <f>(G290/F290)*100</f>
        <v>100</v>
      </c>
    </row>
    <row r="291" spans="1:14" s="1107" customFormat="1" ht="14.25" customHeight="1" x14ac:dyDescent="0.25">
      <c r="A291" s="1373"/>
      <c r="B291" s="1371"/>
      <c r="C291" s="1325"/>
      <c r="D291" s="2633"/>
      <c r="E291" s="123"/>
      <c r="F291" s="316"/>
      <c r="G291" s="316"/>
      <c r="H291" s="1065"/>
    </row>
    <row r="292" spans="1:14" s="1107" customFormat="1" ht="14.25" customHeight="1" x14ac:dyDescent="0.25">
      <c r="A292" s="1373"/>
      <c r="B292" s="1371"/>
      <c r="C292" s="1068" t="s">
        <v>1913</v>
      </c>
      <c r="D292" s="2436" t="s">
        <v>1914</v>
      </c>
      <c r="E292" s="123"/>
      <c r="F292" s="316">
        <v>128</v>
      </c>
      <c r="G292" s="316">
        <v>128</v>
      </c>
      <c r="H292" s="1065">
        <f>(G292/F292)*100</f>
        <v>100</v>
      </c>
    </row>
    <row r="293" spans="1:14" s="1107" customFormat="1" ht="14.25" customHeight="1" x14ac:dyDescent="0.25">
      <c r="A293" s="1373"/>
      <c r="B293" s="1371"/>
      <c r="C293" s="1059" t="s">
        <v>1124</v>
      </c>
      <c r="D293" s="1278" t="s">
        <v>26</v>
      </c>
      <c r="E293" s="123"/>
      <c r="F293" s="316">
        <v>23741</v>
      </c>
      <c r="G293" s="316">
        <v>23741</v>
      </c>
      <c r="H293" s="1065">
        <f>(G293/F293)*100</f>
        <v>100</v>
      </c>
    </row>
    <row r="294" spans="1:14" s="1107" customFormat="1" ht="14.25" customHeight="1" x14ac:dyDescent="0.25">
      <c r="A294" s="1373"/>
      <c r="B294" s="96">
        <v>5339</v>
      </c>
      <c r="C294" s="1059"/>
      <c r="D294" s="1157" t="s">
        <v>1237</v>
      </c>
      <c r="E294" s="123"/>
      <c r="F294" s="315">
        <v>3023951</v>
      </c>
      <c r="G294" s="315">
        <v>3023951</v>
      </c>
      <c r="H294" s="203">
        <f>(G294/F294)*100</f>
        <v>100</v>
      </c>
    </row>
    <row r="295" spans="1:14" s="1107" customFormat="1" ht="14.25" customHeight="1" thickBot="1" x14ac:dyDescent="0.3">
      <c r="A295" s="1373"/>
      <c r="B295" s="1371"/>
      <c r="C295" s="1059" t="s">
        <v>1124</v>
      </c>
      <c r="D295" s="1278" t="s">
        <v>26</v>
      </c>
      <c r="E295" s="123"/>
      <c r="F295" s="316">
        <v>3023951</v>
      </c>
      <c r="G295" s="316">
        <v>3023951</v>
      </c>
      <c r="H295" s="1065">
        <f>(G295/F295)*100</f>
        <v>100</v>
      </c>
    </row>
    <row r="296" spans="1:14" s="929" customFormat="1" ht="26.25" customHeight="1" thickTop="1" thickBot="1" x14ac:dyDescent="0.3">
      <c r="A296" s="925" t="s">
        <v>736</v>
      </c>
      <c r="B296" s="926"/>
      <c r="C296" s="927"/>
      <c r="D296" s="926"/>
      <c r="E296" s="1381">
        <v>0</v>
      </c>
      <c r="F296" s="1380">
        <f>F272+F287+F294</f>
        <v>3088203</v>
      </c>
      <c r="G296" s="1380">
        <f>G272+G287+G294</f>
        <v>3088203</v>
      </c>
      <c r="H296" s="928">
        <f>(G296/F296)*100</f>
        <v>100</v>
      </c>
      <c r="J296" s="524"/>
      <c r="K296" s="524"/>
      <c r="L296" s="524"/>
    </row>
    <row r="297" spans="1:14" ht="15" thickTop="1" x14ac:dyDescent="0.2"/>
    <row r="299" spans="1:14" ht="16.5" x14ac:dyDescent="0.25">
      <c r="A299" s="361" t="s">
        <v>202</v>
      </c>
      <c r="B299" s="362"/>
      <c r="C299" s="363"/>
      <c r="D299" s="364"/>
      <c r="E299" s="583">
        <f>SUM(E300:E303)</f>
        <v>68824</v>
      </c>
      <c r="F299" s="583">
        <f>SUM(F300:F303)</f>
        <v>92527</v>
      </c>
      <c r="G299" s="583">
        <f>SUM(G300:G304)</f>
        <v>92044</v>
      </c>
      <c r="H299" s="785">
        <f>(G299/F299)*100</f>
        <v>99.477990208263535</v>
      </c>
      <c r="L299" s="382"/>
      <c r="M299" s="382"/>
      <c r="N299" s="382"/>
    </row>
    <row r="300" spans="1:14" ht="15" x14ac:dyDescent="0.2">
      <c r="A300" s="555" t="s">
        <v>263</v>
      </c>
      <c r="B300" s="809"/>
      <c r="C300" s="1452"/>
      <c r="D300" s="810"/>
      <c r="E300" s="588">
        <f>E113</f>
        <v>59824</v>
      </c>
      <c r="F300" s="588">
        <f>F113-F302</f>
        <v>84464</v>
      </c>
      <c r="G300" s="588">
        <f>G113-G302-G304</f>
        <v>84019</v>
      </c>
      <c r="H300" s="930">
        <f>(G300/F300)*100</f>
        <v>99.473148323546127</v>
      </c>
      <c r="L300" s="382"/>
      <c r="M300" s="382"/>
      <c r="N300" s="382"/>
    </row>
    <row r="301" spans="1:14" ht="15" x14ac:dyDescent="0.2">
      <c r="A301" s="555" t="s">
        <v>264</v>
      </c>
      <c r="B301" s="1453"/>
      <c r="C301" s="1452"/>
      <c r="D301" s="1454"/>
      <c r="E301" s="588">
        <f>E132</f>
        <v>9000</v>
      </c>
      <c r="F301" s="588">
        <f>F132</f>
        <v>7920</v>
      </c>
      <c r="G301" s="588">
        <f>G132</f>
        <v>7820</v>
      </c>
      <c r="H301" s="930">
        <f>(G301/F301)*100</f>
        <v>98.73737373737373</v>
      </c>
      <c r="I301" s="382"/>
      <c r="J301" s="382"/>
      <c r="L301" s="382"/>
      <c r="M301" s="382"/>
      <c r="N301" s="382"/>
    </row>
    <row r="302" spans="1:14" ht="15" x14ac:dyDescent="0.2">
      <c r="A302" s="555" t="s">
        <v>208</v>
      </c>
      <c r="B302" s="1453"/>
      <c r="C302" s="1452"/>
      <c r="D302" s="1454"/>
      <c r="E302" s="588">
        <v>0</v>
      </c>
      <c r="F302" s="588">
        <f>F98+F100+F103+F108</f>
        <v>143</v>
      </c>
      <c r="G302" s="588">
        <f>G98+G100+G103+G108</f>
        <v>143</v>
      </c>
      <c r="H302" s="930">
        <f>(G302/F302)*100</f>
        <v>100</v>
      </c>
      <c r="L302" s="382"/>
      <c r="M302" s="382"/>
      <c r="N302" s="382"/>
    </row>
    <row r="303" spans="1:14" ht="15" x14ac:dyDescent="0.2">
      <c r="A303" s="555" t="s">
        <v>1147</v>
      </c>
      <c r="B303" s="1453"/>
      <c r="C303" s="1452"/>
      <c r="D303" s="1454"/>
      <c r="E303" s="588">
        <v>0</v>
      </c>
      <c r="F303" s="588">
        <v>0</v>
      </c>
      <c r="G303" s="588">
        <v>0</v>
      </c>
      <c r="H303" s="930">
        <v>0</v>
      </c>
      <c r="L303" s="911"/>
      <c r="M303" s="911"/>
      <c r="N303" s="911"/>
    </row>
    <row r="304" spans="1:14" ht="15" x14ac:dyDescent="0.2">
      <c r="A304" s="555" t="s">
        <v>466</v>
      </c>
      <c r="B304" s="1453"/>
      <c r="C304" s="1452"/>
      <c r="D304" s="1454"/>
      <c r="E304" s="588">
        <v>0</v>
      </c>
      <c r="F304" s="588">
        <v>0</v>
      </c>
      <c r="G304" s="588">
        <f>G109</f>
        <v>62</v>
      </c>
      <c r="H304" s="769">
        <v>0</v>
      </c>
    </row>
    <row r="305" spans="1:14" ht="16.5" x14ac:dyDescent="0.25">
      <c r="A305" s="741" t="s">
        <v>265</v>
      </c>
      <c r="B305" s="1453"/>
      <c r="C305" s="1452"/>
      <c r="D305" s="1454"/>
      <c r="E305" s="583">
        <f>SUM(E306:E309)</f>
        <v>397234</v>
      </c>
      <c r="F305" s="583">
        <f>SUM(F306:F309)</f>
        <v>2377540</v>
      </c>
      <c r="G305" s="583">
        <f>SUM(G306:G309)</f>
        <v>2377486</v>
      </c>
      <c r="H305" s="785">
        <f>(G305/F305)*100</f>
        <v>99.997728744837104</v>
      </c>
    </row>
    <row r="306" spans="1:14" ht="15" x14ac:dyDescent="0.2">
      <c r="A306" s="555" t="s">
        <v>1148</v>
      </c>
      <c r="B306" s="1453"/>
      <c r="C306" s="1452"/>
      <c r="D306" s="1454"/>
      <c r="E306" s="588">
        <f>E215</f>
        <v>397234</v>
      </c>
      <c r="F306" s="588">
        <f>F215-F308</f>
        <v>399751</v>
      </c>
      <c r="G306" s="588">
        <f>G215-G308</f>
        <v>399743</v>
      </c>
      <c r="H306" s="930">
        <f>(G306/F306)*100</f>
        <v>99.997998754224511</v>
      </c>
      <c r="K306" s="2666"/>
      <c r="L306" s="382"/>
      <c r="M306" s="382"/>
      <c r="N306" s="382"/>
    </row>
    <row r="307" spans="1:14" ht="15" x14ac:dyDescent="0.2">
      <c r="A307" s="555" t="s">
        <v>1149</v>
      </c>
      <c r="B307" s="1453"/>
      <c r="C307" s="1452"/>
      <c r="D307" s="1454"/>
      <c r="E307" s="588">
        <f>E228</f>
        <v>0</v>
      </c>
      <c r="F307" s="588">
        <f>F228-F309</f>
        <v>17069</v>
      </c>
      <c r="G307" s="588">
        <f>G228-G309</f>
        <v>17023</v>
      </c>
      <c r="H307" s="930">
        <f>(G307/F307)*100</f>
        <v>99.730505594938194</v>
      </c>
      <c r="K307" s="2666"/>
    </row>
    <row r="308" spans="1:14" ht="15" x14ac:dyDescent="0.2">
      <c r="A308" s="555" t="s">
        <v>208</v>
      </c>
      <c r="B308" s="1730"/>
      <c r="E308" s="588">
        <v>0</v>
      </c>
      <c r="F308" s="588">
        <f>F163</f>
        <v>1960720</v>
      </c>
      <c r="G308" s="588">
        <f>G163</f>
        <v>1960720</v>
      </c>
      <c r="H308" s="930">
        <f>(G308/F308)*100</f>
        <v>100</v>
      </c>
      <c r="I308" s="382"/>
      <c r="J308" s="382"/>
    </row>
    <row r="309" spans="1:14" ht="15" x14ac:dyDescent="0.2">
      <c r="A309" s="555" t="s">
        <v>1147</v>
      </c>
      <c r="B309" s="1730"/>
      <c r="E309" s="588">
        <v>0</v>
      </c>
      <c r="F309" s="588">
        <v>0</v>
      </c>
      <c r="G309" s="588">
        <v>0</v>
      </c>
      <c r="H309" s="930">
        <v>0</v>
      </c>
      <c r="K309" s="2666"/>
      <c r="L309" s="382"/>
      <c r="M309" s="382"/>
      <c r="N309" s="382"/>
    </row>
    <row r="310" spans="1:14" ht="15" x14ac:dyDescent="0.2">
      <c r="A310" s="555"/>
      <c r="B310" s="1453"/>
      <c r="C310" s="1452"/>
      <c r="D310" s="1452"/>
      <c r="E310" s="588"/>
      <c r="F310" s="588"/>
      <c r="G310" s="588"/>
      <c r="H310" s="769"/>
      <c r="K310" s="2666"/>
    </row>
    <row r="311" spans="1:14" ht="15.75" x14ac:dyDescent="0.25">
      <c r="A311" s="923" t="s">
        <v>203</v>
      </c>
      <c r="B311" s="1453"/>
      <c r="C311" s="1452"/>
      <c r="D311" s="1452"/>
      <c r="E311" s="583">
        <f>SUM(E312:E315)</f>
        <v>1500</v>
      </c>
      <c r="F311" s="583">
        <f>SUM(F312:F315)</f>
        <v>238439</v>
      </c>
      <c r="G311" s="583">
        <f>SUM(G312:G315)</f>
        <v>238372</v>
      </c>
      <c r="H311" s="785">
        <f>(G311/F311)*100</f>
        <v>99.9719005699571</v>
      </c>
      <c r="K311" s="2666"/>
      <c r="L311" s="382"/>
      <c r="M311" s="382"/>
      <c r="N311" s="382"/>
    </row>
    <row r="312" spans="1:14" ht="15" x14ac:dyDescent="0.2">
      <c r="A312" s="555" t="s">
        <v>1148</v>
      </c>
      <c r="B312" s="1453"/>
      <c r="C312" s="1452"/>
      <c r="D312" s="1452"/>
      <c r="E312" s="588">
        <f>E266</f>
        <v>1500</v>
      </c>
      <c r="F312" s="588">
        <f>F266-F314</f>
        <v>1146</v>
      </c>
      <c r="G312" s="588">
        <f>G266-G314</f>
        <v>1122</v>
      </c>
      <c r="H312" s="786">
        <f>(G312/F312)*100</f>
        <v>97.905759162303667</v>
      </c>
      <c r="I312" s="382"/>
      <c r="K312" s="2666"/>
    </row>
    <row r="313" spans="1:14" ht="15" x14ac:dyDescent="0.2">
      <c r="A313" s="555" t="s">
        <v>1149</v>
      </c>
      <c r="B313" s="1453"/>
      <c r="C313" s="1452"/>
      <c r="D313" s="1452"/>
      <c r="E313" s="588">
        <v>0</v>
      </c>
      <c r="F313" s="588">
        <v>0</v>
      </c>
      <c r="G313" s="588">
        <v>0</v>
      </c>
      <c r="H313" s="786">
        <v>0</v>
      </c>
      <c r="L313" s="382"/>
      <c r="M313" s="382"/>
      <c r="N313" s="382"/>
    </row>
    <row r="314" spans="1:14" ht="15" x14ac:dyDescent="0.2">
      <c r="A314" s="555" t="s">
        <v>208</v>
      </c>
      <c r="B314" s="1453"/>
      <c r="C314" s="1452"/>
      <c r="D314" s="1452"/>
      <c r="E314" s="588">
        <v>0</v>
      </c>
      <c r="F314" s="588">
        <f>F238+F243+F244+F247+F248+F249+F257+F246+F250+F251+F252+F256+F258+F259+F262+F263</f>
        <v>237293</v>
      </c>
      <c r="G314" s="588">
        <f>G238+G243+G244+G247+G248+G249+G257+G246+G250+G251+G252+G256+G258+G259+G262+G263</f>
        <v>237250</v>
      </c>
      <c r="H314" s="786">
        <f>(G314/F314)*100</f>
        <v>99.981878942910242</v>
      </c>
    </row>
    <row r="315" spans="1:14" ht="15" x14ac:dyDescent="0.2">
      <c r="A315" s="555" t="s">
        <v>1147</v>
      </c>
      <c r="B315" s="1453"/>
      <c r="C315" s="1452"/>
      <c r="D315" s="1452"/>
      <c r="E315" s="588">
        <v>0</v>
      </c>
      <c r="F315" s="588">
        <v>0</v>
      </c>
      <c r="G315" s="588">
        <v>0</v>
      </c>
      <c r="H315" s="786">
        <v>0</v>
      </c>
      <c r="L315" s="382"/>
      <c r="M315" s="382"/>
      <c r="N315" s="382"/>
    </row>
    <row r="316" spans="1:14" ht="15" x14ac:dyDescent="0.2">
      <c r="A316" s="555"/>
      <c r="B316" s="1453"/>
      <c r="C316" s="1452"/>
      <c r="D316" s="1452"/>
      <c r="E316" s="588"/>
      <c r="F316" s="588"/>
      <c r="G316" s="588"/>
      <c r="H316" s="769"/>
      <c r="K316" s="382">
        <f>E132+E228</f>
        <v>9000</v>
      </c>
      <c r="L316" s="382">
        <f>F132+F228</f>
        <v>24989</v>
      </c>
      <c r="M316" s="382">
        <f>G132+G228</f>
        <v>24843</v>
      </c>
      <c r="N316" s="382" t="s">
        <v>1673</v>
      </c>
    </row>
    <row r="317" spans="1:14" ht="15.75" x14ac:dyDescent="0.25">
      <c r="A317" s="931" t="s">
        <v>520</v>
      </c>
      <c r="B317" s="1453"/>
      <c r="C317" s="1452"/>
      <c r="D317" s="1452"/>
      <c r="E317" s="583">
        <f>SUM(E318:E321)</f>
        <v>0</v>
      </c>
      <c r="F317" s="583">
        <f>SUM(F318:F321)</f>
        <v>3088203</v>
      </c>
      <c r="G317" s="583">
        <f>SUM(G318:G321)</f>
        <v>3088203</v>
      </c>
      <c r="H317" s="785">
        <f>(G317/F317)*100</f>
        <v>100</v>
      </c>
      <c r="K317" s="2433">
        <f>E113+E215+E266+E296</f>
        <v>458558</v>
      </c>
      <c r="L317" s="2433">
        <f>F113+F215+F266+F296</f>
        <v>5771720</v>
      </c>
      <c r="M317" s="2433">
        <f>G113+G215+G266+G296</f>
        <v>5771262</v>
      </c>
      <c r="N317" s="2434" t="s">
        <v>1674</v>
      </c>
    </row>
    <row r="318" spans="1:14" ht="15" x14ac:dyDescent="0.2">
      <c r="A318" s="555" t="s">
        <v>1148</v>
      </c>
      <c r="B318" s="1453"/>
      <c r="C318" s="1452"/>
      <c r="D318" s="1452"/>
      <c r="E318" s="588">
        <f>E296</f>
        <v>0</v>
      </c>
      <c r="F318" s="588">
        <f>F296-F320</f>
        <v>0</v>
      </c>
      <c r="G318" s="588">
        <f>G296-G320</f>
        <v>0</v>
      </c>
      <c r="H318" s="930">
        <v>0</v>
      </c>
      <c r="K318" s="382">
        <f>K316+K317</f>
        <v>467558</v>
      </c>
      <c r="L318" s="382">
        <f>L316+L317</f>
        <v>5796709</v>
      </c>
      <c r="M318" s="382">
        <f>M316+M317</f>
        <v>5796105</v>
      </c>
      <c r="N318" s="381" t="s">
        <v>1936</v>
      </c>
    </row>
    <row r="319" spans="1:14" ht="15" x14ac:dyDescent="0.2">
      <c r="A319" s="555" t="s">
        <v>1149</v>
      </c>
      <c r="B319" s="1453"/>
      <c r="C319" s="1452"/>
      <c r="D319" s="1452"/>
      <c r="E319" s="588">
        <v>0</v>
      </c>
      <c r="F319" s="588">
        <v>0</v>
      </c>
      <c r="G319" s="588">
        <v>0</v>
      </c>
      <c r="H319" s="930">
        <v>0</v>
      </c>
    </row>
    <row r="320" spans="1:14" ht="15" x14ac:dyDescent="0.2">
      <c r="A320" s="555" t="s">
        <v>208</v>
      </c>
      <c r="B320" s="1453"/>
      <c r="C320" s="1452"/>
      <c r="D320" s="1452"/>
      <c r="E320" s="588">
        <v>0</v>
      </c>
      <c r="F320" s="588">
        <f>F273+F275+F276+F277+F278+F286+F293+F295+F280+F281+F282+F283+F284+F285+F289+F290+F292</f>
        <v>3088203</v>
      </c>
      <c r="G320" s="588">
        <f>G273+G275+G276+G277+G278+G286+G293+G295+G280+G281+G282+G283+G284+G285+G289+G290+G292</f>
        <v>3088203</v>
      </c>
      <c r="H320" s="930">
        <f>(G320/F320)*100</f>
        <v>100</v>
      </c>
      <c r="J320" s="911">
        <f>J321+J323</f>
        <v>467558</v>
      </c>
      <c r="K320" s="911">
        <f>K321+K323</f>
        <v>5796709</v>
      </c>
      <c r="L320" s="911">
        <f>L321+L323</f>
        <v>5796105</v>
      </c>
      <c r="M320" s="381" t="s">
        <v>1342</v>
      </c>
    </row>
    <row r="321" spans="1:13" ht="15" x14ac:dyDescent="0.2">
      <c r="A321" s="555" t="s">
        <v>1147</v>
      </c>
      <c r="B321" s="1453"/>
      <c r="C321" s="1452"/>
      <c r="D321" s="1452"/>
      <c r="E321" s="588">
        <v>0</v>
      </c>
      <c r="F321" s="588">
        <v>0</v>
      </c>
      <c r="G321" s="588">
        <v>0</v>
      </c>
      <c r="H321" s="930">
        <v>0</v>
      </c>
      <c r="J321" s="382">
        <f>E113+E132</f>
        <v>68824</v>
      </c>
      <c r="K321" s="382">
        <f>F113+F132</f>
        <v>92527</v>
      </c>
      <c r="L321" s="382">
        <f>G113+G132</f>
        <v>92044</v>
      </c>
      <c r="M321" s="381" t="s">
        <v>733</v>
      </c>
    </row>
    <row r="322" spans="1:13" ht="15" x14ac:dyDescent="0.2">
      <c r="A322" s="555"/>
      <c r="B322" s="1453"/>
      <c r="C322" s="1452"/>
      <c r="D322" s="1452"/>
      <c r="E322" s="588"/>
      <c r="F322" s="588"/>
      <c r="G322" s="588"/>
      <c r="H322" s="930"/>
      <c r="I322" s="382"/>
      <c r="J322" s="911">
        <f>E321+E320+E315+E314+E309+E308+E303+E302</f>
        <v>0</v>
      </c>
      <c r="K322" s="911">
        <f>F302+F303+F308+F309+F314+F315+F320+F321</f>
        <v>5286359</v>
      </c>
      <c r="L322" s="911">
        <f>G302+G303+G308+G309+G314+G315+G320+G321</f>
        <v>5286316</v>
      </c>
      <c r="M322" s="381" t="s">
        <v>246</v>
      </c>
    </row>
    <row r="323" spans="1:13" ht="14.25" customHeight="1" x14ac:dyDescent="0.2">
      <c r="J323" s="382">
        <f>E317+E311+E305</f>
        <v>398734</v>
      </c>
      <c r="K323" s="382">
        <f>F305+F311+F317</f>
        <v>5704182</v>
      </c>
      <c r="L323" s="382">
        <f>G305+G311+G317</f>
        <v>5704061</v>
      </c>
      <c r="M323" s="381" t="s">
        <v>1341</v>
      </c>
    </row>
    <row r="324" spans="1:13" s="58" customFormat="1" ht="47.25" customHeight="1" thickBot="1" x14ac:dyDescent="0.4">
      <c r="A324" s="2640" t="s">
        <v>885</v>
      </c>
      <c r="B324" s="2640"/>
      <c r="C324" s="2640"/>
      <c r="D324" s="2640"/>
      <c r="E324" s="1422">
        <f>E299+E305+E311+E317</f>
        <v>467558</v>
      </c>
      <c r="F324" s="1422">
        <f>F299+F305+F311+F317</f>
        <v>5796709</v>
      </c>
      <c r="G324" s="1422">
        <f>G299+G305+G311+G317</f>
        <v>5796105</v>
      </c>
      <c r="H324" s="745">
        <f>(G324/F324)*100</f>
        <v>99.989580294611997</v>
      </c>
    </row>
    <row r="325" spans="1:13" ht="15" thickTop="1" x14ac:dyDescent="0.2"/>
    <row r="327" spans="1:13" x14ac:dyDescent="0.2">
      <c r="H327" s="524"/>
    </row>
  </sheetData>
  <mergeCells count="24">
    <mergeCell ref="D19:D20"/>
    <mergeCell ref="D104:D105"/>
    <mergeCell ref="D167:D168"/>
    <mergeCell ref="D169:D170"/>
    <mergeCell ref="D171:D172"/>
    <mergeCell ref="A324:D324"/>
    <mergeCell ref="K306:K307"/>
    <mergeCell ref="D287:D288"/>
    <mergeCell ref="K309:K310"/>
    <mergeCell ref="D290:D291"/>
    <mergeCell ref="K311:K312"/>
    <mergeCell ref="C175:C176"/>
    <mergeCell ref="D165:D166"/>
    <mergeCell ref="D278:D279"/>
    <mergeCell ref="D244:D245"/>
    <mergeCell ref="D110:D111"/>
    <mergeCell ref="D175:D176"/>
    <mergeCell ref="D177:D178"/>
    <mergeCell ref="D181:D182"/>
    <mergeCell ref="D194:D195"/>
    <mergeCell ref="D198:D199"/>
    <mergeCell ref="D273:D274"/>
    <mergeCell ref="D185:D187"/>
    <mergeCell ref="D188:D189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42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 enableFormatConditionsCalculation="0">
    <tabColor rgb="FFFF0000"/>
  </sheetPr>
  <dimension ref="A1:AA2893"/>
  <sheetViews>
    <sheetView showGridLines="0" view="pageBreakPreview" topLeftCell="A19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381" customWidth="1"/>
    <col min="2" max="2" width="4.7109375" style="643" customWidth="1"/>
    <col min="3" max="3" width="4.7109375" style="381" customWidth="1"/>
    <col min="4" max="4" width="9" style="814" customWidth="1"/>
    <col min="5" max="5" width="47.28515625" style="381" customWidth="1"/>
    <col min="6" max="6" width="11.5703125" style="382" customWidth="1"/>
    <col min="7" max="8" width="13.5703125" style="382" customWidth="1"/>
    <col min="9" max="9" width="7.42578125" style="1390" customWidth="1"/>
    <col min="10" max="15" width="0" style="381" hidden="1" customWidth="1"/>
    <col min="16" max="16" width="2.28515625" style="381" customWidth="1"/>
    <col min="17" max="17" width="9.140625" style="381"/>
    <col min="18" max="18" width="9.7109375" style="381" customWidth="1"/>
    <col min="19" max="19" width="9.5703125" style="381" customWidth="1"/>
    <col min="20" max="20" width="10.140625" style="381" customWidth="1"/>
    <col min="21" max="256" width="9.140625" style="381"/>
    <col min="257" max="259" width="4.7109375" style="381" customWidth="1"/>
    <col min="260" max="260" width="9" style="381" customWidth="1"/>
    <col min="261" max="261" width="47.28515625" style="381" customWidth="1"/>
    <col min="262" max="262" width="11.5703125" style="381" customWidth="1"/>
    <col min="263" max="264" width="13.5703125" style="381" customWidth="1"/>
    <col min="265" max="265" width="7.42578125" style="381" customWidth="1"/>
    <col min="266" max="271" width="0" style="381" hidden="1" customWidth="1"/>
    <col min="272" max="272" width="2.28515625" style="381" customWidth="1"/>
    <col min="273" max="273" width="9.140625" style="381"/>
    <col min="274" max="274" width="9.7109375" style="381" customWidth="1"/>
    <col min="275" max="275" width="9.5703125" style="381" customWidth="1"/>
    <col min="276" max="276" width="10.140625" style="381" customWidth="1"/>
    <col min="277" max="512" width="9.140625" style="381"/>
    <col min="513" max="515" width="4.7109375" style="381" customWidth="1"/>
    <col min="516" max="516" width="9" style="381" customWidth="1"/>
    <col min="517" max="517" width="47.28515625" style="381" customWidth="1"/>
    <col min="518" max="518" width="11.5703125" style="381" customWidth="1"/>
    <col min="519" max="520" width="13.5703125" style="381" customWidth="1"/>
    <col min="521" max="521" width="7.42578125" style="381" customWidth="1"/>
    <col min="522" max="527" width="0" style="381" hidden="1" customWidth="1"/>
    <col min="528" max="528" width="2.28515625" style="381" customWidth="1"/>
    <col min="529" max="529" width="9.140625" style="381"/>
    <col min="530" max="530" width="9.7109375" style="381" customWidth="1"/>
    <col min="531" max="531" width="9.5703125" style="381" customWidth="1"/>
    <col min="532" max="532" width="10.140625" style="381" customWidth="1"/>
    <col min="533" max="768" width="9.140625" style="381"/>
    <col min="769" max="771" width="4.7109375" style="381" customWidth="1"/>
    <col min="772" max="772" width="9" style="381" customWidth="1"/>
    <col min="773" max="773" width="47.28515625" style="381" customWidth="1"/>
    <col min="774" max="774" width="11.5703125" style="381" customWidth="1"/>
    <col min="775" max="776" width="13.5703125" style="381" customWidth="1"/>
    <col min="777" max="777" width="7.42578125" style="381" customWidth="1"/>
    <col min="778" max="783" width="0" style="381" hidden="1" customWidth="1"/>
    <col min="784" max="784" width="2.28515625" style="381" customWidth="1"/>
    <col min="785" max="785" width="9.140625" style="381"/>
    <col min="786" max="786" width="9.7109375" style="381" customWidth="1"/>
    <col min="787" max="787" width="9.5703125" style="381" customWidth="1"/>
    <col min="788" max="788" width="10.140625" style="381" customWidth="1"/>
    <col min="789" max="1024" width="9.140625" style="381"/>
    <col min="1025" max="1027" width="4.7109375" style="381" customWidth="1"/>
    <col min="1028" max="1028" width="9" style="381" customWidth="1"/>
    <col min="1029" max="1029" width="47.28515625" style="381" customWidth="1"/>
    <col min="1030" max="1030" width="11.5703125" style="381" customWidth="1"/>
    <col min="1031" max="1032" width="13.5703125" style="381" customWidth="1"/>
    <col min="1033" max="1033" width="7.42578125" style="381" customWidth="1"/>
    <col min="1034" max="1039" width="0" style="381" hidden="1" customWidth="1"/>
    <col min="1040" max="1040" width="2.28515625" style="381" customWidth="1"/>
    <col min="1041" max="1041" width="9.140625" style="381"/>
    <col min="1042" max="1042" width="9.7109375" style="381" customWidth="1"/>
    <col min="1043" max="1043" width="9.5703125" style="381" customWidth="1"/>
    <col min="1044" max="1044" width="10.140625" style="381" customWidth="1"/>
    <col min="1045" max="1280" width="9.140625" style="381"/>
    <col min="1281" max="1283" width="4.7109375" style="381" customWidth="1"/>
    <col min="1284" max="1284" width="9" style="381" customWidth="1"/>
    <col min="1285" max="1285" width="47.28515625" style="381" customWidth="1"/>
    <col min="1286" max="1286" width="11.5703125" style="381" customWidth="1"/>
    <col min="1287" max="1288" width="13.5703125" style="381" customWidth="1"/>
    <col min="1289" max="1289" width="7.42578125" style="381" customWidth="1"/>
    <col min="1290" max="1295" width="0" style="381" hidden="1" customWidth="1"/>
    <col min="1296" max="1296" width="2.28515625" style="381" customWidth="1"/>
    <col min="1297" max="1297" width="9.140625" style="381"/>
    <col min="1298" max="1298" width="9.7109375" style="381" customWidth="1"/>
    <col min="1299" max="1299" width="9.5703125" style="381" customWidth="1"/>
    <col min="1300" max="1300" width="10.140625" style="381" customWidth="1"/>
    <col min="1301" max="1536" width="9.140625" style="381"/>
    <col min="1537" max="1539" width="4.7109375" style="381" customWidth="1"/>
    <col min="1540" max="1540" width="9" style="381" customWidth="1"/>
    <col min="1541" max="1541" width="47.28515625" style="381" customWidth="1"/>
    <col min="1542" max="1542" width="11.5703125" style="381" customWidth="1"/>
    <col min="1543" max="1544" width="13.5703125" style="381" customWidth="1"/>
    <col min="1545" max="1545" width="7.42578125" style="381" customWidth="1"/>
    <col min="1546" max="1551" width="0" style="381" hidden="1" customWidth="1"/>
    <col min="1552" max="1552" width="2.28515625" style="381" customWidth="1"/>
    <col min="1553" max="1553" width="9.140625" style="381"/>
    <col min="1554" max="1554" width="9.7109375" style="381" customWidth="1"/>
    <col min="1555" max="1555" width="9.5703125" style="381" customWidth="1"/>
    <col min="1556" max="1556" width="10.140625" style="381" customWidth="1"/>
    <col min="1557" max="1792" width="9.140625" style="381"/>
    <col min="1793" max="1795" width="4.7109375" style="381" customWidth="1"/>
    <col min="1796" max="1796" width="9" style="381" customWidth="1"/>
    <col min="1797" max="1797" width="47.28515625" style="381" customWidth="1"/>
    <col min="1798" max="1798" width="11.5703125" style="381" customWidth="1"/>
    <col min="1799" max="1800" width="13.5703125" style="381" customWidth="1"/>
    <col min="1801" max="1801" width="7.42578125" style="381" customWidth="1"/>
    <col min="1802" max="1807" width="0" style="381" hidden="1" customWidth="1"/>
    <col min="1808" max="1808" width="2.28515625" style="381" customWidth="1"/>
    <col min="1809" max="1809" width="9.140625" style="381"/>
    <col min="1810" max="1810" width="9.7109375" style="381" customWidth="1"/>
    <col min="1811" max="1811" width="9.5703125" style="381" customWidth="1"/>
    <col min="1812" max="1812" width="10.140625" style="381" customWidth="1"/>
    <col min="1813" max="2048" width="9.140625" style="381"/>
    <col min="2049" max="2051" width="4.7109375" style="381" customWidth="1"/>
    <col min="2052" max="2052" width="9" style="381" customWidth="1"/>
    <col min="2053" max="2053" width="47.28515625" style="381" customWidth="1"/>
    <col min="2054" max="2054" width="11.5703125" style="381" customWidth="1"/>
    <col min="2055" max="2056" width="13.5703125" style="381" customWidth="1"/>
    <col min="2057" max="2057" width="7.42578125" style="381" customWidth="1"/>
    <col min="2058" max="2063" width="0" style="381" hidden="1" customWidth="1"/>
    <col min="2064" max="2064" width="2.28515625" style="381" customWidth="1"/>
    <col min="2065" max="2065" width="9.140625" style="381"/>
    <col min="2066" max="2066" width="9.7109375" style="381" customWidth="1"/>
    <col min="2067" max="2067" width="9.5703125" style="381" customWidth="1"/>
    <col min="2068" max="2068" width="10.140625" style="381" customWidth="1"/>
    <col min="2069" max="2304" width="9.140625" style="381"/>
    <col min="2305" max="2307" width="4.7109375" style="381" customWidth="1"/>
    <col min="2308" max="2308" width="9" style="381" customWidth="1"/>
    <col min="2309" max="2309" width="47.28515625" style="381" customWidth="1"/>
    <col min="2310" max="2310" width="11.5703125" style="381" customWidth="1"/>
    <col min="2311" max="2312" width="13.5703125" style="381" customWidth="1"/>
    <col min="2313" max="2313" width="7.42578125" style="381" customWidth="1"/>
    <col min="2314" max="2319" width="0" style="381" hidden="1" customWidth="1"/>
    <col min="2320" max="2320" width="2.28515625" style="381" customWidth="1"/>
    <col min="2321" max="2321" width="9.140625" style="381"/>
    <col min="2322" max="2322" width="9.7109375" style="381" customWidth="1"/>
    <col min="2323" max="2323" width="9.5703125" style="381" customWidth="1"/>
    <col min="2324" max="2324" width="10.140625" style="381" customWidth="1"/>
    <col min="2325" max="2560" width="9.140625" style="381"/>
    <col min="2561" max="2563" width="4.7109375" style="381" customWidth="1"/>
    <col min="2564" max="2564" width="9" style="381" customWidth="1"/>
    <col min="2565" max="2565" width="47.28515625" style="381" customWidth="1"/>
    <col min="2566" max="2566" width="11.5703125" style="381" customWidth="1"/>
    <col min="2567" max="2568" width="13.5703125" style="381" customWidth="1"/>
    <col min="2569" max="2569" width="7.42578125" style="381" customWidth="1"/>
    <col min="2570" max="2575" width="0" style="381" hidden="1" customWidth="1"/>
    <col min="2576" max="2576" width="2.28515625" style="381" customWidth="1"/>
    <col min="2577" max="2577" width="9.140625" style="381"/>
    <col min="2578" max="2578" width="9.7109375" style="381" customWidth="1"/>
    <col min="2579" max="2579" width="9.5703125" style="381" customWidth="1"/>
    <col min="2580" max="2580" width="10.140625" style="381" customWidth="1"/>
    <col min="2581" max="2816" width="9.140625" style="381"/>
    <col min="2817" max="2819" width="4.7109375" style="381" customWidth="1"/>
    <col min="2820" max="2820" width="9" style="381" customWidth="1"/>
    <col min="2821" max="2821" width="47.28515625" style="381" customWidth="1"/>
    <col min="2822" max="2822" width="11.5703125" style="381" customWidth="1"/>
    <col min="2823" max="2824" width="13.5703125" style="381" customWidth="1"/>
    <col min="2825" max="2825" width="7.42578125" style="381" customWidth="1"/>
    <col min="2826" max="2831" width="0" style="381" hidden="1" customWidth="1"/>
    <col min="2832" max="2832" width="2.28515625" style="381" customWidth="1"/>
    <col min="2833" max="2833" width="9.140625" style="381"/>
    <col min="2834" max="2834" width="9.7109375" style="381" customWidth="1"/>
    <col min="2835" max="2835" width="9.5703125" style="381" customWidth="1"/>
    <col min="2836" max="2836" width="10.140625" style="381" customWidth="1"/>
    <col min="2837" max="3072" width="9.140625" style="381"/>
    <col min="3073" max="3075" width="4.7109375" style="381" customWidth="1"/>
    <col min="3076" max="3076" width="9" style="381" customWidth="1"/>
    <col min="3077" max="3077" width="47.28515625" style="381" customWidth="1"/>
    <col min="3078" max="3078" width="11.5703125" style="381" customWidth="1"/>
    <col min="3079" max="3080" width="13.5703125" style="381" customWidth="1"/>
    <col min="3081" max="3081" width="7.42578125" style="381" customWidth="1"/>
    <col min="3082" max="3087" width="0" style="381" hidden="1" customWidth="1"/>
    <col min="3088" max="3088" width="2.28515625" style="381" customWidth="1"/>
    <col min="3089" max="3089" width="9.140625" style="381"/>
    <col min="3090" max="3090" width="9.7109375" style="381" customWidth="1"/>
    <col min="3091" max="3091" width="9.5703125" style="381" customWidth="1"/>
    <col min="3092" max="3092" width="10.140625" style="381" customWidth="1"/>
    <col min="3093" max="3328" width="9.140625" style="381"/>
    <col min="3329" max="3331" width="4.7109375" style="381" customWidth="1"/>
    <col min="3332" max="3332" width="9" style="381" customWidth="1"/>
    <col min="3333" max="3333" width="47.28515625" style="381" customWidth="1"/>
    <col min="3334" max="3334" width="11.5703125" style="381" customWidth="1"/>
    <col min="3335" max="3336" width="13.5703125" style="381" customWidth="1"/>
    <col min="3337" max="3337" width="7.42578125" style="381" customWidth="1"/>
    <col min="3338" max="3343" width="0" style="381" hidden="1" customWidth="1"/>
    <col min="3344" max="3344" width="2.28515625" style="381" customWidth="1"/>
    <col min="3345" max="3345" width="9.140625" style="381"/>
    <col min="3346" max="3346" width="9.7109375" style="381" customWidth="1"/>
    <col min="3347" max="3347" width="9.5703125" style="381" customWidth="1"/>
    <col min="3348" max="3348" width="10.140625" style="381" customWidth="1"/>
    <col min="3349" max="3584" width="9.140625" style="381"/>
    <col min="3585" max="3587" width="4.7109375" style="381" customWidth="1"/>
    <col min="3588" max="3588" width="9" style="381" customWidth="1"/>
    <col min="3589" max="3589" width="47.28515625" style="381" customWidth="1"/>
    <col min="3590" max="3590" width="11.5703125" style="381" customWidth="1"/>
    <col min="3591" max="3592" width="13.5703125" style="381" customWidth="1"/>
    <col min="3593" max="3593" width="7.42578125" style="381" customWidth="1"/>
    <col min="3594" max="3599" width="0" style="381" hidden="1" customWidth="1"/>
    <col min="3600" max="3600" width="2.28515625" style="381" customWidth="1"/>
    <col min="3601" max="3601" width="9.140625" style="381"/>
    <col min="3602" max="3602" width="9.7109375" style="381" customWidth="1"/>
    <col min="3603" max="3603" width="9.5703125" style="381" customWidth="1"/>
    <col min="3604" max="3604" width="10.140625" style="381" customWidth="1"/>
    <col min="3605" max="3840" width="9.140625" style="381"/>
    <col min="3841" max="3843" width="4.7109375" style="381" customWidth="1"/>
    <col min="3844" max="3844" width="9" style="381" customWidth="1"/>
    <col min="3845" max="3845" width="47.28515625" style="381" customWidth="1"/>
    <col min="3846" max="3846" width="11.5703125" style="381" customWidth="1"/>
    <col min="3847" max="3848" width="13.5703125" style="381" customWidth="1"/>
    <col min="3849" max="3849" width="7.42578125" style="381" customWidth="1"/>
    <col min="3850" max="3855" width="0" style="381" hidden="1" customWidth="1"/>
    <col min="3856" max="3856" width="2.28515625" style="381" customWidth="1"/>
    <col min="3857" max="3857" width="9.140625" style="381"/>
    <col min="3858" max="3858" width="9.7109375" style="381" customWidth="1"/>
    <col min="3859" max="3859" width="9.5703125" style="381" customWidth="1"/>
    <col min="3860" max="3860" width="10.140625" style="381" customWidth="1"/>
    <col min="3861" max="4096" width="9.140625" style="381"/>
    <col min="4097" max="4099" width="4.7109375" style="381" customWidth="1"/>
    <col min="4100" max="4100" width="9" style="381" customWidth="1"/>
    <col min="4101" max="4101" width="47.28515625" style="381" customWidth="1"/>
    <col min="4102" max="4102" width="11.5703125" style="381" customWidth="1"/>
    <col min="4103" max="4104" width="13.5703125" style="381" customWidth="1"/>
    <col min="4105" max="4105" width="7.42578125" style="381" customWidth="1"/>
    <col min="4106" max="4111" width="0" style="381" hidden="1" customWidth="1"/>
    <col min="4112" max="4112" width="2.28515625" style="381" customWidth="1"/>
    <col min="4113" max="4113" width="9.140625" style="381"/>
    <col min="4114" max="4114" width="9.7109375" style="381" customWidth="1"/>
    <col min="4115" max="4115" width="9.5703125" style="381" customWidth="1"/>
    <col min="4116" max="4116" width="10.140625" style="381" customWidth="1"/>
    <col min="4117" max="4352" width="9.140625" style="381"/>
    <col min="4353" max="4355" width="4.7109375" style="381" customWidth="1"/>
    <col min="4356" max="4356" width="9" style="381" customWidth="1"/>
    <col min="4357" max="4357" width="47.28515625" style="381" customWidth="1"/>
    <col min="4358" max="4358" width="11.5703125" style="381" customWidth="1"/>
    <col min="4359" max="4360" width="13.5703125" style="381" customWidth="1"/>
    <col min="4361" max="4361" width="7.42578125" style="381" customWidth="1"/>
    <col min="4362" max="4367" width="0" style="381" hidden="1" customWidth="1"/>
    <col min="4368" max="4368" width="2.28515625" style="381" customWidth="1"/>
    <col min="4369" max="4369" width="9.140625" style="381"/>
    <col min="4370" max="4370" width="9.7109375" style="381" customWidth="1"/>
    <col min="4371" max="4371" width="9.5703125" style="381" customWidth="1"/>
    <col min="4372" max="4372" width="10.140625" style="381" customWidth="1"/>
    <col min="4373" max="4608" width="9.140625" style="381"/>
    <col min="4609" max="4611" width="4.7109375" style="381" customWidth="1"/>
    <col min="4612" max="4612" width="9" style="381" customWidth="1"/>
    <col min="4613" max="4613" width="47.28515625" style="381" customWidth="1"/>
    <col min="4614" max="4614" width="11.5703125" style="381" customWidth="1"/>
    <col min="4615" max="4616" width="13.5703125" style="381" customWidth="1"/>
    <col min="4617" max="4617" width="7.42578125" style="381" customWidth="1"/>
    <col min="4618" max="4623" width="0" style="381" hidden="1" customWidth="1"/>
    <col min="4624" max="4624" width="2.28515625" style="381" customWidth="1"/>
    <col min="4625" max="4625" width="9.140625" style="381"/>
    <col min="4626" max="4626" width="9.7109375" style="381" customWidth="1"/>
    <col min="4627" max="4627" width="9.5703125" style="381" customWidth="1"/>
    <col min="4628" max="4628" width="10.140625" style="381" customWidth="1"/>
    <col min="4629" max="4864" width="9.140625" style="381"/>
    <col min="4865" max="4867" width="4.7109375" style="381" customWidth="1"/>
    <col min="4868" max="4868" width="9" style="381" customWidth="1"/>
    <col min="4869" max="4869" width="47.28515625" style="381" customWidth="1"/>
    <col min="4870" max="4870" width="11.5703125" style="381" customWidth="1"/>
    <col min="4871" max="4872" width="13.5703125" style="381" customWidth="1"/>
    <col min="4873" max="4873" width="7.42578125" style="381" customWidth="1"/>
    <col min="4874" max="4879" width="0" style="381" hidden="1" customWidth="1"/>
    <col min="4880" max="4880" width="2.28515625" style="381" customWidth="1"/>
    <col min="4881" max="4881" width="9.140625" style="381"/>
    <col min="4882" max="4882" width="9.7109375" style="381" customWidth="1"/>
    <col min="4883" max="4883" width="9.5703125" style="381" customWidth="1"/>
    <col min="4884" max="4884" width="10.140625" style="381" customWidth="1"/>
    <col min="4885" max="5120" width="9.140625" style="381"/>
    <col min="5121" max="5123" width="4.7109375" style="381" customWidth="1"/>
    <col min="5124" max="5124" width="9" style="381" customWidth="1"/>
    <col min="5125" max="5125" width="47.28515625" style="381" customWidth="1"/>
    <col min="5126" max="5126" width="11.5703125" style="381" customWidth="1"/>
    <col min="5127" max="5128" width="13.5703125" style="381" customWidth="1"/>
    <col min="5129" max="5129" width="7.42578125" style="381" customWidth="1"/>
    <col min="5130" max="5135" width="0" style="381" hidden="1" customWidth="1"/>
    <col min="5136" max="5136" width="2.28515625" style="381" customWidth="1"/>
    <col min="5137" max="5137" width="9.140625" style="381"/>
    <col min="5138" max="5138" width="9.7109375" style="381" customWidth="1"/>
    <col min="5139" max="5139" width="9.5703125" style="381" customWidth="1"/>
    <col min="5140" max="5140" width="10.140625" style="381" customWidth="1"/>
    <col min="5141" max="5376" width="9.140625" style="381"/>
    <col min="5377" max="5379" width="4.7109375" style="381" customWidth="1"/>
    <col min="5380" max="5380" width="9" style="381" customWidth="1"/>
    <col min="5381" max="5381" width="47.28515625" style="381" customWidth="1"/>
    <col min="5382" max="5382" width="11.5703125" style="381" customWidth="1"/>
    <col min="5383" max="5384" width="13.5703125" style="381" customWidth="1"/>
    <col min="5385" max="5385" width="7.42578125" style="381" customWidth="1"/>
    <col min="5386" max="5391" width="0" style="381" hidden="1" customWidth="1"/>
    <col min="5392" max="5392" width="2.28515625" style="381" customWidth="1"/>
    <col min="5393" max="5393" width="9.140625" style="381"/>
    <col min="5394" max="5394" width="9.7109375" style="381" customWidth="1"/>
    <col min="5395" max="5395" width="9.5703125" style="381" customWidth="1"/>
    <col min="5396" max="5396" width="10.140625" style="381" customWidth="1"/>
    <col min="5397" max="5632" width="9.140625" style="381"/>
    <col min="5633" max="5635" width="4.7109375" style="381" customWidth="1"/>
    <col min="5636" max="5636" width="9" style="381" customWidth="1"/>
    <col min="5637" max="5637" width="47.28515625" style="381" customWidth="1"/>
    <col min="5638" max="5638" width="11.5703125" style="381" customWidth="1"/>
    <col min="5639" max="5640" width="13.5703125" style="381" customWidth="1"/>
    <col min="5641" max="5641" width="7.42578125" style="381" customWidth="1"/>
    <col min="5642" max="5647" width="0" style="381" hidden="1" customWidth="1"/>
    <col min="5648" max="5648" width="2.28515625" style="381" customWidth="1"/>
    <col min="5649" max="5649" width="9.140625" style="381"/>
    <col min="5650" max="5650" width="9.7109375" style="381" customWidth="1"/>
    <col min="5651" max="5651" width="9.5703125" style="381" customWidth="1"/>
    <col min="5652" max="5652" width="10.140625" style="381" customWidth="1"/>
    <col min="5653" max="5888" width="9.140625" style="381"/>
    <col min="5889" max="5891" width="4.7109375" style="381" customWidth="1"/>
    <col min="5892" max="5892" width="9" style="381" customWidth="1"/>
    <col min="5893" max="5893" width="47.28515625" style="381" customWidth="1"/>
    <col min="5894" max="5894" width="11.5703125" style="381" customWidth="1"/>
    <col min="5895" max="5896" width="13.5703125" style="381" customWidth="1"/>
    <col min="5897" max="5897" width="7.42578125" style="381" customWidth="1"/>
    <col min="5898" max="5903" width="0" style="381" hidden="1" customWidth="1"/>
    <col min="5904" max="5904" width="2.28515625" style="381" customWidth="1"/>
    <col min="5905" max="5905" width="9.140625" style="381"/>
    <col min="5906" max="5906" width="9.7109375" style="381" customWidth="1"/>
    <col min="5907" max="5907" width="9.5703125" style="381" customWidth="1"/>
    <col min="5908" max="5908" width="10.140625" style="381" customWidth="1"/>
    <col min="5909" max="6144" width="9.140625" style="381"/>
    <col min="6145" max="6147" width="4.7109375" style="381" customWidth="1"/>
    <col min="6148" max="6148" width="9" style="381" customWidth="1"/>
    <col min="6149" max="6149" width="47.28515625" style="381" customWidth="1"/>
    <col min="6150" max="6150" width="11.5703125" style="381" customWidth="1"/>
    <col min="6151" max="6152" width="13.5703125" style="381" customWidth="1"/>
    <col min="6153" max="6153" width="7.42578125" style="381" customWidth="1"/>
    <col min="6154" max="6159" width="0" style="381" hidden="1" customWidth="1"/>
    <col min="6160" max="6160" width="2.28515625" style="381" customWidth="1"/>
    <col min="6161" max="6161" width="9.140625" style="381"/>
    <col min="6162" max="6162" width="9.7109375" style="381" customWidth="1"/>
    <col min="6163" max="6163" width="9.5703125" style="381" customWidth="1"/>
    <col min="6164" max="6164" width="10.140625" style="381" customWidth="1"/>
    <col min="6165" max="6400" width="9.140625" style="381"/>
    <col min="6401" max="6403" width="4.7109375" style="381" customWidth="1"/>
    <col min="6404" max="6404" width="9" style="381" customWidth="1"/>
    <col min="6405" max="6405" width="47.28515625" style="381" customWidth="1"/>
    <col min="6406" max="6406" width="11.5703125" style="381" customWidth="1"/>
    <col min="6407" max="6408" width="13.5703125" style="381" customWidth="1"/>
    <col min="6409" max="6409" width="7.42578125" style="381" customWidth="1"/>
    <col min="6410" max="6415" width="0" style="381" hidden="1" customWidth="1"/>
    <col min="6416" max="6416" width="2.28515625" style="381" customWidth="1"/>
    <col min="6417" max="6417" width="9.140625" style="381"/>
    <col min="6418" max="6418" width="9.7109375" style="381" customWidth="1"/>
    <col min="6419" max="6419" width="9.5703125" style="381" customWidth="1"/>
    <col min="6420" max="6420" width="10.140625" style="381" customWidth="1"/>
    <col min="6421" max="6656" width="9.140625" style="381"/>
    <col min="6657" max="6659" width="4.7109375" style="381" customWidth="1"/>
    <col min="6660" max="6660" width="9" style="381" customWidth="1"/>
    <col min="6661" max="6661" width="47.28515625" style="381" customWidth="1"/>
    <col min="6662" max="6662" width="11.5703125" style="381" customWidth="1"/>
    <col min="6663" max="6664" width="13.5703125" style="381" customWidth="1"/>
    <col min="6665" max="6665" width="7.42578125" style="381" customWidth="1"/>
    <col min="6666" max="6671" width="0" style="381" hidden="1" customWidth="1"/>
    <col min="6672" max="6672" width="2.28515625" style="381" customWidth="1"/>
    <col min="6673" max="6673" width="9.140625" style="381"/>
    <col min="6674" max="6674" width="9.7109375" style="381" customWidth="1"/>
    <col min="6675" max="6675" width="9.5703125" style="381" customWidth="1"/>
    <col min="6676" max="6676" width="10.140625" style="381" customWidth="1"/>
    <col min="6677" max="6912" width="9.140625" style="381"/>
    <col min="6913" max="6915" width="4.7109375" style="381" customWidth="1"/>
    <col min="6916" max="6916" width="9" style="381" customWidth="1"/>
    <col min="6917" max="6917" width="47.28515625" style="381" customWidth="1"/>
    <col min="6918" max="6918" width="11.5703125" style="381" customWidth="1"/>
    <col min="6919" max="6920" width="13.5703125" style="381" customWidth="1"/>
    <col min="6921" max="6921" width="7.42578125" style="381" customWidth="1"/>
    <col min="6922" max="6927" width="0" style="381" hidden="1" customWidth="1"/>
    <col min="6928" max="6928" width="2.28515625" style="381" customWidth="1"/>
    <col min="6929" max="6929" width="9.140625" style="381"/>
    <col min="6930" max="6930" width="9.7109375" style="381" customWidth="1"/>
    <col min="6931" max="6931" width="9.5703125" style="381" customWidth="1"/>
    <col min="6932" max="6932" width="10.140625" style="381" customWidth="1"/>
    <col min="6933" max="7168" width="9.140625" style="381"/>
    <col min="7169" max="7171" width="4.7109375" style="381" customWidth="1"/>
    <col min="7172" max="7172" width="9" style="381" customWidth="1"/>
    <col min="7173" max="7173" width="47.28515625" style="381" customWidth="1"/>
    <col min="7174" max="7174" width="11.5703125" style="381" customWidth="1"/>
    <col min="7175" max="7176" width="13.5703125" style="381" customWidth="1"/>
    <col min="7177" max="7177" width="7.42578125" style="381" customWidth="1"/>
    <col min="7178" max="7183" width="0" style="381" hidden="1" customWidth="1"/>
    <col min="7184" max="7184" width="2.28515625" style="381" customWidth="1"/>
    <col min="7185" max="7185" width="9.140625" style="381"/>
    <col min="7186" max="7186" width="9.7109375" style="381" customWidth="1"/>
    <col min="7187" max="7187" width="9.5703125" style="381" customWidth="1"/>
    <col min="7188" max="7188" width="10.140625" style="381" customWidth="1"/>
    <col min="7189" max="7424" width="9.140625" style="381"/>
    <col min="7425" max="7427" width="4.7109375" style="381" customWidth="1"/>
    <col min="7428" max="7428" width="9" style="381" customWidth="1"/>
    <col min="7429" max="7429" width="47.28515625" style="381" customWidth="1"/>
    <col min="7430" max="7430" width="11.5703125" style="381" customWidth="1"/>
    <col min="7431" max="7432" width="13.5703125" style="381" customWidth="1"/>
    <col min="7433" max="7433" width="7.42578125" style="381" customWidth="1"/>
    <col min="7434" max="7439" width="0" style="381" hidden="1" customWidth="1"/>
    <col min="7440" max="7440" width="2.28515625" style="381" customWidth="1"/>
    <col min="7441" max="7441" width="9.140625" style="381"/>
    <col min="7442" max="7442" width="9.7109375" style="381" customWidth="1"/>
    <col min="7443" max="7443" width="9.5703125" style="381" customWidth="1"/>
    <col min="7444" max="7444" width="10.140625" style="381" customWidth="1"/>
    <col min="7445" max="7680" width="9.140625" style="381"/>
    <col min="7681" max="7683" width="4.7109375" style="381" customWidth="1"/>
    <col min="7684" max="7684" width="9" style="381" customWidth="1"/>
    <col min="7685" max="7685" width="47.28515625" style="381" customWidth="1"/>
    <col min="7686" max="7686" width="11.5703125" style="381" customWidth="1"/>
    <col min="7687" max="7688" width="13.5703125" style="381" customWidth="1"/>
    <col min="7689" max="7689" width="7.42578125" style="381" customWidth="1"/>
    <col min="7690" max="7695" width="0" style="381" hidden="1" customWidth="1"/>
    <col min="7696" max="7696" width="2.28515625" style="381" customWidth="1"/>
    <col min="7697" max="7697" width="9.140625" style="381"/>
    <col min="7698" max="7698" width="9.7109375" style="381" customWidth="1"/>
    <col min="7699" max="7699" width="9.5703125" style="381" customWidth="1"/>
    <col min="7700" max="7700" width="10.140625" style="381" customWidth="1"/>
    <col min="7701" max="7936" width="9.140625" style="381"/>
    <col min="7937" max="7939" width="4.7109375" style="381" customWidth="1"/>
    <col min="7940" max="7940" width="9" style="381" customWidth="1"/>
    <col min="7941" max="7941" width="47.28515625" style="381" customWidth="1"/>
    <col min="7942" max="7942" width="11.5703125" style="381" customWidth="1"/>
    <col min="7943" max="7944" width="13.5703125" style="381" customWidth="1"/>
    <col min="7945" max="7945" width="7.42578125" style="381" customWidth="1"/>
    <col min="7946" max="7951" width="0" style="381" hidden="1" customWidth="1"/>
    <col min="7952" max="7952" width="2.28515625" style="381" customWidth="1"/>
    <col min="7953" max="7953" width="9.140625" style="381"/>
    <col min="7954" max="7954" width="9.7109375" style="381" customWidth="1"/>
    <col min="7955" max="7955" width="9.5703125" style="381" customWidth="1"/>
    <col min="7956" max="7956" width="10.140625" style="381" customWidth="1"/>
    <col min="7957" max="8192" width="9.140625" style="381"/>
    <col min="8193" max="8195" width="4.7109375" style="381" customWidth="1"/>
    <col min="8196" max="8196" width="9" style="381" customWidth="1"/>
    <col min="8197" max="8197" width="47.28515625" style="381" customWidth="1"/>
    <col min="8198" max="8198" width="11.5703125" style="381" customWidth="1"/>
    <col min="8199" max="8200" width="13.5703125" style="381" customWidth="1"/>
    <col min="8201" max="8201" width="7.42578125" style="381" customWidth="1"/>
    <col min="8202" max="8207" width="0" style="381" hidden="1" customWidth="1"/>
    <col min="8208" max="8208" width="2.28515625" style="381" customWidth="1"/>
    <col min="8209" max="8209" width="9.140625" style="381"/>
    <col min="8210" max="8210" width="9.7109375" style="381" customWidth="1"/>
    <col min="8211" max="8211" width="9.5703125" style="381" customWidth="1"/>
    <col min="8212" max="8212" width="10.140625" style="381" customWidth="1"/>
    <col min="8213" max="8448" width="9.140625" style="381"/>
    <col min="8449" max="8451" width="4.7109375" style="381" customWidth="1"/>
    <col min="8452" max="8452" width="9" style="381" customWidth="1"/>
    <col min="8453" max="8453" width="47.28515625" style="381" customWidth="1"/>
    <col min="8454" max="8454" width="11.5703125" style="381" customWidth="1"/>
    <col min="8455" max="8456" width="13.5703125" style="381" customWidth="1"/>
    <col min="8457" max="8457" width="7.42578125" style="381" customWidth="1"/>
    <col min="8458" max="8463" width="0" style="381" hidden="1" customWidth="1"/>
    <col min="8464" max="8464" width="2.28515625" style="381" customWidth="1"/>
    <col min="8465" max="8465" width="9.140625" style="381"/>
    <col min="8466" max="8466" width="9.7109375" style="381" customWidth="1"/>
    <col min="8467" max="8467" width="9.5703125" style="381" customWidth="1"/>
    <col min="8468" max="8468" width="10.140625" style="381" customWidth="1"/>
    <col min="8469" max="8704" width="9.140625" style="381"/>
    <col min="8705" max="8707" width="4.7109375" style="381" customWidth="1"/>
    <col min="8708" max="8708" width="9" style="381" customWidth="1"/>
    <col min="8709" max="8709" width="47.28515625" style="381" customWidth="1"/>
    <col min="8710" max="8710" width="11.5703125" style="381" customWidth="1"/>
    <col min="8711" max="8712" width="13.5703125" style="381" customWidth="1"/>
    <col min="8713" max="8713" width="7.42578125" style="381" customWidth="1"/>
    <col min="8714" max="8719" width="0" style="381" hidden="1" customWidth="1"/>
    <col min="8720" max="8720" width="2.28515625" style="381" customWidth="1"/>
    <col min="8721" max="8721" width="9.140625" style="381"/>
    <col min="8722" max="8722" width="9.7109375" style="381" customWidth="1"/>
    <col min="8723" max="8723" width="9.5703125" style="381" customWidth="1"/>
    <col min="8724" max="8724" width="10.140625" style="381" customWidth="1"/>
    <col min="8725" max="8960" width="9.140625" style="381"/>
    <col min="8961" max="8963" width="4.7109375" style="381" customWidth="1"/>
    <col min="8964" max="8964" width="9" style="381" customWidth="1"/>
    <col min="8965" max="8965" width="47.28515625" style="381" customWidth="1"/>
    <col min="8966" max="8966" width="11.5703125" style="381" customWidth="1"/>
    <col min="8967" max="8968" width="13.5703125" style="381" customWidth="1"/>
    <col min="8969" max="8969" width="7.42578125" style="381" customWidth="1"/>
    <col min="8970" max="8975" width="0" style="381" hidden="1" customWidth="1"/>
    <col min="8976" max="8976" width="2.28515625" style="381" customWidth="1"/>
    <col min="8977" max="8977" width="9.140625" style="381"/>
    <col min="8978" max="8978" width="9.7109375" style="381" customWidth="1"/>
    <col min="8979" max="8979" width="9.5703125" style="381" customWidth="1"/>
    <col min="8980" max="8980" width="10.140625" style="381" customWidth="1"/>
    <col min="8981" max="9216" width="9.140625" style="381"/>
    <col min="9217" max="9219" width="4.7109375" style="381" customWidth="1"/>
    <col min="9220" max="9220" width="9" style="381" customWidth="1"/>
    <col min="9221" max="9221" width="47.28515625" style="381" customWidth="1"/>
    <col min="9222" max="9222" width="11.5703125" style="381" customWidth="1"/>
    <col min="9223" max="9224" width="13.5703125" style="381" customWidth="1"/>
    <col min="9225" max="9225" width="7.42578125" style="381" customWidth="1"/>
    <col min="9226" max="9231" width="0" style="381" hidden="1" customWidth="1"/>
    <col min="9232" max="9232" width="2.28515625" style="381" customWidth="1"/>
    <col min="9233" max="9233" width="9.140625" style="381"/>
    <col min="9234" max="9234" width="9.7109375" style="381" customWidth="1"/>
    <col min="9235" max="9235" width="9.5703125" style="381" customWidth="1"/>
    <col min="9236" max="9236" width="10.140625" style="381" customWidth="1"/>
    <col min="9237" max="9472" width="9.140625" style="381"/>
    <col min="9473" max="9475" width="4.7109375" style="381" customWidth="1"/>
    <col min="9476" max="9476" width="9" style="381" customWidth="1"/>
    <col min="9477" max="9477" width="47.28515625" style="381" customWidth="1"/>
    <col min="9478" max="9478" width="11.5703125" style="381" customWidth="1"/>
    <col min="9479" max="9480" width="13.5703125" style="381" customWidth="1"/>
    <col min="9481" max="9481" width="7.42578125" style="381" customWidth="1"/>
    <col min="9482" max="9487" width="0" style="381" hidden="1" customWidth="1"/>
    <col min="9488" max="9488" width="2.28515625" style="381" customWidth="1"/>
    <col min="9489" max="9489" width="9.140625" style="381"/>
    <col min="9490" max="9490" width="9.7109375" style="381" customWidth="1"/>
    <col min="9491" max="9491" width="9.5703125" style="381" customWidth="1"/>
    <col min="9492" max="9492" width="10.140625" style="381" customWidth="1"/>
    <col min="9493" max="9728" width="9.140625" style="381"/>
    <col min="9729" max="9731" width="4.7109375" style="381" customWidth="1"/>
    <col min="9732" max="9732" width="9" style="381" customWidth="1"/>
    <col min="9733" max="9733" width="47.28515625" style="381" customWidth="1"/>
    <col min="9734" max="9734" width="11.5703125" style="381" customWidth="1"/>
    <col min="9735" max="9736" width="13.5703125" style="381" customWidth="1"/>
    <col min="9737" max="9737" width="7.42578125" style="381" customWidth="1"/>
    <col min="9738" max="9743" width="0" style="381" hidden="1" customWidth="1"/>
    <col min="9744" max="9744" width="2.28515625" style="381" customWidth="1"/>
    <col min="9745" max="9745" width="9.140625" style="381"/>
    <col min="9746" max="9746" width="9.7109375" style="381" customWidth="1"/>
    <col min="9747" max="9747" width="9.5703125" style="381" customWidth="1"/>
    <col min="9748" max="9748" width="10.140625" style="381" customWidth="1"/>
    <col min="9749" max="9984" width="9.140625" style="381"/>
    <col min="9985" max="9987" width="4.7109375" style="381" customWidth="1"/>
    <col min="9988" max="9988" width="9" style="381" customWidth="1"/>
    <col min="9989" max="9989" width="47.28515625" style="381" customWidth="1"/>
    <col min="9990" max="9990" width="11.5703125" style="381" customWidth="1"/>
    <col min="9991" max="9992" width="13.5703125" style="381" customWidth="1"/>
    <col min="9993" max="9993" width="7.42578125" style="381" customWidth="1"/>
    <col min="9994" max="9999" width="0" style="381" hidden="1" customWidth="1"/>
    <col min="10000" max="10000" width="2.28515625" style="381" customWidth="1"/>
    <col min="10001" max="10001" width="9.140625" style="381"/>
    <col min="10002" max="10002" width="9.7109375" style="381" customWidth="1"/>
    <col min="10003" max="10003" width="9.5703125" style="381" customWidth="1"/>
    <col min="10004" max="10004" width="10.140625" style="381" customWidth="1"/>
    <col min="10005" max="10240" width="9.140625" style="381"/>
    <col min="10241" max="10243" width="4.7109375" style="381" customWidth="1"/>
    <col min="10244" max="10244" width="9" style="381" customWidth="1"/>
    <col min="10245" max="10245" width="47.28515625" style="381" customWidth="1"/>
    <col min="10246" max="10246" width="11.5703125" style="381" customWidth="1"/>
    <col min="10247" max="10248" width="13.5703125" style="381" customWidth="1"/>
    <col min="10249" max="10249" width="7.42578125" style="381" customWidth="1"/>
    <col min="10250" max="10255" width="0" style="381" hidden="1" customWidth="1"/>
    <col min="10256" max="10256" width="2.28515625" style="381" customWidth="1"/>
    <col min="10257" max="10257" width="9.140625" style="381"/>
    <col min="10258" max="10258" width="9.7109375" style="381" customWidth="1"/>
    <col min="10259" max="10259" width="9.5703125" style="381" customWidth="1"/>
    <col min="10260" max="10260" width="10.140625" style="381" customWidth="1"/>
    <col min="10261" max="10496" width="9.140625" style="381"/>
    <col min="10497" max="10499" width="4.7109375" style="381" customWidth="1"/>
    <col min="10500" max="10500" width="9" style="381" customWidth="1"/>
    <col min="10501" max="10501" width="47.28515625" style="381" customWidth="1"/>
    <col min="10502" max="10502" width="11.5703125" style="381" customWidth="1"/>
    <col min="10503" max="10504" width="13.5703125" style="381" customWidth="1"/>
    <col min="10505" max="10505" width="7.42578125" style="381" customWidth="1"/>
    <col min="10506" max="10511" width="0" style="381" hidden="1" customWidth="1"/>
    <col min="10512" max="10512" width="2.28515625" style="381" customWidth="1"/>
    <col min="10513" max="10513" width="9.140625" style="381"/>
    <col min="10514" max="10514" width="9.7109375" style="381" customWidth="1"/>
    <col min="10515" max="10515" width="9.5703125" style="381" customWidth="1"/>
    <col min="10516" max="10516" width="10.140625" style="381" customWidth="1"/>
    <col min="10517" max="10752" width="9.140625" style="381"/>
    <col min="10753" max="10755" width="4.7109375" style="381" customWidth="1"/>
    <col min="10756" max="10756" width="9" style="381" customWidth="1"/>
    <col min="10757" max="10757" width="47.28515625" style="381" customWidth="1"/>
    <col min="10758" max="10758" width="11.5703125" style="381" customWidth="1"/>
    <col min="10759" max="10760" width="13.5703125" style="381" customWidth="1"/>
    <col min="10761" max="10761" width="7.42578125" style="381" customWidth="1"/>
    <col min="10762" max="10767" width="0" style="381" hidden="1" customWidth="1"/>
    <col min="10768" max="10768" width="2.28515625" style="381" customWidth="1"/>
    <col min="10769" max="10769" width="9.140625" style="381"/>
    <col min="10770" max="10770" width="9.7109375" style="381" customWidth="1"/>
    <col min="10771" max="10771" width="9.5703125" style="381" customWidth="1"/>
    <col min="10772" max="10772" width="10.140625" style="381" customWidth="1"/>
    <col min="10773" max="11008" width="9.140625" style="381"/>
    <col min="11009" max="11011" width="4.7109375" style="381" customWidth="1"/>
    <col min="11012" max="11012" width="9" style="381" customWidth="1"/>
    <col min="11013" max="11013" width="47.28515625" style="381" customWidth="1"/>
    <col min="11014" max="11014" width="11.5703125" style="381" customWidth="1"/>
    <col min="11015" max="11016" width="13.5703125" style="381" customWidth="1"/>
    <col min="11017" max="11017" width="7.42578125" style="381" customWidth="1"/>
    <col min="11018" max="11023" width="0" style="381" hidden="1" customWidth="1"/>
    <col min="11024" max="11024" width="2.28515625" style="381" customWidth="1"/>
    <col min="11025" max="11025" width="9.140625" style="381"/>
    <col min="11026" max="11026" width="9.7109375" style="381" customWidth="1"/>
    <col min="11027" max="11027" width="9.5703125" style="381" customWidth="1"/>
    <col min="11028" max="11028" width="10.140625" style="381" customWidth="1"/>
    <col min="11029" max="11264" width="9.140625" style="381"/>
    <col min="11265" max="11267" width="4.7109375" style="381" customWidth="1"/>
    <col min="11268" max="11268" width="9" style="381" customWidth="1"/>
    <col min="11269" max="11269" width="47.28515625" style="381" customWidth="1"/>
    <col min="11270" max="11270" width="11.5703125" style="381" customWidth="1"/>
    <col min="11271" max="11272" width="13.5703125" style="381" customWidth="1"/>
    <col min="11273" max="11273" width="7.42578125" style="381" customWidth="1"/>
    <col min="11274" max="11279" width="0" style="381" hidden="1" customWidth="1"/>
    <col min="11280" max="11280" width="2.28515625" style="381" customWidth="1"/>
    <col min="11281" max="11281" width="9.140625" style="381"/>
    <col min="11282" max="11282" width="9.7109375" style="381" customWidth="1"/>
    <col min="11283" max="11283" width="9.5703125" style="381" customWidth="1"/>
    <col min="11284" max="11284" width="10.140625" style="381" customWidth="1"/>
    <col min="11285" max="11520" width="9.140625" style="381"/>
    <col min="11521" max="11523" width="4.7109375" style="381" customWidth="1"/>
    <col min="11524" max="11524" width="9" style="381" customWidth="1"/>
    <col min="11525" max="11525" width="47.28515625" style="381" customWidth="1"/>
    <col min="11526" max="11526" width="11.5703125" style="381" customWidth="1"/>
    <col min="11527" max="11528" width="13.5703125" style="381" customWidth="1"/>
    <col min="11529" max="11529" width="7.42578125" style="381" customWidth="1"/>
    <col min="11530" max="11535" width="0" style="381" hidden="1" customWidth="1"/>
    <col min="11536" max="11536" width="2.28515625" style="381" customWidth="1"/>
    <col min="11537" max="11537" width="9.140625" style="381"/>
    <col min="11538" max="11538" width="9.7109375" style="381" customWidth="1"/>
    <col min="11539" max="11539" width="9.5703125" style="381" customWidth="1"/>
    <col min="11540" max="11540" width="10.140625" style="381" customWidth="1"/>
    <col min="11541" max="11776" width="9.140625" style="381"/>
    <col min="11777" max="11779" width="4.7109375" style="381" customWidth="1"/>
    <col min="11780" max="11780" width="9" style="381" customWidth="1"/>
    <col min="11781" max="11781" width="47.28515625" style="381" customWidth="1"/>
    <col min="11782" max="11782" width="11.5703125" style="381" customWidth="1"/>
    <col min="11783" max="11784" width="13.5703125" style="381" customWidth="1"/>
    <col min="11785" max="11785" width="7.42578125" style="381" customWidth="1"/>
    <col min="11786" max="11791" width="0" style="381" hidden="1" customWidth="1"/>
    <col min="11792" max="11792" width="2.28515625" style="381" customWidth="1"/>
    <col min="11793" max="11793" width="9.140625" style="381"/>
    <col min="11794" max="11794" width="9.7109375" style="381" customWidth="1"/>
    <col min="11795" max="11795" width="9.5703125" style="381" customWidth="1"/>
    <col min="11796" max="11796" width="10.140625" style="381" customWidth="1"/>
    <col min="11797" max="12032" width="9.140625" style="381"/>
    <col min="12033" max="12035" width="4.7109375" style="381" customWidth="1"/>
    <col min="12036" max="12036" width="9" style="381" customWidth="1"/>
    <col min="12037" max="12037" width="47.28515625" style="381" customWidth="1"/>
    <col min="12038" max="12038" width="11.5703125" style="381" customWidth="1"/>
    <col min="12039" max="12040" width="13.5703125" style="381" customWidth="1"/>
    <col min="12041" max="12041" width="7.42578125" style="381" customWidth="1"/>
    <col min="12042" max="12047" width="0" style="381" hidden="1" customWidth="1"/>
    <col min="12048" max="12048" width="2.28515625" style="381" customWidth="1"/>
    <col min="12049" max="12049" width="9.140625" style="381"/>
    <col min="12050" max="12050" width="9.7109375" style="381" customWidth="1"/>
    <col min="12051" max="12051" width="9.5703125" style="381" customWidth="1"/>
    <col min="12052" max="12052" width="10.140625" style="381" customWidth="1"/>
    <col min="12053" max="12288" width="9.140625" style="381"/>
    <col min="12289" max="12291" width="4.7109375" style="381" customWidth="1"/>
    <col min="12292" max="12292" width="9" style="381" customWidth="1"/>
    <col min="12293" max="12293" width="47.28515625" style="381" customWidth="1"/>
    <col min="12294" max="12294" width="11.5703125" style="381" customWidth="1"/>
    <col min="12295" max="12296" width="13.5703125" style="381" customWidth="1"/>
    <col min="12297" max="12297" width="7.42578125" style="381" customWidth="1"/>
    <col min="12298" max="12303" width="0" style="381" hidden="1" customWidth="1"/>
    <col min="12304" max="12304" width="2.28515625" style="381" customWidth="1"/>
    <col min="12305" max="12305" width="9.140625" style="381"/>
    <col min="12306" max="12306" width="9.7109375" style="381" customWidth="1"/>
    <col min="12307" max="12307" width="9.5703125" style="381" customWidth="1"/>
    <col min="12308" max="12308" width="10.140625" style="381" customWidth="1"/>
    <col min="12309" max="12544" width="9.140625" style="381"/>
    <col min="12545" max="12547" width="4.7109375" style="381" customWidth="1"/>
    <col min="12548" max="12548" width="9" style="381" customWidth="1"/>
    <col min="12549" max="12549" width="47.28515625" style="381" customWidth="1"/>
    <col min="12550" max="12550" width="11.5703125" style="381" customWidth="1"/>
    <col min="12551" max="12552" width="13.5703125" style="381" customWidth="1"/>
    <col min="12553" max="12553" width="7.42578125" style="381" customWidth="1"/>
    <col min="12554" max="12559" width="0" style="381" hidden="1" customWidth="1"/>
    <col min="12560" max="12560" width="2.28515625" style="381" customWidth="1"/>
    <col min="12561" max="12561" width="9.140625" style="381"/>
    <col min="12562" max="12562" width="9.7109375" style="381" customWidth="1"/>
    <col min="12563" max="12563" width="9.5703125" style="381" customWidth="1"/>
    <col min="12564" max="12564" width="10.140625" style="381" customWidth="1"/>
    <col min="12565" max="12800" width="9.140625" style="381"/>
    <col min="12801" max="12803" width="4.7109375" style="381" customWidth="1"/>
    <col min="12804" max="12804" width="9" style="381" customWidth="1"/>
    <col min="12805" max="12805" width="47.28515625" style="381" customWidth="1"/>
    <col min="12806" max="12806" width="11.5703125" style="381" customWidth="1"/>
    <col min="12807" max="12808" width="13.5703125" style="381" customWidth="1"/>
    <col min="12809" max="12809" width="7.42578125" style="381" customWidth="1"/>
    <col min="12810" max="12815" width="0" style="381" hidden="1" customWidth="1"/>
    <col min="12816" max="12816" width="2.28515625" style="381" customWidth="1"/>
    <col min="12817" max="12817" width="9.140625" style="381"/>
    <col min="12818" max="12818" width="9.7109375" style="381" customWidth="1"/>
    <col min="12819" max="12819" width="9.5703125" style="381" customWidth="1"/>
    <col min="12820" max="12820" width="10.140625" style="381" customWidth="1"/>
    <col min="12821" max="13056" width="9.140625" style="381"/>
    <col min="13057" max="13059" width="4.7109375" style="381" customWidth="1"/>
    <col min="13060" max="13060" width="9" style="381" customWidth="1"/>
    <col min="13061" max="13061" width="47.28515625" style="381" customWidth="1"/>
    <col min="13062" max="13062" width="11.5703125" style="381" customWidth="1"/>
    <col min="13063" max="13064" width="13.5703125" style="381" customWidth="1"/>
    <col min="13065" max="13065" width="7.42578125" style="381" customWidth="1"/>
    <col min="13066" max="13071" width="0" style="381" hidden="1" customWidth="1"/>
    <col min="13072" max="13072" width="2.28515625" style="381" customWidth="1"/>
    <col min="13073" max="13073" width="9.140625" style="381"/>
    <col min="13074" max="13074" width="9.7109375" style="381" customWidth="1"/>
    <col min="13075" max="13075" width="9.5703125" style="381" customWidth="1"/>
    <col min="13076" max="13076" width="10.140625" style="381" customWidth="1"/>
    <col min="13077" max="13312" width="9.140625" style="381"/>
    <col min="13313" max="13315" width="4.7109375" style="381" customWidth="1"/>
    <col min="13316" max="13316" width="9" style="381" customWidth="1"/>
    <col min="13317" max="13317" width="47.28515625" style="381" customWidth="1"/>
    <col min="13318" max="13318" width="11.5703125" style="381" customWidth="1"/>
    <col min="13319" max="13320" width="13.5703125" style="381" customWidth="1"/>
    <col min="13321" max="13321" width="7.42578125" style="381" customWidth="1"/>
    <col min="13322" max="13327" width="0" style="381" hidden="1" customWidth="1"/>
    <col min="13328" max="13328" width="2.28515625" style="381" customWidth="1"/>
    <col min="13329" max="13329" width="9.140625" style="381"/>
    <col min="13330" max="13330" width="9.7109375" style="381" customWidth="1"/>
    <col min="13331" max="13331" width="9.5703125" style="381" customWidth="1"/>
    <col min="13332" max="13332" width="10.140625" style="381" customWidth="1"/>
    <col min="13333" max="13568" width="9.140625" style="381"/>
    <col min="13569" max="13571" width="4.7109375" style="381" customWidth="1"/>
    <col min="13572" max="13572" width="9" style="381" customWidth="1"/>
    <col min="13573" max="13573" width="47.28515625" style="381" customWidth="1"/>
    <col min="13574" max="13574" width="11.5703125" style="381" customWidth="1"/>
    <col min="13575" max="13576" width="13.5703125" style="381" customWidth="1"/>
    <col min="13577" max="13577" width="7.42578125" style="381" customWidth="1"/>
    <col min="13578" max="13583" width="0" style="381" hidden="1" customWidth="1"/>
    <col min="13584" max="13584" width="2.28515625" style="381" customWidth="1"/>
    <col min="13585" max="13585" width="9.140625" style="381"/>
    <col min="13586" max="13586" width="9.7109375" style="381" customWidth="1"/>
    <col min="13587" max="13587" width="9.5703125" style="381" customWidth="1"/>
    <col min="13588" max="13588" width="10.140625" style="381" customWidth="1"/>
    <col min="13589" max="13824" width="9.140625" style="381"/>
    <col min="13825" max="13827" width="4.7109375" style="381" customWidth="1"/>
    <col min="13828" max="13828" width="9" style="381" customWidth="1"/>
    <col min="13829" max="13829" width="47.28515625" style="381" customWidth="1"/>
    <col min="13830" max="13830" width="11.5703125" style="381" customWidth="1"/>
    <col min="13831" max="13832" width="13.5703125" style="381" customWidth="1"/>
    <col min="13833" max="13833" width="7.42578125" style="381" customWidth="1"/>
    <col min="13834" max="13839" width="0" style="381" hidden="1" customWidth="1"/>
    <col min="13840" max="13840" width="2.28515625" style="381" customWidth="1"/>
    <col min="13841" max="13841" width="9.140625" style="381"/>
    <col min="13842" max="13842" width="9.7109375" style="381" customWidth="1"/>
    <col min="13843" max="13843" width="9.5703125" style="381" customWidth="1"/>
    <col min="13844" max="13844" width="10.140625" style="381" customWidth="1"/>
    <col min="13845" max="14080" width="9.140625" style="381"/>
    <col min="14081" max="14083" width="4.7109375" style="381" customWidth="1"/>
    <col min="14084" max="14084" width="9" style="381" customWidth="1"/>
    <col min="14085" max="14085" width="47.28515625" style="381" customWidth="1"/>
    <col min="14086" max="14086" width="11.5703125" style="381" customWidth="1"/>
    <col min="14087" max="14088" width="13.5703125" style="381" customWidth="1"/>
    <col min="14089" max="14089" width="7.42578125" style="381" customWidth="1"/>
    <col min="14090" max="14095" width="0" style="381" hidden="1" customWidth="1"/>
    <col min="14096" max="14096" width="2.28515625" style="381" customWidth="1"/>
    <col min="14097" max="14097" width="9.140625" style="381"/>
    <col min="14098" max="14098" width="9.7109375" style="381" customWidth="1"/>
    <col min="14099" max="14099" width="9.5703125" style="381" customWidth="1"/>
    <col min="14100" max="14100" width="10.140625" style="381" customWidth="1"/>
    <col min="14101" max="14336" width="9.140625" style="381"/>
    <col min="14337" max="14339" width="4.7109375" style="381" customWidth="1"/>
    <col min="14340" max="14340" width="9" style="381" customWidth="1"/>
    <col min="14341" max="14341" width="47.28515625" style="381" customWidth="1"/>
    <col min="14342" max="14342" width="11.5703125" style="381" customWidth="1"/>
    <col min="14343" max="14344" width="13.5703125" style="381" customWidth="1"/>
    <col min="14345" max="14345" width="7.42578125" style="381" customWidth="1"/>
    <col min="14346" max="14351" width="0" style="381" hidden="1" customWidth="1"/>
    <col min="14352" max="14352" width="2.28515625" style="381" customWidth="1"/>
    <col min="14353" max="14353" width="9.140625" style="381"/>
    <col min="14354" max="14354" width="9.7109375" style="381" customWidth="1"/>
    <col min="14355" max="14355" width="9.5703125" style="381" customWidth="1"/>
    <col min="14356" max="14356" width="10.140625" style="381" customWidth="1"/>
    <col min="14357" max="14592" width="9.140625" style="381"/>
    <col min="14593" max="14595" width="4.7109375" style="381" customWidth="1"/>
    <col min="14596" max="14596" width="9" style="381" customWidth="1"/>
    <col min="14597" max="14597" width="47.28515625" style="381" customWidth="1"/>
    <col min="14598" max="14598" width="11.5703125" style="381" customWidth="1"/>
    <col min="14599" max="14600" width="13.5703125" style="381" customWidth="1"/>
    <col min="14601" max="14601" width="7.42578125" style="381" customWidth="1"/>
    <col min="14602" max="14607" width="0" style="381" hidden="1" customWidth="1"/>
    <col min="14608" max="14608" width="2.28515625" style="381" customWidth="1"/>
    <col min="14609" max="14609" width="9.140625" style="381"/>
    <col min="14610" max="14610" width="9.7109375" style="381" customWidth="1"/>
    <col min="14611" max="14611" width="9.5703125" style="381" customWidth="1"/>
    <col min="14612" max="14612" width="10.140625" style="381" customWidth="1"/>
    <col min="14613" max="14848" width="9.140625" style="381"/>
    <col min="14849" max="14851" width="4.7109375" style="381" customWidth="1"/>
    <col min="14852" max="14852" width="9" style="381" customWidth="1"/>
    <col min="14853" max="14853" width="47.28515625" style="381" customWidth="1"/>
    <col min="14854" max="14854" width="11.5703125" style="381" customWidth="1"/>
    <col min="14855" max="14856" width="13.5703125" style="381" customWidth="1"/>
    <col min="14857" max="14857" width="7.42578125" style="381" customWidth="1"/>
    <col min="14858" max="14863" width="0" style="381" hidden="1" customWidth="1"/>
    <col min="14864" max="14864" width="2.28515625" style="381" customWidth="1"/>
    <col min="14865" max="14865" width="9.140625" style="381"/>
    <col min="14866" max="14866" width="9.7109375" style="381" customWidth="1"/>
    <col min="14867" max="14867" width="9.5703125" style="381" customWidth="1"/>
    <col min="14868" max="14868" width="10.140625" style="381" customWidth="1"/>
    <col min="14869" max="15104" width="9.140625" style="381"/>
    <col min="15105" max="15107" width="4.7109375" style="381" customWidth="1"/>
    <col min="15108" max="15108" width="9" style="381" customWidth="1"/>
    <col min="15109" max="15109" width="47.28515625" style="381" customWidth="1"/>
    <col min="15110" max="15110" width="11.5703125" style="381" customWidth="1"/>
    <col min="15111" max="15112" width="13.5703125" style="381" customWidth="1"/>
    <col min="15113" max="15113" width="7.42578125" style="381" customWidth="1"/>
    <col min="15114" max="15119" width="0" style="381" hidden="1" customWidth="1"/>
    <col min="15120" max="15120" width="2.28515625" style="381" customWidth="1"/>
    <col min="15121" max="15121" width="9.140625" style="381"/>
    <col min="15122" max="15122" width="9.7109375" style="381" customWidth="1"/>
    <col min="15123" max="15123" width="9.5703125" style="381" customWidth="1"/>
    <col min="15124" max="15124" width="10.140625" style="381" customWidth="1"/>
    <col min="15125" max="15360" width="9.140625" style="381"/>
    <col min="15361" max="15363" width="4.7109375" style="381" customWidth="1"/>
    <col min="15364" max="15364" width="9" style="381" customWidth="1"/>
    <col min="15365" max="15365" width="47.28515625" style="381" customWidth="1"/>
    <col min="15366" max="15366" width="11.5703125" style="381" customWidth="1"/>
    <col min="15367" max="15368" width="13.5703125" style="381" customWidth="1"/>
    <col min="15369" max="15369" width="7.42578125" style="381" customWidth="1"/>
    <col min="15370" max="15375" width="0" style="381" hidden="1" customWidth="1"/>
    <col min="15376" max="15376" width="2.28515625" style="381" customWidth="1"/>
    <col min="15377" max="15377" width="9.140625" style="381"/>
    <col min="15378" max="15378" width="9.7109375" style="381" customWidth="1"/>
    <col min="15379" max="15379" width="9.5703125" style="381" customWidth="1"/>
    <col min="15380" max="15380" width="10.140625" style="381" customWidth="1"/>
    <col min="15381" max="15616" width="9.140625" style="381"/>
    <col min="15617" max="15619" width="4.7109375" style="381" customWidth="1"/>
    <col min="15620" max="15620" width="9" style="381" customWidth="1"/>
    <col min="15621" max="15621" width="47.28515625" style="381" customWidth="1"/>
    <col min="15622" max="15622" width="11.5703125" style="381" customWidth="1"/>
    <col min="15623" max="15624" width="13.5703125" style="381" customWidth="1"/>
    <col min="15625" max="15625" width="7.42578125" style="381" customWidth="1"/>
    <col min="15626" max="15631" width="0" style="381" hidden="1" customWidth="1"/>
    <col min="15632" max="15632" width="2.28515625" style="381" customWidth="1"/>
    <col min="15633" max="15633" width="9.140625" style="381"/>
    <col min="15634" max="15634" width="9.7109375" style="381" customWidth="1"/>
    <col min="15635" max="15635" width="9.5703125" style="381" customWidth="1"/>
    <col min="15636" max="15636" width="10.140625" style="381" customWidth="1"/>
    <col min="15637" max="15872" width="9.140625" style="381"/>
    <col min="15873" max="15875" width="4.7109375" style="381" customWidth="1"/>
    <col min="15876" max="15876" width="9" style="381" customWidth="1"/>
    <col min="15877" max="15877" width="47.28515625" style="381" customWidth="1"/>
    <col min="15878" max="15878" width="11.5703125" style="381" customWidth="1"/>
    <col min="15879" max="15880" width="13.5703125" style="381" customWidth="1"/>
    <col min="15881" max="15881" width="7.42578125" style="381" customWidth="1"/>
    <col min="15882" max="15887" width="0" style="381" hidden="1" customWidth="1"/>
    <col min="15888" max="15888" width="2.28515625" style="381" customWidth="1"/>
    <col min="15889" max="15889" width="9.140625" style="381"/>
    <col min="15890" max="15890" width="9.7109375" style="381" customWidth="1"/>
    <col min="15891" max="15891" width="9.5703125" style="381" customWidth="1"/>
    <col min="15892" max="15892" width="10.140625" style="381" customWidth="1"/>
    <col min="15893" max="16128" width="9.140625" style="381"/>
    <col min="16129" max="16131" width="4.7109375" style="381" customWidth="1"/>
    <col min="16132" max="16132" width="9" style="381" customWidth="1"/>
    <col min="16133" max="16133" width="47.28515625" style="381" customWidth="1"/>
    <col min="16134" max="16134" width="11.5703125" style="381" customWidth="1"/>
    <col min="16135" max="16136" width="13.5703125" style="381" customWidth="1"/>
    <col min="16137" max="16137" width="7.42578125" style="381" customWidth="1"/>
    <col min="16138" max="16143" width="0" style="381" hidden="1" customWidth="1"/>
    <col min="16144" max="16144" width="2.28515625" style="381" customWidth="1"/>
    <col min="16145" max="16145" width="9.140625" style="381"/>
    <col min="16146" max="16146" width="9.7109375" style="381" customWidth="1"/>
    <col min="16147" max="16147" width="9.5703125" style="381" customWidth="1"/>
    <col min="16148" max="16148" width="10.140625" style="381" customWidth="1"/>
    <col min="16149" max="16384" width="9.140625" style="381"/>
  </cols>
  <sheetData>
    <row r="1" spans="1:10" ht="18.75" thickBot="1" x14ac:dyDescent="0.3">
      <c r="A1" s="463" t="s">
        <v>710</v>
      </c>
      <c r="B1" s="464"/>
      <c r="C1" s="488"/>
      <c r="D1" s="489"/>
      <c r="E1" s="1389"/>
      <c r="F1" s="466"/>
      <c r="G1" s="467" t="s">
        <v>711</v>
      </c>
      <c r="J1" s="17"/>
    </row>
    <row r="2" spans="1:10" ht="12.75" customHeight="1" x14ac:dyDescent="0.25">
      <c r="B2" s="6"/>
      <c r="C2" s="28"/>
      <c r="D2" s="63"/>
      <c r="E2" s="10"/>
      <c r="F2" s="307"/>
      <c r="G2" s="307"/>
      <c r="H2" s="182"/>
      <c r="I2" s="214"/>
      <c r="J2" s="17"/>
    </row>
    <row r="3" spans="1:10" ht="12.75" customHeight="1" x14ac:dyDescent="0.2">
      <c r="A3" s="67" t="s">
        <v>367</v>
      </c>
      <c r="B3" s="28"/>
      <c r="C3" s="523" t="s">
        <v>216</v>
      </c>
      <c r="D3" s="627"/>
      <c r="E3" s="307"/>
      <c r="F3" s="182"/>
      <c r="G3" s="183"/>
      <c r="H3" s="183"/>
    </row>
    <row r="4" spans="1:10" ht="12.75" customHeight="1" x14ac:dyDescent="0.25">
      <c r="A4" s="6"/>
      <c r="B4" s="28"/>
      <c r="C4" s="2553" t="s">
        <v>464</v>
      </c>
      <c r="D4" s="382"/>
      <c r="E4" s="307"/>
      <c r="F4" s="182"/>
      <c r="G4" s="183"/>
      <c r="H4" s="183"/>
    </row>
    <row r="5" spans="1:10" ht="12.75" customHeight="1" x14ac:dyDescent="0.25">
      <c r="A5" s="6"/>
      <c r="B5" s="28"/>
      <c r="C5" s="2553"/>
      <c r="D5" s="382"/>
      <c r="E5" s="307"/>
      <c r="F5" s="182"/>
      <c r="G5" s="183"/>
      <c r="H5" s="183"/>
    </row>
    <row r="6" spans="1:10" ht="12.75" customHeight="1" x14ac:dyDescent="0.25">
      <c r="B6" s="6"/>
      <c r="C6" s="28"/>
      <c r="D6" s="63"/>
      <c r="E6" s="10"/>
      <c r="F6" s="307"/>
      <c r="G6" s="307"/>
      <c r="H6" s="182"/>
      <c r="I6" s="214"/>
      <c r="J6" s="17"/>
    </row>
    <row r="7" spans="1:10" ht="18" x14ac:dyDescent="0.25">
      <c r="A7" s="33" t="s">
        <v>623</v>
      </c>
      <c r="B7" s="33"/>
      <c r="C7" s="28"/>
      <c r="D7" s="63"/>
      <c r="E7" s="10"/>
      <c r="F7" s="307"/>
      <c r="G7" s="307"/>
      <c r="H7" s="182"/>
      <c r="I7" s="214"/>
      <c r="J7" s="17"/>
    </row>
    <row r="8" spans="1:10" ht="18" x14ac:dyDescent="0.25">
      <c r="A8" s="33"/>
      <c r="B8" s="33"/>
      <c r="C8" s="28"/>
      <c r="D8" s="63"/>
      <c r="E8" s="10"/>
      <c r="F8" s="307"/>
      <c r="G8" s="307"/>
      <c r="H8" s="182"/>
      <c r="I8" s="214"/>
      <c r="J8" s="17"/>
    </row>
    <row r="9" spans="1:10" ht="13.5" thickBot="1" x14ac:dyDescent="0.25">
      <c r="A9" s="432" t="s">
        <v>256</v>
      </c>
      <c r="B9" s="629"/>
      <c r="C9" s="629"/>
      <c r="D9" s="815"/>
      <c r="E9" s="630"/>
      <c r="H9" s="617"/>
      <c r="I9" s="1390" t="s">
        <v>1227</v>
      </c>
    </row>
    <row r="10" spans="1:10" s="107" customFormat="1" thickTop="1" thickBot="1" x14ac:dyDescent="0.25">
      <c r="A10" s="631" t="s">
        <v>624</v>
      </c>
      <c r="B10" s="774" t="s">
        <v>162</v>
      </c>
      <c r="C10" s="632" t="s">
        <v>163</v>
      </c>
      <c r="D10" s="634" t="s">
        <v>705</v>
      </c>
      <c r="E10" s="634" t="s">
        <v>164</v>
      </c>
      <c r="F10" s="634" t="s">
        <v>165</v>
      </c>
      <c r="G10" s="634" t="s">
        <v>881</v>
      </c>
      <c r="H10" s="634" t="s">
        <v>882</v>
      </c>
      <c r="I10" s="818" t="s">
        <v>883</v>
      </c>
    </row>
    <row r="11" spans="1:10" s="383" customFormat="1" ht="20.25" customHeight="1" thickTop="1" thickBot="1" x14ac:dyDescent="0.25">
      <c r="A11" s="566">
        <v>1</v>
      </c>
      <c r="B11" s="567">
        <v>2</v>
      </c>
      <c r="C11" s="567">
        <v>3</v>
      </c>
      <c r="D11" s="567">
        <v>4</v>
      </c>
      <c r="E11" s="567">
        <v>5</v>
      </c>
      <c r="F11" s="541">
        <v>6</v>
      </c>
      <c r="G11" s="541">
        <v>7</v>
      </c>
      <c r="H11" s="542">
        <v>8</v>
      </c>
      <c r="I11" s="636" t="s">
        <v>762</v>
      </c>
    </row>
    <row r="12" spans="1:10" ht="15.75" thickTop="1" x14ac:dyDescent="0.25">
      <c r="A12" s="431">
        <v>1000</v>
      </c>
      <c r="B12" s="750">
        <v>3111</v>
      </c>
      <c r="C12" s="673">
        <v>5336</v>
      </c>
      <c r="D12" s="568"/>
      <c r="E12" s="672" t="s">
        <v>1441</v>
      </c>
      <c r="F12" s="846"/>
      <c r="G12" s="846">
        <f>G13+G14</f>
        <v>1183</v>
      </c>
      <c r="H12" s="846">
        <f>H13+H14</f>
        <v>1183</v>
      </c>
      <c r="I12" s="836">
        <f t="shared" ref="I12:I27" si="0">(H12/G12)*100</f>
        <v>100</v>
      </c>
    </row>
    <row r="13" spans="1:10" ht="15" x14ac:dyDescent="0.25">
      <c r="A13" s="431"/>
      <c r="B13" s="750"/>
      <c r="C13" s="673"/>
      <c r="D13" s="552" t="s">
        <v>1126</v>
      </c>
      <c r="E13" s="454" t="s">
        <v>953</v>
      </c>
      <c r="F13" s="846"/>
      <c r="G13" s="837">
        <v>310</v>
      </c>
      <c r="H13" s="837">
        <v>310</v>
      </c>
      <c r="I13" s="828">
        <f t="shared" si="0"/>
        <v>100</v>
      </c>
    </row>
    <row r="14" spans="1:10" ht="14.25" x14ac:dyDescent="0.2">
      <c r="A14" s="431"/>
      <c r="B14" s="750"/>
      <c r="C14" s="673"/>
      <c r="D14" s="552" t="s">
        <v>1124</v>
      </c>
      <c r="E14" s="455" t="s">
        <v>792</v>
      </c>
      <c r="F14" s="833"/>
      <c r="G14" s="833">
        <v>873</v>
      </c>
      <c r="H14" s="833">
        <v>873</v>
      </c>
      <c r="I14" s="828">
        <f t="shared" si="0"/>
        <v>100</v>
      </c>
    </row>
    <row r="15" spans="1:10" ht="15" x14ac:dyDescent="0.25">
      <c r="A15" s="431">
        <v>1000</v>
      </c>
      <c r="B15" s="750">
        <v>3113</v>
      </c>
      <c r="C15" s="750">
        <v>5336</v>
      </c>
      <c r="D15" s="568"/>
      <c r="E15" s="672" t="s">
        <v>1441</v>
      </c>
      <c r="F15" s="846"/>
      <c r="G15" s="846">
        <f>G21+G20+G18+G17+G16</f>
        <v>5494</v>
      </c>
      <c r="H15" s="846">
        <f>H21+H20+H18+H17+H16</f>
        <v>5494</v>
      </c>
      <c r="I15" s="836">
        <f t="shared" si="0"/>
        <v>100</v>
      </c>
    </row>
    <row r="16" spans="1:10" ht="14.25" x14ac:dyDescent="0.2">
      <c r="A16" s="431"/>
      <c r="B16" s="750"/>
      <c r="C16" s="750"/>
      <c r="D16" s="552" t="s">
        <v>1126</v>
      </c>
      <c r="E16" s="454" t="s">
        <v>953</v>
      </c>
      <c r="F16" s="833"/>
      <c r="G16" s="833">
        <v>1700</v>
      </c>
      <c r="H16" s="833">
        <v>1700</v>
      </c>
      <c r="I16" s="828">
        <f t="shared" ref="I16:I20" si="1">(H16/G16)*100</f>
        <v>100</v>
      </c>
    </row>
    <row r="17" spans="1:20" ht="15" x14ac:dyDescent="0.2">
      <c r="A17" s="431"/>
      <c r="B17" s="750"/>
      <c r="C17" s="750"/>
      <c r="D17" s="1068" t="s">
        <v>1903</v>
      </c>
      <c r="E17" s="2546" t="s">
        <v>2032</v>
      </c>
      <c r="F17" s="1548"/>
      <c r="G17" s="1551">
        <v>4</v>
      </c>
      <c r="H17" s="1551">
        <v>4</v>
      </c>
      <c r="I17" s="1300">
        <f t="shared" si="1"/>
        <v>100</v>
      </c>
    </row>
    <row r="18" spans="1:20" ht="15" customHeight="1" x14ac:dyDescent="0.2">
      <c r="A18" s="431"/>
      <c r="B18" s="750"/>
      <c r="C18" s="750"/>
      <c r="D18" s="1068" t="s">
        <v>1911</v>
      </c>
      <c r="E18" s="2671" t="s">
        <v>2051</v>
      </c>
      <c r="F18" s="1548"/>
      <c r="G18" s="1551">
        <v>14</v>
      </c>
      <c r="H18" s="1551">
        <v>14</v>
      </c>
      <c r="I18" s="1300">
        <f t="shared" si="1"/>
        <v>100</v>
      </c>
    </row>
    <row r="19" spans="1:20" ht="15" x14ac:dyDescent="0.2">
      <c r="A19" s="431"/>
      <c r="B19" s="750"/>
      <c r="C19" s="750"/>
      <c r="D19" s="1068"/>
      <c r="E19" s="2671"/>
      <c r="F19" s="1548"/>
      <c r="G19" s="1551"/>
      <c r="H19" s="1551"/>
      <c r="I19" s="1300"/>
    </row>
    <row r="20" spans="1:20" ht="15" x14ac:dyDescent="0.2">
      <c r="A20" s="431"/>
      <c r="B20" s="750"/>
      <c r="C20" s="750"/>
      <c r="D20" s="1068" t="s">
        <v>1913</v>
      </c>
      <c r="E20" s="2113" t="s">
        <v>2052</v>
      </c>
      <c r="F20" s="1548"/>
      <c r="G20" s="1551">
        <v>34</v>
      </c>
      <c r="H20" s="1551">
        <v>34</v>
      </c>
      <c r="I20" s="1300">
        <f t="shared" si="1"/>
        <v>100</v>
      </c>
    </row>
    <row r="21" spans="1:20" ht="14.25" x14ac:dyDescent="0.2">
      <c r="A21" s="431"/>
      <c r="B21" s="750"/>
      <c r="C21" s="750"/>
      <c r="D21" s="552" t="s">
        <v>1124</v>
      </c>
      <c r="E21" s="455" t="s">
        <v>792</v>
      </c>
      <c r="F21" s="833"/>
      <c r="G21" s="833">
        <v>3742</v>
      </c>
      <c r="H21" s="833">
        <v>3742</v>
      </c>
      <c r="I21" s="828">
        <f t="shared" si="0"/>
        <v>100</v>
      </c>
    </row>
    <row r="22" spans="1:20" ht="15" x14ac:dyDescent="0.25">
      <c r="A22" s="431">
        <v>1000</v>
      </c>
      <c r="B22" s="750">
        <v>3141</v>
      </c>
      <c r="C22" s="750">
        <v>5336</v>
      </c>
      <c r="D22" s="568"/>
      <c r="E22" s="672" t="s">
        <v>1441</v>
      </c>
      <c r="F22" s="835"/>
      <c r="G22" s="846">
        <f>G23+G24</f>
        <v>729</v>
      </c>
      <c r="H22" s="846">
        <f>H23+H24</f>
        <v>729</v>
      </c>
      <c r="I22" s="838">
        <f t="shared" si="0"/>
        <v>100</v>
      </c>
    </row>
    <row r="23" spans="1:20" ht="15" x14ac:dyDescent="0.25">
      <c r="A23" s="431"/>
      <c r="B23" s="750"/>
      <c r="C23" s="750"/>
      <c r="D23" s="552" t="s">
        <v>1126</v>
      </c>
      <c r="E23" s="454" t="s">
        <v>791</v>
      </c>
      <c r="F23" s="835"/>
      <c r="G23" s="833">
        <v>290</v>
      </c>
      <c r="H23" s="833">
        <v>290</v>
      </c>
      <c r="I23" s="828">
        <f t="shared" ref="I23" si="2">(H23/G23)*100</f>
        <v>100</v>
      </c>
    </row>
    <row r="24" spans="1:20" ht="15" x14ac:dyDescent="0.25">
      <c r="A24" s="431"/>
      <c r="B24" s="750"/>
      <c r="C24" s="750"/>
      <c r="D24" s="552" t="s">
        <v>1124</v>
      </c>
      <c r="E24" s="455" t="s">
        <v>792</v>
      </c>
      <c r="F24" s="835"/>
      <c r="G24" s="833">
        <v>439</v>
      </c>
      <c r="H24" s="833">
        <v>439</v>
      </c>
      <c r="I24" s="828">
        <f t="shared" si="0"/>
        <v>100</v>
      </c>
    </row>
    <row r="25" spans="1:20" ht="15" x14ac:dyDescent="0.25">
      <c r="A25" s="431">
        <v>1000</v>
      </c>
      <c r="B25" s="750">
        <v>3143</v>
      </c>
      <c r="C25" s="750">
        <v>5336</v>
      </c>
      <c r="D25" s="859"/>
      <c r="E25" s="672" t="s">
        <v>1441</v>
      </c>
      <c r="F25" s="835"/>
      <c r="G25" s="835">
        <v>489</v>
      </c>
      <c r="H25" s="835">
        <v>489</v>
      </c>
      <c r="I25" s="836">
        <f t="shared" si="0"/>
        <v>100</v>
      </c>
    </row>
    <row r="26" spans="1:20" ht="15.75" thickBot="1" x14ac:dyDescent="0.3">
      <c r="A26" s="431"/>
      <c r="B26" s="750"/>
      <c r="C26" s="750"/>
      <c r="D26" s="552" t="s">
        <v>1124</v>
      </c>
      <c r="E26" s="455" t="s">
        <v>792</v>
      </c>
      <c r="F26" s="835"/>
      <c r="G26" s="833">
        <v>489</v>
      </c>
      <c r="H26" s="833">
        <v>489</v>
      </c>
      <c r="I26" s="828">
        <f t="shared" si="0"/>
        <v>100</v>
      </c>
    </row>
    <row r="27" spans="1:20" ht="17.25" thickTop="1" thickBot="1" x14ac:dyDescent="0.3">
      <c r="A27" s="2672" t="s">
        <v>1105</v>
      </c>
      <c r="B27" s="2673"/>
      <c r="C27" s="2673"/>
      <c r="D27" s="2673"/>
      <c r="E27" s="2673"/>
      <c r="F27" s="862">
        <v>0</v>
      </c>
      <c r="G27" s="862">
        <f>G12+G15+G22+G25</f>
        <v>7895</v>
      </c>
      <c r="H27" s="862">
        <f>H12+H15+H22+H25</f>
        <v>7895</v>
      </c>
      <c r="I27" s="863">
        <f t="shared" si="0"/>
        <v>100</v>
      </c>
      <c r="R27" s="382">
        <f>F27</f>
        <v>0</v>
      </c>
      <c r="S27" s="382">
        <f>G27</f>
        <v>7895</v>
      </c>
      <c r="T27" s="382">
        <f>H27</f>
        <v>7895</v>
      </c>
    </row>
    <row r="28" spans="1:20" ht="18.75" thickTop="1" x14ac:dyDescent="0.25">
      <c r="A28" s="33"/>
      <c r="B28" s="33"/>
      <c r="C28" s="28"/>
      <c r="D28" s="63"/>
      <c r="E28" s="10"/>
      <c r="F28" s="307"/>
      <c r="G28" s="307"/>
      <c r="H28" s="182"/>
      <c r="I28" s="214"/>
      <c r="J28" s="17"/>
    </row>
    <row r="29" spans="1:20" ht="18" x14ac:dyDescent="0.25">
      <c r="A29" s="33"/>
      <c r="B29" s="33"/>
      <c r="C29" s="28"/>
      <c r="D29" s="63"/>
      <c r="E29" s="10"/>
      <c r="F29" s="307"/>
      <c r="G29" s="307"/>
      <c r="H29" s="182"/>
      <c r="I29" s="214"/>
      <c r="J29" s="17"/>
    </row>
    <row r="30" spans="1:20" ht="18" x14ac:dyDescent="0.25">
      <c r="A30" s="33"/>
      <c r="B30" s="33"/>
      <c r="C30" s="28"/>
      <c r="D30" s="63"/>
      <c r="E30" s="10"/>
      <c r="F30" s="307"/>
      <c r="G30" s="307"/>
      <c r="H30" s="182"/>
      <c r="I30" s="214"/>
      <c r="J30" s="17"/>
    </row>
    <row r="31" spans="1:20" ht="13.5" thickBot="1" x14ac:dyDescent="0.25">
      <c r="A31" s="432" t="s">
        <v>945</v>
      </c>
      <c r="B31" s="629"/>
      <c r="C31" s="629"/>
      <c r="D31" s="815"/>
      <c r="E31" s="630"/>
      <c r="H31" s="617"/>
      <c r="I31" s="1390" t="s">
        <v>161</v>
      </c>
    </row>
    <row r="32" spans="1:20" s="107" customFormat="1" ht="14.25" customHeight="1" thickTop="1" thickBot="1" x14ac:dyDescent="0.25">
      <c r="A32" s="631" t="s">
        <v>624</v>
      </c>
      <c r="B32" s="774" t="s">
        <v>162</v>
      </c>
      <c r="C32" s="632" t="s">
        <v>163</v>
      </c>
      <c r="D32" s="634" t="s">
        <v>705</v>
      </c>
      <c r="E32" s="634" t="s">
        <v>164</v>
      </c>
      <c r="F32" s="634" t="s">
        <v>165</v>
      </c>
      <c r="G32" s="634" t="s">
        <v>881</v>
      </c>
      <c r="H32" s="634" t="s">
        <v>882</v>
      </c>
      <c r="I32" s="818" t="s">
        <v>883</v>
      </c>
    </row>
    <row r="33" spans="1:20" s="383" customFormat="1" ht="13.5" thickTop="1" thickBot="1" x14ac:dyDescent="0.25">
      <c r="A33" s="566">
        <v>1</v>
      </c>
      <c r="B33" s="567">
        <v>2</v>
      </c>
      <c r="C33" s="567">
        <v>3</v>
      </c>
      <c r="D33" s="567">
        <v>4</v>
      </c>
      <c r="E33" s="567">
        <v>5</v>
      </c>
      <c r="F33" s="541">
        <v>6</v>
      </c>
      <c r="G33" s="541">
        <v>7</v>
      </c>
      <c r="H33" s="542">
        <v>8</v>
      </c>
      <c r="I33" s="636" t="s">
        <v>762</v>
      </c>
    </row>
    <row r="34" spans="1:20" ht="20.25" customHeight="1" thickTop="1" x14ac:dyDescent="0.25">
      <c r="A34" s="1391">
        <v>1001</v>
      </c>
      <c r="B34" s="775">
        <v>3112</v>
      </c>
      <c r="C34" s="775">
        <v>5331</v>
      </c>
      <c r="D34" s="839"/>
      <c r="E34" s="860" t="s">
        <v>951</v>
      </c>
      <c r="F34" s="861">
        <f>SUM(F35:F41)</f>
        <v>505</v>
      </c>
      <c r="G34" s="861">
        <f>G35+G36</f>
        <v>501</v>
      </c>
      <c r="H34" s="861">
        <f>H35+H36</f>
        <v>501</v>
      </c>
      <c r="I34" s="826">
        <f t="shared" ref="I34:I44" si="3">(H34/G34)*100</f>
        <v>100</v>
      </c>
    </row>
    <row r="35" spans="1:20" ht="14.25" x14ac:dyDescent="0.2">
      <c r="A35" s="431"/>
      <c r="B35" s="673"/>
      <c r="C35" s="673"/>
      <c r="D35" s="707" t="s">
        <v>575</v>
      </c>
      <c r="E35" s="1478" t="s">
        <v>793</v>
      </c>
      <c r="F35" s="827">
        <v>68</v>
      </c>
      <c r="G35" s="827">
        <v>68</v>
      </c>
      <c r="H35" s="827">
        <v>68</v>
      </c>
      <c r="I35" s="823">
        <f t="shared" si="3"/>
        <v>100</v>
      </c>
    </row>
    <row r="36" spans="1:20" ht="14.25" x14ac:dyDescent="0.2">
      <c r="A36" s="431"/>
      <c r="B36" s="673"/>
      <c r="C36" s="673"/>
      <c r="D36" s="552" t="s">
        <v>570</v>
      </c>
      <c r="E36" s="455" t="s">
        <v>71</v>
      </c>
      <c r="F36" s="827">
        <v>437</v>
      </c>
      <c r="G36" s="827">
        <v>433</v>
      </c>
      <c r="H36" s="827">
        <v>433</v>
      </c>
      <c r="I36" s="823">
        <f t="shared" si="3"/>
        <v>100</v>
      </c>
    </row>
    <row r="37" spans="1:20" ht="15" x14ac:dyDescent="0.25">
      <c r="A37" s="431">
        <v>1001</v>
      </c>
      <c r="B37" s="750">
        <v>3112</v>
      </c>
      <c r="C37" s="750">
        <v>5336</v>
      </c>
      <c r="D37" s="552"/>
      <c r="E37" s="672" t="s">
        <v>1441</v>
      </c>
      <c r="F37" s="846"/>
      <c r="G37" s="846">
        <f>G38+G40+G41</f>
        <v>2651</v>
      </c>
      <c r="H37" s="846">
        <f>H38+H40+H41</f>
        <v>2651</v>
      </c>
      <c r="I37" s="853">
        <f t="shared" si="3"/>
        <v>100</v>
      </c>
    </row>
    <row r="38" spans="1:20" ht="15" customHeight="1" x14ac:dyDescent="0.2">
      <c r="A38" s="431"/>
      <c r="B38" s="750"/>
      <c r="C38" s="750"/>
      <c r="D38" s="1068" t="s">
        <v>1911</v>
      </c>
      <c r="E38" s="2671" t="s">
        <v>2051</v>
      </c>
      <c r="F38" s="1548"/>
      <c r="G38" s="1551">
        <v>30</v>
      </c>
      <c r="H38" s="1551">
        <v>30</v>
      </c>
      <c r="I38" s="1300">
        <f t="shared" si="3"/>
        <v>100</v>
      </c>
    </row>
    <row r="39" spans="1:20" ht="15" x14ac:dyDescent="0.2">
      <c r="A39" s="431"/>
      <c r="B39" s="750"/>
      <c r="C39" s="750"/>
      <c r="D39" s="1068"/>
      <c r="E39" s="2671"/>
      <c r="F39" s="1548"/>
      <c r="G39" s="1551"/>
      <c r="H39" s="1551"/>
      <c r="I39" s="1300"/>
    </row>
    <row r="40" spans="1:20" ht="15" x14ac:dyDescent="0.2">
      <c r="A40" s="431"/>
      <c r="B40" s="750"/>
      <c r="C40" s="750"/>
      <c r="D40" s="1068" t="s">
        <v>1913</v>
      </c>
      <c r="E40" s="2113" t="s">
        <v>2052</v>
      </c>
      <c r="F40" s="1548"/>
      <c r="G40" s="1551">
        <v>12</v>
      </c>
      <c r="H40" s="1551">
        <v>12</v>
      </c>
      <c r="I40" s="1300">
        <f t="shared" ref="I40" si="4">(H40/G40)*100</f>
        <v>100</v>
      </c>
    </row>
    <row r="41" spans="1:20" ht="14.25" x14ac:dyDescent="0.2">
      <c r="A41" s="431"/>
      <c r="B41" s="750"/>
      <c r="C41" s="750"/>
      <c r="D41" s="552" t="s">
        <v>1124</v>
      </c>
      <c r="E41" s="455" t="s">
        <v>792</v>
      </c>
      <c r="F41" s="833"/>
      <c r="G41" s="833">
        <v>2609</v>
      </c>
      <c r="H41" s="833">
        <v>2609</v>
      </c>
      <c r="I41" s="823">
        <f t="shared" si="3"/>
        <v>100</v>
      </c>
    </row>
    <row r="42" spans="1:20" ht="15" x14ac:dyDescent="0.25">
      <c r="A42" s="431">
        <v>1001</v>
      </c>
      <c r="B42" s="750">
        <v>3141</v>
      </c>
      <c r="C42" s="750">
        <v>5336</v>
      </c>
      <c r="D42" s="748"/>
      <c r="E42" s="672" t="s">
        <v>1441</v>
      </c>
      <c r="F42" s="835"/>
      <c r="G42" s="835">
        <v>46</v>
      </c>
      <c r="H42" s="835">
        <v>46</v>
      </c>
      <c r="I42" s="836">
        <f t="shared" si="3"/>
        <v>100</v>
      </c>
    </row>
    <row r="43" spans="1:20" ht="15" thickBot="1" x14ac:dyDescent="0.25">
      <c r="A43" s="431"/>
      <c r="B43" s="750"/>
      <c r="C43" s="750"/>
      <c r="D43" s="552" t="s">
        <v>1124</v>
      </c>
      <c r="E43" s="455" t="s">
        <v>792</v>
      </c>
      <c r="F43" s="833"/>
      <c r="G43" s="833">
        <v>46</v>
      </c>
      <c r="H43" s="833">
        <v>46</v>
      </c>
      <c r="I43" s="828">
        <f t="shared" si="3"/>
        <v>100</v>
      </c>
    </row>
    <row r="44" spans="1:20" ht="17.25" thickTop="1" thickBot="1" x14ac:dyDescent="0.3">
      <c r="A44" s="2672" t="s">
        <v>1105</v>
      </c>
      <c r="B44" s="2673"/>
      <c r="C44" s="2673"/>
      <c r="D44" s="2673"/>
      <c r="E44" s="2673"/>
      <c r="F44" s="862">
        <f>SUM(F34)</f>
        <v>505</v>
      </c>
      <c r="G44" s="862">
        <f>G34+G37+G42</f>
        <v>3198</v>
      </c>
      <c r="H44" s="862">
        <f>H34+H37+H42</f>
        <v>3198</v>
      </c>
      <c r="I44" s="863">
        <f t="shared" si="3"/>
        <v>100</v>
      </c>
      <c r="R44" s="382">
        <f>F44</f>
        <v>505</v>
      </c>
      <c r="S44" s="382">
        <f>G44</f>
        <v>3198</v>
      </c>
      <c r="T44" s="382">
        <f>H44</f>
        <v>3198</v>
      </c>
    </row>
    <row r="45" spans="1:20" ht="13.5" thickTop="1" x14ac:dyDescent="0.2"/>
    <row r="48" spans="1:20" ht="13.5" thickBot="1" x14ac:dyDescent="0.25">
      <c r="A48" s="432" t="s">
        <v>738</v>
      </c>
      <c r="I48" s="1390" t="s">
        <v>161</v>
      </c>
    </row>
    <row r="49" spans="1:20" s="107" customFormat="1" thickTop="1" thickBot="1" x14ac:dyDescent="0.25">
      <c r="A49" s="631" t="s">
        <v>624</v>
      </c>
      <c r="B49" s="774" t="s">
        <v>162</v>
      </c>
      <c r="C49" s="632" t="s">
        <v>163</v>
      </c>
      <c r="D49" s="634" t="s">
        <v>705</v>
      </c>
      <c r="E49" s="634" t="s">
        <v>164</v>
      </c>
      <c r="F49" s="634" t="s">
        <v>165</v>
      </c>
      <c r="G49" s="634" t="s">
        <v>881</v>
      </c>
      <c r="H49" s="634" t="s">
        <v>882</v>
      </c>
      <c r="I49" s="818" t="s">
        <v>883</v>
      </c>
    </row>
    <row r="50" spans="1:20" s="383" customFormat="1" ht="13.5" thickTop="1" thickBot="1" x14ac:dyDescent="0.25">
      <c r="A50" s="566">
        <v>1</v>
      </c>
      <c r="B50" s="567">
        <v>2</v>
      </c>
      <c r="C50" s="567">
        <v>3</v>
      </c>
      <c r="D50" s="567">
        <v>4</v>
      </c>
      <c r="E50" s="567">
        <v>5</v>
      </c>
      <c r="F50" s="541">
        <v>6</v>
      </c>
      <c r="G50" s="541">
        <v>7</v>
      </c>
      <c r="H50" s="542">
        <v>8</v>
      </c>
      <c r="I50" s="636" t="s">
        <v>762</v>
      </c>
    </row>
    <row r="51" spans="1:20" ht="20.25" customHeight="1" thickTop="1" x14ac:dyDescent="0.25">
      <c r="A51" s="1391">
        <v>1010</v>
      </c>
      <c r="B51" s="775">
        <v>3112</v>
      </c>
      <c r="C51" s="775">
        <v>5331</v>
      </c>
      <c r="D51" s="839"/>
      <c r="E51" s="860" t="s">
        <v>951</v>
      </c>
      <c r="F51" s="861">
        <f>SUM(F52:F52)</f>
        <v>290</v>
      </c>
      <c r="G51" s="861">
        <f>SUM(G52:G52)</f>
        <v>287</v>
      </c>
      <c r="H51" s="861">
        <f>SUM(H52:H52)</f>
        <v>287</v>
      </c>
      <c r="I51" s="826">
        <f t="shared" ref="I51:I62" si="5">(H51/G51)*100</f>
        <v>100</v>
      </c>
    </row>
    <row r="52" spans="1:20" ht="14.25" x14ac:dyDescent="0.2">
      <c r="A52" s="431"/>
      <c r="B52" s="673"/>
      <c r="C52" s="673"/>
      <c r="D52" s="552" t="s">
        <v>570</v>
      </c>
      <c r="E52" s="455" t="s">
        <v>71</v>
      </c>
      <c r="F52" s="827">
        <v>290</v>
      </c>
      <c r="G52" s="827">
        <v>287</v>
      </c>
      <c r="H52" s="827">
        <v>287</v>
      </c>
      <c r="I52" s="823">
        <f t="shared" si="5"/>
        <v>100</v>
      </c>
    </row>
    <row r="53" spans="1:20" ht="15" x14ac:dyDescent="0.25">
      <c r="A53" s="431">
        <v>1010</v>
      </c>
      <c r="B53" s="673">
        <v>3112</v>
      </c>
      <c r="C53" s="673">
        <v>5336</v>
      </c>
      <c r="D53" s="552"/>
      <c r="E53" s="672" t="s">
        <v>1441</v>
      </c>
      <c r="F53" s="2108"/>
      <c r="G53" s="851">
        <f>G54+G56+G57</f>
        <v>3050</v>
      </c>
      <c r="H53" s="851">
        <f>H54+H56+H57</f>
        <v>3050</v>
      </c>
      <c r="I53" s="853">
        <f t="shared" si="5"/>
        <v>100</v>
      </c>
    </row>
    <row r="54" spans="1:20" ht="15" x14ac:dyDescent="0.2">
      <c r="A54" s="431"/>
      <c r="B54" s="673"/>
      <c r="C54" s="673"/>
      <c r="D54" s="1068" t="s">
        <v>1911</v>
      </c>
      <c r="E54" s="2671" t="s">
        <v>2051</v>
      </c>
      <c r="F54" s="1548"/>
      <c r="G54" s="1551">
        <v>16</v>
      </c>
      <c r="H54" s="1551">
        <v>16</v>
      </c>
      <c r="I54" s="1300">
        <f t="shared" si="5"/>
        <v>100</v>
      </c>
    </row>
    <row r="55" spans="1:20" ht="15" x14ac:dyDescent="0.2">
      <c r="A55" s="431"/>
      <c r="B55" s="673"/>
      <c r="C55" s="673"/>
      <c r="D55" s="1068"/>
      <c r="E55" s="2671"/>
      <c r="F55" s="1548"/>
      <c r="G55" s="1551"/>
      <c r="H55" s="1551"/>
      <c r="I55" s="1300"/>
    </row>
    <row r="56" spans="1:20" ht="15" x14ac:dyDescent="0.2">
      <c r="A56" s="431"/>
      <c r="B56" s="673"/>
      <c r="C56" s="673"/>
      <c r="D56" s="1068" t="s">
        <v>1913</v>
      </c>
      <c r="E56" s="2113" t="s">
        <v>2052</v>
      </c>
      <c r="F56" s="1548"/>
      <c r="G56" s="1551">
        <v>25</v>
      </c>
      <c r="H56" s="1551">
        <v>25</v>
      </c>
      <c r="I56" s="1300">
        <f t="shared" ref="I56" si="6">(H56/G56)*100</f>
        <v>100</v>
      </c>
    </row>
    <row r="57" spans="1:20" ht="14.25" x14ac:dyDescent="0.2">
      <c r="A57" s="431"/>
      <c r="B57" s="673"/>
      <c r="C57" s="673"/>
      <c r="D57" s="552" t="s">
        <v>1124</v>
      </c>
      <c r="E57" s="455" t="s">
        <v>792</v>
      </c>
      <c r="F57" s="827"/>
      <c r="G57" s="827">
        <v>3009</v>
      </c>
      <c r="H57" s="827">
        <v>3009</v>
      </c>
      <c r="I57" s="823">
        <f t="shared" si="5"/>
        <v>100</v>
      </c>
    </row>
    <row r="58" spans="1:20" ht="15" x14ac:dyDescent="0.25">
      <c r="A58" s="431">
        <v>1010</v>
      </c>
      <c r="B58" s="750">
        <v>3114</v>
      </c>
      <c r="C58" s="1393">
        <v>5331</v>
      </c>
      <c r="D58" s="842"/>
      <c r="E58" s="672" t="s">
        <v>951</v>
      </c>
      <c r="F58" s="835">
        <f>SUM(F59:F59)</f>
        <v>200</v>
      </c>
      <c r="G58" s="835">
        <f>SUM(G59:G59)</f>
        <v>198</v>
      </c>
      <c r="H58" s="835">
        <f>SUM(H59:H59)</f>
        <v>198</v>
      </c>
      <c r="I58" s="836">
        <f t="shared" si="5"/>
        <v>100</v>
      </c>
    </row>
    <row r="59" spans="1:20" ht="14.25" x14ac:dyDescent="0.2">
      <c r="A59" s="431"/>
      <c r="B59" s="673"/>
      <c r="C59" s="1392"/>
      <c r="D59" s="552" t="s">
        <v>570</v>
      </c>
      <c r="E59" s="455" t="s">
        <v>71</v>
      </c>
      <c r="F59" s="827">
        <v>200</v>
      </c>
      <c r="G59" s="827">
        <v>198</v>
      </c>
      <c r="H59" s="827">
        <v>198</v>
      </c>
      <c r="I59" s="823">
        <f t="shared" si="5"/>
        <v>100</v>
      </c>
    </row>
    <row r="60" spans="1:20" ht="15" x14ac:dyDescent="0.25">
      <c r="A60" s="431">
        <v>1010</v>
      </c>
      <c r="B60" s="750">
        <v>3114</v>
      </c>
      <c r="C60" s="750">
        <v>5336</v>
      </c>
      <c r="D60" s="568"/>
      <c r="E60" s="672" t="s">
        <v>1441</v>
      </c>
      <c r="F60" s="846"/>
      <c r="G60" s="846">
        <f>G61</f>
        <v>2462</v>
      </c>
      <c r="H60" s="846">
        <f>H61</f>
        <v>2462</v>
      </c>
      <c r="I60" s="836">
        <f t="shared" si="5"/>
        <v>100</v>
      </c>
    </row>
    <row r="61" spans="1:20" ht="15.75" customHeight="1" thickBot="1" x14ac:dyDescent="0.3">
      <c r="A61" s="431"/>
      <c r="B61" s="750"/>
      <c r="C61" s="750"/>
      <c r="D61" s="552" t="s">
        <v>1124</v>
      </c>
      <c r="E61" s="455" t="s">
        <v>792</v>
      </c>
      <c r="F61" s="846"/>
      <c r="G61" s="837">
        <v>2462</v>
      </c>
      <c r="H61" s="837">
        <v>2462</v>
      </c>
      <c r="I61" s="823">
        <f t="shared" si="5"/>
        <v>100</v>
      </c>
    </row>
    <row r="62" spans="1:20" ht="15.75" customHeight="1" thickTop="1" thickBot="1" x14ac:dyDescent="0.3">
      <c r="A62" s="2672" t="s">
        <v>1105</v>
      </c>
      <c r="B62" s="2673"/>
      <c r="C62" s="2673"/>
      <c r="D62" s="2673"/>
      <c r="E62" s="2673"/>
      <c r="F62" s="824">
        <f>F51+F58+F60+F53</f>
        <v>490</v>
      </c>
      <c r="G62" s="824">
        <f>G51+G58+G60+G53</f>
        <v>5997</v>
      </c>
      <c r="H62" s="824">
        <f>H51+H58+H60+H53</f>
        <v>5997</v>
      </c>
      <c r="I62" s="825">
        <f t="shared" si="5"/>
        <v>100</v>
      </c>
      <c r="R62" s="382">
        <f>F62</f>
        <v>490</v>
      </c>
      <c r="S62" s="382">
        <f>G62</f>
        <v>5997</v>
      </c>
      <c r="T62" s="382">
        <f>H62</f>
        <v>5997</v>
      </c>
    </row>
    <row r="63" spans="1:20" ht="15.75" customHeight="1" thickTop="1" x14ac:dyDescent="0.25">
      <c r="A63" s="368"/>
      <c r="B63" s="368"/>
      <c r="C63" s="368"/>
      <c r="D63" s="368"/>
      <c r="E63" s="368"/>
      <c r="F63" s="181"/>
      <c r="G63" s="181"/>
      <c r="H63" s="181"/>
      <c r="I63" s="210"/>
      <c r="R63" s="382"/>
      <c r="S63" s="382"/>
      <c r="T63" s="382"/>
    </row>
    <row r="64" spans="1:20" ht="15.75" customHeight="1" x14ac:dyDescent="0.25">
      <c r="A64" s="368"/>
      <c r="B64" s="368"/>
      <c r="C64" s="368"/>
      <c r="D64" s="368"/>
      <c r="E64" s="368"/>
      <c r="F64" s="181"/>
      <c r="G64" s="181"/>
      <c r="H64" s="181"/>
      <c r="I64" s="210"/>
      <c r="R64" s="382"/>
      <c r="S64" s="382"/>
      <c r="T64" s="382"/>
    </row>
    <row r="65" spans="1:20" ht="15.75" customHeight="1" x14ac:dyDescent="0.25">
      <c r="A65" s="368"/>
      <c r="B65" s="368"/>
      <c r="C65" s="368"/>
      <c r="D65" s="368"/>
      <c r="E65" s="368"/>
      <c r="F65" s="181"/>
      <c r="G65" s="181"/>
      <c r="H65" s="181"/>
      <c r="I65" s="210"/>
      <c r="R65" s="382"/>
      <c r="S65" s="382"/>
      <c r="T65" s="382"/>
    </row>
    <row r="66" spans="1:20" ht="15.75" customHeight="1" x14ac:dyDescent="0.25">
      <c r="A66" s="368"/>
      <c r="B66" s="368"/>
      <c r="C66" s="368"/>
      <c r="D66" s="368"/>
      <c r="E66" s="368"/>
      <c r="F66" s="181"/>
      <c r="G66" s="181"/>
      <c r="H66" s="181"/>
      <c r="I66" s="210"/>
      <c r="R66" s="382"/>
      <c r="S66" s="382"/>
      <c r="T66" s="382"/>
    </row>
    <row r="67" spans="1:20" ht="15.75" customHeight="1" x14ac:dyDescent="0.25">
      <c r="A67" s="368"/>
      <c r="B67" s="368"/>
      <c r="C67" s="368"/>
      <c r="D67" s="368"/>
      <c r="E67" s="368"/>
      <c r="F67" s="181"/>
      <c r="G67" s="181"/>
      <c r="H67" s="181"/>
      <c r="I67" s="210"/>
      <c r="R67" s="382"/>
      <c r="S67" s="382"/>
      <c r="T67" s="382"/>
    </row>
    <row r="68" spans="1:20" ht="15.75" customHeight="1" x14ac:dyDescent="0.25">
      <c r="A68" s="368"/>
      <c r="B68" s="368"/>
      <c r="C68" s="368"/>
      <c r="D68" s="368"/>
      <c r="E68" s="368"/>
      <c r="F68" s="181"/>
      <c r="G68" s="181"/>
      <c r="H68" s="181"/>
      <c r="I68" s="210"/>
      <c r="R68" s="382"/>
      <c r="S68" s="382"/>
      <c r="T68" s="382"/>
    </row>
    <row r="69" spans="1:20" ht="15.75" customHeight="1" x14ac:dyDescent="0.25">
      <c r="A69" s="368"/>
      <c r="B69" s="368"/>
      <c r="C69" s="368"/>
      <c r="D69" s="368"/>
      <c r="E69" s="368"/>
      <c r="F69" s="181"/>
      <c r="G69" s="181"/>
      <c r="H69" s="181"/>
      <c r="I69" s="210"/>
      <c r="R69" s="382"/>
      <c r="S69" s="382"/>
      <c r="T69" s="382"/>
    </row>
    <row r="70" spans="1:20" ht="13.5" thickBot="1" x14ac:dyDescent="0.25">
      <c r="A70" s="432" t="s">
        <v>794</v>
      </c>
      <c r="I70" s="1390" t="s">
        <v>161</v>
      </c>
    </row>
    <row r="71" spans="1:20" s="107" customFormat="1" ht="20.25" customHeight="1" thickTop="1" thickBot="1" x14ac:dyDescent="0.25">
      <c r="A71" s="631" t="s">
        <v>624</v>
      </c>
      <c r="B71" s="774" t="s">
        <v>162</v>
      </c>
      <c r="C71" s="632" t="s">
        <v>163</v>
      </c>
      <c r="D71" s="634" t="s">
        <v>705</v>
      </c>
      <c r="E71" s="634" t="s">
        <v>164</v>
      </c>
      <c r="F71" s="634" t="s">
        <v>165</v>
      </c>
      <c r="G71" s="634" t="s">
        <v>881</v>
      </c>
      <c r="H71" s="634" t="s">
        <v>882</v>
      </c>
      <c r="I71" s="818" t="s">
        <v>883</v>
      </c>
    </row>
    <row r="72" spans="1:20" s="383" customFormat="1" ht="13.5" thickTop="1" thickBot="1" x14ac:dyDescent="0.25">
      <c r="A72" s="566">
        <v>1</v>
      </c>
      <c r="B72" s="567">
        <v>2</v>
      </c>
      <c r="C72" s="567">
        <v>3</v>
      </c>
      <c r="D72" s="567">
        <v>4</v>
      </c>
      <c r="E72" s="567">
        <v>5</v>
      </c>
      <c r="F72" s="541">
        <v>6</v>
      </c>
      <c r="G72" s="541">
        <v>7</v>
      </c>
      <c r="H72" s="542">
        <v>8</v>
      </c>
      <c r="I72" s="636" t="s">
        <v>762</v>
      </c>
    </row>
    <row r="73" spans="1:20" s="383" customFormat="1" ht="15.75" thickTop="1" x14ac:dyDescent="0.25">
      <c r="A73" s="1391">
        <v>1012</v>
      </c>
      <c r="B73" s="864">
        <v>3112</v>
      </c>
      <c r="C73" s="775">
        <v>5331</v>
      </c>
      <c r="D73" s="850"/>
      <c r="E73" s="860" t="s">
        <v>951</v>
      </c>
      <c r="F73" s="865">
        <v>114</v>
      </c>
      <c r="G73" s="412">
        <v>113</v>
      </c>
      <c r="H73" s="412">
        <v>113</v>
      </c>
      <c r="I73" s="826">
        <f t="shared" ref="I73:I102" si="7">(H73/G73)*100</f>
        <v>100</v>
      </c>
    </row>
    <row r="74" spans="1:20" s="383" customFormat="1" ht="14.25" x14ac:dyDescent="0.2">
      <c r="A74" s="866"/>
      <c r="B74" s="867"/>
      <c r="C74" s="867"/>
      <c r="D74" s="568" t="s">
        <v>570</v>
      </c>
      <c r="E74" s="868" t="s">
        <v>71</v>
      </c>
      <c r="F74" s="1479">
        <v>114</v>
      </c>
      <c r="G74" s="1479">
        <v>113</v>
      </c>
      <c r="H74" s="1479">
        <v>113</v>
      </c>
      <c r="I74" s="828">
        <f t="shared" si="7"/>
        <v>100</v>
      </c>
    </row>
    <row r="75" spans="1:20" s="383" customFormat="1" ht="15" x14ac:dyDescent="0.25">
      <c r="A75" s="1399">
        <v>1012</v>
      </c>
      <c r="B75" s="2109">
        <v>3112</v>
      </c>
      <c r="C75" s="2109">
        <v>5336</v>
      </c>
      <c r="D75" s="568"/>
      <c r="E75" s="672" t="s">
        <v>1441</v>
      </c>
      <c r="F75" s="1308"/>
      <c r="G75" s="1219">
        <v>2237</v>
      </c>
      <c r="H75" s="1219">
        <v>2237</v>
      </c>
      <c r="I75" s="821">
        <f t="shared" si="7"/>
        <v>100</v>
      </c>
    </row>
    <row r="76" spans="1:20" s="383" customFormat="1" ht="14.25" x14ac:dyDescent="0.2">
      <c r="A76" s="866"/>
      <c r="B76" s="867"/>
      <c r="C76" s="867"/>
      <c r="D76" s="568" t="s">
        <v>1124</v>
      </c>
      <c r="E76" s="868" t="s">
        <v>792</v>
      </c>
      <c r="F76" s="1479"/>
      <c r="G76" s="1406">
        <v>2237</v>
      </c>
      <c r="H76" s="1406">
        <v>2237</v>
      </c>
      <c r="I76" s="823">
        <f t="shared" si="7"/>
        <v>100</v>
      </c>
    </row>
    <row r="77" spans="1:20" ht="15" x14ac:dyDescent="0.25">
      <c r="A77" s="431">
        <v>1012</v>
      </c>
      <c r="B77" s="673">
        <v>3114</v>
      </c>
      <c r="C77" s="673">
        <v>5331</v>
      </c>
      <c r="D77" s="819"/>
      <c r="E77" s="672" t="s">
        <v>951</v>
      </c>
      <c r="F77" s="835">
        <f>SUM(F78:F79)</f>
        <v>3033</v>
      </c>
      <c r="G77" s="835">
        <f>SUM(G78:G79)</f>
        <v>2999</v>
      </c>
      <c r="H77" s="835">
        <f>SUM(H78:H79)</f>
        <v>2999</v>
      </c>
      <c r="I77" s="821">
        <f t="shared" si="7"/>
        <v>100</v>
      </c>
    </row>
    <row r="78" spans="1:20" ht="14.25" x14ac:dyDescent="0.2">
      <c r="A78" s="431"/>
      <c r="B78" s="673"/>
      <c r="C78" s="673"/>
      <c r="D78" s="707" t="s">
        <v>575</v>
      </c>
      <c r="E78" s="1478" t="s">
        <v>793</v>
      </c>
      <c r="F78" s="827">
        <v>1124</v>
      </c>
      <c r="G78" s="827">
        <v>1109</v>
      </c>
      <c r="H78" s="827">
        <v>1109</v>
      </c>
      <c r="I78" s="823">
        <f t="shared" si="7"/>
        <v>100</v>
      </c>
    </row>
    <row r="79" spans="1:20" ht="14.25" x14ac:dyDescent="0.2">
      <c r="A79" s="431"/>
      <c r="B79" s="673"/>
      <c r="C79" s="1392"/>
      <c r="D79" s="552" t="s">
        <v>570</v>
      </c>
      <c r="E79" s="455" t="s">
        <v>71</v>
      </c>
      <c r="F79" s="827">
        <v>1909</v>
      </c>
      <c r="G79" s="827">
        <v>1890</v>
      </c>
      <c r="H79" s="827">
        <v>1890</v>
      </c>
      <c r="I79" s="823">
        <f t="shared" si="7"/>
        <v>100</v>
      </c>
    </row>
    <row r="80" spans="1:20" ht="15" x14ac:dyDescent="0.25">
      <c r="A80" s="431">
        <v>1012</v>
      </c>
      <c r="B80" s="750">
        <v>3114</v>
      </c>
      <c r="C80" s="1393">
        <v>5336</v>
      </c>
      <c r="D80" s="568"/>
      <c r="E80" s="672" t="s">
        <v>1441</v>
      </c>
      <c r="F80" s="846"/>
      <c r="G80" s="846">
        <f>G85+G84+G82+G81</f>
        <v>13772</v>
      </c>
      <c r="H80" s="846">
        <f>H85+H84+H82+H81</f>
        <v>13772</v>
      </c>
      <c r="I80" s="836">
        <f t="shared" si="7"/>
        <v>100</v>
      </c>
    </row>
    <row r="81" spans="1:9" ht="15" x14ac:dyDescent="0.2">
      <c r="A81" s="431"/>
      <c r="B81" s="750"/>
      <c r="C81" s="1393"/>
      <c r="D81" s="1068" t="s">
        <v>1903</v>
      </c>
      <c r="E81" s="2546" t="s">
        <v>2032</v>
      </c>
      <c r="F81" s="1548"/>
      <c r="G81" s="1551">
        <v>4</v>
      </c>
      <c r="H81" s="1551">
        <v>4</v>
      </c>
      <c r="I81" s="1300">
        <f t="shared" si="7"/>
        <v>100</v>
      </c>
    </row>
    <row r="82" spans="1:9" ht="15" customHeight="1" x14ac:dyDescent="0.2">
      <c r="A82" s="431"/>
      <c r="B82" s="750"/>
      <c r="C82" s="1393"/>
      <c r="D82" s="1068" t="s">
        <v>1911</v>
      </c>
      <c r="E82" s="2671" t="s">
        <v>2051</v>
      </c>
      <c r="F82" s="1548"/>
      <c r="G82" s="1551">
        <v>61</v>
      </c>
      <c r="H82" s="1551">
        <v>61</v>
      </c>
      <c r="I82" s="1300">
        <f t="shared" ref="I82" si="8">(H82/G82)*100</f>
        <v>100</v>
      </c>
    </row>
    <row r="83" spans="1:9" ht="15" x14ac:dyDescent="0.2">
      <c r="A83" s="431"/>
      <c r="B83" s="750"/>
      <c r="C83" s="1393"/>
      <c r="D83" s="1068"/>
      <c r="E83" s="2671"/>
      <c r="F83" s="1548"/>
      <c r="G83" s="1551"/>
      <c r="H83" s="1551"/>
      <c r="I83" s="1300"/>
    </row>
    <row r="84" spans="1:9" ht="15" x14ac:dyDescent="0.2">
      <c r="A84" s="431"/>
      <c r="B84" s="750"/>
      <c r="C84" s="1393"/>
      <c r="D84" s="1068" t="s">
        <v>1913</v>
      </c>
      <c r="E84" s="2113" t="s">
        <v>2052</v>
      </c>
      <c r="F84" s="1548"/>
      <c r="G84" s="1551">
        <v>131</v>
      </c>
      <c r="H84" s="1551">
        <v>131</v>
      </c>
      <c r="I84" s="1300">
        <f t="shared" ref="I84" si="9">(H84/G84)*100</f>
        <v>100</v>
      </c>
    </row>
    <row r="85" spans="1:9" ht="15" x14ac:dyDescent="0.25">
      <c r="A85" s="431"/>
      <c r="B85" s="750"/>
      <c r="C85" s="1393"/>
      <c r="D85" s="568" t="s">
        <v>1124</v>
      </c>
      <c r="E85" s="868" t="s">
        <v>792</v>
      </c>
      <c r="F85" s="846"/>
      <c r="G85" s="837">
        <v>13576</v>
      </c>
      <c r="H85" s="837">
        <v>13576</v>
      </c>
      <c r="I85" s="823">
        <f t="shared" si="7"/>
        <v>100</v>
      </c>
    </row>
    <row r="86" spans="1:9" ht="15" x14ac:dyDescent="0.25">
      <c r="A86" s="431">
        <v>1012</v>
      </c>
      <c r="B86" s="750">
        <v>3141</v>
      </c>
      <c r="C86" s="1393">
        <v>5336</v>
      </c>
      <c r="D86" s="568"/>
      <c r="E86" s="672" t="s">
        <v>1441</v>
      </c>
      <c r="F86" s="846"/>
      <c r="G86" s="846">
        <v>640</v>
      </c>
      <c r="H86" s="846">
        <v>640</v>
      </c>
      <c r="I86" s="838">
        <f t="shared" si="7"/>
        <v>100</v>
      </c>
    </row>
    <row r="87" spans="1:9" ht="14.25" x14ac:dyDescent="0.2">
      <c r="A87" s="431"/>
      <c r="B87" s="750"/>
      <c r="C87" s="1393"/>
      <c r="D87" s="568" t="s">
        <v>1124</v>
      </c>
      <c r="E87" s="868" t="s">
        <v>792</v>
      </c>
      <c r="F87" s="833"/>
      <c r="G87" s="833">
        <v>640</v>
      </c>
      <c r="H87" s="833">
        <v>640</v>
      </c>
      <c r="I87" s="828">
        <f t="shared" si="7"/>
        <v>100</v>
      </c>
    </row>
    <row r="88" spans="1:9" ht="15" x14ac:dyDescent="0.25">
      <c r="A88" s="431">
        <v>1012</v>
      </c>
      <c r="B88" s="750">
        <v>3142</v>
      </c>
      <c r="C88" s="1393">
        <v>5331</v>
      </c>
      <c r="D88" s="842"/>
      <c r="E88" s="672" t="s">
        <v>951</v>
      </c>
      <c r="F88" s="835">
        <f>SUM(F89:F89)</f>
        <v>266</v>
      </c>
      <c r="G88" s="835">
        <f>SUM(G89:G89)</f>
        <v>263</v>
      </c>
      <c r="H88" s="835">
        <f>SUM(H89:H89)</f>
        <v>263</v>
      </c>
      <c r="I88" s="836">
        <f t="shared" si="7"/>
        <v>100</v>
      </c>
    </row>
    <row r="89" spans="1:9" ht="14.25" x14ac:dyDescent="0.2">
      <c r="A89" s="431"/>
      <c r="B89" s="750"/>
      <c r="C89" s="1393"/>
      <c r="D89" s="552" t="s">
        <v>570</v>
      </c>
      <c r="E89" s="455" t="s">
        <v>71</v>
      </c>
      <c r="F89" s="833">
        <v>266</v>
      </c>
      <c r="G89" s="833">
        <v>263</v>
      </c>
      <c r="H89" s="833">
        <v>263</v>
      </c>
      <c r="I89" s="828">
        <f t="shared" si="7"/>
        <v>100</v>
      </c>
    </row>
    <row r="90" spans="1:9" ht="15.75" customHeight="1" x14ac:dyDescent="0.25">
      <c r="A90" s="431">
        <v>1012</v>
      </c>
      <c r="B90" s="750">
        <v>3142</v>
      </c>
      <c r="C90" s="1393">
        <v>5336</v>
      </c>
      <c r="D90" s="568"/>
      <c r="E90" s="672" t="s">
        <v>1441</v>
      </c>
      <c r="F90" s="846"/>
      <c r="G90" s="846">
        <v>412</v>
      </c>
      <c r="H90" s="846">
        <v>412</v>
      </c>
      <c r="I90" s="838">
        <f t="shared" si="7"/>
        <v>100</v>
      </c>
    </row>
    <row r="91" spans="1:9" ht="15.75" customHeight="1" x14ac:dyDescent="0.2">
      <c r="A91" s="431"/>
      <c r="B91" s="750"/>
      <c r="C91" s="1393"/>
      <c r="D91" s="568" t="s">
        <v>1124</v>
      </c>
      <c r="E91" s="868" t="s">
        <v>792</v>
      </c>
      <c r="F91" s="833"/>
      <c r="G91" s="833">
        <v>412</v>
      </c>
      <c r="H91" s="833">
        <v>412</v>
      </c>
      <c r="I91" s="828">
        <f t="shared" si="7"/>
        <v>100</v>
      </c>
    </row>
    <row r="92" spans="1:9" ht="15.75" customHeight="1" x14ac:dyDescent="0.25">
      <c r="A92" s="431">
        <v>1012</v>
      </c>
      <c r="B92" s="750">
        <v>3143</v>
      </c>
      <c r="C92" s="1393">
        <v>5336</v>
      </c>
      <c r="D92" s="842"/>
      <c r="E92" s="672" t="s">
        <v>1441</v>
      </c>
      <c r="F92" s="835"/>
      <c r="G92" s="835">
        <v>856</v>
      </c>
      <c r="H92" s="835">
        <v>856</v>
      </c>
      <c r="I92" s="836">
        <f t="shared" si="7"/>
        <v>100</v>
      </c>
    </row>
    <row r="93" spans="1:9" ht="15.75" customHeight="1" x14ac:dyDescent="0.2">
      <c r="A93" s="431"/>
      <c r="B93" s="750"/>
      <c r="C93" s="1393"/>
      <c r="D93" s="568" t="s">
        <v>1124</v>
      </c>
      <c r="E93" s="868" t="s">
        <v>792</v>
      </c>
      <c r="F93" s="833"/>
      <c r="G93" s="833">
        <v>856</v>
      </c>
      <c r="H93" s="833">
        <v>856</v>
      </c>
      <c r="I93" s="828">
        <f t="shared" si="7"/>
        <v>100</v>
      </c>
    </row>
    <row r="94" spans="1:9" ht="15.75" customHeight="1" x14ac:dyDescent="0.25">
      <c r="A94" s="431">
        <v>1012</v>
      </c>
      <c r="B94" s="673">
        <v>3145</v>
      </c>
      <c r="C94" s="1393">
        <v>5331</v>
      </c>
      <c r="D94" s="842"/>
      <c r="E94" s="792" t="s">
        <v>951</v>
      </c>
      <c r="F94" s="858">
        <f>F95</f>
        <v>380</v>
      </c>
      <c r="G94" s="851">
        <f>SUM(G95:G95)</f>
        <v>376</v>
      </c>
      <c r="H94" s="851">
        <f>SUM(H95:H95)</f>
        <v>376</v>
      </c>
      <c r="I94" s="836">
        <f t="shared" si="7"/>
        <v>100</v>
      </c>
    </row>
    <row r="95" spans="1:9" ht="15.75" customHeight="1" x14ac:dyDescent="0.2">
      <c r="A95" s="431"/>
      <c r="B95" s="673"/>
      <c r="C95" s="1398"/>
      <c r="D95" s="552" t="s">
        <v>570</v>
      </c>
      <c r="E95" s="869" t="s">
        <v>71</v>
      </c>
      <c r="F95" s="822">
        <v>380</v>
      </c>
      <c r="G95" s="827">
        <v>376</v>
      </c>
      <c r="H95" s="827">
        <v>376</v>
      </c>
      <c r="I95" s="828">
        <f t="shared" si="7"/>
        <v>100</v>
      </c>
    </row>
    <row r="96" spans="1:9" ht="15.75" customHeight="1" x14ac:dyDescent="0.25">
      <c r="A96" s="431">
        <v>1012</v>
      </c>
      <c r="B96" s="673">
        <v>3145</v>
      </c>
      <c r="C96" s="1397">
        <v>5336</v>
      </c>
      <c r="D96" s="552"/>
      <c r="E96" s="672" t="s">
        <v>1441</v>
      </c>
      <c r="F96" s="2110"/>
      <c r="G96" s="851">
        <v>3040</v>
      </c>
      <c r="H96" s="851">
        <v>3040</v>
      </c>
      <c r="I96" s="838">
        <f t="shared" si="7"/>
        <v>100</v>
      </c>
    </row>
    <row r="97" spans="1:20" ht="15.75" customHeight="1" x14ac:dyDescent="0.2">
      <c r="A97" s="431"/>
      <c r="B97" s="673"/>
      <c r="C97" s="1392"/>
      <c r="D97" s="568" t="s">
        <v>1124</v>
      </c>
      <c r="E97" s="868" t="s">
        <v>792</v>
      </c>
      <c r="F97" s="822"/>
      <c r="G97" s="827">
        <v>3040</v>
      </c>
      <c r="H97" s="827">
        <v>3040</v>
      </c>
      <c r="I97" s="828">
        <f t="shared" si="7"/>
        <v>100</v>
      </c>
    </row>
    <row r="98" spans="1:20" ht="15.75" customHeight="1" x14ac:dyDescent="0.25">
      <c r="A98" s="431">
        <v>1012</v>
      </c>
      <c r="B98" s="673">
        <v>3146</v>
      </c>
      <c r="C98" s="1397">
        <v>5331</v>
      </c>
      <c r="D98" s="829"/>
      <c r="E98" s="379" t="s">
        <v>951</v>
      </c>
      <c r="F98" s="858">
        <f>F99</f>
        <v>332</v>
      </c>
      <c r="G98" s="858">
        <v>329</v>
      </c>
      <c r="H98" s="820">
        <v>329</v>
      </c>
      <c r="I98" s="836">
        <f t="shared" si="7"/>
        <v>100</v>
      </c>
    </row>
    <row r="99" spans="1:20" ht="15.75" customHeight="1" x14ac:dyDescent="0.2">
      <c r="A99" s="431"/>
      <c r="B99" s="673"/>
      <c r="C99" s="1398"/>
      <c r="D99" s="552" t="s">
        <v>570</v>
      </c>
      <c r="E99" s="67" t="s">
        <v>71</v>
      </c>
      <c r="F99" s="822">
        <v>332</v>
      </c>
      <c r="G99" s="827">
        <v>329</v>
      </c>
      <c r="H99" s="827">
        <v>329</v>
      </c>
      <c r="I99" s="828">
        <f t="shared" si="7"/>
        <v>100</v>
      </c>
    </row>
    <row r="100" spans="1:20" ht="15.75" customHeight="1" x14ac:dyDescent="0.25">
      <c r="A100" s="431">
        <v>1012</v>
      </c>
      <c r="B100" s="673">
        <v>3146</v>
      </c>
      <c r="C100" s="1398">
        <v>5336</v>
      </c>
      <c r="D100" s="552"/>
      <c r="E100" s="672" t="s">
        <v>1441</v>
      </c>
      <c r="F100" s="2110"/>
      <c r="G100" s="851">
        <v>6589</v>
      </c>
      <c r="H100" s="851">
        <v>6589</v>
      </c>
      <c r="I100" s="838">
        <f t="shared" si="7"/>
        <v>100</v>
      </c>
    </row>
    <row r="101" spans="1:20" ht="18" customHeight="1" thickBot="1" x14ac:dyDescent="0.3">
      <c r="A101" s="431"/>
      <c r="B101" s="673"/>
      <c r="C101" s="1398"/>
      <c r="D101" s="718" t="s">
        <v>1124</v>
      </c>
      <c r="E101" s="1396" t="s">
        <v>792</v>
      </c>
      <c r="F101" s="870"/>
      <c r="G101" s="871">
        <v>6589</v>
      </c>
      <c r="H101" s="871">
        <v>6589</v>
      </c>
      <c r="I101" s="872">
        <f t="shared" si="7"/>
        <v>100</v>
      </c>
    </row>
    <row r="102" spans="1:20" ht="16.5" thickTop="1" thickBot="1" x14ac:dyDescent="0.3">
      <c r="A102" s="2672" t="s">
        <v>1105</v>
      </c>
      <c r="B102" s="2673"/>
      <c r="C102" s="2673"/>
      <c r="D102" s="2685"/>
      <c r="E102" s="2685"/>
      <c r="F102" s="873">
        <f>F77+F88+F92+F94+F98+F73+F75+F80+F86+F96+F100+F90</f>
        <v>4125</v>
      </c>
      <c r="G102" s="873">
        <f>G77+G88+G92+G94+G98+G73+G75+G80+G86+G96+G100+G90</f>
        <v>31626</v>
      </c>
      <c r="H102" s="873">
        <f>H77+H88+H92+H94+H98+H73+H75+H80+H86+H96+H100+H90</f>
        <v>31626</v>
      </c>
      <c r="I102" s="856">
        <f t="shared" si="7"/>
        <v>100</v>
      </c>
      <c r="R102" s="382">
        <f>F102</f>
        <v>4125</v>
      </c>
      <c r="S102" s="382">
        <f>G102</f>
        <v>31626</v>
      </c>
      <c r="T102" s="382">
        <f>H102</f>
        <v>31626</v>
      </c>
    </row>
    <row r="103" spans="1:20" ht="13.5" thickTop="1" x14ac:dyDescent="0.2"/>
    <row r="104" spans="1:20" ht="20.25" customHeight="1" thickBot="1" x14ac:dyDescent="0.25">
      <c r="A104" s="432" t="s">
        <v>1601</v>
      </c>
      <c r="I104" s="1390" t="s">
        <v>161</v>
      </c>
    </row>
    <row r="105" spans="1:20" s="107" customFormat="1" thickTop="1" thickBot="1" x14ac:dyDescent="0.25">
      <c r="A105" s="631" t="s">
        <v>624</v>
      </c>
      <c r="B105" s="774" t="s">
        <v>162</v>
      </c>
      <c r="C105" s="632" t="s">
        <v>163</v>
      </c>
      <c r="D105" s="634" t="s">
        <v>705</v>
      </c>
      <c r="E105" s="634" t="s">
        <v>164</v>
      </c>
      <c r="F105" s="634" t="s">
        <v>165</v>
      </c>
      <c r="G105" s="634" t="s">
        <v>881</v>
      </c>
      <c r="H105" s="634" t="s">
        <v>882</v>
      </c>
      <c r="I105" s="818" t="s">
        <v>883</v>
      </c>
    </row>
    <row r="106" spans="1:20" s="383" customFormat="1" ht="13.5" thickTop="1" thickBot="1" x14ac:dyDescent="0.25">
      <c r="A106" s="566">
        <v>1</v>
      </c>
      <c r="B106" s="567">
        <v>2</v>
      </c>
      <c r="C106" s="567">
        <v>3</v>
      </c>
      <c r="D106" s="567">
        <v>4</v>
      </c>
      <c r="E106" s="567">
        <v>5</v>
      </c>
      <c r="F106" s="541">
        <v>6</v>
      </c>
      <c r="G106" s="541">
        <v>7</v>
      </c>
      <c r="H106" s="542">
        <v>8</v>
      </c>
      <c r="I106" s="636" t="s">
        <v>762</v>
      </c>
    </row>
    <row r="107" spans="1:20" ht="15.75" thickTop="1" x14ac:dyDescent="0.25">
      <c r="A107" s="431">
        <v>1013</v>
      </c>
      <c r="B107" s="750">
        <v>3112</v>
      </c>
      <c r="C107" s="1393">
        <v>5331</v>
      </c>
      <c r="D107" s="842"/>
      <c r="E107" s="672" t="s">
        <v>951</v>
      </c>
      <c r="F107" s="846">
        <v>110</v>
      </c>
      <c r="G107" s="846">
        <v>109</v>
      </c>
      <c r="H107" s="846">
        <v>109</v>
      </c>
      <c r="I107" s="853">
        <f t="shared" ref="I107:I108" si="10">(H107/G107)*100</f>
        <v>100</v>
      </c>
    </row>
    <row r="108" spans="1:20" ht="14.25" x14ac:dyDescent="0.2">
      <c r="A108" s="431"/>
      <c r="B108" s="750"/>
      <c r="C108" s="750"/>
      <c r="D108" s="552" t="s">
        <v>570</v>
      </c>
      <c r="E108" s="455" t="s">
        <v>71</v>
      </c>
      <c r="F108" s="833">
        <v>110</v>
      </c>
      <c r="G108" s="833">
        <v>109</v>
      </c>
      <c r="H108" s="833">
        <v>109</v>
      </c>
      <c r="I108" s="823">
        <f t="shared" si="10"/>
        <v>100</v>
      </c>
    </row>
    <row r="109" spans="1:20" ht="15" x14ac:dyDescent="0.25">
      <c r="A109" s="431">
        <v>1013</v>
      </c>
      <c r="B109" s="750">
        <v>3112</v>
      </c>
      <c r="C109" s="750">
        <v>5336</v>
      </c>
      <c r="D109" s="568"/>
      <c r="E109" s="672" t="s">
        <v>1441</v>
      </c>
      <c r="F109" s="846"/>
      <c r="G109" s="846">
        <f>G110+G112</f>
        <v>1481</v>
      </c>
      <c r="H109" s="846">
        <f>H110+H112</f>
        <v>1481</v>
      </c>
      <c r="I109" s="853">
        <f t="shared" ref="I109:I145" si="11">(H109/G109)*100</f>
        <v>100</v>
      </c>
    </row>
    <row r="110" spans="1:20" ht="15" customHeight="1" x14ac:dyDescent="0.25">
      <c r="A110" s="431"/>
      <c r="B110" s="750"/>
      <c r="C110" s="750"/>
      <c r="D110" s="1068" t="s">
        <v>1911</v>
      </c>
      <c r="E110" s="2671" t="s">
        <v>2051</v>
      </c>
      <c r="F110" s="846"/>
      <c r="G110" s="837">
        <v>5</v>
      </c>
      <c r="H110" s="883">
        <v>5</v>
      </c>
      <c r="I110" s="823">
        <f t="shared" si="11"/>
        <v>100</v>
      </c>
    </row>
    <row r="111" spans="1:20" ht="15" x14ac:dyDescent="0.25">
      <c r="A111" s="431"/>
      <c r="B111" s="750"/>
      <c r="C111" s="750"/>
      <c r="D111" s="1068"/>
      <c r="E111" s="2671"/>
      <c r="F111" s="846"/>
      <c r="G111" s="846"/>
      <c r="H111" s="920"/>
      <c r="I111" s="853"/>
    </row>
    <row r="112" spans="1:20" s="383" customFormat="1" ht="14.25" x14ac:dyDescent="0.2">
      <c r="A112" s="866"/>
      <c r="B112" s="1310"/>
      <c r="C112" s="1310"/>
      <c r="D112" s="552" t="s">
        <v>1124</v>
      </c>
      <c r="E112" s="67" t="s">
        <v>792</v>
      </c>
      <c r="F112" s="1491"/>
      <c r="G112" s="1491">
        <v>1476</v>
      </c>
      <c r="H112" s="1492">
        <v>1476</v>
      </c>
      <c r="I112" s="823">
        <f t="shared" si="11"/>
        <v>100</v>
      </c>
    </row>
    <row r="113" spans="1:9" ht="15" x14ac:dyDescent="0.25">
      <c r="A113" s="431">
        <v>1013</v>
      </c>
      <c r="B113" s="673">
        <v>3114</v>
      </c>
      <c r="C113" s="673">
        <v>5331</v>
      </c>
      <c r="D113" s="819"/>
      <c r="E113" s="792" t="s">
        <v>951</v>
      </c>
      <c r="F113" s="820">
        <f>SUM(F114:F115)</f>
        <v>6405</v>
      </c>
      <c r="G113" s="820">
        <f>SUM(G114:G115)</f>
        <v>6425</v>
      </c>
      <c r="H113" s="820">
        <f>SUM(H114:H115)</f>
        <v>6425</v>
      </c>
      <c r="I113" s="821">
        <f t="shared" si="11"/>
        <v>100</v>
      </c>
    </row>
    <row r="114" spans="1:9" ht="14.25" x14ac:dyDescent="0.2">
      <c r="A114" s="431"/>
      <c r="B114" s="673"/>
      <c r="C114" s="673"/>
      <c r="D114" s="707" t="s">
        <v>575</v>
      </c>
      <c r="E114" s="1478" t="s">
        <v>793</v>
      </c>
      <c r="F114" s="827">
        <v>4765</v>
      </c>
      <c r="G114" s="827">
        <v>4801</v>
      </c>
      <c r="H114" s="827">
        <v>4801</v>
      </c>
      <c r="I114" s="823">
        <f t="shared" si="11"/>
        <v>100</v>
      </c>
    </row>
    <row r="115" spans="1:9" ht="14.25" x14ac:dyDescent="0.2">
      <c r="A115" s="431"/>
      <c r="B115" s="673"/>
      <c r="C115" s="673"/>
      <c r="D115" s="552" t="s">
        <v>570</v>
      </c>
      <c r="E115" s="455" t="s">
        <v>71</v>
      </c>
      <c r="F115" s="827">
        <v>1640</v>
      </c>
      <c r="G115" s="827">
        <v>1624</v>
      </c>
      <c r="H115" s="827">
        <v>1624</v>
      </c>
      <c r="I115" s="823">
        <f t="shared" si="11"/>
        <v>100</v>
      </c>
    </row>
    <row r="116" spans="1:9" ht="15" x14ac:dyDescent="0.25">
      <c r="A116" s="431">
        <v>1013</v>
      </c>
      <c r="B116" s="750">
        <v>3114</v>
      </c>
      <c r="C116" s="750">
        <v>5336</v>
      </c>
      <c r="D116" s="568"/>
      <c r="E116" s="672" t="s">
        <v>1441</v>
      </c>
      <c r="F116" s="846"/>
      <c r="G116" s="846">
        <f>G117+G118+G120+G121</f>
        <v>9928</v>
      </c>
      <c r="H116" s="846">
        <f>H117+H118+H120+H121</f>
        <v>9928</v>
      </c>
      <c r="I116" s="853">
        <f t="shared" si="11"/>
        <v>100</v>
      </c>
    </row>
    <row r="117" spans="1:9" ht="14.25" x14ac:dyDescent="0.2">
      <c r="A117" s="431"/>
      <c r="B117" s="750"/>
      <c r="C117" s="750"/>
      <c r="D117" s="1068" t="s">
        <v>926</v>
      </c>
      <c r="E117" s="2111" t="s">
        <v>1602</v>
      </c>
      <c r="F117" s="833"/>
      <c r="G117" s="833">
        <v>15</v>
      </c>
      <c r="H117" s="833">
        <v>15</v>
      </c>
      <c r="I117" s="823">
        <f t="shared" ref="I117:I120" si="12">(H117/G117)*100</f>
        <v>100</v>
      </c>
    </row>
    <row r="118" spans="1:9" ht="15" x14ac:dyDescent="0.25">
      <c r="A118" s="431"/>
      <c r="B118" s="750"/>
      <c r="C118" s="750"/>
      <c r="D118" s="1068" t="s">
        <v>1911</v>
      </c>
      <c r="E118" s="2671" t="s">
        <v>2051</v>
      </c>
      <c r="F118" s="846"/>
      <c r="G118" s="837">
        <v>59</v>
      </c>
      <c r="H118" s="883">
        <v>59</v>
      </c>
      <c r="I118" s="823">
        <f t="shared" si="12"/>
        <v>100</v>
      </c>
    </row>
    <row r="119" spans="1:9" ht="15" x14ac:dyDescent="0.25">
      <c r="A119" s="431"/>
      <c r="B119" s="750"/>
      <c r="C119" s="750"/>
      <c r="D119" s="1068"/>
      <c r="E119" s="2671"/>
      <c r="F119" s="846"/>
      <c r="G119" s="846"/>
      <c r="H119" s="920"/>
      <c r="I119" s="853"/>
    </row>
    <row r="120" spans="1:9" ht="15" x14ac:dyDescent="0.25">
      <c r="A120" s="431"/>
      <c r="B120" s="750"/>
      <c r="C120" s="750"/>
      <c r="D120" s="1068" t="s">
        <v>1913</v>
      </c>
      <c r="E120" s="2113" t="s">
        <v>2052</v>
      </c>
      <c r="F120" s="846"/>
      <c r="G120" s="837">
        <v>80</v>
      </c>
      <c r="H120" s="883">
        <v>80</v>
      </c>
      <c r="I120" s="823">
        <f t="shared" si="12"/>
        <v>100</v>
      </c>
    </row>
    <row r="121" spans="1:9" ht="15" x14ac:dyDescent="0.25">
      <c r="A121" s="431"/>
      <c r="B121" s="750"/>
      <c r="C121" s="750"/>
      <c r="D121" s="552" t="s">
        <v>1124</v>
      </c>
      <c r="E121" s="455" t="s">
        <v>792</v>
      </c>
      <c r="F121" s="846"/>
      <c r="G121" s="837">
        <v>9774</v>
      </c>
      <c r="H121" s="837">
        <v>9774</v>
      </c>
      <c r="I121" s="823">
        <f t="shared" si="11"/>
        <v>100</v>
      </c>
    </row>
    <row r="122" spans="1:9" ht="15" x14ac:dyDescent="0.25">
      <c r="A122" s="431">
        <v>1013</v>
      </c>
      <c r="B122" s="750">
        <v>3141</v>
      </c>
      <c r="C122" s="750">
        <v>5336</v>
      </c>
      <c r="D122" s="568"/>
      <c r="E122" s="672" t="s">
        <v>1441</v>
      </c>
      <c r="F122" s="846"/>
      <c r="G122" s="846">
        <v>90</v>
      </c>
      <c r="H122" s="846">
        <v>90</v>
      </c>
      <c r="I122" s="853">
        <f t="shared" si="11"/>
        <v>100</v>
      </c>
    </row>
    <row r="123" spans="1:9" ht="14.25" x14ac:dyDescent="0.2">
      <c r="A123" s="431"/>
      <c r="B123" s="750"/>
      <c r="C123" s="750"/>
      <c r="D123" s="552" t="s">
        <v>1124</v>
      </c>
      <c r="E123" s="455" t="s">
        <v>792</v>
      </c>
      <c r="F123" s="833"/>
      <c r="G123" s="833">
        <v>90</v>
      </c>
      <c r="H123" s="833">
        <v>90</v>
      </c>
      <c r="I123" s="823">
        <f t="shared" si="11"/>
        <v>100</v>
      </c>
    </row>
    <row r="124" spans="1:9" ht="15" x14ac:dyDescent="0.25">
      <c r="A124" s="431">
        <v>1013</v>
      </c>
      <c r="B124" s="750">
        <v>3142</v>
      </c>
      <c r="C124" s="1393">
        <v>5331</v>
      </c>
      <c r="D124" s="842"/>
      <c r="E124" s="672" t="s">
        <v>951</v>
      </c>
      <c r="F124" s="846">
        <v>163</v>
      </c>
      <c r="G124" s="846">
        <v>131</v>
      </c>
      <c r="H124" s="846">
        <v>131</v>
      </c>
      <c r="I124" s="853">
        <f t="shared" si="11"/>
        <v>100</v>
      </c>
    </row>
    <row r="125" spans="1:9" ht="14.25" x14ac:dyDescent="0.2">
      <c r="A125" s="431"/>
      <c r="B125" s="750"/>
      <c r="C125" s="750"/>
      <c r="D125" s="552" t="s">
        <v>570</v>
      </c>
      <c r="E125" s="455" t="s">
        <v>71</v>
      </c>
      <c r="F125" s="833">
        <v>163</v>
      </c>
      <c r="G125" s="833">
        <v>131</v>
      </c>
      <c r="H125" s="833">
        <v>131</v>
      </c>
      <c r="I125" s="823">
        <f t="shared" si="11"/>
        <v>100</v>
      </c>
    </row>
    <row r="126" spans="1:9" ht="15" x14ac:dyDescent="0.25">
      <c r="A126" s="431">
        <v>1013</v>
      </c>
      <c r="B126" s="750">
        <v>3142</v>
      </c>
      <c r="C126" s="750">
        <v>5336</v>
      </c>
      <c r="D126" s="568"/>
      <c r="E126" s="672" t="s">
        <v>1441</v>
      </c>
      <c r="F126" s="846"/>
      <c r="G126" s="846">
        <v>30</v>
      </c>
      <c r="H126" s="846">
        <v>30</v>
      </c>
      <c r="I126" s="853">
        <f t="shared" si="11"/>
        <v>100</v>
      </c>
    </row>
    <row r="127" spans="1:9" ht="14.25" x14ac:dyDescent="0.2">
      <c r="A127" s="431"/>
      <c r="B127" s="750"/>
      <c r="C127" s="750"/>
      <c r="D127" s="552" t="s">
        <v>1124</v>
      </c>
      <c r="E127" s="455" t="s">
        <v>792</v>
      </c>
      <c r="F127" s="833"/>
      <c r="G127" s="833">
        <v>30</v>
      </c>
      <c r="H127" s="833">
        <v>30</v>
      </c>
      <c r="I127" s="823">
        <f t="shared" si="11"/>
        <v>100</v>
      </c>
    </row>
    <row r="128" spans="1:9" ht="15" x14ac:dyDescent="0.25">
      <c r="A128" s="431">
        <v>1013</v>
      </c>
      <c r="B128" s="750">
        <v>3143</v>
      </c>
      <c r="C128" s="750">
        <v>5331</v>
      </c>
      <c r="D128" s="568"/>
      <c r="E128" s="672" t="s">
        <v>951</v>
      </c>
      <c r="F128" s="846">
        <v>48</v>
      </c>
      <c r="G128" s="846">
        <v>48</v>
      </c>
      <c r="H128" s="846">
        <v>48</v>
      </c>
      <c r="I128" s="853">
        <f t="shared" si="11"/>
        <v>100</v>
      </c>
    </row>
    <row r="129" spans="1:9" ht="14.25" x14ac:dyDescent="0.2">
      <c r="A129" s="431"/>
      <c r="B129" s="750"/>
      <c r="C129" s="750"/>
      <c r="D129" s="552" t="s">
        <v>570</v>
      </c>
      <c r="E129" s="455" t="s">
        <v>71</v>
      </c>
      <c r="F129" s="833">
        <v>48</v>
      </c>
      <c r="G129" s="833">
        <v>48</v>
      </c>
      <c r="H129" s="833">
        <v>48</v>
      </c>
      <c r="I129" s="823">
        <f t="shared" ref="I129" si="13">(H129/G129)*100</f>
        <v>100</v>
      </c>
    </row>
    <row r="130" spans="1:9" ht="15" x14ac:dyDescent="0.25">
      <c r="A130" s="431">
        <v>1013</v>
      </c>
      <c r="B130" s="750">
        <v>3143</v>
      </c>
      <c r="C130" s="750">
        <v>5336</v>
      </c>
      <c r="D130" s="568"/>
      <c r="E130" s="672" t="s">
        <v>1441</v>
      </c>
      <c r="F130" s="846"/>
      <c r="G130" s="846">
        <v>623</v>
      </c>
      <c r="H130" s="846">
        <v>623</v>
      </c>
      <c r="I130" s="853">
        <f t="shared" si="11"/>
        <v>100</v>
      </c>
    </row>
    <row r="131" spans="1:9" ht="14.25" x14ac:dyDescent="0.2">
      <c r="A131" s="431"/>
      <c r="B131" s="750"/>
      <c r="C131" s="750"/>
      <c r="D131" s="552" t="s">
        <v>1124</v>
      </c>
      <c r="E131" s="455" t="s">
        <v>792</v>
      </c>
      <c r="F131" s="833"/>
      <c r="G131" s="833">
        <v>623</v>
      </c>
      <c r="H131" s="833">
        <v>623</v>
      </c>
      <c r="I131" s="823">
        <f t="shared" si="11"/>
        <v>100</v>
      </c>
    </row>
    <row r="132" spans="1:9" ht="15" x14ac:dyDescent="0.25">
      <c r="A132" s="431">
        <v>1013</v>
      </c>
      <c r="B132" s="750">
        <v>3145</v>
      </c>
      <c r="C132" s="1393">
        <v>5331</v>
      </c>
      <c r="D132" s="842"/>
      <c r="E132" s="792" t="s">
        <v>951</v>
      </c>
      <c r="F132" s="846">
        <v>855</v>
      </c>
      <c r="G132" s="846">
        <v>846</v>
      </c>
      <c r="H132" s="846">
        <v>846</v>
      </c>
      <c r="I132" s="853">
        <f t="shared" si="11"/>
        <v>100</v>
      </c>
    </row>
    <row r="133" spans="1:9" ht="14.25" x14ac:dyDescent="0.2">
      <c r="A133" s="431"/>
      <c r="B133" s="750"/>
      <c r="C133" s="750"/>
      <c r="D133" s="552" t="s">
        <v>570</v>
      </c>
      <c r="E133" s="455" t="s">
        <v>71</v>
      </c>
      <c r="F133" s="833">
        <v>855</v>
      </c>
      <c r="G133" s="833">
        <v>846</v>
      </c>
      <c r="H133" s="833">
        <v>846</v>
      </c>
      <c r="I133" s="823">
        <f t="shared" si="11"/>
        <v>100</v>
      </c>
    </row>
    <row r="134" spans="1:9" ht="15.75" customHeight="1" x14ac:dyDescent="0.25">
      <c r="A134" s="431">
        <v>1013</v>
      </c>
      <c r="B134" s="750">
        <v>3145</v>
      </c>
      <c r="C134" s="750">
        <v>5336</v>
      </c>
      <c r="D134" s="552"/>
      <c r="E134" s="672" t="s">
        <v>1441</v>
      </c>
      <c r="F134" s="846"/>
      <c r="G134" s="846">
        <v>1235</v>
      </c>
      <c r="H134" s="846">
        <v>1235</v>
      </c>
      <c r="I134" s="853">
        <f t="shared" si="11"/>
        <v>100</v>
      </c>
    </row>
    <row r="135" spans="1:9" ht="15.75" customHeight="1" x14ac:dyDescent="0.2">
      <c r="A135" s="431"/>
      <c r="B135" s="750"/>
      <c r="C135" s="750"/>
      <c r="D135" s="552" t="s">
        <v>1124</v>
      </c>
      <c r="E135" s="455" t="s">
        <v>792</v>
      </c>
      <c r="F135" s="833"/>
      <c r="G135" s="833">
        <v>1235</v>
      </c>
      <c r="H135" s="833">
        <v>1235</v>
      </c>
      <c r="I135" s="823">
        <f t="shared" si="11"/>
        <v>100</v>
      </c>
    </row>
    <row r="136" spans="1:9" ht="15.75" customHeight="1" x14ac:dyDescent="0.25">
      <c r="A136" s="431">
        <v>1013</v>
      </c>
      <c r="B136" s="750">
        <v>3146</v>
      </c>
      <c r="C136" s="1393">
        <v>5331</v>
      </c>
      <c r="D136" s="842"/>
      <c r="E136" s="792" t="s">
        <v>951</v>
      </c>
      <c r="F136" s="835">
        <v>48</v>
      </c>
      <c r="G136" s="835">
        <v>48</v>
      </c>
      <c r="H136" s="835">
        <v>48</v>
      </c>
      <c r="I136" s="836">
        <f t="shared" si="11"/>
        <v>100</v>
      </c>
    </row>
    <row r="137" spans="1:9" ht="18" customHeight="1" thickBot="1" x14ac:dyDescent="0.25">
      <c r="A137" s="431"/>
      <c r="B137" s="750"/>
      <c r="C137" s="1393"/>
      <c r="D137" s="552" t="s">
        <v>570</v>
      </c>
      <c r="E137" s="455" t="s">
        <v>71</v>
      </c>
      <c r="F137" s="833">
        <v>48</v>
      </c>
      <c r="G137" s="833">
        <v>48</v>
      </c>
      <c r="H137" s="833">
        <v>48</v>
      </c>
      <c r="I137" s="828">
        <f t="shared" si="11"/>
        <v>100</v>
      </c>
    </row>
    <row r="138" spans="1:9" ht="18" customHeight="1" thickTop="1" x14ac:dyDescent="0.2">
      <c r="A138" s="1511"/>
      <c r="B138" s="654"/>
      <c r="C138" s="1511"/>
      <c r="D138" s="1512"/>
      <c r="E138" s="1055"/>
      <c r="F138" s="1513"/>
      <c r="G138" s="1513"/>
      <c r="H138" s="1513"/>
      <c r="I138" s="1514"/>
    </row>
    <row r="139" spans="1:9" ht="15" customHeight="1" thickBot="1" x14ac:dyDescent="0.25">
      <c r="A139" s="432"/>
      <c r="I139" s="1390" t="s">
        <v>161</v>
      </c>
    </row>
    <row r="140" spans="1:9" s="107" customFormat="1" thickTop="1" thickBot="1" x14ac:dyDescent="0.25">
      <c r="A140" s="631" t="s">
        <v>624</v>
      </c>
      <c r="B140" s="774" t="s">
        <v>162</v>
      </c>
      <c r="C140" s="632" t="s">
        <v>163</v>
      </c>
      <c r="D140" s="634" t="s">
        <v>705</v>
      </c>
      <c r="E140" s="634" t="s">
        <v>164</v>
      </c>
      <c r="F140" s="634" t="s">
        <v>165</v>
      </c>
      <c r="G140" s="634" t="s">
        <v>881</v>
      </c>
      <c r="H140" s="634" t="s">
        <v>882</v>
      </c>
      <c r="I140" s="818" t="s">
        <v>883</v>
      </c>
    </row>
    <row r="141" spans="1:9" s="383" customFormat="1" ht="13.5" thickTop="1" thickBot="1" x14ac:dyDescent="0.25">
      <c r="A141" s="566">
        <v>1</v>
      </c>
      <c r="B141" s="567">
        <v>2</v>
      </c>
      <c r="C141" s="567">
        <v>3</v>
      </c>
      <c r="D141" s="567">
        <v>4</v>
      </c>
      <c r="E141" s="567">
        <v>5</v>
      </c>
      <c r="F141" s="541">
        <v>6</v>
      </c>
      <c r="G141" s="541">
        <v>7</v>
      </c>
      <c r="H141" s="542">
        <v>8</v>
      </c>
      <c r="I141" s="636" t="s">
        <v>762</v>
      </c>
    </row>
    <row r="142" spans="1:9" ht="15" customHeight="1" thickTop="1" x14ac:dyDescent="0.25">
      <c r="A142" s="431">
        <v>1013</v>
      </c>
      <c r="B142" s="750">
        <v>3146</v>
      </c>
      <c r="C142" s="1393">
        <v>5336</v>
      </c>
      <c r="D142" s="552"/>
      <c r="E142" s="672" t="s">
        <v>1441</v>
      </c>
      <c r="F142" s="846"/>
      <c r="G142" s="846">
        <f>G143+G144</f>
        <v>706</v>
      </c>
      <c r="H142" s="846">
        <f>H143+H144</f>
        <v>706</v>
      </c>
      <c r="I142" s="838">
        <f t="shared" si="11"/>
        <v>100</v>
      </c>
    </row>
    <row r="143" spans="1:9" ht="15" customHeight="1" x14ac:dyDescent="0.2">
      <c r="A143" s="431"/>
      <c r="B143" s="750"/>
      <c r="C143" s="1393"/>
      <c r="D143" s="1325" t="s">
        <v>1667</v>
      </c>
      <c r="E143" s="2113" t="s">
        <v>1824</v>
      </c>
      <c r="F143" s="833"/>
      <c r="G143" s="833">
        <v>22</v>
      </c>
      <c r="H143" s="833">
        <v>22</v>
      </c>
      <c r="I143" s="828">
        <f t="shared" ref="I143" si="14">(H143/G143)*100</f>
        <v>100</v>
      </c>
    </row>
    <row r="144" spans="1:9" ht="18" customHeight="1" thickBot="1" x14ac:dyDescent="0.25">
      <c r="A144" s="1394"/>
      <c r="B144" s="891"/>
      <c r="C144" s="1395"/>
      <c r="D144" s="552" t="s">
        <v>1124</v>
      </c>
      <c r="E144" s="455" t="s">
        <v>792</v>
      </c>
      <c r="F144" s="892"/>
      <c r="G144" s="892">
        <v>684</v>
      </c>
      <c r="H144" s="892">
        <v>684</v>
      </c>
      <c r="I144" s="872">
        <f t="shared" si="11"/>
        <v>100</v>
      </c>
    </row>
    <row r="145" spans="1:20" ht="18" customHeight="1" thickTop="1" thickBot="1" x14ac:dyDescent="0.3">
      <c r="A145" s="2679" t="s">
        <v>1105</v>
      </c>
      <c r="B145" s="2680"/>
      <c r="C145" s="2680"/>
      <c r="D145" s="2680"/>
      <c r="E145" s="2681"/>
      <c r="F145" s="824">
        <f>F113+F136+F124+F132+F107+F109+F116+F122+F126+F130+F134+F142+F128</f>
        <v>7629</v>
      </c>
      <c r="G145" s="824">
        <f>G113+G136+G124+G132+G107+G109+G116+G122+G126+G130+G134+G142+G128</f>
        <v>21700</v>
      </c>
      <c r="H145" s="824">
        <f>H113+H136+H124+H132+H107+H109+H116+H122+H126+H130+H134+H142+H128</f>
        <v>21700</v>
      </c>
      <c r="I145" s="825">
        <f t="shared" si="11"/>
        <v>100</v>
      </c>
      <c r="R145" s="382">
        <f>F145</f>
        <v>7629</v>
      </c>
      <c r="S145" s="382">
        <f>G145</f>
        <v>21700</v>
      </c>
      <c r="T145" s="382">
        <f>H145</f>
        <v>21700</v>
      </c>
    </row>
    <row r="146" spans="1:20" s="1483" customFormat="1" ht="18" customHeight="1" thickTop="1" x14ac:dyDescent="0.2">
      <c r="A146" s="1480"/>
      <c r="B146" s="1480"/>
      <c r="C146" s="1480"/>
      <c r="D146" s="1480"/>
      <c r="E146" s="1480"/>
      <c r="F146" s="1481"/>
      <c r="G146" s="1481"/>
      <c r="H146" s="1481"/>
      <c r="I146" s="1482"/>
    </row>
    <row r="147" spans="1:20" ht="13.5" thickBot="1" x14ac:dyDescent="0.25">
      <c r="A147" s="432" t="s">
        <v>739</v>
      </c>
      <c r="I147" s="1390" t="s">
        <v>161</v>
      </c>
    </row>
    <row r="148" spans="1:20" s="107" customFormat="1" ht="20.25" customHeight="1" thickTop="1" thickBot="1" x14ac:dyDescent="0.25">
      <c r="A148" s="631" t="s">
        <v>624</v>
      </c>
      <c r="B148" s="774" t="s">
        <v>162</v>
      </c>
      <c r="C148" s="632" t="s">
        <v>163</v>
      </c>
      <c r="D148" s="634" t="s">
        <v>705</v>
      </c>
      <c r="E148" s="634" t="s">
        <v>164</v>
      </c>
      <c r="F148" s="634" t="s">
        <v>165</v>
      </c>
      <c r="G148" s="634" t="s">
        <v>881</v>
      </c>
      <c r="H148" s="634" t="s">
        <v>882</v>
      </c>
      <c r="I148" s="818" t="s">
        <v>883</v>
      </c>
    </row>
    <row r="149" spans="1:20" s="383" customFormat="1" ht="13.5" thickTop="1" thickBot="1" x14ac:dyDescent="0.25">
      <c r="A149" s="566">
        <v>1</v>
      </c>
      <c r="B149" s="567">
        <v>2</v>
      </c>
      <c r="C149" s="567">
        <v>3</v>
      </c>
      <c r="D149" s="567">
        <v>4</v>
      </c>
      <c r="E149" s="567">
        <v>5</v>
      </c>
      <c r="F149" s="541">
        <v>6</v>
      </c>
      <c r="G149" s="541">
        <v>7</v>
      </c>
      <c r="H149" s="542">
        <v>8</v>
      </c>
      <c r="I149" s="636" t="s">
        <v>762</v>
      </c>
    </row>
    <row r="150" spans="1:20" s="1483" customFormat="1" ht="15.75" thickTop="1" x14ac:dyDescent="0.2">
      <c r="A150" s="1484">
        <v>1014</v>
      </c>
      <c r="B150" s="1485">
        <v>3114</v>
      </c>
      <c r="C150" s="1485">
        <v>5331</v>
      </c>
      <c r="D150" s="1486"/>
      <c r="E150" s="1487" t="s">
        <v>951</v>
      </c>
      <c r="F150" s="1488">
        <f>SUM(F151:F152)</f>
        <v>2151</v>
      </c>
      <c r="G150" s="1488">
        <f>SUM(G151:G152)</f>
        <v>2130</v>
      </c>
      <c r="H150" s="1488">
        <f>SUM(H151:H152)</f>
        <v>2130</v>
      </c>
      <c r="I150" s="1489">
        <f t="shared" ref="I150:I182" si="15">(H150/G150)*100</f>
        <v>100</v>
      </c>
    </row>
    <row r="151" spans="1:20" ht="14.25" x14ac:dyDescent="0.2">
      <c r="A151" s="431"/>
      <c r="B151" s="673"/>
      <c r="C151" s="673"/>
      <c r="D151" s="791" t="s">
        <v>575</v>
      </c>
      <c r="E151" s="1478" t="s">
        <v>793</v>
      </c>
      <c r="F151" s="2557">
        <v>34</v>
      </c>
      <c r="G151" s="2557">
        <v>34</v>
      </c>
      <c r="H151" s="2558">
        <v>34</v>
      </c>
      <c r="I151" s="823">
        <f t="shared" si="15"/>
        <v>100</v>
      </c>
    </row>
    <row r="152" spans="1:20" ht="14.25" x14ac:dyDescent="0.2">
      <c r="A152" s="431"/>
      <c r="B152" s="673"/>
      <c r="C152" s="673"/>
      <c r="D152" s="552" t="s">
        <v>570</v>
      </c>
      <c r="E152" s="455" t="s">
        <v>71</v>
      </c>
      <c r="F152" s="827">
        <v>2117</v>
      </c>
      <c r="G152" s="827">
        <v>2096</v>
      </c>
      <c r="H152" s="827">
        <v>2096</v>
      </c>
      <c r="I152" s="823">
        <f t="shared" si="15"/>
        <v>100</v>
      </c>
    </row>
    <row r="153" spans="1:20" ht="17.25" customHeight="1" x14ac:dyDescent="0.25">
      <c r="A153" s="431">
        <v>1014</v>
      </c>
      <c r="B153" s="750">
        <v>3114</v>
      </c>
      <c r="C153" s="750">
        <v>5336</v>
      </c>
      <c r="D153" s="1295"/>
      <c r="E153" s="672" t="s">
        <v>1441</v>
      </c>
      <c r="F153" s="846"/>
      <c r="G153" s="1298">
        <f>G154+G156+G157</f>
        <v>13835</v>
      </c>
      <c r="H153" s="1298">
        <f>H154+H156+H157</f>
        <v>13835</v>
      </c>
      <c r="I153" s="1560">
        <f t="shared" si="15"/>
        <v>100</v>
      </c>
    </row>
    <row r="154" spans="1:20" ht="15" customHeight="1" x14ac:dyDescent="0.25">
      <c r="A154" s="431"/>
      <c r="B154" s="750"/>
      <c r="C154" s="750"/>
      <c r="D154" s="1068" t="s">
        <v>1911</v>
      </c>
      <c r="E154" s="2671" t="s">
        <v>2051</v>
      </c>
      <c r="F154" s="846"/>
      <c r="G154" s="837">
        <v>40</v>
      </c>
      <c r="H154" s="883">
        <v>40</v>
      </c>
      <c r="I154" s="823">
        <f t="shared" si="15"/>
        <v>100</v>
      </c>
    </row>
    <row r="155" spans="1:20" ht="12.75" customHeight="1" x14ac:dyDescent="0.25">
      <c r="A155" s="431"/>
      <c r="B155" s="750"/>
      <c r="C155" s="750"/>
      <c r="D155" s="1068"/>
      <c r="E155" s="2671"/>
      <c r="F155" s="846"/>
      <c r="G155" s="846"/>
      <c r="H155" s="920"/>
      <c r="I155" s="853"/>
    </row>
    <row r="156" spans="1:20" ht="17.25" customHeight="1" x14ac:dyDescent="0.25">
      <c r="A156" s="431"/>
      <c r="B156" s="750"/>
      <c r="C156" s="750"/>
      <c r="D156" s="1068" t="s">
        <v>1913</v>
      </c>
      <c r="E156" s="2113" t="s">
        <v>2052</v>
      </c>
      <c r="F156" s="846"/>
      <c r="G156" s="837">
        <v>126</v>
      </c>
      <c r="H156" s="883">
        <v>126</v>
      </c>
      <c r="I156" s="823">
        <f t="shared" ref="I156" si="16">(H156/G156)*100</f>
        <v>100</v>
      </c>
    </row>
    <row r="157" spans="1:20" ht="15.75" customHeight="1" x14ac:dyDescent="0.2">
      <c r="A157" s="431"/>
      <c r="B157" s="750"/>
      <c r="C157" s="750"/>
      <c r="D157" s="552" t="s">
        <v>1124</v>
      </c>
      <c r="E157" s="455" t="s">
        <v>792</v>
      </c>
      <c r="F157" s="833"/>
      <c r="G157" s="1296">
        <v>13669</v>
      </c>
      <c r="H157" s="1296">
        <v>13669</v>
      </c>
      <c r="I157" s="823">
        <f t="shared" si="15"/>
        <v>100</v>
      </c>
    </row>
    <row r="158" spans="1:20" ht="15.75" customHeight="1" x14ac:dyDescent="0.25">
      <c r="A158" s="431">
        <v>1014</v>
      </c>
      <c r="B158" s="750">
        <v>3142</v>
      </c>
      <c r="C158" s="1393">
        <v>5331</v>
      </c>
      <c r="D158" s="842"/>
      <c r="E158" s="672" t="s">
        <v>951</v>
      </c>
      <c r="F158" s="835">
        <v>120</v>
      </c>
      <c r="G158" s="835">
        <v>119</v>
      </c>
      <c r="H158" s="835">
        <v>119</v>
      </c>
      <c r="I158" s="836">
        <f t="shared" ref="I158:I159" si="17">(H158/G158)*100</f>
        <v>100</v>
      </c>
    </row>
    <row r="159" spans="1:20" ht="15.75" customHeight="1" x14ac:dyDescent="0.2">
      <c r="A159" s="431"/>
      <c r="B159" s="750"/>
      <c r="C159" s="750"/>
      <c r="D159" s="552" t="s">
        <v>570</v>
      </c>
      <c r="E159" s="455" t="s">
        <v>71</v>
      </c>
      <c r="F159" s="833">
        <v>119</v>
      </c>
      <c r="G159" s="833">
        <v>119</v>
      </c>
      <c r="H159" s="833">
        <v>119</v>
      </c>
      <c r="I159" s="828">
        <f t="shared" si="17"/>
        <v>100</v>
      </c>
    </row>
    <row r="160" spans="1:20" ht="15.75" customHeight="1" x14ac:dyDescent="0.25">
      <c r="A160" s="431">
        <v>1014</v>
      </c>
      <c r="B160" s="750">
        <v>3124</v>
      </c>
      <c r="C160" s="750">
        <v>5336</v>
      </c>
      <c r="D160" s="568"/>
      <c r="E160" s="672" t="s">
        <v>1441</v>
      </c>
      <c r="F160" s="846"/>
      <c r="G160" s="1298">
        <f>G161+G163</f>
        <v>2575</v>
      </c>
      <c r="H160" s="1298">
        <f>H161+H163</f>
        <v>2575</v>
      </c>
      <c r="I160" s="1299">
        <f t="shared" si="15"/>
        <v>100</v>
      </c>
    </row>
    <row r="161" spans="1:9" ht="15.75" customHeight="1" x14ac:dyDescent="0.25">
      <c r="A161" s="431"/>
      <c r="B161" s="750"/>
      <c r="C161" s="750"/>
      <c r="D161" s="1068" t="s">
        <v>1911</v>
      </c>
      <c r="E161" s="2671" t="s">
        <v>2051</v>
      </c>
      <c r="F161" s="846"/>
      <c r="G161" s="837">
        <v>27</v>
      </c>
      <c r="H161" s="883">
        <v>27</v>
      </c>
      <c r="I161" s="823">
        <f t="shared" ref="I161" si="18">(H161/G161)*100</f>
        <v>100</v>
      </c>
    </row>
    <row r="162" spans="1:9" ht="14.25" customHeight="1" x14ac:dyDescent="0.25">
      <c r="A162" s="431"/>
      <c r="B162" s="750"/>
      <c r="C162" s="750"/>
      <c r="D162" s="1068"/>
      <c r="E162" s="2671"/>
      <c r="F162" s="846"/>
      <c r="G162" s="846"/>
      <c r="H162" s="920"/>
      <c r="I162" s="853"/>
    </row>
    <row r="163" spans="1:9" ht="15" customHeight="1" x14ac:dyDescent="0.2">
      <c r="A163" s="431"/>
      <c r="B163" s="750"/>
      <c r="C163" s="750"/>
      <c r="D163" s="552" t="s">
        <v>1124</v>
      </c>
      <c r="E163" s="455" t="s">
        <v>792</v>
      </c>
      <c r="F163" s="833"/>
      <c r="G163" s="1296">
        <v>2548</v>
      </c>
      <c r="H163" s="1296">
        <v>2548</v>
      </c>
      <c r="I163" s="1300">
        <f t="shared" si="15"/>
        <v>100</v>
      </c>
    </row>
    <row r="164" spans="1:9" ht="15.75" customHeight="1" x14ac:dyDescent="0.25">
      <c r="A164" s="431">
        <v>1014</v>
      </c>
      <c r="B164" s="750">
        <v>3141</v>
      </c>
      <c r="C164" s="750">
        <v>5336</v>
      </c>
      <c r="D164" s="1295"/>
      <c r="E164" s="672" t="s">
        <v>1441</v>
      </c>
      <c r="F164" s="846"/>
      <c r="G164" s="1298">
        <v>49</v>
      </c>
      <c r="H164" s="1298">
        <v>49</v>
      </c>
      <c r="I164" s="1299">
        <f t="shared" si="15"/>
        <v>100</v>
      </c>
    </row>
    <row r="165" spans="1:9" ht="15.75" customHeight="1" x14ac:dyDescent="0.2">
      <c r="A165" s="431"/>
      <c r="B165" s="750"/>
      <c r="C165" s="750"/>
      <c r="D165" s="552" t="s">
        <v>1124</v>
      </c>
      <c r="E165" s="455" t="s">
        <v>792</v>
      </c>
      <c r="F165" s="833"/>
      <c r="G165" s="1296">
        <v>49</v>
      </c>
      <c r="H165" s="1296">
        <v>49</v>
      </c>
      <c r="I165" s="828">
        <f t="shared" si="15"/>
        <v>100</v>
      </c>
    </row>
    <row r="166" spans="1:9" ht="15.75" customHeight="1" x14ac:dyDescent="0.25">
      <c r="A166" s="431">
        <v>1014</v>
      </c>
      <c r="B166" s="750">
        <v>3142</v>
      </c>
      <c r="C166" s="1393">
        <v>5331</v>
      </c>
      <c r="D166" s="842"/>
      <c r="E166" s="672" t="s">
        <v>951</v>
      </c>
      <c r="F166" s="835">
        <v>140</v>
      </c>
      <c r="G166" s="835">
        <v>139</v>
      </c>
      <c r="H166" s="835">
        <v>139</v>
      </c>
      <c r="I166" s="836">
        <f t="shared" si="15"/>
        <v>100</v>
      </c>
    </row>
    <row r="167" spans="1:9" ht="15.75" customHeight="1" x14ac:dyDescent="0.2">
      <c r="A167" s="431"/>
      <c r="B167" s="750"/>
      <c r="C167" s="1393"/>
      <c r="D167" s="552" t="s">
        <v>570</v>
      </c>
      <c r="E167" s="455" t="s">
        <v>71</v>
      </c>
      <c r="F167" s="833">
        <v>140</v>
      </c>
      <c r="G167" s="833">
        <v>139</v>
      </c>
      <c r="H167" s="833">
        <v>139</v>
      </c>
      <c r="I167" s="828">
        <f t="shared" si="15"/>
        <v>100</v>
      </c>
    </row>
    <row r="168" spans="1:9" ht="15.75" customHeight="1" x14ac:dyDescent="0.25">
      <c r="A168" s="431">
        <v>1014</v>
      </c>
      <c r="B168" s="750">
        <v>3142</v>
      </c>
      <c r="C168" s="1393">
        <v>5336</v>
      </c>
      <c r="D168" s="552"/>
      <c r="E168" s="672" t="s">
        <v>1441</v>
      </c>
      <c r="F168" s="846"/>
      <c r="G168" s="846">
        <v>35</v>
      </c>
      <c r="H168" s="846">
        <v>35</v>
      </c>
      <c r="I168" s="836">
        <f t="shared" si="15"/>
        <v>100</v>
      </c>
    </row>
    <row r="169" spans="1:9" ht="15.75" customHeight="1" x14ac:dyDescent="0.2">
      <c r="A169" s="431"/>
      <c r="B169" s="750"/>
      <c r="C169" s="1393"/>
      <c r="D169" s="552" t="s">
        <v>1124</v>
      </c>
      <c r="E169" s="455" t="s">
        <v>792</v>
      </c>
      <c r="F169" s="833"/>
      <c r="G169" s="833">
        <v>35</v>
      </c>
      <c r="H169" s="833">
        <v>35</v>
      </c>
      <c r="I169" s="828">
        <f t="shared" si="15"/>
        <v>100</v>
      </c>
    </row>
    <row r="170" spans="1:9" ht="15.75" customHeight="1" x14ac:dyDescent="0.25">
      <c r="A170" s="431">
        <v>1014</v>
      </c>
      <c r="B170" s="750">
        <v>3143</v>
      </c>
      <c r="C170" s="1393">
        <v>5331</v>
      </c>
      <c r="D170" s="842"/>
      <c r="E170" s="672" t="s">
        <v>951</v>
      </c>
      <c r="F170" s="846">
        <v>40</v>
      </c>
      <c r="G170" s="846">
        <v>40</v>
      </c>
      <c r="H170" s="846">
        <v>40</v>
      </c>
      <c r="I170" s="836">
        <f t="shared" si="15"/>
        <v>100</v>
      </c>
    </row>
    <row r="171" spans="1:9" ht="15.75" customHeight="1" x14ac:dyDescent="0.2">
      <c r="A171" s="431"/>
      <c r="B171" s="750"/>
      <c r="C171" s="1393"/>
      <c r="D171" s="552" t="s">
        <v>570</v>
      </c>
      <c r="E171" s="455" t="s">
        <v>71</v>
      </c>
      <c r="F171" s="833">
        <v>40</v>
      </c>
      <c r="G171" s="833">
        <v>40</v>
      </c>
      <c r="H171" s="833">
        <v>40</v>
      </c>
      <c r="I171" s="828">
        <f t="shared" si="15"/>
        <v>100</v>
      </c>
    </row>
    <row r="172" spans="1:9" ht="15.75" customHeight="1" x14ac:dyDescent="0.25">
      <c r="A172" s="431">
        <v>1014</v>
      </c>
      <c r="B172" s="750">
        <v>3143</v>
      </c>
      <c r="C172" s="1393">
        <v>5336</v>
      </c>
      <c r="D172" s="568"/>
      <c r="E172" s="672" t="s">
        <v>1441</v>
      </c>
      <c r="F172" s="846"/>
      <c r="G172" s="846">
        <v>420</v>
      </c>
      <c r="H172" s="846">
        <v>420</v>
      </c>
      <c r="I172" s="838">
        <f t="shared" si="15"/>
        <v>100</v>
      </c>
    </row>
    <row r="173" spans="1:9" ht="15.75" customHeight="1" x14ac:dyDescent="0.2">
      <c r="A173" s="431"/>
      <c r="B173" s="750"/>
      <c r="C173" s="1393"/>
      <c r="D173" s="568" t="s">
        <v>1124</v>
      </c>
      <c r="E173" s="868" t="s">
        <v>792</v>
      </c>
      <c r="F173" s="833"/>
      <c r="G173" s="833">
        <v>420</v>
      </c>
      <c r="H173" s="833">
        <v>420</v>
      </c>
      <c r="I173" s="828">
        <f t="shared" si="15"/>
        <v>100</v>
      </c>
    </row>
    <row r="174" spans="1:9" ht="18" customHeight="1" x14ac:dyDescent="0.25">
      <c r="A174" s="431">
        <v>1014</v>
      </c>
      <c r="B174" s="750">
        <v>3145</v>
      </c>
      <c r="C174" s="1393">
        <v>5331</v>
      </c>
      <c r="D174" s="842"/>
      <c r="E174" s="672" t="s">
        <v>951</v>
      </c>
      <c r="F174" s="835">
        <v>320</v>
      </c>
      <c r="G174" s="835">
        <v>317</v>
      </c>
      <c r="H174" s="835">
        <v>317</v>
      </c>
      <c r="I174" s="836">
        <f t="shared" si="15"/>
        <v>100</v>
      </c>
    </row>
    <row r="175" spans="1:9" ht="14.25" x14ac:dyDescent="0.2">
      <c r="A175" s="431"/>
      <c r="B175" s="750"/>
      <c r="C175" s="1393"/>
      <c r="D175" s="552" t="s">
        <v>570</v>
      </c>
      <c r="E175" s="455" t="s">
        <v>71</v>
      </c>
      <c r="F175" s="833">
        <v>320</v>
      </c>
      <c r="G175" s="833">
        <v>317</v>
      </c>
      <c r="H175" s="833">
        <v>317</v>
      </c>
      <c r="I175" s="828">
        <f t="shared" si="15"/>
        <v>100</v>
      </c>
    </row>
    <row r="176" spans="1:9" ht="15" x14ac:dyDescent="0.25">
      <c r="A176" s="431">
        <v>1014</v>
      </c>
      <c r="B176" s="750">
        <v>3145</v>
      </c>
      <c r="C176" s="1393">
        <v>5336</v>
      </c>
      <c r="D176" s="552"/>
      <c r="E176" s="672" t="s">
        <v>1441</v>
      </c>
      <c r="F176" s="846"/>
      <c r="G176" s="846">
        <v>1344</v>
      </c>
      <c r="H176" s="846">
        <v>1344</v>
      </c>
      <c r="I176" s="838">
        <f t="shared" si="15"/>
        <v>100</v>
      </c>
    </row>
    <row r="177" spans="1:20" ht="14.25" x14ac:dyDescent="0.2">
      <c r="A177" s="431"/>
      <c r="B177" s="750"/>
      <c r="C177" s="1393"/>
      <c r="D177" s="552" t="s">
        <v>1124</v>
      </c>
      <c r="E177" s="455" t="s">
        <v>792</v>
      </c>
      <c r="F177" s="833"/>
      <c r="G177" s="833">
        <v>1344</v>
      </c>
      <c r="H177" s="833">
        <v>1344</v>
      </c>
      <c r="I177" s="828">
        <f t="shared" si="15"/>
        <v>100</v>
      </c>
    </row>
    <row r="178" spans="1:20" ht="15" x14ac:dyDescent="0.25">
      <c r="A178" s="431">
        <v>1014</v>
      </c>
      <c r="B178" s="750">
        <v>3146</v>
      </c>
      <c r="C178" s="1393">
        <v>5331</v>
      </c>
      <c r="D178" s="842"/>
      <c r="E178" s="672" t="s">
        <v>951</v>
      </c>
      <c r="F178" s="835">
        <v>130</v>
      </c>
      <c r="G178" s="835">
        <v>65</v>
      </c>
      <c r="H178" s="835">
        <v>65</v>
      </c>
      <c r="I178" s="836">
        <f t="shared" si="15"/>
        <v>100</v>
      </c>
    </row>
    <row r="179" spans="1:20" ht="20.25" customHeight="1" x14ac:dyDescent="0.2">
      <c r="A179" s="431"/>
      <c r="B179" s="750"/>
      <c r="C179" s="1393"/>
      <c r="D179" s="552" t="s">
        <v>570</v>
      </c>
      <c r="E179" s="455" t="s">
        <v>71</v>
      </c>
      <c r="F179" s="837">
        <v>130</v>
      </c>
      <c r="G179" s="833">
        <v>65</v>
      </c>
      <c r="H179" s="833">
        <v>65</v>
      </c>
      <c r="I179" s="828">
        <f t="shared" si="15"/>
        <v>100</v>
      </c>
    </row>
    <row r="180" spans="1:20" ht="15" x14ac:dyDescent="0.25">
      <c r="A180" s="431">
        <v>1014</v>
      </c>
      <c r="B180" s="750">
        <v>3146</v>
      </c>
      <c r="C180" s="1393">
        <v>5336</v>
      </c>
      <c r="D180" s="552"/>
      <c r="E180" s="672" t="s">
        <v>1441</v>
      </c>
      <c r="F180" s="846"/>
      <c r="G180" s="846">
        <v>1432</v>
      </c>
      <c r="H180" s="846">
        <v>1432</v>
      </c>
      <c r="I180" s="838">
        <f t="shared" si="15"/>
        <v>100</v>
      </c>
    </row>
    <row r="181" spans="1:20" ht="15" thickBot="1" x14ac:dyDescent="0.25">
      <c r="A181" s="431"/>
      <c r="B181" s="750"/>
      <c r="C181" s="1393"/>
      <c r="D181" s="552" t="s">
        <v>1124</v>
      </c>
      <c r="E181" s="455" t="s">
        <v>792</v>
      </c>
      <c r="F181" s="833"/>
      <c r="G181" s="833">
        <v>1432</v>
      </c>
      <c r="H181" s="833">
        <v>1432</v>
      </c>
      <c r="I181" s="828">
        <f t="shared" si="15"/>
        <v>100</v>
      </c>
    </row>
    <row r="182" spans="1:20" ht="16.5" thickTop="1" thickBot="1" x14ac:dyDescent="0.3">
      <c r="A182" s="2672" t="s">
        <v>1105</v>
      </c>
      <c r="B182" s="2673"/>
      <c r="C182" s="2673"/>
      <c r="D182" s="2673"/>
      <c r="E182" s="2673"/>
      <c r="F182" s="824">
        <f>SUM(F150,F166,F178,F174,F17,F1704,F170,F158)</f>
        <v>2901</v>
      </c>
      <c r="G182" s="824">
        <f>SUM(G150,G166,G178,G174,G170,G164,G153,G160,G168,G172,G176,G180,G158)</f>
        <v>22500</v>
      </c>
      <c r="H182" s="824">
        <f>SUM(H150,H166,H178,H174,H170,H164,H153,H160,H168,H172,H176,H180,H158)</f>
        <v>22500</v>
      </c>
      <c r="I182" s="825">
        <f t="shared" si="15"/>
        <v>100</v>
      </c>
      <c r="R182" s="382">
        <f>F182</f>
        <v>2901</v>
      </c>
      <c r="S182" s="382">
        <f>G182</f>
        <v>22500</v>
      </c>
      <c r="T182" s="382">
        <f>H182</f>
        <v>22500</v>
      </c>
    </row>
    <row r="183" spans="1:20" ht="13.5" thickTop="1" x14ac:dyDescent="0.2"/>
    <row r="184" spans="1:20" ht="14.25" customHeight="1" thickBot="1" x14ac:dyDescent="0.25">
      <c r="A184" s="432" t="s">
        <v>2053</v>
      </c>
      <c r="I184" s="1390" t="s">
        <v>161</v>
      </c>
    </row>
    <row r="185" spans="1:20" s="107" customFormat="1" thickTop="1" thickBot="1" x14ac:dyDescent="0.25">
      <c r="A185" s="631" t="s">
        <v>624</v>
      </c>
      <c r="B185" s="774" t="s">
        <v>162</v>
      </c>
      <c r="C185" s="632" t="s">
        <v>163</v>
      </c>
      <c r="D185" s="634" t="s">
        <v>705</v>
      </c>
      <c r="E185" s="634" t="s">
        <v>164</v>
      </c>
      <c r="F185" s="634" t="s">
        <v>165</v>
      </c>
      <c r="G185" s="634" t="s">
        <v>881</v>
      </c>
      <c r="H185" s="634" t="s">
        <v>882</v>
      </c>
      <c r="I185" s="818" t="s">
        <v>883</v>
      </c>
    </row>
    <row r="186" spans="1:20" s="383" customFormat="1" ht="13.5" thickTop="1" thickBot="1" x14ac:dyDescent="0.25">
      <c r="A186" s="566">
        <v>1</v>
      </c>
      <c r="B186" s="567">
        <v>2</v>
      </c>
      <c r="C186" s="567">
        <v>3</v>
      </c>
      <c r="D186" s="567">
        <v>4</v>
      </c>
      <c r="E186" s="567">
        <v>5</v>
      </c>
      <c r="F186" s="541">
        <v>6</v>
      </c>
      <c r="G186" s="541">
        <v>7</v>
      </c>
      <c r="H186" s="542">
        <v>8</v>
      </c>
      <c r="I186" s="636" t="s">
        <v>762</v>
      </c>
    </row>
    <row r="187" spans="1:20" s="383" customFormat="1" ht="15.75" thickTop="1" x14ac:dyDescent="0.25">
      <c r="A187" s="1391">
        <v>1015</v>
      </c>
      <c r="B187" s="775">
        <v>3124</v>
      </c>
      <c r="C187" s="775">
        <v>5331</v>
      </c>
      <c r="D187" s="839"/>
      <c r="E187" s="860" t="s">
        <v>951</v>
      </c>
      <c r="F187" s="412">
        <f>F188+F189</f>
        <v>2555</v>
      </c>
      <c r="G187" s="412">
        <f>G188+G189</f>
        <v>2542</v>
      </c>
      <c r="H187" s="412">
        <f>H188+H189</f>
        <v>2542</v>
      </c>
      <c r="I187" s="821">
        <f t="shared" ref="I187:I196" si="19">(H187/G187)*100</f>
        <v>100</v>
      </c>
    </row>
    <row r="188" spans="1:20" s="383" customFormat="1" ht="14.25" x14ac:dyDescent="0.2">
      <c r="A188" s="431"/>
      <c r="B188" s="673"/>
      <c r="C188" s="673"/>
      <c r="D188" s="791" t="s">
        <v>575</v>
      </c>
      <c r="E188" s="1478" t="s">
        <v>793</v>
      </c>
      <c r="F188" s="1387">
        <v>111</v>
      </c>
      <c r="G188" s="1387">
        <v>122</v>
      </c>
      <c r="H188" s="1490">
        <v>122</v>
      </c>
      <c r="I188" s="823">
        <f t="shared" si="19"/>
        <v>100</v>
      </c>
    </row>
    <row r="189" spans="1:20" s="383" customFormat="1" ht="14.25" x14ac:dyDescent="0.2">
      <c r="A189" s="431"/>
      <c r="B189" s="673"/>
      <c r="C189" s="673"/>
      <c r="D189" s="552" t="s">
        <v>570</v>
      </c>
      <c r="E189" s="455" t="s">
        <v>71</v>
      </c>
      <c r="F189" s="1387">
        <v>2444</v>
      </c>
      <c r="G189" s="1387">
        <v>2420</v>
      </c>
      <c r="H189" s="1490">
        <v>2420</v>
      </c>
      <c r="I189" s="823">
        <f t="shared" si="19"/>
        <v>100</v>
      </c>
    </row>
    <row r="190" spans="1:20" s="383" customFormat="1" ht="15" x14ac:dyDescent="0.25">
      <c r="A190" s="431">
        <v>1015</v>
      </c>
      <c r="B190" s="673">
        <v>3124</v>
      </c>
      <c r="C190" s="673">
        <v>5336</v>
      </c>
      <c r="D190" s="1068"/>
      <c r="E190" s="672" t="s">
        <v>1441</v>
      </c>
      <c r="F190" s="413"/>
      <c r="G190" s="413">
        <f>G195+G194+G192+G191</f>
        <v>14586</v>
      </c>
      <c r="H190" s="413">
        <f>H195+H194+H192+H191</f>
        <v>14586</v>
      </c>
      <c r="I190" s="853">
        <f t="shared" si="19"/>
        <v>100</v>
      </c>
    </row>
    <row r="191" spans="1:20" s="383" customFormat="1" ht="15" x14ac:dyDescent="0.2">
      <c r="A191" s="431"/>
      <c r="B191" s="673"/>
      <c r="C191" s="673"/>
      <c r="D191" s="1068" t="s">
        <v>1905</v>
      </c>
      <c r="E191" s="2529" t="s">
        <v>1827</v>
      </c>
      <c r="F191" s="413"/>
      <c r="G191" s="1387">
        <v>69</v>
      </c>
      <c r="H191" s="1490">
        <v>69</v>
      </c>
      <c r="I191" s="823">
        <f t="shared" si="19"/>
        <v>100</v>
      </c>
    </row>
    <row r="192" spans="1:20" s="383" customFormat="1" ht="15" x14ac:dyDescent="0.25">
      <c r="A192" s="431"/>
      <c r="B192" s="673"/>
      <c r="C192" s="673"/>
      <c r="D192" s="1068" t="s">
        <v>1911</v>
      </c>
      <c r="E192" s="2671" t="s">
        <v>2051</v>
      </c>
      <c r="F192" s="846"/>
      <c r="G192" s="837">
        <v>47</v>
      </c>
      <c r="H192" s="883">
        <v>47</v>
      </c>
      <c r="I192" s="823">
        <f t="shared" si="19"/>
        <v>100</v>
      </c>
    </row>
    <row r="193" spans="1:20" s="383" customFormat="1" ht="15" x14ac:dyDescent="0.25">
      <c r="A193" s="431"/>
      <c r="B193" s="673"/>
      <c r="C193" s="673"/>
      <c r="D193" s="1068"/>
      <c r="E193" s="2671"/>
      <c r="F193" s="846"/>
      <c r="G193" s="846"/>
      <c r="H193" s="920"/>
      <c r="I193" s="853"/>
    </row>
    <row r="194" spans="1:20" s="383" customFormat="1" ht="15" x14ac:dyDescent="0.25">
      <c r="A194" s="431"/>
      <c r="B194" s="673"/>
      <c r="C194" s="673"/>
      <c r="D194" s="1068" t="s">
        <v>1913</v>
      </c>
      <c r="E194" s="2113" t="s">
        <v>2052</v>
      </c>
      <c r="F194" s="846"/>
      <c r="G194" s="837">
        <v>82</v>
      </c>
      <c r="H194" s="883">
        <v>82</v>
      </c>
      <c r="I194" s="823">
        <f t="shared" ref="I194" si="20">(H194/G194)*100</f>
        <v>100</v>
      </c>
    </row>
    <row r="195" spans="1:20" s="383" customFormat="1" ht="14.25" x14ac:dyDescent="0.2">
      <c r="A195" s="431"/>
      <c r="B195" s="673"/>
      <c r="C195" s="673"/>
      <c r="D195" s="552" t="s">
        <v>1124</v>
      </c>
      <c r="E195" s="455" t="s">
        <v>792</v>
      </c>
      <c r="F195" s="1387"/>
      <c r="G195" s="1387">
        <v>14388</v>
      </c>
      <c r="H195" s="1387">
        <v>14388</v>
      </c>
      <c r="I195" s="823">
        <f t="shared" si="19"/>
        <v>100</v>
      </c>
    </row>
    <row r="196" spans="1:20" ht="15" x14ac:dyDescent="0.25">
      <c r="A196" s="431">
        <v>1015</v>
      </c>
      <c r="B196" s="673">
        <v>3142</v>
      </c>
      <c r="C196" s="1392">
        <v>5331</v>
      </c>
      <c r="D196" s="874"/>
      <c r="E196" s="792" t="s">
        <v>951</v>
      </c>
      <c r="F196" s="846">
        <f>SUM(F197:F199)</f>
        <v>398</v>
      </c>
      <c r="G196" s="846">
        <f>SUM(G197:G199)</f>
        <v>395</v>
      </c>
      <c r="H196" s="846">
        <f>SUM(H197:H199)</f>
        <v>395</v>
      </c>
      <c r="I196" s="853">
        <f t="shared" si="19"/>
        <v>100</v>
      </c>
    </row>
    <row r="197" spans="1:20" ht="14.25" x14ac:dyDescent="0.2">
      <c r="A197" s="431"/>
      <c r="B197" s="673"/>
      <c r="C197" s="840"/>
      <c r="D197" s="552" t="s">
        <v>575</v>
      </c>
      <c r="E197" s="1478" t="s">
        <v>793</v>
      </c>
      <c r="F197" s="833">
        <v>38</v>
      </c>
      <c r="G197" s="833">
        <v>38</v>
      </c>
      <c r="H197" s="833">
        <v>38</v>
      </c>
      <c r="I197" s="823">
        <f t="shared" ref="I197:I206" si="21">(H197/G197)*100</f>
        <v>100</v>
      </c>
    </row>
    <row r="198" spans="1:20" ht="14.25" x14ac:dyDescent="0.2">
      <c r="A198" s="431"/>
      <c r="B198" s="673"/>
      <c r="C198" s="840"/>
      <c r="D198" s="552" t="s">
        <v>570</v>
      </c>
      <c r="E198" s="455" t="s">
        <v>71</v>
      </c>
      <c r="F198" s="833">
        <v>300</v>
      </c>
      <c r="G198" s="833">
        <v>319</v>
      </c>
      <c r="H198" s="833">
        <v>319</v>
      </c>
      <c r="I198" s="823">
        <f t="shared" si="21"/>
        <v>100</v>
      </c>
    </row>
    <row r="199" spans="1:20" ht="18" customHeight="1" x14ac:dyDescent="0.2">
      <c r="A199" s="431"/>
      <c r="B199" s="673"/>
      <c r="C199" s="840"/>
      <c r="D199" s="552" t="s">
        <v>665</v>
      </c>
      <c r="E199" s="455" t="s">
        <v>74</v>
      </c>
      <c r="F199" s="833">
        <v>60</v>
      </c>
      <c r="G199" s="833">
        <v>38</v>
      </c>
      <c r="H199" s="833">
        <v>38</v>
      </c>
      <c r="I199" s="823">
        <f t="shared" si="21"/>
        <v>100</v>
      </c>
    </row>
    <row r="200" spans="1:20" ht="15" x14ac:dyDescent="0.25">
      <c r="A200" s="431">
        <v>1015</v>
      </c>
      <c r="B200" s="673">
        <v>3142</v>
      </c>
      <c r="C200" s="840">
        <v>5336</v>
      </c>
      <c r="D200" s="552"/>
      <c r="E200" s="672" t="s">
        <v>1441</v>
      </c>
      <c r="F200" s="846"/>
      <c r="G200" s="846">
        <v>298</v>
      </c>
      <c r="H200" s="846">
        <v>298</v>
      </c>
      <c r="I200" s="853">
        <f t="shared" si="21"/>
        <v>100</v>
      </c>
    </row>
    <row r="201" spans="1:20" ht="14.25" x14ac:dyDescent="0.2">
      <c r="A201" s="431"/>
      <c r="B201" s="673"/>
      <c r="C201" s="840"/>
      <c r="D201" s="552" t="s">
        <v>1124</v>
      </c>
      <c r="E201" s="455" t="s">
        <v>792</v>
      </c>
      <c r="F201" s="833"/>
      <c r="G201" s="833">
        <v>298</v>
      </c>
      <c r="H201" s="833">
        <v>298</v>
      </c>
      <c r="I201" s="823">
        <f t="shared" si="21"/>
        <v>100</v>
      </c>
    </row>
    <row r="202" spans="1:20" ht="15" x14ac:dyDescent="0.25">
      <c r="A202" s="431">
        <v>1015</v>
      </c>
      <c r="B202" s="673">
        <v>3145</v>
      </c>
      <c r="C202" s="1392">
        <v>5331</v>
      </c>
      <c r="D202" s="874"/>
      <c r="E202" s="792" t="s">
        <v>951</v>
      </c>
      <c r="F202" s="846">
        <v>180</v>
      </c>
      <c r="G202" s="846">
        <v>178</v>
      </c>
      <c r="H202" s="846">
        <v>178</v>
      </c>
      <c r="I202" s="853">
        <f t="shared" si="21"/>
        <v>100</v>
      </c>
    </row>
    <row r="203" spans="1:20" ht="14.25" x14ac:dyDescent="0.2">
      <c r="A203" s="431"/>
      <c r="B203" s="673"/>
      <c r="C203" s="840"/>
      <c r="D203" s="552" t="s">
        <v>570</v>
      </c>
      <c r="E203" s="455" t="s">
        <v>71</v>
      </c>
      <c r="F203" s="833">
        <v>180</v>
      </c>
      <c r="G203" s="833">
        <v>178</v>
      </c>
      <c r="H203" s="833">
        <v>178</v>
      </c>
      <c r="I203" s="823">
        <f t="shared" si="21"/>
        <v>100</v>
      </c>
    </row>
    <row r="204" spans="1:20" ht="20.25" customHeight="1" x14ac:dyDescent="0.25">
      <c r="A204" s="431">
        <v>1015</v>
      </c>
      <c r="B204" s="673">
        <v>3145</v>
      </c>
      <c r="C204" s="840">
        <v>5336</v>
      </c>
      <c r="D204" s="552"/>
      <c r="E204" s="672" t="s">
        <v>1441</v>
      </c>
      <c r="F204" s="846"/>
      <c r="G204" s="846">
        <v>2118</v>
      </c>
      <c r="H204" s="846">
        <v>2118</v>
      </c>
      <c r="I204" s="853">
        <f t="shared" si="21"/>
        <v>100</v>
      </c>
    </row>
    <row r="205" spans="1:20" ht="15" thickBot="1" x14ac:dyDescent="0.25">
      <c r="A205" s="431"/>
      <c r="B205" s="673"/>
      <c r="C205" s="840"/>
      <c r="D205" s="552" t="s">
        <v>1124</v>
      </c>
      <c r="E205" s="455" t="s">
        <v>792</v>
      </c>
      <c r="F205" s="833"/>
      <c r="G205" s="833">
        <v>2118</v>
      </c>
      <c r="H205" s="833">
        <v>2118</v>
      </c>
      <c r="I205" s="823">
        <f t="shared" si="21"/>
        <v>100</v>
      </c>
    </row>
    <row r="206" spans="1:20" ht="13.5" customHeight="1" thickTop="1" thickBot="1" x14ac:dyDescent="0.3">
      <c r="A206" s="2672" t="s">
        <v>1105</v>
      </c>
      <c r="B206" s="2673"/>
      <c r="C206" s="2673"/>
      <c r="D206" s="2673"/>
      <c r="E206" s="2673"/>
      <c r="F206" s="824">
        <f>SUM(F187,F196,F202)</f>
        <v>3133</v>
      </c>
      <c r="G206" s="824">
        <f>G187+G190+G196+G200+G202+G204</f>
        <v>20117</v>
      </c>
      <c r="H206" s="824">
        <f>H187+H190+H196+H200+H202+H204</f>
        <v>20117</v>
      </c>
      <c r="I206" s="825">
        <f t="shared" si="21"/>
        <v>100</v>
      </c>
      <c r="R206" s="382">
        <f>F206</f>
        <v>3133</v>
      </c>
      <c r="S206" s="382">
        <f>G206</f>
        <v>20117</v>
      </c>
      <c r="T206" s="382">
        <f>H206</f>
        <v>20117</v>
      </c>
    </row>
    <row r="207" spans="1:20" ht="14.25" thickTop="1" thickBot="1" x14ac:dyDescent="0.25">
      <c r="A207" s="432" t="s">
        <v>740</v>
      </c>
      <c r="I207" s="1390" t="s">
        <v>161</v>
      </c>
    </row>
    <row r="208" spans="1:20" s="107" customFormat="1" thickTop="1" thickBot="1" x14ac:dyDescent="0.25">
      <c r="A208" s="682" t="s">
        <v>624</v>
      </c>
      <c r="B208" s="685" t="s">
        <v>162</v>
      </c>
      <c r="C208" s="683" t="s">
        <v>163</v>
      </c>
      <c r="D208" s="686" t="s">
        <v>705</v>
      </c>
      <c r="E208" s="634" t="s">
        <v>164</v>
      </c>
      <c r="F208" s="686" t="s">
        <v>165</v>
      </c>
      <c r="G208" s="686" t="s">
        <v>881</v>
      </c>
      <c r="H208" s="686" t="s">
        <v>882</v>
      </c>
      <c r="I208" s="818" t="s">
        <v>883</v>
      </c>
    </row>
    <row r="209" spans="1:9" s="383" customFormat="1" ht="13.5" thickTop="1" thickBot="1" x14ac:dyDescent="0.25">
      <c r="A209" s="566">
        <v>1</v>
      </c>
      <c r="B209" s="567">
        <v>2</v>
      </c>
      <c r="C209" s="567">
        <v>3</v>
      </c>
      <c r="D209" s="567">
        <v>4</v>
      </c>
      <c r="E209" s="567">
        <v>5</v>
      </c>
      <c r="F209" s="541">
        <v>6</v>
      </c>
      <c r="G209" s="541">
        <v>7</v>
      </c>
      <c r="H209" s="542">
        <v>8</v>
      </c>
      <c r="I209" s="636" t="s">
        <v>762</v>
      </c>
    </row>
    <row r="210" spans="1:9" s="107" customFormat="1" ht="20.25" customHeight="1" thickTop="1" x14ac:dyDescent="0.25">
      <c r="A210" s="875">
        <v>1016</v>
      </c>
      <c r="B210" s="876">
        <v>3112</v>
      </c>
      <c r="C210" s="877">
        <v>5331</v>
      </c>
      <c r="D210" s="686"/>
      <c r="E210" s="792" t="s">
        <v>951</v>
      </c>
      <c r="F210" s="878">
        <f>F211+F212</f>
        <v>974</v>
      </c>
      <c r="G210" s="878">
        <f>SUM(G211:G212)</f>
        <v>965</v>
      </c>
      <c r="H210" s="878">
        <f>SUM(H211:H212)</f>
        <v>965</v>
      </c>
      <c r="I210" s="853">
        <f t="shared" ref="I210:I246" si="22">(H210/G210)*100</f>
        <v>100</v>
      </c>
    </row>
    <row r="211" spans="1:9" s="107" customFormat="1" ht="14.25" x14ac:dyDescent="0.2">
      <c r="A211" s="879"/>
      <c r="B211" s="880"/>
      <c r="C211" s="881"/>
      <c r="D211" s="707" t="s">
        <v>575</v>
      </c>
      <c r="E211" s="1478" t="s">
        <v>793</v>
      </c>
      <c r="F211" s="882">
        <v>114</v>
      </c>
      <c r="G211" s="882">
        <v>114</v>
      </c>
      <c r="H211" s="882">
        <v>114</v>
      </c>
      <c r="I211" s="854">
        <f t="shared" si="22"/>
        <v>100</v>
      </c>
    </row>
    <row r="212" spans="1:9" s="107" customFormat="1" ht="14.25" x14ac:dyDescent="0.2">
      <c r="A212" s="879"/>
      <c r="B212" s="880"/>
      <c r="C212" s="881"/>
      <c r="D212" s="552" t="s">
        <v>570</v>
      </c>
      <c r="E212" s="455" t="s">
        <v>71</v>
      </c>
      <c r="F212" s="882">
        <v>860</v>
      </c>
      <c r="G212" s="882">
        <v>851</v>
      </c>
      <c r="H212" s="882">
        <v>851</v>
      </c>
      <c r="I212" s="854">
        <f t="shared" si="22"/>
        <v>100</v>
      </c>
    </row>
    <row r="213" spans="1:9" s="107" customFormat="1" ht="15" x14ac:dyDescent="0.25">
      <c r="A213" s="431">
        <v>1016</v>
      </c>
      <c r="B213" s="750">
        <v>3112</v>
      </c>
      <c r="C213" s="750">
        <v>5336</v>
      </c>
      <c r="D213" s="859"/>
      <c r="E213" s="672" t="s">
        <v>1441</v>
      </c>
      <c r="F213" s="888"/>
      <c r="G213" s="888">
        <f>G214+G216</f>
        <v>5855</v>
      </c>
      <c r="H213" s="888">
        <f>H214+H216</f>
        <v>5855</v>
      </c>
      <c r="I213" s="853">
        <f t="shared" si="22"/>
        <v>100</v>
      </c>
    </row>
    <row r="214" spans="1:9" s="107" customFormat="1" ht="15" x14ac:dyDescent="0.2">
      <c r="A214" s="431"/>
      <c r="B214" s="750"/>
      <c r="C214" s="750"/>
      <c r="D214" s="1068" t="s">
        <v>1911</v>
      </c>
      <c r="E214" s="2671" t="s">
        <v>2051</v>
      </c>
      <c r="F214" s="888"/>
      <c r="G214" s="882">
        <v>23</v>
      </c>
      <c r="H214" s="882">
        <v>23</v>
      </c>
      <c r="I214" s="854">
        <f t="shared" si="22"/>
        <v>100</v>
      </c>
    </row>
    <row r="215" spans="1:9" s="107" customFormat="1" ht="15" x14ac:dyDescent="0.25">
      <c r="A215" s="431"/>
      <c r="B215" s="750"/>
      <c r="C215" s="750"/>
      <c r="D215" s="1068"/>
      <c r="E215" s="2671"/>
      <c r="F215" s="888"/>
      <c r="G215" s="888"/>
      <c r="H215" s="888"/>
      <c r="I215" s="853"/>
    </row>
    <row r="216" spans="1:9" s="107" customFormat="1" ht="14.25" x14ac:dyDescent="0.2">
      <c r="A216" s="879"/>
      <c r="B216" s="880"/>
      <c r="C216" s="881"/>
      <c r="D216" s="552" t="s">
        <v>1124</v>
      </c>
      <c r="E216" s="455" t="s">
        <v>792</v>
      </c>
      <c r="F216" s="882"/>
      <c r="G216" s="882">
        <v>5832</v>
      </c>
      <c r="H216" s="882">
        <v>5832</v>
      </c>
      <c r="I216" s="854">
        <f t="shared" si="22"/>
        <v>100</v>
      </c>
    </row>
    <row r="217" spans="1:9" ht="15" x14ac:dyDescent="0.25">
      <c r="A217" s="431">
        <v>1016</v>
      </c>
      <c r="B217" s="750">
        <v>3114</v>
      </c>
      <c r="C217" s="750">
        <v>5331</v>
      </c>
      <c r="D217" s="859"/>
      <c r="E217" s="672" t="s">
        <v>951</v>
      </c>
      <c r="F217" s="846">
        <f>SUM(F218:F219)</f>
        <v>1577</v>
      </c>
      <c r="G217" s="846">
        <f>SUM(G218:G219)</f>
        <v>1395</v>
      </c>
      <c r="H217" s="846">
        <f>SUM(H218:H219)</f>
        <v>1395</v>
      </c>
      <c r="I217" s="838">
        <f t="shared" si="22"/>
        <v>100</v>
      </c>
    </row>
    <row r="218" spans="1:9" ht="14.25" x14ac:dyDescent="0.2">
      <c r="A218" s="431"/>
      <c r="B218" s="750"/>
      <c r="C218" s="750"/>
      <c r="D218" s="707" t="s">
        <v>575</v>
      </c>
      <c r="E218" s="1478" t="s">
        <v>793</v>
      </c>
      <c r="F218" s="837">
        <v>577</v>
      </c>
      <c r="G218" s="837">
        <v>405</v>
      </c>
      <c r="H218" s="837">
        <v>405</v>
      </c>
      <c r="I218" s="376">
        <f t="shared" si="22"/>
        <v>100</v>
      </c>
    </row>
    <row r="219" spans="1:9" ht="14.25" x14ac:dyDescent="0.2">
      <c r="A219" s="431"/>
      <c r="B219" s="750"/>
      <c r="C219" s="750"/>
      <c r="D219" s="552" t="s">
        <v>570</v>
      </c>
      <c r="E219" s="455" t="s">
        <v>71</v>
      </c>
      <c r="F219" s="837">
        <v>1000</v>
      </c>
      <c r="G219" s="837">
        <v>990</v>
      </c>
      <c r="H219" s="837">
        <v>990</v>
      </c>
      <c r="I219" s="376">
        <f t="shared" si="22"/>
        <v>100</v>
      </c>
    </row>
    <row r="220" spans="1:9" ht="15" x14ac:dyDescent="0.25">
      <c r="A220" s="431">
        <v>1016</v>
      </c>
      <c r="B220" s="750">
        <v>3114</v>
      </c>
      <c r="C220" s="750">
        <v>5336</v>
      </c>
      <c r="D220" s="568"/>
      <c r="E220" s="672" t="s">
        <v>1441</v>
      </c>
      <c r="F220" s="846"/>
      <c r="G220" s="846">
        <f>G223+G221</f>
        <v>7482</v>
      </c>
      <c r="H220" s="846">
        <f>H223+H221</f>
        <v>7482</v>
      </c>
      <c r="I220" s="838">
        <f t="shared" si="22"/>
        <v>100</v>
      </c>
    </row>
    <row r="221" spans="1:9" ht="15" x14ac:dyDescent="0.2">
      <c r="A221" s="431"/>
      <c r="B221" s="750"/>
      <c r="C221" s="750"/>
      <c r="D221" s="1068" t="s">
        <v>1911</v>
      </c>
      <c r="E221" s="2691" t="s">
        <v>2051</v>
      </c>
      <c r="F221" s="888"/>
      <c r="G221" s="882">
        <v>27</v>
      </c>
      <c r="H221" s="882">
        <v>27</v>
      </c>
      <c r="I221" s="854">
        <f t="shared" ref="I221" si="23">(H221/G221)*100</f>
        <v>100</v>
      </c>
    </row>
    <row r="222" spans="1:9" ht="15" x14ac:dyDescent="0.25">
      <c r="A222" s="431"/>
      <c r="B222" s="750"/>
      <c r="C222" s="750"/>
      <c r="D222" s="1068"/>
      <c r="E222" s="2691"/>
      <c r="F222" s="888"/>
      <c r="G222" s="888"/>
      <c r="H222" s="888"/>
      <c r="I222" s="853"/>
    </row>
    <row r="223" spans="1:9" ht="15" x14ac:dyDescent="0.25">
      <c r="A223" s="431"/>
      <c r="B223" s="750"/>
      <c r="C223" s="750"/>
      <c r="D223" s="552" t="s">
        <v>1124</v>
      </c>
      <c r="E223" s="455" t="s">
        <v>792</v>
      </c>
      <c r="F223" s="846"/>
      <c r="G223" s="837">
        <v>7455</v>
      </c>
      <c r="H223" s="837">
        <v>7455</v>
      </c>
      <c r="I223" s="376">
        <f t="shared" si="22"/>
        <v>100</v>
      </c>
    </row>
    <row r="224" spans="1:9" ht="15.75" customHeight="1" x14ac:dyDescent="0.25">
      <c r="A224" s="431">
        <v>1016</v>
      </c>
      <c r="B224" s="750">
        <v>3124</v>
      </c>
      <c r="C224" s="1393">
        <v>5331</v>
      </c>
      <c r="D224" s="842"/>
      <c r="E224" s="672" t="s">
        <v>951</v>
      </c>
      <c r="F224" s="846">
        <f>F225</f>
        <v>135</v>
      </c>
      <c r="G224" s="846">
        <f>G225+G226</f>
        <v>202</v>
      </c>
      <c r="H224" s="846">
        <f>H225+H226</f>
        <v>202</v>
      </c>
      <c r="I224" s="838">
        <f t="shared" si="22"/>
        <v>100</v>
      </c>
    </row>
    <row r="225" spans="1:9" ht="15.75" customHeight="1" x14ac:dyDescent="0.2">
      <c r="A225" s="431"/>
      <c r="B225" s="750"/>
      <c r="C225" s="1393"/>
      <c r="D225" s="552" t="s">
        <v>570</v>
      </c>
      <c r="E225" s="455" t="s">
        <v>71</v>
      </c>
      <c r="F225" s="837">
        <v>135</v>
      </c>
      <c r="G225" s="837">
        <v>134</v>
      </c>
      <c r="H225" s="837">
        <v>134</v>
      </c>
      <c r="I225" s="376">
        <f t="shared" si="22"/>
        <v>100</v>
      </c>
    </row>
    <row r="226" spans="1:9" ht="15.75" customHeight="1" x14ac:dyDescent="0.2">
      <c r="A226" s="431"/>
      <c r="B226" s="673"/>
      <c r="C226" s="1392"/>
      <c r="D226" s="1069" t="s">
        <v>924</v>
      </c>
      <c r="E226" s="1161" t="s">
        <v>925</v>
      </c>
      <c r="F226" s="356"/>
      <c r="G226" s="356">
        <v>68</v>
      </c>
      <c r="H226" s="356">
        <v>68</v>
      </c>
      <c r="I226" s="854">
        <f t="shared" si="22"/>
        <v>100</v>
      </c>
    </row>
    <row r="227" spans="1:9" ht="15.75" customHeight="1" x14ac:dyDescent="0.25">
      <c r="A227" s="431">
        <v>1016</v>
      </c>
      <c r="B227" s="750">
        <v>3124</v>
      </c>
      <c r="C227" s="750">
        <v>5336</v>
      </c>
      <c r="D227" s="859"/>
      <c r="E227" s="672" t="s">
        <v>1441</v>
      </c>
      <c r="F227" s="846"/>
      <c r="G227" s="846">
        <f>G228+G230+G231</f>
        <v>8464</v>
      </c>
      <c r="H227" s="846">
        <f>H228+H230+H231</f>
        <v>8464</v>
      </c>
      <c r="I227" s="838">
        <f t="shared" si="22"/>
        <v>100</v>
      </c>
    </row>
    <row r="228" spans="1:9" ht="15.75" customHeight="1" x14ac:dyDescent="0.2">
      <c r="A228" s="431"/>
      <c r="B228" s="750"/>
      <c r="C228" s="750"/>
      <c r="D228" s="1068" t="s">
        <v>1911</v>
      </c>
      <c r="E228" s="2691" t="s">
        <v>2051</v>
      </c>
      <c r="F228" s="888"/>
      <c r="G228" s="882">
        <v>50</v>
      </c>
      <c r="H228" s="882">
        <v>50</v>
      </c>
      <c r="I228" s="854">
        <f t="shared" si="22"/>
        <v>100</v>
      </c>
    </row>
    <row r="229" spans="1:9" ht="15.75" customHeight="1" x14ac:dyDescent="0.25">
      <c r="A229" s="431"/>
      <c r="B229" s="750"/>
      <c r="C229" s="750"/>
      <c r="D229" s="1068"/>
      <c r="E229" s="2691"/>
      <c r="F229" s="888"/>
      <c r="G229" s="888"/>
      <c r="H229" s="888"/>
      <c r="I229" s="853"/>
    </row>
    <row r="230" spans="1:9" ht="15.75" customHeight="1" x14ac:dyDescent="0.2">
      <c r="A230" s="431"/>
      <c r="B230" s="750"/>
      <c r="C230" s="750"/>
      <c r="D230" s="1068" t="s">
        <v>1913</v>
      </c>
      <c r="E230" s="2113" t="s">
        <v>2052</v>
      </c>
      <c r="F230" s="2530"/>
      <c r="G230" s="2531">
        <v>122</v>
      </c>
      <c r="H230" s="2531">
        <v>122</v>
      </c>
      <c r="I230" s="376">
        <f t="shared" si="22"/>
        <v>100</v>
      </c>
    </row>
    <row r="231" spans="1:9" ht="14.25" x14ac:dyDescent="0.2">
      <c r="A231" s="431"/>
      <c r="B231" s="750"/>
      <c r="C231" s="1393"/>
      <c r="D231" s="552" t="s">
        <v>1124</v>
      </c>
      <c r="E231" s="455" t="s">
        <v>792</v>
      </c>
      <c r="F231" s="837"/>
      <c r="G231" s="837">
        <v>8292</v>
      </c>
      <c r="H231" s="837">
        <v>8292</v>
      </c>
      <c r="I231" s="376">
        <f t="shared" si="22"/>
        <v>100</v>
      </c>
    </row>
    <row r="232" spans="1:9" ht="15.75" customHeight="1" x14ac:dyDescent="0.25">
      <c r="A232" s="431">
        <v>1016</v>
      </c>
      <c r="B232" s="750">
        <v>3141</v>
      </c>
      <c r="C232" s="1393">
        <v>5336</v>
      </c>
      <c r="D232" s="552"/>
      <c r="E232" s="672" t="s">
        <v>1441</v>
      </c>
      <c r="F232" s="846"/>
      <c r="G232" s="846">
        <v>627</v>
      </c>
      <c r="H232" s="846">
        <v>627</v>
      </c>
      <c r="I232" s="838">
        <f t="shared" si="22"/>
        <v>100</v>
      </c>
    </row>
    <row r="233" spans="1:9" ht="15.75" customHeight="1" x14ac:dyDescent="0.2">
      <c r="A233" s="431"/>
      <c r="B233" s="750"/>
      <c r="C233" s="1393"/>
      <c r="D233" s="552" t="s">
        <v>1124</v>
      </c>
      <c r="E233" s="455" t="s">
        <v>792</v>
      </c>
      <c r="F233" s="837"/>
      <c r="G233" s="837">
        <v>627</v>
      </c>
      <c r="H233" s="837">
        <v>627</v>
      </c>
      <c r="I233" s="376">
        <f t="shared" si="22"/>
        <v>100</v>
      </c>
    </row>
    <row r="234" spans="1:9" ht="15.75" customHeight="1" x14ac:dyDescent="0.25">
      <c r="A234" s="431">
        <v>1016</v>
      </c>
      <c r="B234" s="750">
        <v>3142</v>
      </c>
      <c r="C234" s="1392">
        <v>5331</v>
      </c>
      <c r="D234" s="829"/>
      <c r="E234" s="792" t="s">
        <v>951</v>
      </c>
      <c r="F234" s="851">
        <v>400</v>
      </c>
      <c r="G234" s="851">
        <v>396</v>
      </c>
      <c r="H234" s="846">
        <v>396</v>
      </c>
      <c r="I234" s="853">
        <f t="shared" si="22"/>
        <v>100</v>
      </c>
    </row>
    <row r="235" spans="1:9" ht="18" customHeight="1" x14ac:dyDescent="0.2">
      <c r="A235" s="431"/>
      <c r="B235" s="673"/>
      <c r="C235" s="1392"/>
      <c r="D235" s="552" t="s">
        <v>570</v>
      </c>
      <c r="E235" s="455" t="s">
        <v>71</v>
      </c>
      <c r="F235" s="356">
        <v>400</v>
      </c>
      <c r="G235" s="356">
        <v>396</v>
      </c>
      <c r="H235" s="356">
        <v>396</v>
      </c>
      <c r="I235" s="854">
        <f t="shared" si="22"/>
        <v>100</v>
      </c>
    </row>
    <row r="236" spans="1:9" ht="15.75" customHeight="1" x14ac:dyDescent="0.25">
      <c r="A236" s="431">
        <v>1016</v>
      </c>
      <c r="B236" s="750">
        <v>3142</v>
      </c>
      <c r="C236" s="1393">
        <v>5336</v>
      </c>
      <c r="D236" s="552"/>
      <c r="E236" s="672" t="s">
        <v>1441</v>
      </c>
      <c r="F236" s="851"/>
      <c r="G236" s="851">
        <v>682</v>
      </c>
      <c r="H236" s="851">
        <v>682</v>
      </c>
      <c r="I236" s="853">
        <f t="shared" si="22"/>
        <v>100</v>
      </c>
    </row>
    <row r="237" spans="1:9" ht="15.75" customHeight="1" x14ac:dyDescent="0.2">
      <c r="A237" s="431"/>
      <c r="B237" s="673"/>
      <c r="C237" s="1392"/>
      <c r="D237" s="552" t="s">
        <v>1124</v>
      </c>
      <c r="E237" s="455" t="s">
        <v>792</v>
      </c>
      <c r="F237" s="356"/>
      <c r="G237" s="356">
        <v>682</v>
      </c>
      <c r="H237" s="356">
        <v>682</v>
      </c>
      <c r="I237" s="854">
        <f t="shared" si="22"/>
        <v>100</v>
      </c>
    </row>
    <row r="238" spans="1:9" ht="12" customHeight="1" x14ac:dyDescent="0.25">
      <c r="A238" s="431">
        <v>1016</v>
      </c>
      <c r="B238" s="673">
        <v>3143</v>
      </c>
      <c r="C238" s="1392">
        <v>5331</v>
      </c>
      <c r="D238" s="829"/>
      <c r="E238" s="792" t="s">
        <v>951</v>
      </c>
      <c r="F238" s="851">
        <v>50</v>
      </c>
      <c r="G238" s="851">
        <v>49</v>
      </c>
      <c r="H238" s="851">
        <v>49</v>
      </c>
      <c r="I238" s="853">
        <f t="shared" si="22"/>
        <v>100</v>
      </c>
    </row>
    <row r="239" spans="1:9" ht="14.25" x14ac:dyDescent="0.2">
      <c r="A239" s="431"/>
      <c r="B239" s="673"/>
      <c r="C239" s="1392"/>
      <c r="D239" s="552" t="s">
        <v>570</v>
      </c>
      <c r="E239" s="455" t="s">
        <v>71</v>
      </c>
      <c r="F239" s="356">
        <v>50</v>
      </c>
      <c r="G239" s="883">
        <v>49</v>
      </c>
      <c r="H239" s="356">
        <v>49</v>
      </c>
      <c r="I239" s="376">
        <f t="shared" si="22"/>
        <v>100</v>
      </c>
    </row>
    <row r="240" spans="1:9" ht="20.25" customHeight="1" x14ac:dyDescent="0.25">
      <c r="A240" s="431">
        <v>1016</v>
      </c>
      <c r="B240" s="750">
        <v>3143</v>
      </c>
      <c r="C240" s="1393">
        <v>5336</v>
      </c>
      <c r="D240" s="552"/>
      <c r="E240" s="672" t="s">
        <v>1441</v>
      </c>
      <c r="F240" s="851"/>
      <c r="G240" s="920">
        <v>423</v>
      </c>
      <c r="H240" s="851">
        <v>423</v>
      </c>
      <c r="I240" s="838">
        <f t="shared" si="22"/>
        <v>100</v>
      </c>
    </row>
    <row r="241" spans="1:20" s="1397" customFormat="1" ht="14.25" x14ac:dyDescent="0.2">
      <c r="A241" s="431"/>
      <c r="B241" s="673"/>
      <c r="C241" s="1392"/>
      <c r="D241" s="552" t="s">
        <v>1124</v>
      </c>
      <c r="E241" s="455" t="s">
        <v>792</v>
      </c>
      <c r="F241" s="356"/>
      <c r="G241" s="883">
        <v>423</v>
      </c>
      <c r="H241" s="356">
        <v>423</v>
      </c>
      <c r="I241" s="376">
        <f t="shared" si="22"/>
        <v>100</v>
      </c>
    </row>
    <row r="242" spans="1:20" s="1397" customFormat="1" ht="15" x14ac:dyDescent="0.25">
      <c r="A242" s="431">
        <v>1016</v>
      </c>
      <c r="B242" s="673">
        <v>3145</v>
      </c>
      <c r="C242" s="1392">
        <v>5331</v>
      </c>
      <c r="D242" s="829"/>
      <c r="E242" s="792" t="s">
        <v>951</v>
      </c>
      <c r="F242" s="846">
        <v>308</v>
      </c>
      <c r="G242" s="851">
        <v>305</v>
      </c>
      <c r="H242" s="851">
        <v>305</v>
      </c>
      <c r="I242" s="853">
        <f t="shared" si="22"/>
        <v>100</v>
      </c>
    </row>
    <row r="243" spans="1:20" s="1397" customFormat="1" ht="14.25" x14ac:dyDescent="0.2">
      <c r="A243" s="431"/>
      <c r="B243" s="673"/>
      <c r="C243" s="1392"/>
      <c r="D243" s="552" t="s">
        <v>570</v>
      </c>
      <c r="E243" s="455" t="s">
        <v>71</v>
      </c>
      <c r="F243" s="837">
        <v>308</v>
      </c>
      <c r="G243" s="356">
        <v>305</v>
      </c>
      <c r="H243" s="837">
        <v>305</v>
      </c>
      <c r="I243" s="376">
        <f t="shared" si="22"/>
        <v>100</v>
      </c>
    </row>
    <row r="244" spans="1:20" s="1397" customFormat="1" ht="15" x14ac:dyDescent="0.25">
      <c r="A244" s="431">
        <v>1016</v>
      </c>
      <c r="B244" s="750">
        <v>3145</v>
      </c>
      <c r="C244" s="1393">
        <v>5336</v>
      </c>
      <c r="D244" s="552"/>
      <c r="E244" s="672" t="s">
        <v>1441</v>
      </c>
      <c r="F244" s="846"/>
      <c r="G244" s="851">
        <v>862</v>
      </c>
      <c r="H244" s="846">
        <v>862</v>
      </c>
      <c r="I244" s="838">
        <f t="shared" si="22"/>
        <v>100</v>
      </c>
    </row>
    <row r="245" spans="1:20" s="1397" customFormat="1" ht="15" thickBot="1" x14ac:dyDescent="0.25">
      <c r="A245" s="1394"/>
      <c r="B245" s="674"/>
      <c r="C245" s="1400"/>
      <c r="D245" s="718" t="s">
        <v>1124</v>
      </c>
      <c r="E245" s="456" t="s">
        <v>792</v>
      </c>
      <c r="F245" s="904"/>
      <c r="G245" s="452">
        <v>862</v>
      </c>
      <c r="H245" s="904">
        <v>862</v>
      </c>
      <c r="I245" s="905">
        <f t="shared" si="22"/>
        <v>100</v>
      </c>
    </row>
    <row r="246" spans="1:20" ht="16.5" thickTop="1" thickBot="1" x14ac:dyDescent="0.3">
      <c r="A246" s="2692" t="s">
        <v>1105</v>
      </c>
      <c r="B246" s="2685"/>
      <c r="C246" s="2685"/>
      <c r="D246" s="2685"/>
      <c r="E246" s="2685"/>
      <c r="F246" s="884">
        <f>SUM(F217,F234,F210,F238,F224,F242)</f>
        <v>3444</v>
      </c>
      <c r="G246" s="884">
        <f>SUM(G217,G234,G210,G238,G224,G242,G232,G220,G244,G240,G236,G227,G213)</f>
        <v>27707</v>
      </c>
      <c r="H246" s="884">
        <f>SUM(H217,H234,H210,H238,H224,H242,H232,H220,H244,H240,H236,H227,H213)</f>
        <v>27707</v>
      </c>
      <c r="I246" s="885">
        <f t="shared" si="22"/>
        <v>100</v>
      </c>
      <c r="R246" s="382">
        <f>F246</f>
        <v>3444</v>
      </c>
      <c r="S246" s="382">
        <f>G246</f>
        <v>27707</v>
      </c>
      <c r="T246" s="382">
        <f>H246</f>
        <v>27707</v>
      </c>
    </row>
    <row r="247" spans="1:20" ht="15.75" thickTop="1" x14ac:dyDescent="0.25">
      <c r="A247" s="368"/>
      <c r="B247" s="368"/>
      <c r="C247" s="368"/>
      <c r="D247" s="368"/>
      <c r="E247" s="368"/>
      <c r="F247" s="920"/>
      <c r="G247" s="920"/>
      <c r="H247" s="920"/>
      <c r="I247" s="1407"/>
      <c r="R247" s="382"/>
      <c r="S247" s="382"/>
      <c r="T247" s="382"/>
    </row>
    <row r="248" spans="1:20" ht="13.5" thickBot="1" x14ac:dyDescent="0.25">
      <c r="A248" s="432" t="s">
        <v>1823</v>
      </c>
      <c r="I248" s="1390" t="s">
        <v>161</v>
      </c>
    </row>
    <row r="249" spans="1:20" s="107" customFormat="1" thickTop="1" thickBot="1" x14ac:dyDescent="0.25">
      <c r="A249" s="631" t="s">
        <v>624</v>
      </c>
      <c r="B249" s="774" t="s">
        <v>162</v>
      </c>
      <c r="C249" s="632" t="s">
        <v>163</v>
      </c>
      <c r="D249" s="634" t="s">
        <v>705</v>
      </c>
      <c r="E249" s="634" t="s">
        <v>164</v>
      </c>
      <c r="F249" s="634" t="s">
        <v>165</v>
      </c>
      <c r="G249" s="634" t="s">
        <v>881</v>
      </c>
      <c r="H249" s="634" t="s">
        <v>882</v>
      </c>
      <c r="I249" s="818" t="s">
        <v>883</v>
      </c>
    </row>
    <row r="250" spans="1:20" s="383" customFormat="1" ht="15.75" customHeight="1" thickTop="1" thickBot="1" x14ac:dyDescent="0.25">
      <c r="A250" s="566">
        <v>1</v>
      </c>
      <c r="B250" s="567">
        <v>2</v>
      </c>
      <c r="C250" s="567">
        <v>3</v>
      </c>
      <c r="D250" s="567">
        <v>4</v>
      </c>
      <c r="E250" s="567">
        <v>5</v>
      </c>
      <c r="F250" s="541">
        <v>6</v>
      </c>
      <c r="G250" s="541">
        <v>7</v>
      </c>
      <c r="H250" s="542">
        <v>8</v>
      </c>
      <c r="I250" s="636" t="s">
        <v>762</v>
      </c>
    </row>
    <row r="251" spans="1:20" ht="15.75" customHeight="1" thickTop="1" x14ac:dyDescent="0.25">
      <c r="A251" s="1391">
        <v>1017</v>
      </c>
      <c r="B251" s="775">
        <v>3114</v>
      </c>
      <c r="C251" s="775">
        <v>5331</v>
      </c>
      <c r="D251" s="839"/>
      <c r="E251" s="886" t="s">
        <v>951</v>
      </c>
      <c r="F251" s="861">
        <v>950</v>
      </c>
      <c r="G251" s="861">
        <v>940</v>
      </c>
      <c r="H251" s="861">
        <v>940</v>
      </c>
      <c r="I251" s="826">
        <f t="shared" ref="I251:I289" si="24">(H251/G251)*100</f>
        <v>100</v>
      </c>
    </row>
    <row r="252" spans="1:20" ht="15.75" customHeight="1" x14ac:dyDescent="0.2">
      <c r="A252" s="431"/>
      <c r="B252" s="673"/>
      <c r="C252" s="673"/>
      <c r="D252" s="552" t="s">
        <v>570</v>
      </c>
      <c r="E252" s="455" t="s">
        <v>71</v>
      </c>
      <c r="F252" s="827">
        <v>950</v>
      </c>
      <c r="G252" s="827">
        <v>940</v>
      </c>
      <c r="H252" s="827">
        <v>940</v>
      </c>
      <c r="I252" s="823">
        <f t="shared" si="24"/>
        <v>100</v>
      </c>
    </row>
    <row r="253" spans="1:20" ht="15.75" customHeight="1" x14ac:dyDescent="0.25">
      <c r="A253" s="431">
        <v>1017</v>
      </c>
      <c r="B253" s="750">
        <v>3114</v>
      </c>
      <c r="C253" s="750">
        <v>5336</v>
      </c>
      <c r="D253" s="568"/>
      <c r="E253" s="672" t="s">
        <v>2054</v>
      </c>
      <c r="F253" s="827"/>
      <c r="G253" s="846">
        <f>G254+G256</f>
        <v>5967</v>
      </c>
      <c r="H253" s="846">
        <f>H254+H256</f>
        <v>5967</v>
      </c>
      <c r="I253" s="853">
        <f t="shared" si="24"/>
        <v>100</v>
      </c>
    </row>
    <row r="254" spans="1:20" ht="15.75" customHeight="1" x14ac:dyDescent="0.2">
      <c r="A254" s="431"/>
      <c r="B254" s="750"/>
      <c r="C254" s="750"/>
      <c r="D254" s="1068" t="s">
        <v>1911</v>
      </c>
      <c r="E254" s="2671" t="s">
        <v>2051</v>
      </c>
      <c r="F254" s="827"/>
      <c r="G254" s="837">
        <v>55</v>
      </c>
      <c r="H254" s="837">
        <v>55</v>
      </c>
      <c r="I254" s="823">
        <f t="shared" si="24"/>
        <v>100</v>
      </c>
    </row>
    <row r="255" spans="1:20" ht="15.75" customHeight="1" x14ac:dyDescent="0.25">
      <c r="A255" s="431"/>
      <c r="B255" s="750"/>
      <c r="C255" s="750"/>
      <c r="D255" s="1068"/>
      <c r="E255" s="2671"/>
      <c r="F255" s="827"/>
      <c r="G255" s="846"/>
      <c r="H255" s="846"/>
      <c r="I255" s="853"/>
    </row>
    <row r="256" spans="1:20" ht="15.75" customHeight="1" x14ac:dyDescent="0.25">
      <c r="A256" s="431"/>
      <c r="B256" s="673"/>
      <c r="C256" s="750"/>
      <c r="D256" s="552" t="s">
        <v>1124</v>
      </c>
      <c r="E256" s="455" t="s">
        <v>792</v>
      </c>
      <c r="F256" s="820"/>
      <c r="G256" s="833">
        <v>5912</v>
      </c>
      <c r="H256" s="833">
        <v>5912</v>
      </c>
      <c r="I256" s="823">
        <f t="shared" si="24"/>
        <v>100</v>
      </c>
    </row>
    <row r="257" spans="1:9" ht="15.75" customHeight="1" x14ac:dyDescent="0.25">
      <c r="A257" s="431">
        <v>1017</v>
      </c>
      <c r="B257" s="750">
        <v>3124</v>
      </c>
      <c r="C257" s="750">
        <v>5336</v>
      </c>
      <c r="D257" s="568"/>
      <c r="E257" s="672" t="s">
        <v>2054</v>
      </c>
      <c r="F257" s="835"/>
      <c r="G257" s="846">
        <f>G258+G260</f>
        <v>2645</v>
      </c>
      <c r="H257" s="846">
        <f>H258+H260</f>
        <v>2645</v>
      </c>
      <c r="I257" s="838">
        <f t="shared" si="24"/>
        <v>100</v>
      </c>
    </row>
    <row r="258" spans="1:9" ht="15.75" customHeight="1" x14ac:dyDescent="0.2">
      <c r="A258" s="431"/>
      <c r="B258" s="750"/>
      <c r="C258" s="750"/>
      <c r="D258" s="1068" t="s">
        <v>1911</v>
      </c>
      <c r="E258" s="2671" t="s">
        <v>2051</v>
      </c>
      <c r="F258" s="827"/>
      <c r="G258" s="837">
        <v>39</v>
      </c>
      <c r="H258" s="837">
        <v>39</v>
      </c>
      <c r="I258" s="823">
        <f t="shared" ref="I258" si="25">(H258/G258)*100</f>
        <v>100</v>
      </c>
    </row>
    <row r="259" spans="1:9" ht="15.75" customHeight="1" x14ac:dyDescent="0.25">
      <c r="A259" s="431"/>
      <c r="B259" s="750"/>
      <c r="C259" s="750"/>
      <c r="D259" s="1068"/>
      <c r="E259" s="2671"/>
      <c r="F259" s="827"/>
      <c r="G259" s="846"/>
      <c r="H259" s="846"/>
      <c r="I259" s="853"/>
    </row>
    <row r="260" spans="1:9" ht="15.75" customHeight="1" x14ac:dyDescent="0.25">
      <c r="A260" s="431"/>
      <c r="B260" s="750"/>
      <c r="C260" s="750"/>
      <c r="D260" s="552" t="s">
        <v>1124</v>
      </c>
      <c r="E260" s="455" t="s">
        <v>792</v>
      </c>
      <c r="F260" s="835"/>
      <c r="G260" s="833">
        <v>2606</v>
      </c>
      <c r="H260" s="833">
        <v>2606</v>
      </c>
      <c r="I260" s="828">
        <f t="shared" si="24"/>
        <v>100</v>
      </c>
    </row>
    <row r="261" spans="1:9" ht="15.75" customHeight="1" x14ac:dyDescent="0.25">
      <c r="A261" s="431">
        <v>1017</v>
      </c>
      <c r="B261" s="750">
        <v>3141</v>
      </c>
      <c r="C261" s="1393">
        <v>5331</v>
      </c>
      <c r="D261" s="842"/>
      <c r="E261" s="672" t="s">
        <v>951</v>
      </c>
      <c r="F261" s="835">
        <v>40</v>
      </c>
      <c r="G261" s="835">
        <v>40</v>
      </c>
      <c r="H261" s="835">
        <v>40</v>
      </c>
      <c r="I261" s="838">
        <f t="shared" si="24"/>
        <v>100</v>
      </c>
    </row>
    <row r="262" spans="1:9" ht="15.75" customHeight="1" x14ac:dyDescent="0.2">
      <c r="A262" s="431"/>
      <c r="B262" s="750"/>
      <c r="C262" s="750"/>
      <c r="D262" s="552" t="s">
        <v>570</v>
      </c>
      <c r="E262" s="455" t="s">
        <v>71</v>
      </c>
      <c r="F262" s="837">
        <v>40</v>
      </c>
      <c r="G262" s="833">
        <v>40</v>
      </c>
      <c r="H262" s="833">
        <v>40</v>
      </c>
      <c r="I262" s="828">
        <f t="shared" si="24"/>
        <v>100</v>
      </c>
    </row>
    <row r="263" spans="1:9" ht="15.75" customHeight="1" x14ac:dyDescent="0.25">
      <c r="A263" s="431">
        <v>1017</v>
      </c>
      <c r="B263" s="750">
        <v>3141</v>
      </c>
      <c r="C263" s="750">
        <v>5336</v>
      </c>
      <c r="D263" s="568"/>
      <c r="E263" s="672" t="s">
        <v>2054</v>
      </c>
      <c r="F263" s="837"/>
      <c r="G263" s="846">
        <v>15</v>
      </c>
      <c r="H263" s="846">
        <v>15</v>
      </c>
      <c r="I263" s="838">
        <f t="shared" si="24"/>
        <v>100</v>
      </c>
    </row>
    <row r="264" spans="1:9" ht="15.75" customHeight="1" x14ac:dyDescent="0.25">
      <c r="A264" s="431"/>
      <c r="B264" s="750"/>
      <c r="C264" s="750"/>
      <c r="D264" s="552" t="s">
        <v>1124</v>
      </c>
      <c r="E264" s="455" t="s">
        <v>792</v>
      </c>
      <c r="F264" s="835"/>
      <c r="G264" s="833">
        <v>15</v>
      </c>
      <c r="H264" s="833">
        <v>15</v>
      </c>
      <c r="I264" s="828">
        <f t="shared" ref="I264:I265" si="26">(H264/G264)*100</f>
        <v>100</v>
      </c>
    </row>
    <row r="265" spans="1:9" ht="15.75" customHeight="1" x14ac:dyDescent="0.25">
      <c r="A265" s="431">
        <v>1017</v>
      </c>
      <c r="B265" s="750">
        <v>3142</v>
      </c>
      <c r="C265" s="750">
        <v>5336</v>
      </c>
      <c r="D265" s="568"/>
      <c r="E265" s="672" t="s">
        <v>2054</v>
      </c>
      <c r="F265" s="835"/>
      <c r="G265" s="846">
        <v>4</v>
      </c>
      <c r="H265" s="846">
        <v>4</v>
      </c>
      <c r="I265" s="838">
        <f t="shared" si="26"/>
        <v>100</v>
      </c>
    </row>
    <row r="266" spans="1:9" ht="15.75" customHeight="1" x14ac:dyDescent="0.25">
      <c r="A266" s="431"/>
      <c r="B266" s="750"/>
      <c r="C266" s="750"/>
      <c r="D266" s="552" t="s">
        <v>1124</v>
      </c>
      <c r="E266" s="455" t="s">
        <v>792</v>
      </c>
      <c r="F266" s="835"/>
      <c r="G266" s="833">
        <v>4</v>
      </c>
      <c r="H266" s="833">
        <v>4</v>
      </c>
      <c r="I266" s="828">
        <f t="shared" ref="I266" si="27">(H266/G266)*100</f>
        <v>100</v>
      </c>
    </row>
    <row r="267" spans="1:9" ht="15" x14ac:dyDescent="0.25">
      <c r="A267" s="431">
        <v>1017</v>
      </c>
      <c r="B267" s="750">
        <v>3143</v>
      </c>
      <c r="C267" s="1393">
        <v>5331</v>
      </c>
      <c r="D267" s="842"/>
      <c r="E267" s="672" t="s">
        <v>951</v>
      </c>
      <c r="F267" s="835">
        <v>40</v>
      </c>
      <c r="G267" s="835">
        <v>40</v>
      </c>
      <c r="H267" s="835">
        <v>40</v>
      </c>
      <c r="I267" s="836">
        <f t="shared" si="24"/>
        <v>100</v>
      </c>
    </row>
    <row r="268" spans="1:9" ht="14.25" x14ac:dyDescent="0.2">
      <c r="A268" s="431"/>
      <c r="B268" s="750"/>
      <c r="C268" s="1393"/>
      <c r="D268" s="552" t="s">
        <v>570</v>
      </c>
      <c r="E268" s="455" t="s">
        <v>71</v>
      </c>
      <c r="F268" s="833">
        <v>40</v>
      </c>
      <c r="G268" s="833">
        <v>40</v>
      </c>
      <c r="H268" s="833">
        <v>40</v>
      </c>
      <c r="I268" s="828">
        <f t="shared" si="24"/>
        <v>100</v>
      </c>
    </row>
    <row r="269" spans="1:9" ht="15" x14ac:dyDescent="0.25">
      <c r="A269" s="431">
        <v>1017</v>
      </c>
      <c r="B269" s="750">
        <v>3143</v>
      </c>
      <c r="C269" s="750">
        <v>5336</v>
      </c>
      <c r="D269" s="568"/>
      <c r="E269" s="672" t="s">
        <v>2054</v>
      </c>
      <c r="F269" s="833"/>
      <c r="G269" s="846">
        <v>789</v>
      </c>
      <c r="H269" s="846">
        <v>789</v>
      </c>
      <c r="I269" s="838">
        <f t="shared" si="24"/>
        <v>100</v>
      </c>
    </row>
    <row r="270" spans="1:9" ht="15" x14ac:dyDescent="0.25">
      <c r="A270" s="431"/>
      <c r="B270" s="750"/>
      <c r="C270" s="1393"/>
      <c r="D270" s="552" t="s">
        <v>1124</v>
      </c>
      <c r="E270" s="455" t="s">
        <v>792</v>
      </c>
      <c r="F270" s="835"/>
      <c r="G270" s="833">
        <v>789</v>
      </c>
      <c r="H270" s="833">
        <v>789</v>
      </c>
      <c r="I270" s="828">
        <f t="shared" si="24"/>
        <v>100</v>
      </c>
    </row>
    <row r="271" spans="1:9" ht="20.25" customHeight="1" x14ac:dyDescent="0.25">
      <c r="A271" s="431">
        <v>1017</v>
      </c>
      <c r="B271" s="750">
        <v>3146</v>
      </c>
      <c r="C271" s="1393">
        <v>5331</v>
      </c>
      <c r="D271" s="842"/>
      <c r="E271" s="672" t="s">
        <v>951</v>
      </c>
      <c r="F271" s="835">
        <f>SUM(F272)</f>
        <v>370</v>
      </c>
      <c r="G271" s="835">
        <v>366</v>
      </c>
      <c r="H271" s="835">
        <v>366</v>
      </c>
      <c r="I271" s="836">
        <f t="shared" si="24"/>
        <v>100</v>
      </c>
    </row>
    <row r="272" spans="1:9" ht="15" thickBot="1" x14ac:dyDescent="0.25">
      <c r="A272" s="431"/>
      <c r="B272" s="750"/>
      <c r="C272" s="1393"/>
      <c r="D272" s="552" t="s">
        <v>570</v>
      </c>
      <c r="E272" s="455" t="s">
        <v>71</v>
      </c>
      <c r="F272" s="833">
        <v>370</v>
      </c>
      <c r="G272" s="833">
        <v>366</v>
      </c>
      <c r="H272" s="833">
        <v>366</v>
      </c>
      <c r="I272" s="828">
        <f t="shared" si="24"/>
        <v>100</v>
      </c>
    </row>
    <row r="273" spans="1:9" ht="15" thickTop="1" x14ac:dyDescent="0.2">
      <c r="A273" s="1511"/>
      <c r="B273" s="654"/>
      <c r="C273" s="1511"/>
      <c r="D273" s="1512"/>
      <c r="E273" s="1055"/>
      <c r="F273" s="1513"/>
      <c r="G273" s="1513"/>
      <c r="H273" s="1513"/>
      <c r="I273" s="1514"/>
    </row>
    <row r="274" spans="1:9" ht="14.25" x14ac:dyDescent="0.2">
      <c r="A274" s="1397"/>
      <c r="B274" s="746"/>
      <c r="C274" s="1397"/>
      <c r="D274" s="791"/>
      <c r="E274" s="67"/>
      <c r="F274" s="841"/>
      <c r="G274" s="841"/>
      <c r="H274" s="841"/>
      <c r="I274" s="893"/>
    </row>
    <row r="275" spans="1:9" ht="13.5" thickBot="1" x14ac:dyDescent="0.25">
      <c r="A275" s="432"/>
      <c r="I275" s="1390" t="s">
        <v>161</v>
      </c>
    </row>
    <row r="276" spans="1:9" s="107" customFormat="1" thickTop="1" thickBot="1" x14ac:dyDescent="0.25">
      <c r="A276" s="631" t="s">
        <v>624</v>
      </c>
      <c r="B276" s="774" t="s">
        <v>162</v>
      </c>
      <c r="C276" s="632" t="s">
        <v>163</v>
      </c>
      <c r="D276" s="634" t="s">
        <v>705</v>
      </c>
      <c r="E276" s="634" t="s">
        <v>164</v>
      </c>
      <c r="F276" s="634" t="s">
        <v>165</v>
      </c>
      <c r="G276" s="634" t="s">
        <v>881</v>
      </c>
      <c r="H276" s="634" t="s">
        <v>882</v>
      </c>
      <c r="I276" s="818" t="s">
        <v>883</v>
      </c>
    </row>
    <row r="277" spans="1:9" s="383" customFormat="1" ht="15.75" customHeight="1" thickTop="1" thickBot="1" x14ac:dyDescent="0.25">
      <c r="A277" s="566">
        <v>1</v>
      </c>
      <c r="B277" s="567">
        <v>2</v>
      </c>
      <c r="C277" s="567">
        <v>3</v>
      </c>
      <c r="D277" s="567">
        <v>4</v>
      </c>
      <c r="E277" s="567">
        <v>5</v>
      </c>
      <c r="F277" s="541">
        <v>6</v>
      </c>
      <c r="G277" s="541">
        <v>7</v>
      </c>
      <c r="H277" s="542">
        <v>8</v>
      </c>
      <c r="I277" s="636" t="s">
        <v>762</v>
      </c>
    </row>
    <row r="278" spans="1:9" ht="15.75" customHeight="1" thickTop="1" x14ac:dyDescent="0.25">
      <c r="A278" s="431">
        <v>1017</v>
      </c>
      <c r="B278" s="750">
        <v>3146</v>
      </c>
      <c r="C278" s="750">
        <v>5336</v>
      </c>
      <c r="D278" s="568"/>
      <c r="E278" s="672" t="s">
        <v>2054</v>
      </c>
      <c r="F278" s="833"/>
      <c r="G278" s="846">
        <f>G279+G280</f>
        <v>3189</v>
      </c>
      <c r="H278" s="846">
        <f>H279+H280</f>
        <v>3189</v>
      </c>
      <c r="I278" s="838">
        <f t="shared" si="24"/>
        <v>100</v>
      </c>
    </row>
    <row r="279" spans="1:9" ht="15.75" customHeight="1" x14ac:dyDescent="0.2">
      <c r="A279" s="431"/>
      <c r="B279" s="750"/>
      <c r="C279" s="750"/>
      <c r="D279" s="1325" t="s">
        <v>1667</v>
      </c>
      <c r="E279" s="2113" t="s">
        <v>1824</v>
      </c>
      <c r="F279" s="833"/>
      <c r="G279" s="833">
        <v>20</v>
      </c>
      <c r="H279" s="833">
        <v>20</v>
      </c>
      <c r="I279" s="828">
        <f t="shared" ref="I279" si="28">(H279/G279)*100</f>
        <v>100</v>
      </c>
    </row>
    <row r="280" spans="1:9" ht="15.75" customHeight="1" x14ac:dyDescent="0.25">
      <c r="A280" s="431"/>
      <c r="B280" s="750"/>
      <c r="C280" s="1393"/>
      <c r="D280" s="552" t="s">
        <v>1124</v>
      </c>
      <c r="E280" s="455" t="s">
        <v>792</v>
      </c>
      <c r="F280" s="835"/>
      <c r="G280" s="833">
        <v>3169</v>
      </c>
      <c r="H280" s="833">
        <v>3169</v>
      </c>
      <c r="I280" s="828">
        <f t="shared" si="24"/>
        <v>100</v>
      </c>
    </row>
    <row r="281" spans="1:9" ht="15.75" customHeight="1" x14ac:dyDescent="0.25">
      <c r="A281" s="431">
        <v>1017</v>
      </c>
      <c r="B281" s="750">
        <v>4322</v>
      </c>
      <c r="C281" s="1393">
        <v>5331</v>
      </c>
      <c r="D281" s="887"/>
      <c r="E281" s="672" t="s">
        <v>951</v>
      </c>
      <c r="F281" s="835">
        <f>SUM(F282:F283)</f>
        <v>3714</v>
      </c>
      <c r="G281" s="835">
        <f>SUM(G282:G283)</f>
        <v>3861</v>
      </c>
      <c r="H281" s="835">
        <f>SUM(H282:H283)</f>
        <v>3861</v>
      </c>
      <c r="I281" s="836">
        <f t="shared" si="24"/>
        <v>100</v>
      </c>
    </row>
    <row r="282" spans="1:9" ht="15.75" customHeight="1" x14ac:dyDescent="0.2">
      <c r="A282" s="431"/>
      <c r="B282" s="750"/>
      <c r="C282" s="1393"/>
      <c r="D282" s="707" t="s">
        <v>575</v>
      </c>
      <c r="E282" s="1478" t="s">
        <v>793</v>
      </c>
      <c r="F282" s="833">
        <v>994</v>
      </c>
      <c r="G282" s="833">
        <v>1168</v>
      </c>
      <c r="H282" s="833">
        <v>1168</v>
      </c>
      <c r="I282" s="828">
        <f t="shared" si="24"/>
        <v>100</v>
      </c>
    </row>
    <row r="283" spans="1:9" ht="15.75" customHeight="1" x14ac:dyDescent="0.2">
      <c r="A283" s="431"/>
      <c r="B283" s="750"/>
      <c r="C283" s="1393"/>
      <c r="D283" s="552" t="s">
        <v>570</v>
      </c>
      <c r="E283" s="455" t="s">
        <v>71</v>
      </c>
      <c r="F283" s="833">
        <v>2720</v>
      </c>
      <c r="G283" s="833">
        <v>2693</v>
      </c>
      <c r="H283" s="833">
        <v>2693</v>
      </c>
      <c r="I283" s="828">
        <f t="shared" si="24"/>
        <v>100</v>
      </c>
    </row>
    <row r="284" spans="1:9" ht="20.25" customHeight="1" x14ac:dyDescent="0.25">
      <c r="A284" s="431">
        <v>1017</v>
      </c>
      <c r="B284" s="750">
        <v>4322</v>
      </c>
      <c r="C284" s="750">
        <v>5336</v>
      </c>
      <c r="D284" s="568"/>
      <c r="E284" s="672" t="s">
        <v>2054</v>
      </c>
      <c r="F284" s="833"/>
      <c r="G284" s="846">
        <f>G285+G287+G288</f>
        <v>12610</v>
      </c>
      <c r="H284" s="846">
        <f>H285+H287+H288</f>
        <v>12610</v>
      </c>
      <c r="I284" s="838">
        <f t="shared" si="24"/>
        <v>100</v>
      </c>
    </row>
    <row r="285" spans="1:9" ht="14.25" customHeight="1" x14ac:dyDescent="0.2">
      <c r="A285" s="431"/>
      <c r="B285" s="750"/>
      <c r="C285" s="750"/>
      <c r="D285" s="1068" t="s">
        <v>1911</v>
      </c>
      <c r="E285" s="2671" t="s">
        <v>2051</v>
      </c>
      <c r="F285" s="827"/>
      <c r="G285" s="837">
        <v>30</v>
      </c>
      <c r="H285" s="837">
        <v>30</v>
      </c>
      <c r="I285" s="823">
        <f t="shared" si="24"/>
        <v>100</v>
      </c>
    </row>
    <row r="286" spans="1:9" ht="15.75" customHeight="1" x14ac:dyDescent="0.25">
      <c r="A286" s="431"/>
      <c r="B286" s="750"/>
      <c r="C286" s="750"/>
      <c r="D286" s="1068"/>
      <c r="E286" s="2671"/>
      <c r="F286" s="827"/>
      <c r="G286" s="846"/>
      <c r="H286" s="846"/>
      <c r="I286" s="853"/>
    </row>
    <row r="287" spans="1:9" ht="15.75" customHeight="1" x14ac:dyDescent="0.2">
      <c r="A287" s="431"/>
      <c r="B287" s="750"/>
      <c r="C287" s="750"/>
      <c r="D287" s="1068" t="s">
        <v>1913</v>
      </c>
      <c r="E287" s="2113" t="s">
        <v>2052</v>
      </c>
      <c r="F287" s="2530"/>
      <c r="G287" s="2531">
        <v>119</v>
      </c>
      <c r="H287" s="2531">
        <v>119</v>
      </c>
      <c r="I287" s="376">
        <f t="shared" ref="I287" si="29">(H287/G287)*100</f>
        <v>100</v>
      </c>
    </row>
    <row r="288" spans="1:9" ht="15" thickBot="1" x14ac:dyDescent="0.25">
      <c r="A288" s="431"/>
      <c r="B288" s="750"/>
      <c r="C288" s="1393"/>
      <c r="D288" s="552" t="s">
        <v>1124</v>
      </c>
      <c r="E288" s="455" t="s">
        <v>792</v>
      </c>
      <c r="F288" s="833"/>
      <c r="G288" s="833">
        <v>12461</v>
      </c>
      <c r="H288" s="833">
        <v>12461</v>
      </c>
      <c r="I288" s="828">
        <f t="shared" si="24"/>
        <v>100</v>
      </c>
    </row>
    <row r="289" spans="1:20" s="1483" customFormat="1" ht="15.75" customHeight="1" thickTop="1" thickBot="1" x14ac:dyDescent="0.25">
      <c r="A289" s="2683" t="s">
        <v>1105</v>
      </c>
      <c r="B289" s="2684"/>
      <c r="C289" s="2684"/>
      <c r="D289" s="2684"/>
      <c r="E289" s="2684"/>
      <c r="F289" s="1494">
        <f>F281+F271+F251+F267+F261</f>
        <v>5114</v>
      </c>
      <c r="G289" s="1494">
        <f>G281+G271+G251+G267+G261+G284+G278+G269+G257+G253+G265+G263</f>
        <v>30466</v>
      </c>
      <c r="H289" s="1494">
        <f>H281+H271+H251+H267+H261+H284+H278+H269+H257+H253+H265+H263</f>
        <v>30466</v>
      </c>
      <c r="I289" s="1495">
        <f t="shared" si="24"/>
        <v>100</v>
      </c>
      <c r="R289" s="1496">
        <f>F289</f>
        <v>5114</v>
      </c>
      <c r="S289" s="1496">
        <f>G289</f>
        <v>30466</v>
      </c>
      <c r="T289" s="1496">
        <f>H289</f>
        <v>30466</v>
      </c>
    </row>
    <row r="290" spans="1:20" s="1483" customFormat="1" ht="15.75" customHeight="1" thickTop="1" x14ac:dyDescent="0.2">
      <c r="B290" s="1497"/>
      <c r="D290" s="1498"/>
      <c r="F290" s="1496"/>
      <c r="G290" s="1496"/>
      <c r="H290" s="1496"/>
      <c r="I290" s="1499"/>
    </row>
    <row r="291" spans="1:20" s="1483" customFormat="1" ht="15.75" customHeight="1" x14ac:dyDescent="0.2">
      <c r="B291" s="1497"/>
      <c r="D291" s="1498"/>
      <c r="F291" s="1496"/>
      <c r="G291" s="1496"/>
      <c r="H291" s="1496"/>
      <c r="I291" s="1499"/>
    </row>
    <row r="292" spans="1:20" ht="18" customHeight="1" thickBot="1" x14ac:dyDescent="0.25">
      <c r="A292" s="432" t="s">
        <v>526</v>
      </c>
      <c r="I292" s="1390" t="s">
        <v>161</v>
      </c>
    </row>
    <row r="293" spans="1:20" s="107" customFormat="1" thickTop="1" thickBot="1" x14ac:dyDescent="0.25">
      <c r="A293" s="631" t="s">
        <v>624</v>
      </c>
      <c r="B293" s="774" t="s">
        <v>162</v>
      </c>
      <c r="C293" s="632" t="s">
        <v>163</v>
      </c>
      <c r="D293" s="634" t="s">
        <v>705</v>
      </c>
      <c r="E293" s="634" t="s">
        <v>164</v>
      </c>
      <c r="F293" s="634" t="s">
        <v>165</v>
      </c>
      <c r="G293" s="634" t="s">
        <v>881</v>
      </c>
      <c r="H293" s="634" t="s">
        <v>882</v>
      </c>
      <c r="I293" s="818" t="s">
        <v>883</v>
      </c>
    </row>
    <row r="294" spans="1:20" s="383" customFormat="1" ht="13.5" thickTop="1" thickBot="1" x14ac:dyDescent="0.25">
      <c r="A294" s="566">
        <v>1</v>
      </c>
      <c r="B294" s="567">
        <v>2</v>
      </c>
      <c r="C294" s="567">
        <v>3</v>
      </c>
      <c r="D294" s="567">
        <v>4</v>
      </c>
      <c r="E294" s="567">
        <v>5</v>
      </c>
      <c r="F294" s="541">
        <v>6</v>
      </c>
      <c r="G294" s="541">
        <v>7</v>
      </c>
      <c r="H294" s="542">
        <v>8</v>
      </c>
      <c r="I294" s="636" t="s">
        <v>762</v>
      </c>
    </row>
    <row r="295" spans="1:20" ht="15" customHeight="1" thickTop="1" x14ac:dyDescent="0.25">
      <c r="A295" s="431">
        <v>1021</v>
      </c>
      <c r="B295" s="673">
        <v>3114</v>
      </c>
      <c r="C295" s="1392">
        <v>5331</v>
      </c>
      <c r="D295" s="829"/>
      <c r="E295" s="672" t="s">
        <v>951</v>
      </c>
      <c r="F295" s="820">
        <v>430</v>
      </c>
      <c r="G295" s="820">
        <v>426</v>
      </c>
      <c r="H295" s="820">
        <v>426</v>
      </c>
      <c r="I295" s="853">
        <f t="shared" ref="I295:I302" si="30">(H295/G295)*100</f>
        <v>100</v>
      </c>
    </row>
    <row r="296" spans="1:20" ht="15" customHeight="1" x14ac:dyDescent="0.2">
      <c r="A296" s="431"/>
      <c r="B296" s="673"/>
      <c r="C296" s="1392"/>
      <c r="D296" s="552" t="s">
        <v>570</v>
      </c>
      <c r="E296" s="455" t="s">
        <v>71</v>
      </c>
      <c r="F296" s="827">
        <v>430</v>
      </c>
      <c r="G296" s="827">
        <v>426</v>
      </c>
      <c r="H296" s="827">
        <v>426</v>
      </c>
      <c r="I296" s="823">
        <f t="shared" si="30"/>
        <v>100</v>
      </c>
    </row>
    <row r="297" spans="1:20" ht="15" x14ac:dyDescent="0.25">
      <c r="A297" s="431">
        <v>1021</v>
      </c>
      <c r="B297" s="673">
        <v>3114</v>
      </c>
      <c r="C297" s="1392">
        <v>5336</v>
      </c>
      <c r="D297" s="552"/>
      <c r="E297" s="672" t="s">
        <v>2054</v>
      </c>
      <c r="F297" s="827"/>
      <c r="G297" s="851">
        <f>G298+G300+G301</f>
        <v>3779</v>
      </c>
      <c r="H297" s="851">
        <f>H298+H300+H301</f>
        <v>3779</v>
      </c>
      <c r="I297" s="853">
        <f t="shared" si="30"/>
        <v>100</v>
      </c>
    </row>
    <row r="298" spans="1:20" ht="14.25" x14ac:dyDescent="0.2">
      <c r="A298" s="431"/>
      <c r="B298" s="673"/>
      <c r="C298" s="1392"/>
      <c r="D298" s="1068" t="s">
        <v>1911</v>
      </c>
      <c r="E298" s="2671" t="s">
        <v>2051</v>
      </c>
      <c r="F298" s="827"/>
      <c r="G298" s="837">
        <v>5</v>
      </c>
      <c r="H298" s="837">
        <v>5</v>
      </c>
      <c r="I298" s="823">
        <f t="shared" si="30"/>
        <v>100</v>
      </c>
    </row>
    <row r="299" spans="1:20" ht="15" x14ac:dyDescent="0.25">
      <c r="A299" s="431"/>
      <c r="B299" s="673"/>
      <c r="C299" s="1392"/>
      <c r="D299" s="1068"/>
      <c r="E299" s="2671"/>
      <c r="F299" s="827"/>
      <c r="G299" s="846"/>
      <c r="H299" s="846"/>
      <c r="I299" s="853"/>
    </row>
    <row r="300" spans="1:20" ht="15" x14ac:dyDescent="0.2">
      <c r="A300" s="431"/>
      <c r="B300" s="673"/>
      <c r="C300" s="1392"/>
      <c r="D300" s="1068" t="s">
        <v>1913</v>
      </c>
      <c r="E300" s="2113" t="s">
        <v>2052</v>
      </c>
      <c r="F300" s="2530"/>
      <c r="G300" s="2531">
        <v>17</v>
      </c>
      <c r="H300" s="2531">
        <v>17</v>
      </c>
      <c r="I300" s="376">
        <f t="shared" ref="I300" si="31">(H300/G300)*100</f>
        <v>100</v>
      </c>
    </row>
    <row r="301" spans="1:20" ht="15" thickBot="1" x14ac:dyDescent="0.25">
      <c r="A301" s="431"/>
      <c r="B301" s="673"/>
      <c r="C301" s="1392"/>
      <c r="D301" s="552" t="s">
        <v>1124</v>
      </c>
      <c r="E301" s="455" t="s">
        <v>792</v>
      </c>
      <c r="F301" s="827"/>
      <c r="G301" s="827">
        <v>3757</v>
      </c>
      <c r="H301" s="827">
        <v>3757</v>
      </c>
      <c r="I301" s="823">
        <f t="shared" si="30"/>
        <v>100</v>
      </c>
    </row>
    <row r="302" spans="1:20" s="1483" customFormat="1" ht="16.5" thickTop="1" thickBot="1" x14ac:dyDescent="0.25">
      <c r="A302" s="2683" t="s">
        <v>1105</v>
      </c>
      <c r="B302" s="2684"/>
      <c r="C302" s="2684"/>
      <c r="D302" s="2684"/>
      <c r="E302" s="2684"/>
      <c r="F302" s="1494">
        <f>SUM(F295)</f>
        <v>430</v>
      </c>
      <c r="G302" s="1494">
        <f>G295+G297</f>
        <v>4205</v>
      </c>
      <c r="H302" s="1494">
        <f>H295+H297</f>
        <v>4205</v>
      </c>
      <c r="I302" s="1495">
        <f t="shared" si="30"/>
        <v>100</v>
      </c>
      <c r="R302" s="1496">
        <f>F302</f>
        <v>430</v>
      </c>
      <c r="S302" s="1496">
        <f>G302</f>
        <v>4205</v>
      </c>
      <c r="T302" s="1496">
        <f>H302</f>
        <v>4205</v>
      </c>
    </row>
    <row r="303" spans="1:20" s="1483" customFormat="1" ht="13.5" thickTop="1" x14ac:dyDescent="0.2">
      <c r="B303" s="1497"/>
      <c r="D303" s="1498"/>
      <c r="F303" s="1496"/>
      <c r="G303" s="1496"/>
      <c r="H303" s="1496"/>
      <c r="I303" s="1499"/>
    </row>
    <row r="304" spans="1:20" ht="13.5" thickBot="1" x14ac:dyDescent="0.25">
      <c r="A304" s="432" t="s">
        <v>449</v>
      </c>
      <c r="I304" s="1390" t="s">
        <v>161</v>
      </c>
    </row>
    <row r="305" spans="1:20" s="107" customFormat="1" thickTop="1" thickBot="1" x14ac:dyDescent="0.25">
      <c r="A305" s="631" t="s">
        <v>624</v>
      </c>
      <c r="B305" s="774" t="s">
        <v>162</v>
      </c>
      <c r="C305" s="632" t="s">
        <v>163</v>
      </c>
      <c r="D305" s="634" t="s">
        <v>705</v>
      </c>
      <c r="E305" s="634" t="s">
        <v>164</v>
      </c>
      <c r="F305" s="634" t="s">
        <v>165</v>
      </c>
      <c r="G305" s="634" t="s">
        <v>881</v>
      </c>
      <c r="H305" s="634" t="s">
        <v>882</v>
      </c>
      <c r="I305" s="818" t="s">
        <v>883</v>
      </c>
    </row>
    <row r="306" spans="1:20" s="383" customFormat="1" ht="18" customHeight="1" thickTop="1" thickBot="1" x14ac:dyDescent="0.25">
      <c r="A306" s="566">
        <v>1</v>
      </c>
      <c r="B306" s="567">
        <v>2</v>
      </c>
      <c r="C306" s="567">
        <v>3</v>
      </c>
      <c r="D306" s="567">
        <v>4</v>
      </c>
      <c r="E306" s="567">
        <v>5</v>
      </c>
      <c r="F306" s="541">
        <v>6</v>
      </c>
      <c r="G306" s="541">
        <v>7</v>
      </c>
      <c r="H306" s="542">
        <v>8</v>
      </c>
      <c r="I306" s="636" t="s">
        <v>762</v>
      </c>
    </row>
    <row r="307" spans="1:20" s="107" customFormat="1" ht="15.75" thickTop="1" x14ac:dyDescent="0.25">
      <c r="A307" s="431">
        <v>1022</v>
      </c>
      <c r="B307" s="673">
        <v>3112</v>
      </c>
      <c r="C307" s="673">
        <v>5331</v>
      </c>
      <c r="D307" s="819"/>
      <c r="E307" s="792" t="s">
        <v>951</v>
      </c>
      <c r="F307" s="888">
        <v>10</v>
      </c>
      <c r="G307" s="888">
        <v>10</v>
      </c>
      <c r="H307" s="888">
        <v>10</v>
      </c>
      <c r="I307" s="853">
        <f t="shared" ref="I307:I318" si="32">(H307/G307)*100</f>
        <v>100</v>
      </c>
    </row>
    <row r="308" spans="1:20" s="107" customFormat="1" ht="14.25" x14ac:dyDescent="0.2">
      <c r="A308" s="879"/>
      <c r="B308" s="880"/>
      <c r="C308" s="881"/>
      <c r="D308" s="552" t="s">
        <v>570</v>
      </c>
      <c r="E308" s="455" t="s">
        <v>71</v>
      </c>
      <c r="F308" s="882">
        <v>10</v>
      </c>
      <c r="G308" s="882">
        <v>10</v>
      </c>
      <c r="H308" s="882">
        <v>10</v>
      </c>
      <c r="I308" s="854">
        <f t="shared" si="32"/>
        <v>100</v>
      </c>
    </row>
    <row r="309" spans="1:20" s="107" customFormat="1" ht="15" x14ac:dyDescent="0.25">
      <c r="A309" s="431">
        <v>1022</v>
      </c>
      <c r="B309" s="750">
        <v>3112</v>
      </c>
      <c r="C309" s="750">
        <v>5336</v>
      </c>
      <c r="D309" s="568"/>
      <c r="E309" s="672" t="s">
        <v>2054</v>
      </c>
      <c r="F309" s="882"/>
      <c r="G309" s="888">
        <v>266</v>
      </c>
      <c r="H309" s="888">
        <v>266</v>
      </c>
      <c r="I309" s="853">
        <f t="shared" si="32"/>
        <v>100</v>
      </c>
    </row>
    <row r="310" spans="1:20" s="107" customFormat="1" ht="13.5" customHeight="1" x14ac:dyDescent="0.2">
      <c r="A310" s="879"/>
      <c r="B310" s="880"/>
      <c r="C310" s="881"/>
      <c r="D310" s="552" t="s">
        <v>1124</v>
      </c>
      <c r="E310" s="455" t="s">
        <v>792</v>
      </c>
      <c r="F310" s="882"/>
      <c r="G310" s="882">
        <v>266</v>
      </c>
      <c r="H310" s="882">
        <v>266</v>
      </c>
      <c r="I310" s="854">
        <f t="shared" si="32"/>
        <v>100</v>
      </c>
    </row>
    <row r="311" spans="1:20" ht="15" x14ac:dyDescent="0.25">
      <c r="A311" s="431">
        <v>1022</v>
      </c>
      <c r="B311" s="750">
        <v>3114</v>
      </c>
      <c r="C311" s="750">
        <v>5331</v>
      </c>
      <c r="D311" s="859"/>
      <c r="E311" s="672" t="s">
        <v>951</v>
      </c>
      <c r="F311" s="846">
        <v>310</v>
      </c>
      <c r="G311" s="846">
        <v>257</v>
      </c>
      <c r="H311" s="846">
        <v>257</v>
      </c>
      <c r="I311" s="838">
        <f t="shared" si="32"/>
        <v>100</v>
      </c>
    </row>
    <row r="312" spans="1:20" ht="14.25" x14ac:dyDescent="0.2">
      <c r="A312" s="431"/>
      <c r="B312" s="750"/>
      <c r="C312" s="750"/>
      <c r="D312" s="552" t="s">
        <v>570</v>
      </c>
      <c r="E312" s="455" t="s">
        <v>71</v>
      </c>
      <c r="F312" s="837">
        <v>310</v>
      </c>
      <c r="G312" s="837">
        <v>257</v>
      </c>
      <c r="H312" s="837">
        <v>257</v>
      </c>
      <c r="I312" s="376">
        <f t="shared" si="32"/>
        <v>100</v>
      </c>
    </row>
    <row r="313" spans="1:20" ht="15" x14ac:dyDescent="0.25">
      <c r="A313" s="431">
        <v>1022</v>
      </c>
      <c r="B313" s="750">
        <v>3114</v>
      </c>
      <c r="C313" s="750">
        <v>5336</v>
      </c>
      <c r="D313" s="568"/>
      <c r="E313" s="672" t="s">
        <v>2054</v>
      </c>
      <c r="F313" s="837"/>
      <c r="G313" s="846">
        <f>G314+G316+G317</f>
        <v>1739</v>
      </c>
      <c r="H313" s="846">
        <f>H314+H316+H317</f>
        <v>1739</v>
      </c>
      <c r="I313" s="838">
        <f t="shared" si="32"/>
        <v>100</v>
      </c>
    </row>
    <row r="314" spans="1:20" ht="14.25" x14ac:dyDescent="0.2">
      <c r="A314" s="431"/>
      <c r="B314" s="750"/>
      <c r="C314" s="750"/>
      <c r="D314" s="1068" t="s">
        <v>1911</v>
      </c>
      <c r="E314" s="2671" t="s">
        <v>2051</v>
      </c>
      <c r="F314" s="827"/>
      <c r="G314" s="837">
        <v>3</v>
      </c>
      <c r="H314" s="837">
        <v>3</v>
      </c>
      <c r="I314" s="823">
        <f t="shared" si="32"/>
        <v>100</v>
      </c>
    </row>
    <row r="315" spans="1:20" ht="15" x14ac:dyDescent="0.25">
      <c r="A315" s="431"/>
      <c r="B315" s="750"/>
      <c r="C315" s="750"/>
      <c r="D315" s="1068"/>
      <c r="E315" s="2671"/>
      <c r="F315" s="827"/>
      <c r="G315" s="846"/>
      <c r="H315" s="846"/>
      <c r="I315" s="853"/>
    </row>
    <row r="316" spans="1:20" ht="15" x14ac:dyDescent="0.2">
      <c r="A316" s="431"/>
      <c r="B316" s="750"/>
      <c r="C316" s="750"/>
      <c r="D316" s="1068" t="s">
        <v>1913</v>
      </c>
      <c r="E316" s="2113" t="s">
        <v>2052</v>
      </c>
      <c r="F316" s="2530"/>
      <c r="G316" s="2531">
        <v>9</v>
      </c>
      <c r="H316" s="2531">
        <v>9</v>
      </c>
      <c r="I316" s="376">
        <f t="shared" ref="I316" si="33">(H316/G316)*100</f>
        <v>100</v>
      </c>
    </row>
    <row r="317" spans="1:20" ht="15" thickBot="1" x14ac:dyDescent="0.25">
      <c r="A317" s="431"/>
      <c r="B317" s="750"/>
      <c r="C317" s="750"/>
      <c r="D317" s="552" t="s">
        <v>1124</v>
      </c>
      <c r="E317" s="455" t="s">
        <v>792</v>
      </c>
      <c r="F317" s="837"/>
      <c r="G317" s="837">
        <v>1727</v>
      </c>
      <c r="H317" s="837">
        <v>1727</v>
      </c>
      <c r="I317" s="376">
        <f t="shared" si="32"/>
        <v>100</v>
      </c>
    </row>
    <row r="318" spans="1:20" ht="15.75" customHeight="1" thickTop="1" thickBot="1" x14ac:dyDescent="0.3">
      <c r="A318" s="2672" t="s">
        <v>1105</v>
      </c>
      <c r="B318" s="2673"/>
      <c r="C318" s="2673"/>
      <c r="D318" s="2673"/>
      <c r="E318" s="2673"/>
      <c r="F318" s="889">
        <f>SUM(F311,F307)</f>
        <v>320</v>
      </c>
      <c r="G318" s="889">
        <f>SUM(G311,G307,G313,G309)</f>
        <v>2272</v>
      </c>
      <c r="H318" s="889">
        <f>SUM(H311,H307,H313,H309)</f>
        <v>2272</v>
      </c>
      <c r="I318" s="890">
        <f t="shared" si="32"/>
        <v>100</v>
      </c>
      <c r="R318" s="382">
        <f>F318</f>
        <v>320</v>
      </c>
      <c r="S318" s="382">
        <f>G318</f>
        <v>2272</v>
      </c>
      <c r="T318" s="382">
        <f>H318</f>
        <v>2272</v>
      </c>
    </row>
    <row r="319" spans="1:20" ht="15.75" customHeight="1" thickTop="1" x14ac:dyDescent="0.2"/>
    <row r="320" spans="1:20" ht="15.75" customHeight="1" thickBot="1" x14ac:dyDescent="0.25">
      <c r="A320" s="432" t="s">
        <v>450</v>
      </c>
      <c r="I320" s="1390" t="s">
        <v>161</v>
      </c>
    </row>
    <row r="321" spans="1:9" s="107" customFormat="1" ht="15.75" customHeight="1" thickTop="1" thickBot="1" x14ac:dyDescent="0.25">
      <c r="A321" s="631" t="s">
        <v>624</v>
      </c>
      <c r="B321" s="774" t="s">
        <v>162</v>
      </c>
      <c r="C321" s="632" t="s">
        <v>163</v>
      </c>
      <c r="D321" s="634" t="s">
        <v>705</v>
      </c>
      <c r="E321" s="634" t="s">
        <v>164</v>
      </c>
      <c r="F321" s="634" t="s">
        <v>165</v>
      </c>
      <c r="G321" s="634" t="s">
        <v>881</v>
      </c>
      <c r="H321" s="634" t="s">
        <v>882</v>
      </c>
      <c r="I321" s="818" t="s">
        <v>883</v>
      </c>
    </row>
    <row r="322" spans="1:9" s="383" customFormat="1" ht="15.75" customHeight="1" thickTop="1" thickBot="1" x14ac:dyDescent="0.25">
      <c r="A322" s="566">
        <v>1</v>
      </c>
      <c r="B322" s="567">
        <v>2</v>
      </c>
      <c r="C322" s="567">
        <v>3</v>
      </c>
      <c r="D322" s="567">
        <v>4</v>
      </c>
      <c r="E322" s="567">
        <v>5</v>
      </c>
      <c r="F322" s="541">
        <v>6</v>
      </c>
      <c r="G322" s="541">
        <v>7</v>
      </c>
      <c r="H322" s="542">
        <v>8</v>
      </c>
      <c r="I322" s="636" t="s">
        <v>762</v>
      </c>
    </row>
    <row r="323" spans="1:9" ht="15.75" customHeight="1" thickTop="1" x14ac:dyDescent="0.25">
      <c r="A323" s="1391">
        <v>1024</v>
      </c>
      <c r="B323" s="775">
        <v>3112</v>
      </c>
      <c r="C323" s="775">
        <v>5331</v>
      </c>
      <c r="D323" s="839"/>
      <c r="E323" s="860" t="s">
        <v>951</v>
      </c>
      <c r="F323" s="861">
        <v>15</v>
      </c>
      <c r="G323" s="861">
        <v>15</v>
      </c>
      <c r="H323" s="861">
        <v>15</v>
      </c>
      <c r="I323" s="826">
        <f t="shared" ref="I323:I349" si="34">(H323/G323)*100</f>
        <v>100</v>
      </c>
    </row>
    <row r="324" spans="1:9" ht="12" customHeight="1" x14ac:dyDescent="0.2">
      <c r="A324" s="431"/>
      <c r="B324" s="673"/>
      <c r="C324" s="673"/>
      <c r="D324" s="552" t="s">
        <v>570</v>
      </c>
      <c r="E324" s="455" t="s">
        <v>71</v>
      </c>
      <c r="F324" s="827">
        <v>15</v>
      </c>
      <c r="G324" s="827">
        <v>15</v>
      </c>
      <c r="H324" s="827">
        <v>15</v>
      </c>
      <c r="I324" s="823">
        <f t="shared" si="34"/>
        <v>100</v>
      </c>
    </row>
    <row r="325" spans="1:9" ht="12" customHeight="1" x14ac:dyDescent="0.25">
      <c r="A325" s="431">
        <v>1024</v>
      </c>
      <c r="B325" s="750">
        <v>3112</v>
      </c>
      <c r="C325" s="1393">
        <v>5336</v>
      </c>
      <c r="D325" s="568"/>
      <c r="E325" s="672" t="s">
        <v>2054</v>
      </c>
      <c r="F325" s="827"/>
      <c r="G325" s="851">
        <v>867</v>
      </c>
      <c r="H325" s="851">
        <v>867</v>
      </c>
      <c r="I325" s="853">
        <f t="shared" si="34"/>
        <v>100</v>
      </c>
    </row>
    <row r="326" spans="1:9" ht="12" customHeight="1" x14ac:dyDescent="0.2">
      <c r="A326" s="431"/>
      <c r="B326" s="750"/>
      <c r="C326" s="1392"/>
      <c r="D326" s="552" t="s">
        <v>1124</v>
      </c>
      <c r="E326" s="455" t="s">
        <v>792</v>
      </c>
      <c r="F326" s="827"/>
      <c r="G326" s="827">
        <v>867</v>
      </c>
      <c r="H326" s="827">
        <v>867</v>
      </c>
      <c r="I326" s="823">
        <f t="shared" si="34"/>
        <v>100</v>
      </c>
    </row>
    <row r="327" spans="1:9" ht="12" customHeight="1" x14ac:dyDescent="0.25">
      <c r="A327" s="431">
        <v>1024</v>
      </c>
      <c r="B327" s="750">
        <v>3114</v>
      </c>
      <c r="C327" s="1393">
        <v>5331</v>
      </c>
      <c r="D327" s="842"/>
      <c r="E327" s="672" t="s">
        <v>951</v>
      </c>
      <c r="F327" s="835">
        <f>SUM(F328:F329)</f>
        <v>1655</v>
      </c>
      <c r="G327" s="835">
        <f>SUM(G328:G329)</f>
        <v>1641</v>
      </c>
      <c r="H327" s="835">
        <f>SUM(H328:H329)</f>
        <v>1641</v>
      </c>
      <c r="I327" s="836">
        <f t="shared" si="34"/>
        <v>100</v>
      </c>
    </row>
    <row r="328" spans="1:9" ht="15.75" customHeight="1" x14ac:dyDescent="0.2">
      <c r="A328" s="431"/>
      <c r="B328" s="750"/>
      <c r="C328" s="1393"/>
      <c r="D328" s="707" t="s">
        <v>575</v>
      </c>
      <c r="E328" s="1478" t="s">
        <v>793</v>
      </c>
      <c r="F328" s="833">
        <v>183</v>
      </c>
      <c r="G328" s="833">
        <v>184</v>
      </c>
      <c r="H328" s="833">
        <v>184</v>
      </c>
      <c r="I328" s="828">
        <f t="shared" si="34"/>
        <v>100</v>
      </c>
    </row>
    <row r="329" spans="1:9" ht="13.5" customHeight="1" x14ac:dyDescent="0.2">
      <c r="A329" s="431"/>
      <c r="B329" s="750"/>
      <c r="C329" s="1393"/>
      <c r="D329" s="552" t="s">
        <v>570</v>
      </c>
      <c r="E329" s="455" t="s">
        <v>71</v>
      </c>
      <c r="F329" s="833">
        <v>1472</v>
      </c>
      <c r="G329" s="833">
        <v>1457</v>
      </c>
      <c r="H329" s="833">
        <v>1457</v>
      </c>
      <c r="I329" s="828">
        <f t="shared" si="34"/>
        <v>100</v>
      </c>
    </row>
    <row r="330" spans="1:9" ht="15.75" customHeight="1" x14ac:dyDescent="0.25">
      <c r="A330" s="431">
        <v>1024</v>
      </c>
      <c r="B330" s="750">
        <v>3114</v>
      </c>
      <c r="C330" s="1393">
        <v>5336</v>
      </c>
      <c r="D330" s="568"/>
      <c r="E330" s="672" t="s">
        <v>2054</v>
      </c>
      <c r="F330" s="846"/>
      <c r="G330" s="846">
        <f>G331+G332+G334+G335</f>
        <v>7662</v>
      </c>
      <c r="H330" s="846">
        <f>H331+H332+H334+H335</f>
        <v>7662</v>
      </c>
      <c r="I330" s="836">
        <f t="shared" si="34"/>
        <v>100</v>
      </c>
    </row>
    <row r="331" spans="1:9" ht="15.75" customHeight="1" x14ac:dyDescent="0.25">
      <c r="A331" s="431"/>
      <c r="B331" s="750"/>
      <c r="C331" s="1393"/>
      <c r="D331" s="1068" t="s">
        <v>926</v>
      </c>
      <c r="E331" s="2111" t="s">
        <v>1602</v>
      </c>
      <c r="F331" s="846"/>
      <c r="G331" s="837">
        <v>41</v>
      </c>
      <c r="H331" s="837">
        <v>41</v>
      </c>
      <c r="I331" s="376">
        <f t="shared" si="34"/>
        <v>100</v>
      </c>
    </row>
    <row r="332" spans="1:9" ht="15.75" customHeight="1" x14ac:dyDescent="0.2">
      <c r="A332" s="431"/>
      <c r="B332" s="750"/>
      <c r="C332" s="1393"/>
      <c r="D332" s="1068" t="s">
        <v>1911</v>
      </c>
      <c r="E332" s="2671" t="s">
        <v>2051</v>
      </c>
      <c r="F332" s="827"/>
      <c r="G332" s="837">
        <v>84</v>
      </c>
      <c r="H332" s="837">
        <v>84</v>
      </c>
      <c r="I332" s="823">
        <f t="shared" ref="I332" si="35">(H332/G332)*100</f>
        <v>100</v>
      </c>
    </row>
    <row r="333" spans="1:9" ht="15.75" customHeight="1" x14ac:dyDescent="0.25">
      <c r="A333" s="431"/>
      <c r="B333" s="750"/>
      <c r="C333" s="1393"/>
      <c r="D333" s="1068"/>
      <c r="E333" s="2671"/>
      <c r="F333" s="827"/>
      <c r="G333" s="846"/>
      <c r="H333" s="846"/>
      <c r="I333" s="853"/>
    </row>
    <row r="334" spans="1:9" ht="15.75" customHeight="1" x14ac:dyDescent="0.2">
      <c r="A334" s="431"/>
      <c r="B334" s="750"/>
      <c r="C334" s="1393"/>
      <c r="D334" s="1068" t="s">
        <v>1913</v>
      </c>
      <c r="E334" s="2113" t="s">
        <v>2052</v>
      </c>
      <c r="F334" s="2530"/>
      <c r="G334" s="2531">
        <v>79</v>
      </c>
      <c r="H334" s="2531">
        <v>79</v>
      </c>
      <c r="I334" s="376">
        <f t="shared" ref="I334" si="36">(H334/G334)*100</f>
        <v>100</v>
      </c>
    </row>
    <row r="335" spans="1:9" ht="15.75" customHeight="1" x14ac:dyDescent="0.25">
      <c r="A335" s="431"/>
      <c r="B335" s="750"/>
      <c r="C335" s="1393"/>
      <c r="D335" s="552" t="s">
        <v>1124</v>
      </c>
      <c r="E335" s="455" t="s">
        <v>792</v>
      </c>
      <c r="F335" s="846"/>
      <c r="G335" s="837">
        <v>7458</v>
      </c>
      <c r="H335" s="837">
        <v>7458</v>
      </c>
      <c r="I335" s="828">
        <f t="shared" si="34"/>
        <v>100</v>
      </c>
    </row>
    <row r="336" spans="1:9" ht="15.75" customHeight="1" x14ac:dyDescent="0.25">
      <c r="A336" s="431">
        <v>1024</v>
      </c>
      <c r="B336" s="750">
        <v>3141</v>
      </c>
      <c r="C336" s="1393">
        <v>5331</v>
      </c>
      <c r="D336" s="842"/>
      <c r="E336" s="672" t="s">
        <v>951</v>
      </c>
      <c r="F336" s="835">
        <v>10</v>
      </c>
      <c r="G336" s="835">
        <v>10</v>
      </c>
      <c r="H336" s="835">
        <v>10</v>
      </c>
      <c r="I336" s="836">
        <f t="shared" si="34"/>
        <v>100</v>
      </c>
    </row>
    <row r="337" spans="1:20" ht="18" customHeight="1" x14ac:dyDescent="0.2">
      <c r="A337" s="431"/>
      <c r="B337" s="750"/>
      <c r="C337" s="1393"/>
      <c r="D337" s="552" t="s">
        <v>570</v>
      </c>
      <c r="E337" s="455" t="s">
        <v>71</v>
      </c>
      <c r="F337" s="833">
        <v>10</v>
      </c>
      <c r="G337" s="833">
        <v>10</v>
      </c>
      <c r="H337" s="833">
        <v>10</v>
      </c>
      <c r="I337" s="828">
        <f t="shared" si="34"/>
        <v>100</v>
      </c>
    </row>
    <row r="338" spans="1:20" ht="15" x14ac:dyDescent="0.25">
      <c r="A338" s="431">
        <v>1024</v>
      </c>
      <c r="B338" s="750">
        <v>3141</v>
      </c>
      <c r="C338" s="1393">
        <v>5336</v>
      </c>
      <c r="D338" s="568"/>
      <c r="E338" s="672" t="s">
        <v>2054</v>
      </c>
      <c r="F338" s="833"/>
      <c r="G338" s="846">
        <v>32</v>
      </c>
      <c r="H338" s="846">
        <v>32</v>
      </c>
      <c r="I338" s="838">
        <f t="shared" si="34"/>
        <v>100</v>
      </c>
    </row>
    <row r="339" spans="1:20" ht="14.25" x14ac:dyDescent="0.2">
      <c r="A339" s="431"/>
      <c r="B339" s="750"/>
      <c r="C339" s="1393"/>
      <c r="D339" s="552" t="s">
        <v>1124</v>
      </c>
      <c r="E339" s="455" t="s">
        <v>792</v>
      </c>
      <c r="F339" s="833"/>
      <c r="G339" s="833">
        <v>32</v>
      </c>
      <c r="H339" s="833">
        <v>32</v>
      </c>
      <c r="I339" s="828">
        <f t="shared" si="34"/>
        <v>100</v>
      </c>
    </row>
    <row r="340" spans="1:20" ht="15" x14ac:dyDescent="0.25">
      <c r="A340" s="431">
        <v>1024</v>
      </c>
      <c r="B340" s="750">
        <v>3143</v>
      </c>
      <c r="C340" s="1393">
        <v>5331</v>
      </c>
      <c r="D340" s="842"/>
      <c r="E340" s="672" t="s">
        <v>951</v>
      </c>
      <c r="F340" s="835">
        <v>15</v>
      </c>
      <c r="G340" s="835">
        <v>15</v>
      </c>
      <c r="H340" s="835">
        <v>15</v>
      </c>
      <c r="I340" s="836">
        <f t="shared" si="34"/>
        <v>100</v>
      </c>
    </row>
    <row r="341" spans="1:20" ht="14.25" customHeight="1" x14ac:dyDescent="0.2">
      <c r="A341" s="431"/>
      <c r="B341" s="750"/>
      <c r="C341" s="1393"/>
      <c r="D341" s="552" t="s">
        <v>570</v>
      </c>
      <c r="E341" s="455" t="s">
        <v>71</v>
      </c>
      <c r="F341" s="833">
        <v>15</v>
      </c>
      <c r="G341" s="833">
        <v>15</v>
      </c>
      <c r="H341" s="833">
        <v>15</v>
      </c>
      <c r="I341" s="828">
        <f t="shared" si="34"/>
        <v>100</v>
      </c>
    </row>
    <row r="342" spans="1:20" ht="15" x14ac:dyDescent="0.25">
      <c r="A342" s="431">
        <v>1024</v>
      </c>
      <c r="B342" s="750">
        <v>3143</v>
      </c>
      <c r="C342" s="1393">
        <v>5336</v>
      </c>
      <c r="D342" s="568"/>
      <c r="E342" s="672" t="s">
        <v>2054</v>
      </c>
      <c r="F342" s="833"/>
      <c r="G342" s="846">
        <v>458</v>
      </c>
      <c r="H342" s="846">
        <v>458</v>
      </c>
      <c r="I342" s="838">
        <f t="shared" si="34"/>
        <v>100</v>
      </c>
    </row>
    <row r="343" spans="1:20" ht="15" thickBot="1" x14ac:dyDescent="0.25">
      <c r="A343" s="1394"/>
      <c r="B343" s="891"/>
      <c r="C343" s="1395"/>
      <c r="D343" s="718" t="s">
        <v>1124</v>
      </c>
      <c r="E343" s="456" t="s">
        <v>792</v>
      </c>
      <c r="F343" s="892"/>
      <c r="G343" s="892">
        <v>458</v>
      </c>
      <c r="H343" s="892">
        <v>458</v>
      </c>
      <c r="I343" s="872">
        <f t="shared" si="34"/>
        <v>100</v>
      </c>
    </row>
    <row r="344" spans="1:20" ht="15.75" customHeight="1" thickTop="1" thickBot="1" x14ac:dyDescent="0.25">
      <c r="A344" s="432"/>
      <c r="I344" s="1390" t="s">
        <v>161</v>
      </c>
    </row>
    <row r="345" spans="1:20" s="107" customFormat="1" ht="15.75" customHeight="1" thickTop="1" thickBot="1" x14ac:dyDescent="0.25">
      <c r="A345" s="631" t="s">
        <v>624</v>
      </c>
      <c r="B345" s="774" t="s">
        <v>162</v>
      </c>
      <c r="C345" s="632" t="s">
        <v>163</v>
      </c>
      <c r="D345" s="634" t="s">
        <v>705</v>
      </c>
      <c r="E345" s="634" t="s">
        <v>164</v>
      </c>
      <c r="F345" s="634" t="s">
        <v>165</v>
      </c>
      <c r="G345" s="634" t="s">
        <v>881</v>
      </c>
      <c r="H345" s="634" t="s">
        <v>882</v>
      </c>
      <c r="I345" s="818" t="s">
        <v>883</v>
      </c>
    </row>
    <row r="346" spans="1:20" s="383" customFormat="1" ht="15.75" customHeight="1" thickTop="1" thickBot="1" x14ac:dyDescent="0.25">
      <c r="A346" s="566">
        <v>1</v>
      </c>
      <c r="B346" s="567">
        <v>2</v>
      </c>
      <c r="C346" s="567">
        <v>3</v>
      </c>
      <c r="D346" s="567">
        <v>4</v>
      </c>
      <c r="E346" s="567">
        <v>5</v>
      </c>
      <c r="F346" s="541">
        <v>6</v>
      </c>
      <c r="G346" s="541">
        <v>7</v>
      </c>
      <c r="H346" s="542">
        <v>8</v>
      </c>
      <c r="I346" s="636" t="s">
        <v>762</v>
      </c>
    </row>
    <row r="347" spans="1:20" ht="15.75" thickTop="1" x14ac:dyDescent="0.25">
      <c r="A347" s="431">
        <v>1024</v>
      </c>
      <c r="B347" s="750">
        <v>3146</v>
      </c>
      <c r="C347" s="1393">
        <v>5331</v>
      </c>
      <c r="D347" s="842"/>
      <c r="E347" s="672" t="s">
        <v>951</v>
      </c>
      <c r="F347" s="835">
        <v>78</v>
      </c>
      <c r="G347" s="835">
        <v>77</v>
      </c>
      <c r="H347" s="835">
        <v>77</v>
      </c>
      <c r="I347" s="836">
        <f t="shared" si="34"/>
        <v>100</v>
      </c>
    </row>
    <row r="348" spans="1:20" ht="15.75" customHeight="1" x14ac:dyDescent="0.2">
      <c r="A348" s="431"/>
      <c r="B348" s="750"/>
      <c r="C348" s="1393"/>
      <c r="D348" s="552" t="s">
        <v>570</v>
      </c>
      <c r="E348" s="455" t="s">
        <v>71</v>
      </c>
      <c r="F348" s="833">
        <v>78</v>
      </c>
      <c r="G348" s="833">
        <v>77</v>
      </c>
      <c r="H348" s="833">
        <v>77</v>
      </c>
      <c r="I348" s="828">
        <f t="shared" si="34"/>
        <v>100</v>
      </c>
    </row>
    <row r="349" spans="1:20" ht="15.75" customHeight="1" x14ac:dyDescent="0.25">
      <c r="A349" s="431">
        <v>1024</v>
      </c>
      <c r="B349" s="750">
        <v>3146</v>
      </c>
      <c r="C349" s="1393">
        <v>5336</v>
      </c>
      <c r="D349" s="568"/>
      <c r="E349" s="672" t="s">
        <v>2054</v>
      </c>
      <c r="F349" s="833"/>
      <c r="G349" s="846">
        <v>2290</v>
      </c>
      <c r="H349" s="846">
        <v>2290</v>
      </c>
      <c r="I349" s="838">
        <f t="shared" si="34"/>
        <v>100</v>
      </c>
    </row>
    <row r="350" spans="1:20" ht="15.75" customHeight="1" thickBot="1" x14ac:dyDescent="0.25">
      <c r="A350" s="431"/>
      <c r="B350" s="750"/>
      <c r="C350" s="1393"/>
      <c r="D350" s="552" t="s">
        <v>1124</v>
      </c>
      <c r="E350" s="455" t="s">
        <v>792</v>
      </c>
      <c r="F350" s="833"/>
      <c r="G350" s="833">
        <v>2290</v>
      </c>
      <c r="H350" s="833">
        <v>2290</v>
      </c>
      <c r="I350" s="828">
        <f>(H350/G350)*100</f>
        <v>100</v>
      </c>
    </row>
    <row r="351" spans="1:20" s="1483" customFormat="1" ht="15.75" customHeight="1" thickTop="1" thickBot="1" x14ac:dyDescent="0.25">
      <c r="A351" s="2683" t="s">
        <v>1105</v>
      </c>
      <c r="B351" s="2684"/>
      <c r="C351" s="2684"/>
      <c r="D351" s="2684"/>
      <c r="E351" s="2684"/>
      <c r="F351" s="1494">
        <f>SUM(F323,F327,F336,F340,F347)</f>
        <v>1773</v>
      </c>
      <c r="G351" s="1494">
        <f>SUM(G323,G327,G336,G340,G347,G330,G349,G342,G338,G325)</f>
        <v>13067</v>
      </c>
      <c r="H351" s="1494">
        <f>SUM(H323,H327,H336,H340,H347,H330,H349,H342,H338,H325)</f>
        <v>13067</v>
      </c>
      <c r="I351" s="1495">
        <f>(H351/G351)*100</f>
        <v>100</v>
      </c>
      <c r="R351" s="1496">
        <f>F351</f>
        <v>1773</v>
      </c>
      <c r="S351" s="1496">
        <f>G351</f>
        <v>13067</v>
      </c>
      <c r="T351" s="1496">
        <f>H351</f>
        <v>13067</v>
      </c>
    </row>
    <row r="352" spans="1:20" s="1483" customFormat="1" ht="15.75" customHeight="1" thickTop="1" x14ac:dyDescent="0.2">
      <c r="B352" s="1497"/>
      <c r="D352" s="1498"/>
      <c r="F352" s="1496"/>
      <c r="G352" s="1496"/>
      <c r="H352" s="1496"/>
      <c r="I352" s="1499"/>
    </row>
    <row r="353" spans="1:27" s="1483" customFormat="1" ht="15.75" customHeight="1" x14ac:dyDescent="0.2">
      <c r="B353" s="1497"/>
      <c r="D353" s="1498"/>
      <c r="F353" s="1496"/>
      <c r="G353" s="1496"/>
      <c r="H353" s="1496"/>
      <c r="I353" s="1499"/>
    </row>
    <row r="354" spans="1:27" ht="15.75" customHeight="1" thickBot="1" x14ac:dyDescent="0.25">
      <c r="A354" s="432" t="s">
        <v>1255</v>
      </c>
      <c r="I354" s="1390" t="s">
        <v>161</v>
      </c>
    </row>
    <row r="355" spans="1:27" s="107" customFormat="1" thickTop="1" thickBot="1" x14ac:dyDescent="0.25">
      <c r="A355" s="631" t="s">
        <v>624</v>
      </c>
      <c r="B355" s="774" t="s">
        <v>162</v>
      </c>
      <c r="C355" s="632" t="s">
        <v>163</v>
      </c>
      <c r="D355" s="634" t="s">
        <v>705</v>
      </c>
      <c r="E355" s="634" t="s">
        <v>164</v>
      </c>
      <c r="F355" s="634" t="s">
        <v>165</v>
      </c>
      <c r="G355" s="634" t="s">
        <v>881</v>
      </c>
      <c r="H355" s="634" t="s">
        <v>882</v>
      </c>
      <c r="I355" s="818" t="s">
        <v>883</v>
      </c>
    </row>
    <row r="356" spans="1:27" s="383" customFormat="1" ht="20.25" customHeight="1" thickTop="1" thickBot="1" x14ac:dyDescent="0.25">
      <c r="A356" s="566">
        <v>1</v>
      </c>
      <c r="B356" s="567">
        <v>2</v>
      </c>
      <c r="C356" s="567">
        <v>3</v>
      </c>
      <c r="D356" s="567">
        <v>4</v>
      </c>
      <c r="E356" s="567">
        <v>5</v>
      </c>
      <c r="F356" s="541">
        <v>6</v>
      </c>
      <c r="G356" s="541">
        <v>7</v>
      </c>
      <c r="H356" s="542">
        <v>8</v>
      </c>
      <c r="I356" s="636" t="s">
        <v>762</v>
      </c>
    </row>
    <row r="357" spans="1:27" ht="15.75" thickTop="1" x14ac:dyDescent="0.25">
      <c r="A357" s="1391">
        <v>1025</v>
      </c>
      <c r="B357" s="775">
        <v>3112</v>
      </c>
      <c r="C357" s="775">
        <v>5336</v>
      </c>
      <c r="D357" s="839"/>
      <c r="E357" s="672" t="s">
        <v>2054</v>
      </c>
      <c r="F357" s="861"/>
      <c r="G357" s="861">
        <v>545</v>
      </c>
      <c r="H357" s="861">
        <v>545</v>
      </c>
      <c r="I357" s="826">
        <f t="shared" ref="I357:I367" si="37">(H357/G357)*100</f>
        <v>100</v>
      </c>
    </row>
    <row r="358" spans="1:27" ht="15.75" customHeight="1" x14ac:dyDescent="0.2">
      <c r="A358" s="431"/>
      <c r="B358" s="673"/>
      <c r="C358" s="1392"/>
      <c r="D358" s="552" t="s">
        <v>1124</v>
      </c>
      <c r="E358" s="455" t="s">
        <v>792</v>
      </c>
      <c r="F358" s="827"/>
      <c r="G358" s="827">
        <v>545</v>
      </c>
      <c r="H358" s="827">
        <v>545</v>
      </c>
      <c r="I358" s="823">
        <f t="shared" si="37"/>
        <v>100</v>
      </c>
    </row>
    <row r="359" spans="1:27" ht="15.75" customHeight="1" x14ac:dyDescent="0.25">
      <c r="A359" s="434">
        <v>1025</v>
      </c>
      <c r="B359" s="673">
        <v>3114</v>
      </c>
      <c r="C359" s="1393">
        <v>5331</v>
      </c>
      <c r="D359" s="842"/>
      <c r="E359" s="672" t="s">
        <v>951</v>
      </c>
      <c r="F359" s="835">
        <f>F360+F361</f>
        <v>507</v>
      </c>
      <c r="G359" s="835">
        <f>SUM(G360:G361)</f>
        <v>502</v>
      </c>
      <c r="H359" s="835">
        <f>SUM(H360:H361)</f>
        <v>502</v>
      </c>
      <c r="I359" s="836">
        <f t="shared" si="37"/>
        <v>100</v>
      </c>
    </row>
    <row r="360" spans="1:27" ht="15.75" customHeight="1" x14ac:dyDescent="0.2">
      <c r="A360" s="434"/>
      <c r="B360" s="673"/>
      <c r="C360" s="1393"/>
      <c r="D360" s="707" t="s">
        <v>575</v>
      </c>
      <c r="E360" s="1478" t="s">
        <v>793</v>
      </c>
      <c r="F360" s="833">
        <v>13</v>
      </c>
      <c r="G360" s="833">
        <v>13</v>
      </c>
      <c r="H360" s="833">
        <v>13</v>
      </c>
      <c r="I360" s="828">
        <f t="shared" si="37"/>
        <v>100</v>
      </c>
    </row>
    <row r="361" spans="1:27" ht="15.75" customHeight="1" x14ac:dyDescent="0.2">
      <c r="A361" s="434"/>
      <c r="B361" s="673"/>
      <c r="C361" s="1393"/>
      <c r="D361" s="552" t="s">
        <v>570</v>
      </c>
      <c r="E361" s="455" t="s">
        <v>71</v>
      </c>
      <c r="F361" s="833">
        <v>494</v>
      </c>
      <c r="G361" s="833">
        <v>489</v>
      </c>
      <c r="H361" s="833">
        <v>489</v>
      </c>
      <c r="I361" s="828">
        <f t="shared" si="37"/>
        <v>100</v>
      </c>
    </row>
    <row r="362" spans="1:27" ht="15.75" customHeight="1" x14ac:dyDescent="0.25">
      <c r="A362" s="434">
        <v>1025</v>
      </c>
      <c r="B362" s="673">
        <v>3114</v>
      </c>
      <c r="C362" s="1393">
        <v>5336</v>
      </c>
      <c r="D362" s="568"/>
      <c r="E362" s="672" t="s">
        <v>2054</v>
      </c>
      <c r="F362" s="846"/>
      <c r="G362" s="846">
        <f>G363+G365+G366</f>
        <v>4094</v>
      </c>
      <c r="H362" s="846">
        <f>H363+H365+H366</f>
        <v>4094</v>
      </c>
      <c r="I362" s="836">
        <f t="shared" si="37"/>
        <v>100</v>
      </c>
    </row>
    <row r="363" spans="1:27" ht="15.75" customHeight="1" x14ac:dyDescent="0.2">
      <c r="A363" s="434"/>
      <c r="B363" s="673"/>
      <c r="C363" s="1393"/>
      <c r="D363" s="1068" t="s">
        <v>1911</v>
      </c>
      <c r="E363" s="2671" t="s">
        <v>2051</v>
      </c>
      <c r="F363" s="827"/>
      <c r="G363" s="837">
        <v>5</v>
      </c>
      <c r="H363" s="837">
        <v>5</v>
      </c>
      <c r="I363" s="823">
        <f t="shared" si="37"/>
        <v>100</v>
      </c>
    </row>
    <row r="364" spans="1:27" ht="15.75" customHeight="1" x14ac:dyDescent="0.25">
      <c r="A364" s="434"/>
      <c r="B364" s="673"/>
      <c r="C364" s="1393"/>
      <c r="D364" s="1068"/>
      <c r="E364" s="2671"/>
      <c r="F364" s="827"/>
      <c r="G364" s="846"/>
      <c r="H364" s="846"/>
      <c r="I364" s="853"/>
    </row>
    <row r="365" spans="1:27" ht="15.75" customHeight="1" x14ac:dyDescent="0.2">
      <c r="A365" s="434"/>
      <c r="B365" s="673"/>
      <c r="C365" s="1393"/>
      <c r="D365" s="1068" t="s">
        <v>1913</v>
      </c>
      <c r="E365" s="2113" t="s">
        <v>2052</v>
      </c>
      <c r="F365" s="2530"/>
      <c r="G365" s="2531">
        <v>31</v>
      </c>
      <c r="H365" s="2531">
        <v>31</v>
      </c>
      <c r="I365" s="376">
        <f t="shared" ref="I365" si="38">(H365/G365)*100</f>
        <v>100</v>
      </c>
    </row>
    <row r="366" spans="1:27" ht="15.75" customHeight="1" thickBot="1" x14ac:dyDescent="0.3">
      <c r="A366" s="434"/>
      <c r="B366" s="673"/>
      <c r="C366" s="1393"/>
      <c r="D366" s="552" t="s">
        <v>1124</v>
      </c>
      <c r="E366" s="455" t="s">
        <v>792</v>
      </c>
      <c r="F366" s="846"/>
      <c r="G366" s="837">
        <v>4058</v>
      </c>
      <c r="H366" s="837">
        <v>4058</v>
      </c>
      <c r="I366" s="828">
        <f t="shared" si="37"/>
        <v>100</v>
      </c>
    </row>
    <row r="367" spans="1:27" s="1483" customFormat="1" ht="16.5" thickTop="1" thickBot="1" x14ac:dyDescent="0.25">
      <c r="A367" s="2683" t="s">
        <v>1105</v>
      </c>
      <c r="B367" s="2684"/>
      <c r="C367" s="2684"/>
      <c r="D367" s="2684"/>
      <c r="E367" s="2684"/>
      <c r="F367" s="1494">
        <f>F359+F357+F362</f>
        <v>507</v>
      </c>
      <c r="G367" s="1494">
        <f>G357+G359+G362</f>
        <v>5141</v>
      </c>
      <c r="H367" s="1494">
        <f>H357+H359+H362</f>
        <v>5141</v>
      </c>
      <c r="I367" s="1495">
        <f t="shared" si="37"/>
        <v>100</v>
      </c>
      <c r="J367" s="1496" t="e">
        <f>F367+#REF!</f>
        <v>#REF!</v>
      </c>
      <c r="K367" s="1496" t="e">
        <f>G367+#REF!</f>
        <v>#REF!</v>
      </c>
      <c r="L367" s="1496" t="e">
        <f>H367+#REF!</f>
        <v>#REF!</v>
      </c>
      <c r="R367" s="1496">
        <f>F367</f>
        <v>507</v>
      </c>
      <c r="S367" s="1496">
        <f>G367</f>
        <v>5141</v>
      </c>
      <c r="T367" s="1496">
        <f>H367</f>
        <v>5141</v>
      </c>
      <c r="V367" s="1496"/>
      <c r="W367" s="1496"/>
      <c r="Y367" s="1496"/>
      <c r="Z367" s="1496"/>
      <c r="AA367" s="1496"/>
    </row>
    <row r="368" spans="1:27" ht="20.25" customHeight="1" thickTop="1" x14ac:dyDescent="0.2"/>
    <row r="369" spans="1:20" ht="20.25" customHeight="1" x14ac:dyDescent="0.2"/>
    <row r="370" spans="1:20" ht="13.5" thickBot="1" x14ac:dyDescent="0.25">
      <c r="A370" s="432" t="s">
        <v>315</v>
      </c>
      <c r="I370" s="1390" t="s">
        <v>161</v>
      </c>
    </row>
    <row r="371" spans="1:20" s="107" customFormat="1" thickTop="1" thickBot="1" x14ac:dyDescent="0.25">
      <c r="A371" s="631" t="s">
        <v>624</v>
      </c>
      <c r="B371" s="774" t="s">
        <v>162</v>
      </c>
      <c r="C371" s="632" t="s">
        <v>163</v>
      </c>
      <c r="D371" s="634" t="s">
        <v>705</v>
      </c>
      <c r="E371" s="634" t="s">
        <v>164</v>
      </c>
      <c r="F371" s="634" t="s">
        <v>165</v>
      </c>
      <c r="G371" s="634" t="s">
        <v>881</v>
      </c>
      <c r="H371" s="634" t="s">
        <v>882</v>
      </c>
      <c r="I371" s="818" t="s">
        <v>883</v>
      </c>
    </row>
    <row r="372" spans="1:20" s="383" customFormat="1" ht="13.5" thickTop="1" thickBot="1" x14ac:dyDescent="0.25">
      <c r="A372" s="566">
        <v>1</v>
      </c>
      <c r="B372" s="567">
        <v>2</v>
      </c>
      <c r="C372" s="567">
        <v>3</v>
      </c>
      <c r="D372" s="567">
        <v>4</v>
      </c>
      <c r="E372" s="567">
        <v>5</v>
      </c>
      <c r="F372" s="541">
        <v>6</v>
      </c>
      <c r="G372" s="541">
        <v>7</v>
      </c>
      <c r="H372" s="542">
        <v>8</v>
      </c>
      <c r="I372" s="636" t="s">
        <v>762</v>
      </c>
    </row>
    <row r="373" spans="1:20" ht="15.75" thickTop="1" x14ac:dyDescent="0.25">
      <c r="A373" s="1391">
        <v>1026</v>
      </c>
      <c r="B373" s="775">
        <v>3112</v>
      </c>
      <c r="C373" s="775">
        <v>5331</v>
      </c>
      <c r="D373" s="839"/>
      <c r="E373" s="860" t="s">
        <v>951</v>
      </c>
      <c r="F373" s="861">
        <v>20</v>
      </c>
      <c r="G373" s="861">
        <v>20</v>
      </c>
      <c r="H373" s="861">
        <v>20</v>
      </c>
      <c r="I373" s="826">
        <f t="shared" ref="I373:I384" si="39">(H373/G373)*100</f>
        <v>100</v>
      </c>
    </row>
    <row r="374" spans="1:20" ht="15.75" customHeight="1" x14ac:dyDescent="0.2">
      <c r="A374" s="431"/>
      <c r="B374" s="673"/>
      <c r="C374" s="673"/>
      <c r="D374" s="552" t="s">
        <v>570</v>
      </c>
      <c r="E374" s="455" t="s">
        <v>71</v>
      </c>
      <c r="F374" s="827">
        <v>20</v>
      </c>
      <c r="G374" s="827">
        <v>20</v>
      </c>
      <c r="H374" s="827">
        <v>20</v>
      </c>
      <c r="I374" s="823">
        <f t="shared" si="39"/>
        <v>100</v>
      </c>
    </row>
    <row r="375" spans="1:20" ht="15.75" customHeight="1" x14ac:dyDescent="0.25">
      <c r="A375" s="434">
        <v>1026</v>
      </c>
      <c r="B375" s="673">
        <v>3112</v>
      </c>
      <c r="C375" s="1393">
        <v>5336</v>
      </c>
      <c r="D375" s="568"/>
      <c r="E375" s="672" t="s">
        <v>2054</v>
      </c>
      <c r="F375" s="827"/>
      <c r="G375" s="846">
        <v>1085</v>
      </c>
      <c r="H375" s="846">
        <v>1085</v>
      </c>
      <c r="I375" s="853">
        <f t="shared" si="39"/>
        <v>100</v>
      </c>
    </row>
    <row r="376" spans="1:20" ht="15.75" customHeight="1" x14ac:dyDescent="0.2">
      <c r="A376" s="431"/>
      <c r="B376" s="673"/>
      <c r="C376" s="1392"/>
      <c r="D376" s="552" t="s">
        <v>1124</v>
      </c>
      <c r="E376" s="455" t="s">
        <v>792</v>
      </c>
      <c r="F376" s="827"/>
      <c r="G376" s="833">
        <v>1085</v>
      </c>
      <c r="H376" s="833">
        <v>1085</v>
      </c>
      <c r="I376" s="823">
        <f t="shared" si="39"/>
        <v>100</v>
      </c>
    </row>
    <row r="377" spans="1:20" ht="15.75" customHeight="1" x14ac:dyDescent="0.25">
      <c r="A377" s="431">
        <v>1026</v>
      </c>
      <c r="B377" s="750">
        <v>3114</v>
      </c>
      <c r="C377" s="1393">
        <v>5331</v>
      </c>
      <c r="D377" s="842"/>
      <c r="E377" s="672" t="s">
        <v>951</v>
      </c>
      <c r="F377" s="835">
        <v>403</v>
      </c>
      <c r="G377" s="835">
        <v>399</v>
      </c>
      <c r="H377" s="835">
        <v>399</v>
      </c>
      <c r="I377" s="836">
        <f t="shared" si="39"/>
        <v>100</v>
      </c>
    </row>
    <row r="378" spans="1:20" ht="15.75" customHeight="1" x14ac:dyDescent="0.2">
      <c r="A378" s="431"/>
      <c r="B378" s="750"/>
      <c r="C378" s="1393"/>
      <c r="D378" s="552" t="s">
        <v>570</v>
      </c>
      <c r="E378" s="455" t="s">
        <v>71</v>
      </c>
      <c r="F378" s="833">
        <v>403</v>
      </c>
      <c r="G378" s="833">
        <v>399</v>
      </c>
      <c r="H378" s="833">
        <v>399</v>
      </c>
      <c r="I378" s="828">
        <f t="shared" si="39"/>
        <v>100</v>
      </c>
    </row>
    <row r="379" spans="1:20" ht="15.75" customHeight="1" x14ac:dyDescent="0.25">
      <c r="A379" s="434">
        <v>1026</v>
      </c>
      <c r="B379" s="673">
        <v>3114</v>
      </c>
      <c r="C379" s="1393">
        <v>5336</v>
      </c>
      <c r="D379" s="568"/>
      <c r="E379" s="672" t="s">
        <v>2054</v>
      </c>
      <c r="F379" s="833"/>
      <c r="G379" s="846">
        <f>G380+G382+G383</f>
        <v>3362</v>
      </c>
      <c r="H379" s="846">
        <f>H380+H382+H383</f>
        <v>3362</v>
      </c>
      <c r="I379" s="838">
        <f t="shared" si="39"/>
        <v>100</v>
      </c>
    </row>
    <row r="380" spans="1:20" ht="15.75" customHeight="1" x14ac:dyDescent="0.2">
      <c r="A380" s="431"/>
      <c r="B380" s="750"/>
      <c r="C380" s="1393"/>
      <c r="D380" s="1068" t="s">
        <v>1911</v>
      </c>
      <c r="E380" s="2671" t="s">
        <v>2051</v>
      </c>
      <c r="F380" s="827"/>
      <c r="G380" s="837">
        <v>5</v>
      </c>
      <c r="H380" s="837">
        <v>5</v>
      </c>
      <c r="I380" s="823">
        <f t="shared" si="39"/>
        <v>100</v>
      </c>
    </row>
    <row r="381" spans="1:20" ht="13.5" customHeight="1" x14ac:dyDescent="0.25">
      <c r="A381" s="431"/>
      <c r="B381" s="750"/>
      <c r="C381" s="1393"/>
      <c r="D381" s="1068"/>
      <c r="E381" s="2671"/>
      <c r="F381" s="827"/>
      <c r="G381" s="846"/>
      <c r="H381" s="846"/>
      <c r="I381" s="853"/>
    </row>
    <row r="382" spans="1:20" ht="13.5" customHeight="1" x14ac:dyDescent="0.2">
      <c r="A382" s="431"/>
      <c r="B382" s="750"/>
      <c r="C382" s="1393"/>
      <c r="D382" s="1068" t="s">
        <v>1913</v>
      </c>
      <c r="E382" s="2113" t="s">
        <v>2052</v>
      </c>
      <c r="F382" s="2530"/>
      <c r="G382" s="2531">
        <v>21</v>
      </c>
      <c r="H382" s="2531">
        <v>21</v>
      </c>
      <c r="I382" s="376">
        <f t="shared" ref="I382" si="40">(H382/G382)*100</f>
        <v>100</v>
      </c>
    </row>
    <row r="383" spans="1:20" ht="15.75" customHeight="1" thickBot="1" x14ac:dyDescent="0.25">
      <c r="A383" s="431"/>
      <c r="B383" s="750"/>
      <c r="C383" s="1393"/>
      <c r="D383" s="552" t="s">
        <v>1124</v>
      </c>
      <c r="E383" s="455" t="s">
        <v>792</v>
      </c>
      <c r="F383" s="833"/>
      <c r="G383" s="833">
        <v>3336</v>
      </c>
      <c r="H383" s="833">
        <v>3336</v>
      </c>
      <c r="I383" s="828">
        <f t="shared" si="39"/>
        <v>100</v>
      </c>
    </row>
    <row r="384" spans="1:20" s="1483" customFormat="1" ht="18" customHeight="1" thickTop="1" thickBot="1" x14ac:dyDescent="0.25">
      <c r="A384" s="2683" t="s">
        <v>1105</v>
      </c>
      <c r="B384" s="2684"/>
      <c r="C384" s="2684"/>
      <c r="D384" s="2684"/>
      <c r="E384" s="2684"/>
      <c r="F384" s="1494">
        <f>SUM(F373,F377)</f>
        <v>423</v>
      </c>
      <c r="G384" s="1494">
        <f>SUM(G373,G377,G375,G379)</f>
        <v>4866</v>
      </c>
      <c r="H384" s="1494">
        <f>SUM(H373,H377,H375,H379)</f>
        <v>4866</v>
      </c>
      <c r="I384" s="1495">
        <f t="shared" si="39"/>
        <v>100</v>
      </c>
      <c r="R384" s="1496">
        <f>F384</f>
        <v>423</v>
      </c>
      <c r="S384" s="1496">
        <f>G384</f>
        <v>4866</v>
      </c>
      <c r="T384" s="1496">
        <f>H384</f>
        <v>4866</v>
      </c>
    </row>
    <row r="385" spans="1:9" ht="13.5" thickTop="1" x14ac:dyDescent="0.2"/>
    <row r="387" spans="1:9" ht="20.25" customHeight="1" thickBot="1" x14ac:dyDescent="0.25">
      <c r="A387" s="432" t="s">
        <v>316</v>
      </c>
      <c r="I387" s="1390" t="s">
        <v>161</v>
      </c>
    </row>
    <row r="388" spans="1:9" s="107" customFormat="1" thickTop="1" thickBot="1" x14ac:dyDescent="0.25">
      <c r="A388" s="631" t="s">
        <v>624</v>
      </c>
      <c r="B388" s="774" t="s">
        <v>162</v>
      </c>
      <c r="C388" s="632" t="s">
        <v>163</v>
      </c>
      <c r="D388" s="634" t="s">
        <v>705</v>
      </c>
      <c r="E388" s="634" t="s">
        <v>164</v>
      </c>
      <c r="F388" s="634" t="s">
        <v>165</v>
      </c>
      <c r="G388" s="634" t="s">
        <v>881</v>
      </c>
      <c r="H388" s="634" t="s">
        <v>882</v>
      </c>
      <c r="I388" s="818" t="s">
        <v>883</v>
      </c>
    </row>
    <row r="389" spans="1:9" s="383" customFormat="1" ht="13.5" thickTop="1" thickBot="1" x14ac:dyDescent="0.25">
      <c r="A389" s="566">
        <v>1</v>
      </c>
      <c r="B389" s="567">
        <v>2</v>
      </c>
      <c r="C389" s="567">
        <v>3</v>
      </c>
      <c r="D389" s="567">
        <v>4</v>
      </c>
      <c r="E389" s="567">
        <v>5</v>
      </c>
      <c r="F389" s="541">
        <v>6</v>
      </c>
      <c r="G389" s="541">
        <v>7</v>
      </c>
      <c r="H389" s="542">
        <v>8</v>
      </c>
      <c r="I389" s="636" t="s">
        <v>762</v>
      </c>
    </row>
    <row r="390" spans="1:9" ht="15.75" thickTop="1" x14ac:dyDescent="0.25">
      <c r="A390" s="1391">
        <v>1032</v>
      </c>
      <c r="B390" s="775">
        <v>3114</v>
      </c>
      <c r="C390" s="775">
        <v>5331</v>
      </c>
      <c r="D390" s="839"/>
      <c r="E390" s="860" t="s">
        <v>951</v>
      </c>
      <c r="F390" s="861">
        <f>SUM(F391:F392)</f>
        <v>1108</v>
      </c>
      <c r="G390" s="861">
        <f>SUM(G391:G392)</f>
        <v>1099</v>
      </c>
      <c r="H390" s="861">
        <f>SUM(H391:H392)</f>
        <v>1099</v>
      </c>
      <c r="I390" s="826">
        <f>(H390/G390)*100</f>
        <v>100</v>
      </c>
    </row>
    <row r="391" spans="1:9" ht="14.25" x14ac:dyDescent="0.2">
      <c r="A391" s="431"/>
      <c r="B391" s="673"/>
      <c r="C391" s="673"/>
      <c r="D391" s="707" t="s">
        <v>575</v>
      </c>
      <c r="E391" s="1478" t="s">
        <v>793</v>
      </c>
      <c r="F391" s="827">
        <v>236</v>
      </c>
      <c r="G391" s="827">
        <v>236</v>
      </c>
      <c r="H391" s="827">
        <v>236</v>
      </c>
      <c r="I391" s="823">
        <f>(H391/G391)*100</f>
        <v>100</v>
      </c>
    </row>
    <row r="392" spans="1:9" ht="14.25" x14ac:dyDescent="0.2">
      <c r="A392" s="431"/>
      <c r="B392" s="673"/>
      <c r="C392" s="673"/>
      <c r="D392" s="552" t="s">
        <v>570</v>
      </c>
      <c r="E392" s="455" t="s">
        <v>71</v>
      </c>
      <c r="F392" s="827">
        <v>872</v>
      </c>
      <c r="G392" s="827">
        <v>863</v>
      </c>
      <c r="H392" s="827">
        <v>863</v>
      </c>
      <c r="I392" s="823">
        <f>(H392/G392)*100</f>
        <v>100</v>
      </c>
    </row>
    <row r="393" spans="1:9" ht="15" x14ac:dyDescent="0.25">
      <c r="A393" s="434">
        <v>1032</v>
      </c>
      <c r="B393" s="673">
        <v>3114</v>
      </c>
      <c r="C393" s="1393">
        <v>5336</v>
      </c>
      <c r="D393" s="568"/>
      <c r="E393" s="672" t="s">
        <v>2054</v>
      </c>
      <c r="F393" s="846"/>
      <c r="G393" s="846">
        <f>G394+G396+G397</f>
        <v>7446</v>
      </c>
      <c r="H393" s="846">
        <f>H394+H396+H397</f>
        <v>7446</v>
      </c>
      <c r="I393" s="836">
        <f t="shared" ref="I393:I402" si="41">(H393/G393)*100</f>
        <v>100</v>
      </c>
    </row>
    <row r="394" spans="1:9" ht="14.25" x14ac:dyDescent="0.2">
      <c r="A394" s="434"/>
      <c r="B394" s="673"/>
      <c r="C394" s="1393"/>
      <c r="D394" s="1068" t="s">
        <v>1911</v>
      </c>
      <c r="E394" s="2671" t="s">
        <v>2051</v>
      </c>
      <c r="F394" s="827"/>
      <c r="G394" s="837">
        <v>30</v>
      </c>
      <c r="H394" s="837">
        <v>30</v>
      </c>
      <c r="I394" s="823">
        <f t="shared" si="41"/>
        <v>100</v>
      </c>
    </row>
    <row r="395" spans="1:9" ht="15" x14ac:dyDescent="0.25">
      <c r="A395" s="434"/>
      <c r="B395" s="673"/>
      <c r="C395" s="1393"/>
      <c r="D395" s="1068"/>
      <c r="E395" s="2671"/>
      <c r="F395" s="827"/>
      <c r="G395" s="846"/>
      <c r="H395" s="846"/>
      <c r="I395" s="853"/>
    </row>
    <row r="396" spans="1:9" ht="15" x14ac:dyDescent="0.2">
      <c r="A396" s="434"/>
      <c r="B396" s="673"/>
      <c r="C396" s="1393"/>
      <c r="D396" s="1068" t="s">
        <v>1913</v>
      </c>
      <c r="E396" s="2113" t="s">
        <v>2052</v>
      </c>
      <c r="F396" s="2530"/>
      <c r="G396" s="2531">
        <v>48</v>
      </c>
      <c r="H396" s="2531">
        <v>48</v>
      </c>
      <c r="I396" s="376">
        <f t="shared" ref="I396" si="42">(H396/G396)*100</f>
        <v>100</v>
      </c>
    </row>
    <row r="397" spans="1:9" ht="15" x14ac:dyDescent="0.25">
      <c r="A397" s="434"/>
      <c r="B397" s="673"/>
      <c r="C397" s="1393"/>
      <c r="D397" s="552" t="s">
        <v>1124</v>
      </c>
      <c r="E397" s="455" t="s">
        <v>792</v>
      </c>
      <c r="F397" s="846"/>
      <c r="G397" s="837">
        <v>7368</v>
      </c>
      <c r="H397" s="837">
        <v>7368</v>
      </c>
      <c r="I397" s="828">
        <f t="shared" si="41"/>
        <v>100</v>
      </c>
    </row>
    <row r="398" spans="1:9" ht="15" x14ac:dyDescent="0.25">
      <c r="A398" s="431">
        <v>1032</v>
      </c>
      <c r="B398" s="750">
        <v>3141</v>
      </c>
      <c r="C398" s="1393">
        <v>5336</v>
      </c>
      <c r="D398" s="568"/>
      <c r="E398" s="672" t="s">
        <v>2054</v>
      </c>
      <c r="F398" s="835"/>
      <c r="G398" s="835">
        <v>7</v>
      </c>
      <c r="H398" s="835">
        <v>7</v>
      </c>
      <c r="I398" s="836">
        <f t="shared" si="41"/>
        <v>100</v>
      </c>
    </row>
    <row r="399" spans="1:9" ht="14.25" x14ac:dyDescent="0.2">
      <c r="A399" s="431"/>
      <c r="B399" s="750"/>
      <c r="C399" s="1393"/>
      <c r="D399" s="552" t="s">
        <v>1124</v>
      </c>
      <c r="E399" s="455" t="s">
        <v>792</v>
      </c>
      <c r="F399" s="833"/>
      <c r="G399" s="833">
        <v>7</v>
      </c>
      <c r="H399" s="833">
        <v>7</v>
      </c>
      <c r="I399" s="828">
        <v>4</v>
      </c>
    </row>
    <row r="400" spans="1:9" ht="15" x14ac:dyDescent="0.25">
      <c r="A400" s="431">
        <v>1032</v>
      </c>
      <c r="B400" s="750">
        <v>3143</v>
      </c>
      <c r="C400" s="1393">
        <v>5336</v>
      </c>
      <c r="D400" s="568"/>
      <c r="E400" s="672" t="s">
        <v>2054</v>
      </c>
      <c r="F400" s="835"/>
      <c r="G400" s="835">
        <v>321</v>
      </c>
      <c r="H400" s="835">
        <v>321</v>
      </c>
      <c r="I400" s="836">
        <f t="shared" si="41"/>
        <v>100</v>
      </c>
    </row>
    <row r="401" spans="1:23" ht="15" thickBot="1" x14ac:dyDescent="0.25">
      <c r="A401" s="431"/>
      <c r="B401" s="750"/>
      <c r="C401" s="1393"/>
      <c r="D401" s="552" t="s">
        <v>1124</v>
      </c>
      <c r="E401" s="455" t="s">
        <v>792</v>
      </c>
      <c r="F401" s="833"/>
      <c r="G401" s="833">
        <v>321</v>
      </c>
      <c r="H401" s="833">
        <v>321</v>
      </c>
      <c r="I401" s="828">
        <f t="shared" si="41"/>
        <v>100</v>
      </c>
    </row>
    <row r="402" spans="1:23" s="1483" customFormat="1" ht="16.5" thickTop="1" thickBot="1" x14ac:dyDescent="0.25">
      <c r="A402" s="2683" t="s">
        <v>1105</v>
      </c>
      <c r="B402" s="2684"/>
      <c r="C402" s="2684"/>
      <c r="D402" s="2684"/>
      <c r="E402" s="2684"/>
      <c r="F402" s="1494">
        <f>SUM(F390+F398)</f>
        <v>1108</v>
      </c>
      <c r="G402" s="1494">
        <f>SUM(G390+G398+G400+G393)</f>
        <v>8873</v>
      </c>
      <c r="H402" s="1494">
        <f>SUM(H390+H398+H400+H393)</f>
        <v>8873</v>
      </c>
      <c r="I402" s="1495">
        <f t="shared" si="41"/>
        <v>100</v>
      </c>
      <c r="R402" s="1496">
        <f>F402</f>
        <v>1108</v>
      </c>
      <c r="S402" s="1496">
        <f>G402</f>
        <v>8873</v>
      </c>
      <c r="T402" s="1496">
        <f>H402</f>
        <v>8873</v>
      </c>
    </row>
    <row r="403" spans="1:23" ht="15.75" thickTop="1" x14ac:dyDescent="0.25">
      <c r="A403" s="431">
        <v>1032</v>
      </c>
      <c r="B403" s="673">
        <v>3114</v>
      </c>
      <c r="C403" s="673">
        <v>6351</v>
      </c>
      <c r="D403" s="819"/>
      <c r="E403" s="624" t="s">
        <v>1172</v>
      </c>
      <c r="F403" s="820"/>
      <c r="G403" s="820">
        <f>G404+G405</f>
        <v>250</v>
      </c>
      <c r="H403" s="820">
        <f>H404+H405</f>
        <v>250</v>
      </c>
      <c r="I403" s="821">
        <f>(H403/G403)*100</f>
        <v>100</v>
      </c>
    </row>
    <row r="404" spans="1:23" ht="15" x14ac:dyDescent="0.25">
      <c r="A404" s="431"/>
      <c r="B404" s="673"/>
      <c r="C404" s="673"/>
      <c r="D404" s="1403" t="s">
        <v>22</v>
      </c>
      <c r="E404" s="1161" t="s">
        <v>1203</v>
      </c>
      <c r="F404" s="820"/>
      <c r="G404" s="356">
        <v>250</v>
      </c>
      <c r="H404" s="356">
        <v>250</v>
      </c>
      <c r="I404" s="854">
        <f>(H404/G404)*100</f>
        <v>100</v>
      </c>
    </row>
    <row r="405" spans="1:23" ht="15.75" thickBot="1" x14ac:dyDescent="0.3">
      <c r="A405" s="431"/>
      <c r="B405" s="673"/>
      <c r="C405" s="673"/>
      <c r="D405" s="1303"/>
      <c r="E405" s="1305"/>
      <c r="F405" s="820"/>
      <c r="G405" s="356"/>
      <c r="H405" s="356"/>
      <c r="I405" s="1304">
        <v>100</v>
      </c>
    </row>
    <row r="406" spans="1:23" ht="16.5" thickTop="1" thickBot="1" x14ac:dyDescent="0.3">
      <c r="A406" s="2672" t="s">
        <v>1106</v>
      </c>
      <c r="B406" s="2673"/>
      <c r="C406" s="2673"/>
      <c r="D406" s="2673"/>
      <c r="E406" s="2673"/>
      <c r="F406" s="824">
        <f>F403</f>
        <v>0</v>
      </c>
      <c r="G406" s="824">
        <f>G403</f>
        <v>250</v>
      </c>
      <c r="H406" s="824">
        <f>H403</f>
        <v>250</v>
      </c>
      <c r="I406" s="825">
        <f>(H406/G406)*100</f>
        <v>100</v>
      </c>
      <c r="R406" s="382"/>
      <c r="S406" s="382"/>
      <c r="T406" s="382"/>
      <c r="U406" s="382">
        <f>F406</f>
        <v>0</v>
      </c>
      <c r="V406" s="382">
        <f>G406</f>
        <v>250</v>
      </c>
      <c r="W406" s="382">
        <f>H406</f>
        <v>250</v>
      </c>
    </row>
    <row r="407" spans="1:23" ht="13.5" thickTop="1" x14ac:dyDescent="0.2">
      <c r="S407" s="382"/>
      <c r="T407" s="382"/>
    </row>
    <row r="412" spans="1:23" ht="13.5" thickBot="1" x14ac:dyDescent="0.25">
      <c r="A412" s="432" t="s">
        <v>317</v>
      </c>
      <c r="I412" s="1390" t="s">
        <v>161</v>
      </c>
    </row>
    <row r="413" spans="1:23" s="107" customFormat="1" ht="20.25" customHeight="1" thickTop="1" thickBot="1" x14ac:dyDescent="0.25">
      <c r="A413" s="631" t="s">
        <v>624</v>
      </c>
      <c r="B413" s="774" t="s">
        <v>162</v>
      </c>
      <c r="C413" s="632" t="s">
        <v>163</v>
      </c>
      <c r="D413" s="634" t="s">
        <v>705</v>
      </c>
      <c r="E413" s="634" t="s">
        <v>164</v>
      </c>
      <c r="F413" s="634" t="s">
        <v>165</v>
      </c>
      <c r="G413" s="634" t="s">
        <v>881</v>
      </c>
      <c r="H413" s="634" t="s">
        <v>882</v>
      </c>
      <c r="I413" s="818" t="s">
        <v>883</v>
      </c>
    </row>
    <row r="414" spans="1:23" s="383" customFormat="1" ht="13.5" thickTop="1" thickBot="1" x14ac:dyDescent="0.25">
      <c r="A414" s="566">
        <v>1</v>
      </c>
      <c r="B414" s="567">
        <v>2</v>
      </c>
      <c r="C414" s="567">
        <v>3</v>
      </c>
      <c r="D414" s="567">
        <v>4</v>
      </c>
      <c r="E414" s="567">
        <v>5</v>
      </c>
      <c r="F414" s="541">
        <v>6</v>
      </c>
      <c r="G414" s="541">
        <v>7</v>
      </c>
      <c r="H414" s="542">
        <v>8</v>
      </c>
      <c r="I414" s="636" t="s">
        <v>762</v>
      </c>
    </row>
    <row r="415" spans="1:23" ht="15.75" thickTop="1" x14ac:dyDescent="0.25">
      <c r="A415" s="1391">
        <v>1033</v>
      </c>
      <c r="B415" s="775">
        <v>3114</v>
      </c>
      <c r="C415" s="775">
        <v>5331</v>
      </c>
      <c r="D415" s="839"/>
      <c r="E415" s="860" t="s">
        <v>951</v>
      </c>
      <c r="F415" s="861">
        <f>F416+F417</f>
        <v>1040</v>
      </c>
      <c r="G415" s="861">
        <f>SUM(G416:G417)</f>
        <v>1030</v>
      </c>
      <c r="H415" s="861">
        <f>SUM(H416:H417)</f>
        <v>1030</v>
      </c>
      <c r="I415" s="826">
        <f t="shared" ref="I415:I429" si="43">(H415/G415)*100</f>
        <v>100</v>
      </c>
    </row>
    <row r="416" spans="1:23" ht="14.25" x14ac:dyDescent="0.2">
      <c r="A416" s="431"/>
      <c r="B416" s="673"/>
      <c r="C416" s="673"/>
      <c r="D416" s="707" t="s">
        <v>575</v>
      </c>
      <c r="E416" s="1478" t="s">
        <v>793</v>
      </c>
      <c r="F416" s="827">
        <v>45</v>
      </c>
      <c r="G416" s="827">
        <v>45</v>
      </c>
      <c r="H416" s="827">
        <v>45</v>
      </c>
      <c r="I416" s="823">
        <f t="shared" si="43"/>
        <v>100</v>
      </c>
    </row>
    <row r="417" spans="1:20" ht="14.25" x14ac:dyDescent="0.2">
      <c r="A417" s="431"/>
      <c r="B417" s="673"/>
      <c r="C417" s="673"/>
      <c r="D417" s="552" t="s">
        <v>570</v>
      </c>
      <c r="E417" s="455" t="s">
        <v>71</v>
      </c>
      <c r="F417" s="827">
        <v>995</v>
      </c>
      <c r="G417" s="827">
        <v>985</v>
      </c>
      <c r="H417" s="827">
        <v>985</v>
      </c>
      <c r="I417" s="823">
        <f t="shared" si="43"/>
        <v>100</v>
      </c>
    </row>
    <row r="418" spans="1:20" ht="15" x14ac:dyDescent="0.25">
      <c r="A418" s="434">
        <v>1033</v>
      </c>
      <c r="B418" s="673">
        <v>3114</v>
      </c>
      <c r="C418" s="1393">
        <v>5336</v>
      </c>
      <c r="D418" s="568"/>
      <c r="E418" s="672" t="s">
        <v>2054</v>
      </c>
      <c r="F418" s="827"/>
      <c r="G418" s="851">
        <f>G422+G423+G424+G419+G421</f>
        <v>4225</v>
      </c>
      <c r="H418" s="851">
        <f>H422+H423+H424+H419+H421</f>
        <v>4225</v>
      </c>
      <c r="I418" s="853">
        <f t="shared" si="43"/>
        <v>100</v>
      </c>
    </row>
    <row r="419" spans="1:20" ht="14.25" customHeight="1" x14ac:dyDescent="0.2">
      <c r="A419" s="434"/>
      <c r="B419" s="673"/>
      <c r="C419" s="1393"/>
      <c r="D419" s="1068" t="s">
        <v>1911</v>
      </c>
      <c r="E419" s="2671" t="s">
        <v>2051</v>
      </c>
      <c r="F419" s="827"/>
      <c r="G419" s="837">
        <v>13</v>
      </c>
      <c r="H419" s="837">
        <v>13</v>
      </c>
      <c r="I419" s="823">
        <f t="shared" si="43"/>
        <v>100</v>
      </c>
    </row>
    <row r="420" spans="1:20" ht="15" x14ac:dyDescent="0.25">
      <c r="A420" s="434"/>
      <c r="B420" s="673"/>
      <c r="C420" s="1393"/>
      <c r="D420" s="1068"/>
      <c r="E420" s="2671"/>
      <c r="F420" s="827"/>
      <c r="G420" s="846"/>
      <c r="H420" s="846"/>
      <c r="I420" s="853"/>
    </row>
    <row r="421" spans="1:20" ht="15" x14ac:dyDescent="0.2">
      <c r="A421" s="434"/>
      <c r="B421" s="673"/>
      <c r="C421" s="1393"/>
      <c r="D421" s="1068" t="s">
        <v>1913</v>
      </c>
      <c r="E421" s="2113" t="s">
        <v>2052</v>
      </c>
      <c r="F421" s="2530"/>
      <c r="G421" s="2531">
        <v>24</v>
      </c>
      <c r="H421" s="2531">
        <v>24</v>
      </c>
      <c r="I421" s="376">
        <f t="shared" ref="I421" si="44">(H421/G421)*100</f>
        <v>100</v>
      </c>
    </row>
    <row r="422" spans="1:20" ht="14.25" x14ac:dyDescent="0.2">
      <c r="A422" s="431"/>
      <c r="B422" s="673"/>
      <c r="C422" s="673"/>
      <c r="D422" s="552" t="s">
        <v>1124</v>
      </c>
      <c r="E422" s="455" t="s">
        <v>792</v>
      </c>
      <c r="F422" s="827"/>
      <c r="G422" s="827">
        <v>3994</v>
      </c>
      <c r="H422" s="827">
        <v>3994</v>
      </c>
      <c r="I422" s="823">
        <f t="shared" si="43"/>
        <v>100</v>
      </c>
    </row>
    <row r="423" spans="1:20" ht="14.25" x14ac:dyDescent="0.2">
      <c r="A423" s="431"/>
      <c r="B423" s="750"/>
      <c r="C423" s="750"/>
      <c r="D423" s="568" t="s">
        <v>931</v>
      </c>
      <c r="E423" s="868" t="s">
        <v>1442</v>
      </c>
      <c r="F423" s="833"/>
      <c r="G423" s="833">
        <v>29</v>
      </c>
      <c r="H423" s="833">
        <v>29</v>
      </c>
      <c r="I423" s="828">
        <f t="shared" si="43"/>
        <v>100</v>
      </c>
    </row>
    <row r="424" spans="1:20" ht="14.25" x14ac:dyDescent="0.2">
      <c r="A424" s="431"/>
      <c r="B424" s="750"/>
      <c r="C424" s="750"/>
      <c r="D424" s="568" t="s">
        <v>933</v>
      </c>
      <c r="E424" s="868" t="s">
        <v>1443</v>
      </c>
      <c r="F424" s="833"/>
      <c r="G424" s="833">
        <v>165</v>
      </c>
      <c r="H424" s="833">
        <v>165</v>
      </c>
      <c r="I424" s="828">
        <f t="shared" si="43"/>
        <v>100</v>
      </c>
    </row>
    <row r="425" spans="1:20" ht="15" x14ac:dyDescent="0.25">
      <c r="A425" s="431">
        <v>1033</v>
      </c>
      <c r="B425" s="750">
        <v>3141</v>
      </c>
      <c r="C425" s="1393">
        <v>5336</v>
      </c>
      <c r="D425" s="568"/>
      <c r="E425" s="672" t="s">
        <v>2054</v>
      </c>
      <c r="F425" s="835"/>
      <c r="G425" s="835">
        <v>9</v>
      </c>
      <c r="H425" s="835">
        <v>9</v>
      </c>
      <c r="I425" s="836">
        <f t="shared" si="43"/>
        <v>100</v>
      </c>
    </row>
    <row r="426" spans="1:20" ht="14.25" x14ac:dyDescent="0.2">
      <c r="A426" s="431"/>
      <c r="B426" s="750"/>
      <c r="C426" s="750"/>
      <c r="D426" s="552" t="s">
        <v>1124</v>
      </c>
      <c r="E426" s="455" t="s">
        <v>792</v>
      </c>
      <c r="F426" s="833"/>
      <c r="G426" s="833">
        <v>9</v>
      </c>
      <c r="H426" s="833">
        <v>9</v>
      </c>
      <c r="I426" s="828">
        <f t="shared" si="43"/>
        <v>100</v>
      </c>
    </row>
    <row r="427" spans="1:20" ht="15" x14ac:dyDescent="0.25">
      <c r="A427" s="431">
        <v>1033</v>
      </c>
      <c r="B427" s="750">
        <v>3143</v>
      </c>
      <c r="C427" s="1393">
        <v>5336</v>
      </c>
      <c r="D427" s="568"/>
      <c r="E427" s="672" t="s">
        <v>2054</v>
      </c>
      <c r="F427" s="835"/>
      <c r="G427" s="835">
        <v>305</v>
      </c>
      <c r="H427" s="835">
        <v>305</v>
      </c>
      <c r="I427" s="836">
        <f t="shared" si="43"/>
        <v>100</v>
      </c>
    </row>
    <row r="428" spans="1:20" ht="15" thickBot="1" x14ac:dyDescent="0.25">
      <c r="A428" s="431"/>
      <c r="B428" s="750"/>
      <c r="C428" s="1393"/>
      <c r="D428" s="552" t="s">
        <v>1124</v>
      </c>
      <c r="E428" s="455" t="s">
        <v>792</v>
      </c>
      <c r="F428" s="833"/>
      <c r="G428" s="833">
        <v>305</v>
      </c>
      <c r="H428" s="833">
        <v>305</v>
      </c>
      <c r="I428" s="828">
        <f t="shared" si="43"/>
        <v>100</v>
      </c>
    </row>
    <row r="429" spans="1:20" s="1483" customFormat="1" ht="16.5" thickTop="1" thickBot="1" x14ac:dyDescent="0.25">
      <c r="A429" s="2683" t="s">
        <v>1105</v>
      </c>
      <c r="B429" s="2684"/>
      <c r="C429" s="2684"/>
      <c r="D429" s="2684"/>
      <c r="E429" s="2684"/>
      <c r="F429" s="1494">
        <f>SUM(F415+F427+F425)</f>
        <v>1040</v>
      </c>
      <c r="G429" s="1494">
        <f>G415+G418+G425+G427</f>
        <v>5569</v>
      </c>
      <c r="H429" s="1494">
        <f>H415+H418+H425+H427</f>
        <v>5569</v>
      </c>
      <c r="I429" s="1495">
        <f t="shared" si="43"/>
        <v>100</v>
      </c>
      <c r="R429" s="1496">
        <f>F429</f>
        <v>1040</v>
      </c>
      <c r="S429" s="1496">
        <f>G429</f>
        <v>5569</v>
      </c>
      <c r="T429" s="1496">
        <f>H429</f>
        <v>5569</v>
      </c>
    </row>
    <row r="430" spans="1:20" ht="13.5" thickTop="1" x14ac:dyDescent="0.2"/>
    <row r="432" spans="1:20" ht="13.5" thickBot="1" x14ac:dyDescent="0.25">
      <c r="A432" s="432" t="s">
        <v>516</v>
      </c>
      <c r="I432" s="1390" t="s">
        <v>161</v>
      </c>
    </row>
    <row r="433" spans="1:9" s="107" customFormat="1" thickTop="1" thickBot="1" x14ac:dyDescent="0.25">
      <c r="A433" s="631" t="s">
        <v>624</v>
      </c>
      <c r="B433" s="774" t="s">
        <v>162</v>
      </c>
      <c r="C433" s="632" t="s">
        <v>163</v>
      </c>
      <c r="D433" s="634" t="s">
        <v>705</v>
      </c>
      <c r="E433" s="634" t="s">
        <v>164</v>
      </c>
      <c r="F433" s="634" t="s">
        <v>165</v>
      </c>
      <c r="G433" s="634" t="s">
        <v>881</v>
      </c>
      <c r="H433" s="634" t="s">
        <v>882</v>
      </c>
      <c r="I433" s="818" t="s">
        <v>883</v>
      </c>
    </row>
    <row r="434" spans="1:9" s="383" customFormat="1" ht="20.25" customHeight="1" thickTop="1" thickBot="1" x14ac:dyDescent="0.25">
      <c r="A434" s="566">
        <v>1</v>
      </c>
      <c r="B434" s="567">
        <v>2</v>
      </c>
      <c r="C434" s="567">
        <v>3</v>
      </c>
      <c r="D434" s="567">
        <v>4</v>
      </c>
      <c r="E434" s="567">
        <v>5</v>
      </c>
      <c r="F434" s="541">
        <v>6</v>
      </c>
      <c r="G434" s="541">
        <v>7</v>
      </c>
      <c r="H434" s="542">
        <v>8</v>
      </c>
      <c r="I434" s="636" t="s">
        <v>762</v>
      </c>
    </row>
    <row r="435" spans="1:9" ht="15.75" thickTop="1" x14ac:dyDescent="0.25">
      <c r="A435" s="1391">
        <v>1034</v>
      </c>
      <c r="B435" s="775">
        <v>3114</v>
      </c>
      <c r="C435" s="775">
        <v>5331</v>
      </c>
      <c r="D435" s="839"/>
      <c r="E435" s="860" t="s">
        <v>951</v>
      </c>
      <c r="F435" s="861">
        <v>586</v>
      </c>
      <c r="G435" s="861">
        <v>580</v>
      </c>
      <c r="H435" s="861">
        <v>580</v>
      </c>
      <c r="I435" s="826">
        <f>(H435/G435)*100</f>
        <v>100</v>
      </c>
    </row>
    <row r="436" spans="1:9" ht="14.25" x14ac:dyDescent="0.2">
      <c r="A436" s="431"/>
      <c r="B436" s="673"/>
      <c r="C436" s="673"/>
      <c r="D436" s="552" t="s">
        <v>570</v>
      </c>
      <c r="E436" s="455" t="s">
        <v>71</v>
      </c>
      <c r="F436" s="827">
        <v>586</v>
      </c>
      <c r="G436" s="827">
        <v>580</v>
      </c>
      <c r="H436" s="827">
        <v>580</v>
      </c>
      <c r="I436" s="823">
        <f>(H436/G436)*100</f>
        <v>100</v>
      </c>
    </row>
    <row r="437" spans="1:9" ht="15" x14ac:dyDescent="0.25">
      <c r="A437" s="431">
        <v>1034</v>
      </c>
      <c r="B437" s="750">
        <v>3114</v>
      </c>
      <c r="C437" s="1393">
        <v>5336</v>
      </c>
      <c r="D437" s="568"/>
      <c r="E437" s="672" t="s">
        <v>2054</v>
      </c>
      <c r="F437" s="827"/>
      <c r="G437" s="851">
        <v>2608</v>
      </c>
      <c r="H437" s="851">
        <v>2608</v>
      </c>
      <c r="I437" s="836">
        <f t="shared" ref="I437:I451" si="45">(H437/G437)*100</f>
        <v>100</v>
      </c>
    </row>
    <row r="438" spans="1:9" ht="14.25" x14ac:dyDescent="0.2">
      <c r="A438" s="431"/>
      <c r="B438" s="673"/>
      <c r="C438" s="673"/>
      <c r="D438" s="552" t="s">
        <v>1124</v>
      </c>
      <c r="E438" s="455" t="s">
        <v>792</v>
      </c>
      <c r="F438" s="827"/>
      <c r="G438" s="827">
        <v>2608</v>
      </c>
      <c r="H438" s="827">
        <v>2608</v>
      </c>
      <c r="I438" s="823">
        <f>(H438/G438)*100</f>
        <v>100</v>
      </c>
    </row>
    <row r="439" spans="1:9" ht="15" x14ac:dyDescent="0.25">
      <c r="A439" s="431">
        <v>1034</v>
      </c>
      <c r="B439" s="750">
        <v>3141</v>
      </c>
      <c r="C439" s="1393">
        <v>5331</v>
      </c>
      <c r="D439" s="842"/>
      <c r="E439" s="672" t="s">
        <v>951</v>
      </c>
      <c r="F439" s="835">
        <v>28</v>
      </c>
      <c r="G439" s="835">
        <v>28</v>
      </c>
      <c r="H439" s="835">
        <v>28</v>
      </c>
      <c r="I439" s="836">
        <f t="shared" si="45"/>
        <v>100</v>
      </c>
    </row>
    <row r="440" spans="1:9" ht="14.25" x14ac:dyDescent="0.2">
      <c r="A440" s="431"/>
      <c r="B440" s="750"/>
      <c r="C440" s="1393"/>
      <c r="D440" s="552" t="s">
        <v>570</v>
      </c>
      <c r="E440" s="455" t="s">
        <v>71</v>
      </c>
      <c r="F440" s="833">
        <v>28</v>
      </c>
      <c r="G440" s="833">
        <v>28</v>
      </c>
      <c r="H440" s="833">
        <v>28</v>
      </c>
      <c r="I440" s="828">
        <f t="shared" si="45"/>
        <v>100</v>
      </c>
    </row>
    <row r="441" spans="1:9" ht="15" x14ac:dyDescent="0.25">
      <c r="A441" s="431">
        <v>1034</v>
      </c>
      <c r="B441" s="750">
        <v>3141</v>
      </c>
      <c r="C441" s="1393">
        <v>5336</v>
      </c>
      <c r="D441" s="568"/>
      <c r="E441" s="672" t="s">
        <v>2054</v>
      </c>
      <c r="F441" s="833"/>
      <c r="G441" s="846">
        <v>44</v>
      </c>
      <c r="H441" s="846">
        <v>44</v>
      </c>
      <c r="I441" s="838">
        <f t="shared" si="45"/>
        <v>100</v>
      </c>
    </row>
    <row r="442" spans="1:9" ht="14.25" x14ac:dyDescent="0.2">
      <c r="A442" s="431"/>
      <c r="B442" s="750"/>
      <c r="C442" s="1393"/>
      <c r="D442" s="552" t="s">
        <v>1124</v>
      </c>
      <c r="E442" s="455" t="s">
        <v>792</v>
      </c>
      <c r="F442" s="833"/>
      <c r="G442" s="833">
        <v>44</v>
      </c>
      <c r="H442" s="833">
        <v>44</v>
      </c>
      <c r="I442" s="828">
        <f t="shared" si="45"/>
        <v>100</v>
      </c>
    </row>
    <row r="443" spans="1:9" ht="15" x14ac:dyDescent="0.25">
      <c r="A443" s="431">
        <v>1034</v>
      </c>
      <c r="B443" s="750">
        <v>4322</v>
      </c>
      <c r="C443" s="1392">
        <v>5331</v>
      </c>
      <c r="D443" s="829"/>
      <c r="E443" s="792" t="s">
        <v>951</v>
      </c>
      <c r="F443" s="820">
        <f>SUM(F444:F445)</f>
        <v>1423</v>
      </c>
      <c r="G443" s="820">
        <f>SUM(G444:G445)</f>
        <v>1412</v>
      </c>
      <c r="H443" s="820">
        <f>SUM(H444:H445)</f>
        <v>1412</v>
      </c>
      <c r="I443" s="836">
        <f t="shared" si="45"/>
        <v>100</v>
      </c>
    </row>
    <row r="444" spans="1:9" ht="14.25" x14ac:dyDescent="0.2">
      <c r="A444" s="431"/>
      <c r="B444" s="673"/>
      <c r="C444" s="1392"/>
      <c r="D444" s="707" t="s">
        <v>575</v>
      </c>
      <c r="E444" s="1478" t="s">
        <v>793</v>
      </c>
      <c r="F444" s="827">
        <v>281</v>
      </c>
      <c r="G444" s="827">
        <v>281</v>
      </c>
      <c r="H444" s="827">
        <v>281</v>
      </c>
      <c r="I444" s="823">
        <f t="shared" si="45"/>
        <v>100</v>
      </c>
    </row>
    <row r="445" spans="1:9" ht="14.25" x14ac:dyDescent="0.2">
      <c r="A445" s="431"/>
      <c r="B445" s="673"/>
      <c r="C445" s="1392"/>
      <c r="D445" s="552" t="s">
        <v>570</v>
      </c>
      <c r="E445" s="455" t="s">
        <v>71</v>
      </c>
      <c r="F445" s="827">
        <v>1142</v>
      </c>
      <c r="G445" s="827">
        <v>1131</v>
      </c>
      <c r="H445" s="827">
        <v>1131</v>
      </c>
      <c r="I445" s="823">
        <f t="shared" si="45"/>
        <v>100</v>
      </c>
    </row>
    <row r="446" spans="1:9" ht="15" x14ac:dyDescent="0.25">
      <c r="A446" s="431">
        <v>1034</v>
      </c>
      <c r="B446" s="750">
        <v>4322</v>
      </c>
      <c r="C446" s="1393">
        <v>5336</v>
      </c>
      <c r="D446" s="568"/>
      <c r="E446" s="672" t="s">
        <v>2054</v>
      </c>
      <c r="F446" s="827"/>
      <c r="G446" s="851">
        <f>G447+G449+G450</f>
        <v>6633</v>
      </c>
      <c r="H446" s="851">
        <f>H447+H449+H450</f>
        <v>6633</v>
      </c>
      <c r="I446" s="853">
        <f t="shared" si="45"/>
        <v>100</v>
      </c>
    </row>
    <row r="447" spans="1:9" ht="14.25" customHeight="1" x14ac:dyDescent="0.2">
      <c r="A447" s="431"/>
      <c r="B447" s="750"/>
      <c r="C447" s="1393"/>
      <c r="D447" s="1068" t="s">
        <v>1911</v>
      </c>
      <c r="E447" s="2671" t="s">
        <v>2051</v>
      </c>
      <c r="F447" s="827"/>
      <c r="G447" s="837">
        <v>11</v>
      </c>
      <c r="H447" s="837">
        <v>11</v>
      </c>
      <c r="I447" s="823">
        <f t="shared" si="45"/>
        <v>100</v>
      </c>
    </row>
    <row r="448" spans="1:9" ht="15" x14ac:dyDescent="0.25">
      <c r="A448" s="431"/>
      <c r="B448" s="750"/>
      <c r="C448" s="1393"/>
      <c r="D448" s="1068"/>
      <c r="E448" s="2671"/>
      <c r="F448" s="827"/>
      <c r="G448" s="846"/>
      <c r="H448" s="846"/>
      <c r="I448" s="853"/>
    </row>
    <row r="449" spans="1:20" ht="15" x14ac:dyDescent="0.2">
      <c r="A449" s="431"/>
      <c r="B449" s="750"/>
      <c r="C449" s="1393"/>
      <c r="D449" s="1068" t="s">
        <v>1913</v>
      </c>
      <c r="E449" s="2113" t="s">
        <v>2052</v>
      </c>
      <c r="F449" s="2530"/>
      <c r="G449" s="2531">
        <v>50</v>
      </c>
      <c r="H449" s="2531">
        <v>50</v>
      </c>
      <c r="I449" s="376">
        <f t="shared" ref="I449" si="46">(H449/G449)*100</f>
        <v>100</v>
      </c>
    </row>
    <row r="450" spans="1:20" ht="15" thickBot="1" x14ac:dyDescent="0.25">
      <c r="A450" s="431"/>
      <c r="B450" s="673"/>
      <c r="C450" s="1392"/>
      <c r="D450" s="552" t="s">
        <v>1124</v>
      </c>
      <c r="E450" s="455" t="s">
        <v>792</v>
      </c>
      <c r="F450" s="827"/>
      <c r="G450" s="827">
        <v>6572</v>
      </c>
      <c r="H450" s="827">
        <v>6572</v>
      </c>
      <c r="I450" s="823">
        <f t="shared" si="45"/>
        <v>100</v>
      </c>
    </row>
    <row r="451" spans="1:20" s="1483" customFormat="1" ht="16.5" thickTop="1" thickBot="1" x14ac:dyDescent="0.25">
      <c r="A451" s="2683" t="s">
        <v>1105</v>
      </c>
      <c r="B451" s="2684"/>
      <c r="C451" s="2684"/>
      <c r="D451" s="2684"/>
      <c r="E451" s="2684"/>
      <c r="F451" s="1494">
        <f>SUM(F435,F439,F443)</f>
        <v>2037</v>
      </c>
      <c r="G451" s="1494">
        <f>SUM(G435,G439,G443,G437,G441,G446)</f>
        <v>11305</v>
      </c>
      <c r="H451" s="1494">
        <f>SUM(H435,H439,H443,H437,H441,H446)</f>
        <v>11305</v>
      </c>
      <c r="I451" s="1495">
        <f t="shared" si="45"/>
        <v>100</v>
      </c>
      <c r="R451" s="1496">
        <f>F451</f>
        <v>2037</v>
      </c>
      <c r="S451" s="1496">
        <f>G451</f>
        <v>11305</v>
      </c>
      <c r="T451" s="1496">
        <f>H451</f>
        <v>11305</v>
      </c>
    </row>
    <row r="452" spans="1:20" ht="13.5" thickTop="1" x14ac:dyDescent="0.2"/>
    <row r="454" spans="1:20" ht="13.5" thickBot="1" x14ac:dyDescent="0.25">
      <c r="A454" s="432" t="s">
        <v>1120</v>
      </c>
      <c r="I454" s="1390" t="s">
        <v>161</v>
      </c>
    </row>
    <row r="455" spans="1:20" s="107" customFormat="1" thickTop="1" thickBot="1" x14ac:dyDescent="0.25">
      <c r="A455" s="631" t="s">
        <v>624</v>
      </c>
      <c r="B455" s="774" t="s">
        <v>162</v>
      </c>
      <c r="C455" s="632" t="s">
        <v>163</v>
      </c>
      <c r="D455" s="634" t="s">
        <v>705</v>
      </c>
      <c r="E455" s="634" t="s">
        <v>164</v>
      </c>
      <c r="F455" s="634" t="s">
        <v>165</v>
      </c>
      <c r="G455" s="634" t="s">
        <v>881</v>
      </c>
      <c r="H455" s="634" t="s">
        <v>882</v>
      </c>
      <c r="I455" s="818" t="s">
        <v>883</v>
      </c>
    </row>
    <row r="456" spans="1:20" s="383" customFormat="1" ht="14.25" customHeight="1" thickTop="1" thickBot="1" x14ac:dyDescent="0.25">
      <c r="A456" s="566">
        <v>1</v>
      </c>
      <c r="B456" s="567">
        <v>2</v>
      </c>
      <c r="C456" s="567">
        <v>3</v>
      </c>
      <c r="D456" s="567">
        <v>4</v>
      </c>
      <c r="E456" s="567">
        <v>5</v>
      </c>
      <c r="F456" s="541">
        <v>6</v>
      </c>
      <c r="G456" s="541">
        <v>7</v>
      </c>
      <c r="H456" s="542">
        <v>8</v>
      </c>
      <c r="I456" s="636" t="s">
        <v>762</v>
      </c>
    </row>
    <row r="457" spans="1:20" ht="15.75" thickTop="1" x14ac:dyDescent="0.25">
      <c r="A457" s="1391">
        <v>1035</v>
      </c>
      <c r="B457" s="775">
        <v>3114</v>
      </c>
      <c r="C457" s="775">
        <v>5331</v>
      </c>
      <c r="D457" s="839"/>
      <c r="E457" s="860" t="s">
        <v>951</v>
      </c>
      <c r="F457" s="861">
        <v>622</v>
      </c>
      <c r="G457" s="861">
        <v>616</v>
      </c>
      <c r="H457" s="861">
        <v>616</v>
      </c>
      <c r="I457" s="826">
        <f>(H457/G457)*100</f>
        <v>100</v>
      </c>
    </row>
    <row r="458" spans="1:20" ht="14.25" x14ac:dyDescent="0.2">
      <c r="A458" s="431"/>
      <c r="B458" s="673"/>
      <c r="C458" s="673"/>
      <c r="D458" s="552" t="s">
        <v>570</v>
      </c>
      <c r="E458" s="455" t="s">
        <v>71</v>
      </c>
      <c r="F458" s="827">
        <v>622</v>
      </c>
      <c r="G458" s="827">
        <v>616</v>
      </c>
      <c r="H458" s="827">
        <v>616</v>
      </c>
      <c r="I458" s="823">
        <f>(H458/G458)*100</f>
        <v>100</v>
      </c>
    </row>
    <row r="459" spans="1:20" ht="15" x14ac:dyDescent="0.25">
      <c r="A459" s="431">
        <v>1035</v>
      </c>
      <c r="B459" s="750">
        <v>3114</v>
      </c>
      <c r="C459" s="1393">
        <v>5336</v>
      </c>
      <c r="D459" s="1295"/>
      <c r="E459" s="672" t="s">
        <v>2054</v>
      </c>
      <c r="F459" s="833"/>
      <c r="G459" s="1298">
        <f>G463+G460+G462</f>
        <v>3133</v>
      </c>
      <c r="H459" s="1298">
        <f>H463+H460+H462</f>
        <v>3133</v>
      </c>
      <c r="I459" s="836">
        <f t="shared" ref="I459:I468" si="47">(H459/G459)*100</f>
        <v>100</v>
      </c>
    </row>
    <row r="460" spans="1:20" ht="14.25" customHeight="1" x14ac:dyDescent="0.2">
      <c r="A460" s="431"/>
      <c r="B460" s="750"/>
      <c r="C460" s="1393"/>
      <c r="D460" s="1068" t="s">
        <v>1911</v>
      </c>
      <c r="E460" s="2671" t="s">
        <v>2051</v>
      </c>
      <c r="F460" s="827"/>
      <c r="G460" s="837">
        <v>21</v>
      </c>
      <c r="H460" s="837">
        <v>21</v>
      </c>
      <c r="I460" s="823">
        <f t="shared" si="47"/>
        <v>100</v>
      </c>
    </row>
    <row r="461" spans="1:20" ht="15" x14ac:dyDescent="0.25">
      <c r="A461" s="431"/>
      <c r="B461" s="750"/>
      <c r="C461" s="1393"/>
      <c r="D461" s="1068"/>
      <c r="E461" s="2671"/>
      <c r="F461" s="827"/>
      <c r="G461" s="846"/>
      <c r="H461" s="846"/>
      <c r="I461" s="853"/>
    </row>
    <row r="462" spans="1:20" ht="15" x14ac:dyDescent="0.2">
      <c r="A462" s="431"/>
      <c r="B462" s="750"/>
      <c r="C462" s="1393"/>
      <c r="D462" s="1068" t="s">
        <v>1913</v>
      </c>
      <c r="E462" s="2113" t="s">
        <v>2052</v>
      </c>
      <c r="F462" s="2530"/>
      <c r="G462" s="2531">
        <v>24</v>
      </c>
      <c r="H462" s="2531">
        <v>24</v>
      </c>
      <c r="I462" s="376">
        <f t="shared" ref="I462" si="48">(H462/G462)*100</f>
        <v>100</v>
      </c>
    </row>
    <row r="463" spans="1:20" ht="14.25" x14ac:dyDescent="0.2">
      <c r="A463" s="431"/>
      <c r="B463" s="750"/>
      <c r="C463" s="1393"/>
      <c r="D463" s="552" t="s">
        <v>1124</v>
      </c>
      <c r="E463" s="455" t="s">
        <v>792</v>
      </c>
      <c r="F463" s="833"/>
      <c r="G463" s="1296">
        <v>3088</v>
      </c>
      <c r="H463" s="1296">
        <v>3088</v>
      </c>
      <c r="I463" s="376">
        <f t="shared" si="47"/>
        <v>100</v>
      </c>
    </row>
    <row r="464" spans="1:20" ht="15" x14ac:dyDescent="0.25">
      <c r="A464" s="431">
        <v>1035</v>
      </c>
      <c r="B464" s="750">
        <v>3143</v>
      </c>
      <c r="C464" s="750">
        <v>5336</v>
      </c>
      <c r="D464" s="859"/>
      <c r="E464" s="672" t="s">
        <v>2054</v>
      </c>
      <c r="F464" s="835"/>
      <c r="G464" s="835">
        <v>243</v>
      </c>
      <c r="H464" s="835">
        <v>243</v>
      </c>
      <c r="I464" s="836">
        <f t="shared" si="47"/>
        <v>100</v>
      </c>
    </row>
    <row r="465" spans="1:20" ht="15" x14ac:dyDescent="0.25">
      <c r="A465" s="431"/>
      <c r="B465" s="750"/>
      <c r="C465" s="750"/>
      <c r="D465" s="552" t="s">
        <v>1124</v>
      </c>
      <c r="E465" s="455" t="s">
        <v>792</v>
      </c>
      <c r="F465" s="835"/>
      <c r="G465" s="833">
        <v>243</v>
      </c>
      <c r="H465" s="833">
        <v>243</v>
      </c>
      <c r="I465" s="828">
        <f t="shared" si="47"/>
        <v>100</v>
      </c>
    </row>
    <row r="466" spans="1:20" ht="15" x14ac:dyDescent="0.25">
      <c r="A466" s="431">
        <v>1035</v>
      </c>
      <c r="B466" s="750">
        <v>3792</v>
      </c>
      <c r="C466" s="750">
        <v>5331</v>
      </c>
      <c r="D466" s="552"/>
      <c r="E466" s="792" t="s">
        <v>951</v>
      </c>
      <c r="F466" s="835"/>
      <c r="G466" s="846">
        <v>7</v>
      </c>
      <c r="H466" s="846">
        <v>7</v>
      </c>
      <c r="I466" s="836">
        <f t="shared" si="47"/>
        <v>100</v>
      </c>
    </row>
    <row r="467" spans="1:20" ht="15.75" thickBot="1" x14ac:dyDescent="0.3">
      <c r="A467" s="431"/>
      <c r="B467" s="750"/>
      <c r="C467" s="750"/>
      <c r="D467" s="1059" t="s">
        <v>1319</v>
      </c>
      <c r="E467" s="1161" t="s">
        <v>369</v>
      </c>
      <c r="F467" s="835"/>
      <c r="G467" s="833">
        <v>7</v>
      </c>
      <c r="H467" s="833">
        <v>7</v>
      </c>
      <c r="I467" s="828">
        <f t="shared" si="47"/>
        <v>100</v>
      </c>
    </row>
    <row r="468" spans="1:20" s="1483" customFormat="1" ht="16.5" thickTop="1" thickBot="1" x14ac:dyDescent="0.25">
      <c r="A468" s="2547" t="s">
        <v>1105</v>
      </c>
      <c r="B468" s="2548"/>
      <c r="C468" s="2548"/>
      <c r="D468" s="2548"/>
      <c r="E468" s="2548"/>
      <c r="F468" s="1494">
        <f>SUM(F457,F464)</f>
        <v>622</v>
      </c>
      <c r="G468" s="1494">
        <f>SUM(G457,G464,G459,G466)</f>
        <v>3999</v>
      </c>
      <c r="H468" s="1494">
        <f>SUM(H457,H464,H459,H466)</f>
        <v>3999</v>
      </c>
      <c r="I468" s="1495">
        <f t="shared" si="47"/>
        <v>100</v>
      </c>
      <c r="K468" s="1496" t="e">
        <f>SUM(F468,F451,F429,F402,#REF!,#REF!,F384,#REF!,F351,#REF!,F318,F302,#REF!,F289,F246,F206,F182,F145,F102,#REF!,F62,#REF!,#REF!,F44,F27)</f>
        <v>#REF!</v>
      </c>
      <c r="L468" s="1496" t="e">
        <f>SUM(G468,G451,G429,G402,#REF!,#REF!,G384,#REF!,G351,#REF!,G318,G302,#REF!,G289,G246,G206,G182,G145,G102,#REF!,G62,#REF!,#REF!,G44,G27)</f>
        <v>#REF!</v>
      </c>
      <c r="M468" s="1496" t="e">
        <f>SUM(H468,H451,H429,H402,#REF!,#REF!,H384,#REF!,H351,#REF!,H318,H302,#REF!,H289,H246,H206,H182,H145,H102,#REF!,H62,#REF!,#REF!,H44,H27)</f>
        <v>#REF!</v>
      </c>
      <c r="R468" s="1496">
        <f>F468</f>
        <v>622</v>
      </c>
      <c r="S468" s="1496">
        <f>G468</f>
        <v>3999</v>
      </c>
      <c r="T468" s="1496">
        <f>H468</f>
        <v>3999</v>
      </c>
    </row>
    <row r="469" spans="1:20" ht="13.5" thickTop="1" x14ac:dyDescent="0.2"/>
    <row r="471" spans="1:20" ht="13.5" thickBot="1" x14ac:dyDescent="0.25">
      <c r="A471" s="432" t="s">
        <v>1444</v>
      </c>
      <c r="I471" s="1390" t="s">
        <v>161</v>
      </c>
    </row>
    <row r="472" spans="1:20" s="107" customFormat="1" ht="20.25" customHeight="1" thickTop="1" thickBot="1" x14ac:dyDescent="0.25">
      <c r="A472" s="631" t="s">
        <v>624</v>
      </c>
      <c r="B472" s="774" t="s">
        <v>162</v>
      </c>
      <c r="C472" s="632" t="s">
        <v>163</v>
      </c>
      <c r="D472" s="634" t="s">
        <v>705</v>
      </c>
      <c r="E472" s="634" t="s">
        <v>164</v>
      </c>
      <c r="F472" s="634" t="s">
        <v>165</v>
      </c>
      <c r="G472" s="634" t="s">
        <v>881</v>
      </c>
      <c r="H472" s="634" t="s">
        <v>882</v>
      </c>
      <c r="I472" s="818" t="s">
        <v>883</v>
      </c>
    </row>
    <row r="473" spans="1:20" s="383" customFormat="1" ht="13.5" thickTop="1" thickBot="1" x14ac:dyDescent="0.25">
      <c r="A473" s="566">
        <v>1</v>
      </c>
      <c r="B473" s="567">
        <v>2</v>
      </c>
      <c r="C473" s="567">
        <v>3</v>
      </c>
      <c r="D473" s="567">
        <v>4</v>
      </c>
      <c r="E473" s="567">
        <v>5</v>
      </c>
      <c r="F473" s="541">
        <v>6</v>
      </c>
      <c r="G473" s="541">
        <v>7</v>
      </c>
      <c r="H473" s="542">
        <v>8</v>
      </c>
      <c r="I473" s="636" t="s">
        <v>762</v>
      </c>
    </row>
    <row r="474" spans="1:20" ht="15.75" thickTop="1" x14ac:dyDescent="0.25">
      <c r="A474" s="1391">
        <v>1036</v>
      </c>
      <c r="B474" s="775">
        <v>3112</v>
      </c>
      <c r="C474" s="775">
        <v>5331</v>
      </c>
      <c r="E474" s="792" t="s">
        <v>951</v>
      </c>
      <c r="F474" s="861">
        <v>45</v>
      </c>
      <c r="G474" s="861">
        <v>45</v>
      </c>
      <c r="H474" s="861">
        <v>45</v>
      </c>
      <c r="I474" s="826">
        <f t="shared" ref="I474:I501" si="49">(H474/G474)*100</f>
        <v>100</v>
      </c>
    </row>
    <row r="475" spans="1:20" ht="14.25" x14ac:dyDescent="0.2">
      <c r="A475" s="431"/>
      <c r="B475" s="673"/>
      <c r="C475" s="673"/>
      <c r="D475" s="552" t="s">
        <v>570</v>
      </c>
      <c r="E475" s="455" t="s">
        <v>71</v>
      </c>
      <c r="F475" s="827">
        <v>45</v>
      </c>
      <c r="G475" s="827">
        <v>45</v>
      </c>
      <c r="H475" s="827">
        <v>45</v>
      </c>
      <c r="I475" s="823">
        <f t="shared" si="49"/>
        <v>100</v>
      </c>
    </row>
    <row r="476" spans="1:20" ht="15" x14ac:dyDescent="0.25">
      <c r="A476" s="431">
        <v>1036</v>
      </c>
      <c r="B476" s="673">
        <v>3112</v>
      </c>
      <c r="C476" s="673">
        <v>5336</v>
      </c>
      <c r="D476" s="552"/>
      <c r="E476" s="672" t="s">
        <v>2054</v>
      </c>
      <c r="F476" s="833"/>
      <c r="G476" s="846">
        <v>869</v>
      </c>
      <c r="H476" s="846">
        <v>869</v>
      </c>
      <c r="I476" s="821">
        <f t="shared" si="49"/>
        <v>100</v>
      </c>
    </row>
    <row r="477" spans="1:20" ht="14.25" x14ac:dyDescent="0.2">
      <c r="A477" s="431"/>
      <c r="B477" s="673"/>
      <c r="C477" s="673"/>
      <c r="D477" s="552" t="s">
        <v>1124</v>
      </c>
      <c r="E477" s="455" t="s">
        <v>792</v>
      </c>
      <c r="F477" s="833"/>
      <c r="G477" s="833">
        <v>869</v>
      </c>
      <c r="H477" s="833">
        <v>869</v>
      </c>
      <c r="I477" s="828">
        <f t="shared" si="49"/>
        <v>100</v>
      </c>
    </row>
    <row r="478" spans="1:20" ht="15" x14ac:dyDescent="0.25">
      <c r="A478" s="431">
        <v>1036</v>
      </c>
      <c r="B478" s="673">
        <v>3114</v>
      </c>
      <c r="C478" s="673">
        <v>5331</v>
      </c>
      <c r="D478" s="819"/>
      <c r="E478" s="792" t="s">
        <v>951</v>
      </c>
      <c r="F478" s="820">
        <f>SUM(F479:F480)</f>
        <v>2500</v>
      </c>
      <c r="G478" s="820">
        <f>SUM(G479:G480)</f>
        <v>2481</v>
      </c>
      <c r="H478" s="820">
        <f>SUM(H479:H480)</f>
        <v>2481</v>
      </c>
      <c r="I478" s="821">
        <f t="shared" si="49"/>
        <v>100</v>
      </c>
    </row>
    <row r="479" spans="1:20" ht="14.25" x14ac:dyDescent="0.2">
      <c r="A479" s="431"/>
      <c r="B479" s="673"/>
      <c r="C479" s="673"/>
      <c r="D479" s="707" t="s">
        <v>575</v>
      </c>
      <c r="E479" s="1478" t="s">
        <v>793</v>
      </c>
      <c r="F479" s="827">
        <v>392</v>
      </c>
      <c r="G479" s="827">
        <v>394</v>
      </c>
      <c r="H479" s="827">
        <v>394</v>
      </c>
      <c r="I479" s="823">
        <f t="shared" si="49"/>
        <v>100</v>
      </c>
    </row>
    <row r="480" spans="1:20" ht="15" thickBot="1" x14ac:dyDescent="0.25">
      <c r="A480" s="431"/>
      <c r="B480" s="673"/>
      <c r="C480" s="673"/>
      <c r="D480" s="552" t="s">
        <v>570</v>
      </c>
      <c r="E480" s="455" t="s">
        <v>71</v>
      </c>
      <c r="F480" s="827">
        <v>2108</v>
      </c>
      <c r="G480" s="827">
        <v>2087</v>
      </c>
      <c r="H480" s="827">
        <v>2087</v>
      </c>
      <c r="I480" s="823">
        <f t="shared" si="49"/>
        <v>100</v>
      </c>
    </row>
    <row r="481" spans="1:9" ht="15" thickTop="1" x14ac:dyDescent="0.2">
      <c r="A481" s="1511"/>
      <c r="B481" s="654"/>
      <c r="C481" s="654"/>
      <c r="D481" s="1512"/>
      <c r="E481" s="1055"/>
      <c r="F481" s="1513"/>
      <c r="G481" s="1513"/>
      <c r="H481" s="1513"/>
      <c r="I481" s="1514"/>
    </row>
    <row r="482" spans="1:9" ht="14.25" x14ac:dyDescent="0.2">
      <c r="A482" s="1397"/>
      <c r="B482" s="746"/>
      <c r="C482" s="746"/>
      <c r="D482" s="791"/>
      <c r="E482" s="67"/>
      <c r="F482" s="841"/>
      <c r="G482" s="841"/>
      <c r="H482" s="841"/>
      <c r="I482" s="893"/>
    </row>
    <row r="483" spans="1:9" ht="13.5" thickBot="1" x14ac:dyDescent="0.25">
      <c r="A483" s="432"/>
      <c r="I483" s="1390" t="s">
        <v>161</v>
      </c>
    </row>
    <row r="484" spans="1:9" s="107" customFormat="1" ht="20.25" customHeight="1" thickTop="1" thickBot="1" x14ac:dyDescent="0.25">
      <c r="A484" s="631" t="s">
        <v>624</v>
      </c>
      <c r="B484" s="774" t="s">
        <v>162</v>
      </c>
      <c r="C484" s="632" t="s">
        <v>163</v>
      </c>
      <c r="D484" s="634" t="s">
        <v>705</v>
      </c>
      <c r="E484" s="634" t="s">
        <v>164</v>
      </c>
      <c r="F484" s="634" t="s">
        <v>165</v>
      </c>
      <c r="G484" s="634" t="s">
        <v>881</v>
      </c>
      <c r="H484" s="634" t="s">
        <v>882</v>
      </c>
      <c r="I484" s="818" t="s">
        <v>883</v>
      </c>
    </row>
    <row r="485" spans="1:9" s="383" customFormat="1" ht="13.5" thickTop="1" thickBot="1" x14ac:dyDescent="0.25">
      <c r="A485" s="566">
        <v>1</v>
      </c>
      <c r="B485" s="567">
        <v>2</v>
      </c>
      <c r="C485" s="567">
        <v>3</v>
      </c>
      <c r="D485" s="567">
        <v>4</v>
      </c>
      <c r="E485" s="567">
        <v>5</v>
      </c>
      <c r="F485" s="541">
        <v>6</v>
      </c>
      <c r="G485" s="541">
        <v>7</v>
      </c>
      <c r="H485" s="542">
        <v>8</v>
      </c>
      <c r="I485" s="636" t="s">
        <v>762</v>
      </c>
    </row>
    <row r="486" spans="1:9" ht="15.75" thickTop="1" x14ac:dyDescent="0.25">
      <c r="A486" s="747">
        <v>1036</v>
      </c>
      <c r="B486" s="673">
        <v>3114</v>
      </c>
      <c r="C486" s="1393">
        <v>5336</v>
      </c>
      <c r="D486" s="568"/>
      <c r="E486" s="672" t="s">
        <v>2054</v>
      </c>
      <c r="F486" s="846"/>
      <c r="G486" s="846">
        <f>G487+G489+G490+G491</f>
        <v>8555</v>
      </c>
      <c r="H486" s="846">
        <f>H487+H489+H490+H491</f>
        <v>8555</v>
      </c>
      <c r="I486" s="836">
        <f t="shared" si="49"/>
        <v>100</v>
      </c>
    </row>
    <row r="487" spans="1:9" ht="14.25" x14ac:dyDescent="0.2">
      <c r="A487" s="747"/>
      <c r="B487" s="673"/>
      <c r="C487" s="1393"/>
      <c r="D487" s="1068" t="s">
        <v>1911</v>
      </c>
      <c r="E487" s="2671" t="s">
        <v>2051</v>
      </c>
      <c r="F487" s="827"/>
      <c r="G487" s="837">
        <v>22</v>
      </c>
      <c r="H487" s="837">
        <v>22</v>
      </c>
      <c r="I487" s="823">
        <f t="shared" si="49"/>
        <v>100</v>
      </c>
    </row>
    <row r="488" spans="1:9" ht="15" x14ac:dyDescent="0.25">
      <c r="A488" s="747"/>
      <c r="B488" s="673"/>
      <c r="C488" s="1393"/>
      <c r="D488" s="1068"/>
      <c r="E488" s="2671"/>
      <c r="F488" s="827"/>
      <c r="G488" s="846"/>
      <c r="H488" s="846"/>
      <c r="I488" s="853"/>
    </row>
    <row r="489" spans="1:9" ht="15" x14ac:dyDescent="0.2">
      <c r="A489" s="747"/>
      <c r="B489" s="673"/>
      <c r="C489" s="1393"/>
      <c r="D489" s="1068" t="s">
        <v>1913</v>
      </c>
      <c r="E489" s="2113" t="s">
        <v>2052</v>
      </c>
      <c r="F489" s="2530"/>
      <c r="G489" s="2531">
        <v>65</v>
      </c>
      <c r="H489" s="2531">
        <v>65</v>
      </c>
      <c r="I489" s="376">
        <f t="shared" ref="I489" si="50">(H489/G489)*100</f>
        <v>100</v>
      </c>
    </row>
    <row r="490" spans="1:9" ht="15" x14ac:dyDescent="0.25">
      <c r="A490" s="747"/>
      <c r="B490" s="673"/>
      <c r="C490" s="1393"/>
      <c r="D490" s="552" t="s">
        <v>1124</v>
      </c>
      <c r="E490" s="455" t="s">
        <v>792</v>
      </c>
      <c r="F490" s="846"/>
      <c r="G490" s="837">
        <v>8381</v>
      </c>
      <c r="H490" s="837">
        <v>8381</v>
      </c>
      <c r="I490" s="823">
        <f t="shared" si="49"/>
        <v>100</v>
      </c>
    </row>
    <row r="491" spans="1:9" ht="14.25" x14ac:dyDescent="0.2">
      <c r="A491" s="747"/>
      <c r="B491" s="750"/>
      <c r="C491" s="1393"/>
      <c r="D491" s="748" t="s">
        <v>799</v>
      </c>
      <c r="E491" s="2674" t="s">
        <v>2055</v>
      </c>
      <c r="F491" s="833"/>
      <c r="G491" s="1296">
        <v>87</v>
      </c>
      <c r="H491" s="1296">
        <v>87</v>
      </c>
      <c r="I491" s="1300">
        <f t="shared" ref="I491" si="51">(H491/G491)*100</f>
        <v>100</v>
      </c>
    </row>
    <row r="492" spans="1:9" ht="15" x14ac:dyDescent="0.25">
      <c r="A492" s="747"/>
      <c r="B492" s="750"/>
      <c r="C492" s="1393"/>
      <c r="D492" s="568"/>
      <c r="E492" s="2675"/>
      <c r="F492" s="846"/>
      <c r="G492" s="837"/>
      <c r="H492" s="837"/>
      <c r="I492" s="828"/>
    </row>
    <row r="493" spans="1:9" ht="15.75" customHeight="1" x14ac:dyDescent="0.25">
      <c r="A493" s="431">
        <v>1036</v>
      </c>
      <c r="B493" s="750">
        <v>3141</v>
      </c>
      <c r="C493" s="1393">
        <v>5331</v>
      </c>
      <c r="D493" s="842"/>
      <c r="E493" s="672" t="s">
        <v>951</v>
      </c>
      <c r="F493" s="835">
        <v>40</v>
      </c>
      <c r="G493" s="835">
        <v>40</v>
      </c>
      <c r="H493" s="835">
        <v>40</v>
      </c>
      <c r="I493" s="836">
        <f t="shared" si="49"/>
        <v>100</v>
      </c>
    </row>
    <row r="494" spans="1:9" ht="15" customHeight="1" x14ac:dyDescent="0.2">
      <c r="A494" s="431"/>
      <c r="B494" s="750"/>
      <c r="C494" s="1393"/>
      <c r="D494" s="552" t="s">
        <v>570</v>
      </c>
      <c r="E494" s="455" t="s">
        <v>71</v>
      </c>
      <c r="F494" s="833">
        <v>40</v>
      </c>
      <c r="G494" s="833">
        <v>40</v>
      </c>
      <c r="H494" s="833">
        <v>40</v>
      </c>
      <c r="I494" s="828">
        <f t="shared" si="49"/>
        <v>100</v>
      </c>
    </row>
    <row r="495" spans="1:9" ht="16.5" customHeight="1" x14ac:dyDescent="0.25">
      <c r="A495" s="431">
        <v>1036</v>
      </c>
      <c r="B495" s="750">
        <v>3141</v>
      </c>
      <c r="C495" s="1393">
        <v>5336</v>
      </c>
      <c r="D495" s="552"/>
      <c r="E495" s="672" t="s">
        <v>2054</v>
      </c>
      <c r="F495" s="833"/>
      <c r="G495" s="846">
        <v>20</v>
      </c>
      <c r="H495" s="846">
        <v>20</v>
      </c>
      <c r="I495" s="836">
        <f t="shared" si="49"/>
        <v>100</v>
      </c>
    </row>
    <row r="496" spans="1:9" ht="15" customHeight="1" x14ac:dyDescent="0.2">
      <c r="A496" s="431"/>
      <c r="B496" s="750"/>
      <c r="C496" s="1393"/>
      <c r="D496" s="552" t="s">
        <v>1124</v>
      </c>
      <c r="E496" s="455" t="s">
        <v>792</v>
      </c>
      <c r="F496" s="833"/>
      <c r="G496" s="833">
        <v>20</v>
      </c>
      <c r="H496" s="833">
        <v>20</v>
      </c>
      <c r="I496" s="828">
        <f t="shared" si="49"/>
        <v>100</v>
      </c>
    </row>
    <row r="497" spans="1:20" ht="15" x14ac:dyDescent="0.25">
      <c r="A497" s="431">
        <v>1036</v>
      </c>
      <c r="B497" s="750">
        <v>3143</v>
      </c>
      <c r="C497" s="750">
        <v>5331</v>
      </c>
      <c r="D497" s="859"/>
      <c r="E497" s="672" t="s">
        <v>951</v>
      </c>
      <c r="F497" s="835">
        <v>2</v>
      </c>
      <c r="G497" s="835">
        <v>2</v>
      </c>
      <c r="H497" s="835">
        <v>2</v>
      </c>
      <c r="I497" s="836">
        <f t="shared" si="49"/>
        <v>100</v>
      </c>
    </row>
    <row r="498" spans="1:20" ht="14.25" x14ac:dyDescent="0.2">
      <c r="A498" s="431"/>
      <c r="B498" s="750"/>
      <c r="C498" s="750"/>
      <c r="D498" s="552" t="s">
        <v>570</v>
      </c>
      <c r="E498" s="455" t="s">
        <v>71</v>
      </c>
      <c r="F498" s="833">
        <v>2</v>
      </c>
      <c r="G498" s="833">
        <v>2</v>
      </c>
      <c r="H498" s="833">
        <v>2</v>
      </c>
      <c r="I498" s="828">
        <f t="shared" si="49"/>
        <v>100</v>
      </c>
    </row>
    <row r="499" spans="1:20" ht="15" x14ac:dyDescent="0.25">
      <c r="A499" s="431">
        <v>1036</v>
      </c>
      <c r="B499" s="750">
        <v>3143</v>
      </c>
      <c r="C499" s="750">
        <v>5336</v>
      </c>
      <c r="D499" s="552"/>
      <c r="E499" s="672" t="s">
        <v>2054</v>
      </c>
      <c r="F499" s="833"/>
      <c r="G499" s="846">
        <v>557</v>
      </c>
      <c r="H499" s="846">
        <v>557</v>
      </c>
      <c r="I499" s="838">
        <f t="shared" si="49"/>
        <v>100</v>
      </c>
    </row>
    <row r="500" spans="1:20" ht="15" thickBot="1" x14ac:dyDescent="0.25">
      <c r="A500" s="431"/>
      <c r="B500" s="750"/>
      <c r="C500" s="1393"/>
      <c r="D500" s="552" t="s">
        <v>1124</v>
      </c>
      <c r="E500" s="455" t="s">
        <v>792</v>
      </c>
      <c r="F500" s="833"/>
      <c r="G500" s="833">
        <v>557</v>
      </c>
      <c r="H500" s="833">
        <v>557</v>
      </c>
      <c r="I500" s="828">
        <f t="shared" si="49"/>
        <v>100</v>
      </c>
    </row>
    <row r="501" spans="1:20" ht="16.5" thickTop="1" thickBot="1" x14ac:dyDescent="0.3">
      <c r="A501" s="2672" t="s">
        <v>1105</v>
      </c>
      <c r="B501" s="2673"/>
      <c r="C501" s="2673"/>
      <c r="D501" s="2673"/>
      <c r="E501" s="2673"/>
      <c r="F501" s="824">
        <f>SUM(F497,F478,F493,F474)</f>
        <v>2587</v>
      </c>
      <c r="G501" s="824">
        <f>SUM(G497,G478,G493,G474,G486,G476,G495,G499)</f>
        <v>12569</v>
      </c>
      <c r="H501" s="824">
        <f>SUM(H497,H478,H493,H474,H486,H476,H495,H499)</f>
        <v>12569</v>
      </c>
      <c r="I501" s="825">
        <f t="shared" si="49"/>
        <v>100</v>
      </c>
      <c r="R501" s="382">
        <f>F501</f>
        <v>2587</v>
      </c>
      <c r="S501" s="382">
        <f>G501</f>
        <v>12569</v>
      </c>
      <c r="T501" s="382">
        <f>H501</f>
        <v>12569</v>
      </c>
    </row>
    <row r="502" spans="1:20" ht="15.75" thickTop="1" x14ac:dyDescent="0.25">
      <c r="A502" s="368"/>
      <c r="B502" s="368"/>
      <c r="C502" s="368"/>
      <c r="D502" s="368"/>
      <c r="E502" s="368"/>
      <c r="F502" s="181"/>
      <c r="G502" s="181"/>
      <c r="H502" s="181"/>
      <c r="I502" s="210"/>
      <c r="R502" s="382"/>
      <c r="S502" s="382"/>
      <c r="T502" s="382"/>
    </row>
    <row r="503" spans="1:20" ht="13.5" thickBot="1" x14ac:dyDescent="0.25">
      <c r="A503" s="432" t="s">
        <v>89</v>
      </c>
      <c r="I503" s="1390" t="s">
        <v>161</v>
      </c>
    </row>
    <row r="504" spans="1:20" s="107" customFormat="1" ht="20.25" customHeight="1" thickTop="1" thickBot="1" x14ac:dyDescent="0.25">
      <c r="A504" s="631" t="s">
        <v>624</v>
      </c>
      <c r="B504" s="774" t="s">
        <v>162</v>
      </c>
      <c r="C504" s="632" t="s">
        <v>163</v>
      </c>
      <c r="D504" s="634" t="s">
        <v>705</v>
      </c>
      <c r="E504" s="634" t="s">
        <v>164</v>
      </c>
      <c r="F504" s="634" t="s">
        <v>165</v>
      </c>
      <c r="G504" s="634" t="s">
        <v>881</v>
      </c>
      <c r="H504" s="634" t="s">
        <v>882</v>
      </c>
      <c r="I504" s="818" t="s">
        <v>883</v>
      </c>
    </row>
    <row r="505" spans="1:20" s="383" customFormat="1" ht="13.5" thickTop="1" thickBot="1" x14ac:dyDescent="0.25">
      <c r="A505" s="566">
        <v>1</v>
      </c>
      <c r="B505" s="567">
        <v>2</v>
      </c>
      <c r="C505" s="567">
        <v>3</v>
      </c>
      <c r="D505" s="567">
        <v>4</v>
      </c>
      <c r="E505" s="567">
        <v>5</v>
      </c>
      <c r="F505" s="541">
        <v>6</v>
      </c>
      <c r="G505" s="541">
        <v>7</v>
      </c>
      <c r="H505" s="542">
        <v>8</v>
      </c>
      <c r="I505" s="636" t="s">
        <v>762</v>
      </c>
    </row>
    <row r="506" spans="1:20" ht="15.75" thickTop="1" x14ac:dyDescent="0.25">
      <c r="A506" s="1391">
        <v>1037</v>
      </c>
      <c r="B506" s="775">
        <v>3112</v>
      </c>
      <c r="C506" s="775">
        <v>5336</v>
      </c>
      <c r="D506" s="839"/>
      <c r="E506" s="672" t="s">
        <v>2054</v>
      </c>
      <c r="F506" s="861"/>
      <c r="G506" s="861">
        <v>500</v>
      </c>
      <c r="H506" s="861">
        <v>500</v>
      </c>
      <c r="I506" s="826">
        <f t="shared" ref="I506:I521" si="52">(H506/G506)*100</f>
        <v>100</v>
      </c>
    </row>
    <row r="507" spans="1:20" ht="14.25" x14ac:dyDescent="0.2">
      <c r="A507" s="431"/>
      <c r="B507" s="673"/>
      <c r="C507" s="673"/>
      <c r="D507" s="552" t="s">
        <v>1124</v>
      </c>
      <c r="E507" s="455" t="s">
        <v>792</v>
      </c>
      <c r="F507" s="827"/>
      <c r="G507" s="827">
        <v>500</v>
      </c>
      <c r="H507" s="827">
        <v>500</v>
      </c>
      <c r="I507" s="823">
        <f t="shared" si="52"/>
        <v>100</v>
      </c>
    </row>
    <row r="508" spans="1:20" ht="15" x14ac:dyDescent="0.25">
      <c r="A508" s="431">
        <v>1037</v>
      </c>
      <c r="B508" s="750">
        <v>3114</v>
      </c>
      <c r="C508" s="750">
        <v>5331</v>
      </c>
      <c r="D508" s="859"/>
      <c r="E508" s="672" t="s">
        <v>951</v>
      </c>
      <c r="F508" s="835">
        <v>2019</v>
      </c>
      <c r="G508" s="835">
        <v>1999</v>
      </c>
      <c r="H508" s="835">
        <v>1999</v>
      </c>
      <c r="I508" s="836">
        <f t="shared" si="52"/>
        <v>100</v>
      </c>
    </row>
    <row r="509" spans="1:20" ht="14.25" x14ac:dyDescent="0.2">
      <c r="A509" s="431"/>
      <c r="B509" s="750"/>
      <c r="C509" s="750"/>
      <c r="D509" s="552" t="s">
        <v>570</v>
      </c>
      <c r="E509" s="455" t="s">
        <v>71</v>
      </c>
      <c r="F509" s="833">
        <v>2019</v>
      </c>
      <c r="G509" s="833">
        <v>1999</v>
      </c>
      <c r="H509" s="833">
        <v>1999</v>
      </c>
      <c r="I509" s="828">
        <f t="shared" si="52"/>
        <v>100</v>
      </c>
    </row>
    <row r="510" spans="1:20" s="1750" customFormat="1" ht="15" x14ac:dyDescent="0.25">
      <c r="A510" s="2112">
        <v>1037</v>
      </c>
      <c r="B510" s="750">
        <v>3114</v>
      </c>
      <c r="C510" s="750">
        <v>5336</v>
      </c>
      <c r="D510" s="1295"/>
      <c r="E510" s="672" t="s">
        <v>2054</v>
      </c>
      <c r="F510" s="1296"/>
      <c r="G510" s="1298">
        <f>G511+G513+G514</f>
        <v>12088</v>
      </c>
      <c r="H510" s="1298">
        <f>H511+H513+H514</f>
        <v>12088</v>
      </c>
      <c r="I510" s="836">
        <f t="shared" si="52"/>
        <v>100</v>
      </c>
    </row>
    <row r="511" spans="1:20" s="1750" customFormat="1" ht="14.25" x14ac:dyDescent="0.2">
      <c r="A511" s="2112"/>
      <c r="B511" s="750"/>
      <c r="C511" s="750"/>
      <c r="D511" s="1068" t="s">
        <v>1911</v>
      </c>
      <c r="E511" s="2671" t="s">
        <v>2051</v>
      </c>
      <c r="F511" s="827"/>
      <c r="G511" s="837">
        <v>62</v>
      </c>
      <c r="H511" s="837">
        <v>62</v>
      </c>
      <c r="I511" s="823">
        <f t="shared" si="52"/>
        <v>100</v>
      </c>
    </row>
    <row r="512" spans="1:20" s="1750" customFormat="1" ht="15" x14ac:dyDescent="0.25">
      <c r="A512" s="2112"/>
      <c r="B512" s="750"/>
      <c r="C512" s="750"/>
      <c r="D512" s="1068"/>
      <c r="E512" s="2671"/>
      <c r="F512" s="827"/>
      <c r="G512" s="846"/>
      <c r="H512" s="846"/>
      <c r="I512" s="853"/>
    </row>
    <row r="513" spans="1:20" s="1750" customFormat="1" ht="15" x14ac:dyDescent="0.2">
      <c r="A513" s="2112"/>
      <c r="B513" s="750"/>
      <c r="C513" s="750"/>
      <c r="D513" s="1068" t="s">
        <v>1913</v>
      </c>
      <c r="E513" s="2113" t="s">
        <v>2052</v>
      </c>
      <c r="F513" s="2530"/>
      <c r="G513" s="2531">
        <v>92</v>
      </c>
      <c r="H513" s="2531">
        <v>92</v>
      </c>
      <c r="I513" s="376">
        <f t="shared" ref="I513" si="53">(H513/G513)*100</f>
        <v>100</v>
      </c>
    </row>
    <row r="514" spans="1:20" s="1750" customFormat="1" ht="14.25" x14ac:dyDescent="0.2">
      <c r="A514" s="2112"/>
      <c r="B514" s="750"/>
      <c r="C514" s="750"/>
      <c r="D514" s="552" t="s">
        <v>1124</v>
      </c>
      <c r="E514" s="455" t="s">
        <v>792</v>
      </c>
      <c r="F514" s="1296"/>
      <c r="G514" s="1296">
        <v>11934</v>
      </c>
      <c r="H514" s="1296">
        <v>11934</v>
      </c>
      <c r="I514" s="828">
        <f t="shared" si="52"/>
        <v>100</v>
      </c>
    </row>
    <row r="515" spans="1:20" ht="15" x14ac:dyDescent="0.25">
      <c r="A515" s="431">
        <v>1037</v>
      </c>
      <c r="B515" s="750">
        <v>3141</v>
      </c>
      <c r="C515" s="750">
        <v>5331</v>
      </c>
      <c r="D515" s="859"/>
      <c r="E515" s="672" t="s">
        <v>951</v>
      </c>
      <c r="F515" s="835">
        <v>15</v>
      </c>
      <c r="G515" s="835">
        <v>15</v>
      </c>
      <c r="H515" s="835">
        <v>15</v>
      </c>
      <c r="I515" s="836">
        <f t="shared" si="52"/>
        <v>100</v>
      </c>
    </row>
    <row r="516" spans="1:20" ht="14.25" x14ac:dyDescent="0.2">
      <c r="A516" s="431"/>
      <c r="B516" s="750"/>
      <c r="C516" s="750"/>
      <c r="D516" s="552" t="s">
        <v>570</v>
      </c>
      <c r="E516" s="455" t="s">
        <v>71</v>
      </c>
      <c r="F516" s="833">
        <v>15</v>
      </c>
      <c r="G516" s="833">
        <v>15</v>
      </c>
      <c r="H516" s="833">
        <v>15</v>
      </c>
      <c r="I516" s="828">
        <f t="shared" si="52"/>
        <v>100</v>
      </c>
    </row>
    <row r="517" spans="1:20" ht="15" x14ac:dyDescent="0.25">
      <c r="A517" s="431">
        <v>1037</v>
      </c>
      <c r="B517" s="750">
        <v>3143</v>
      </c>
      <c r="C517" s="750">
        <v>5336</v>
      </c>
      <c r="D517" s="859"/>
      <c r="E517" s="672" t="s">
        <v>2054</v>
      </c>
      <c r="F517" s="835"/>
      <c r="G517" s="835">
        <v>627</v>
      </c>
      <c r="H517" s="835">
        <v>627</v>
      </c>
      <c r="I517" s="836">
        <f t="shared" si="52"/>
        <v>100</v>
      </c>
    </row>
    <row r="518" spans="1:20" ht="18" customHeight="1" x14ac:dyDescent="0.2">
      <c r="A518" s="431"/>
      <c r="B518" s="750"/>
      <c r="C518" s="1393"/>
      <c r="D518" s="552" t="s">
        <v>1124</v>
      </c>
      <c r="E518" s="455" t="s">
        <v>792</v>
      </c>
      <c r="F518" s="833"/>
      <c r="G518" s="833">
        <v>627</v>
      </c>
      <c r="H518" s="833">
        <v>627</v>
      </c>
      <c r="I518" s="828">
        <f t="shared" si="52"/>
        <v>100</v>
      </c>
    </row>
    <row r="519" spans="1:20" ht="18" customHeight="1" x14ac:dyDescent="0.25">
      <c r="A519" s="431">
        <v>1037</v>
      </c>
      <c r="B519" s="750">
        <v>3792</v>
      </c>
      <c r="C519" s="1393">
        <v>5331</v>
      </c>
      <c r="D519" s="552"/>
      <c r="E519" s="672" t="s">
        <v>951</v>
      </c>
      <c r="F519" s="833"/>
      <c r="G519" s="846">
        <v>10</v>
      </c>
      <c r="H519" s="846">
        <v>10</v>
      </c>
      <c r="I519" s="836">
        <f t="shared" si="52"/>
        <v>100</v>
      </c>
    </row>
    <row r="520" spans="1:20" ht="18" customHeight="1" thickBot="1" x14ac:dyDescent="0.25">
      <c r="A520" s="431"/>
      <c r="B520" s="750"/>
      <c r="C520" s="1393"/>
      <c r="D520" s="1059" t="s">
        <v>1319</v>
      </c>
      <c r="E520" s="1161" t="s">
        <v>369</v>
      </c>
      <c r="F520" s="833"/>
      <c r="G520" s="833">
        <v>10</v>
      </c>
      <c r="H520" s="833">
        <v>10</v>
      </c>
      <c r="I520" s="828">
        <f t="shared" si="52"/>
        <v>100</v>
      </c>
    </row>
    <row r="521" spans="1:20" ht="18" customHeight="1" thickTop="1" thickBot="1" x14ac:dyDescent="0.3">
      <c r="A521" s="2672" t="s">
        <v>1105</v>
      </c>
      <c r="B521" s="2673"/>
      <c r="C521" s="2673"/>
      <c r="D521" s="2673"/>
      <c r="E521" s="2673"/>
      <c r="F521" s="824">
        <f>SUM(F506,F508,F515,F517)</f>
        <v>2034</v>
      </c>
      <c r="G521" s="824">
        <f>SUM(G506,G508,G515,G517,G510,G519)</f>
        <v>15239</v>
      </c>
      <c r="H521" s="824">
        <f>SUM(H506,H508,H515,H517,H510,H519)</f>
        <v>15239</v>
      </c>
      <c r="I521" s="825">
        <f t="shared" si="52"/>
        <v>100</v>
      </c>
      <c r="R521" s="382">
        <f>F521</f>
        <v>2034</v>
      </c>
      <c r="S521" s="382">
        <f>G521</f>
        <v>15239</v>
      </c>
      <c r="T521" s="382">
        <f>H521</f>
        <v>15239</v>
      </c>
    </row>
    <row r="522" spans="1:20" ht="18" customHeight="1" thickTop="1" x14ac:dyDescent="0.25">
      <c r="A522" s="368"/>
      <c r="B522" s="368"/>
      <c r="C522" s="368"/>
      <c r="D522" s="368"/>
      <c r="E522" s="368"/>
      <c r="F522" s="181"/>
      <c r="G522" s="181"/>
      <c r="H522" s="181"/>
      <c r="I522" s="210"/>
      <c r="R522" s="382"/>
      <c r="S522" s="382"/>
      <c r="T522" s="382"/>
    </row>
    <row r="523" spans="1:20" ht="16.5" customHeight="1" thickBot="1" x14ac:dyDescent="0.25">
      <c r="A523" s="432" t="s">
        <v>1445</v>
      </c>
      <c r="I523" s="1390" t="s">
        <v>161</v>
      </c>
    </row>
    <row r="524" spans="1:20" s="107" customFormat="1" thickTop="1" thickBot="1" x14ac:dyDescent="0.25">
      <c r="A524" s="631" t="s">
        <v>624</v>
      </c>
      <c r="B524" s="774" t="s">
        <v>162</v>
      </c>
      <c r="C524" s="632" t="s">
        <v>163</v>
      </c>
      <c r="D524" s="634" t="s">
        <v>705</v>
      </c>
      <c r="E524" s="634" t="s">
        <v>164</v>
      </c>
      <c r="F524" s="634" t="s">
        <v>165</v>
      </c>
      <c r="G524" s="634" t="s">
        <v>881</v>
      </c>
      <c r="H524" s="634" t="s">
        <v>882</v>
      </c>
      <c r="I524" s="818" t="s">
        <v>883</v>
      </c>
    </row>
    <row r="525" spans="1:20" s="1506" customFormat="1" ht="13.5" thickTop="1" thickBot="1" x14ac:dyDescent="0.25">
      <c r="A525" s="1501">
        <v>1</v>
      </c>
      <c r="B525" s="1502">
        <v>2</v>
      </c>
      <c r="C525" s="1502">
        <v>3</v>
      </c>
      <c r="D525" s="1502">
        <v>4</v>
      </c>
      <c r="E525" s="1502">
        <v>5</v>
      </c>
      <c r="F525" s="1503">
        <v>6</v>
      </c>
      <c r="G525" s="1503">
        <v>7</v>
      </c>
      <c r="H525" s="1504">
        <v>8</v>
      </c>
      <c r="I525" s="1505" t="s">
        <v>762</v>
      </c>
    </row>
    <row r="526" spans="1:20" s="1483" customFormat="1" ht="15.75" thickTop="1" x14ac:dyDescent="0.2">
      <c r="A526" s="1484">
        <v>1038</v>
      </c>
      <c r="B526" s="1485">
        <v>3114</v>
      </c>
      <c r="C526" s="1485">
        <v>5331</v>
      </c>
      <c r="D526" s="1486"/>
      <c r="E526" s="1487" t="s">
        <v>951</v>
      </c>
      <c r="F526" s="1488">
        <f>SUM(F527:F528)</f>
        <v>1134</v>
      </c>
      <c r="G526" s="1488">
        <f>SUM(G527:G528)</f>
        <v>1137</v>
      </c>
      <c r="H526" s="1488">
        <f>SUM(H527:H528)</f>
        <v>1137</v>
      </c>
      <c r="I526" s="1489">
        <f t="shared" ref="I526:I556" si="54">(H526/G526)*100</f>
        <v>100</v>
      </c>
    </row>
    <row r="527" spans="1:20" s="1483" customFormat="1" ht="14.25" x14ac:dyDescent="0.2">
      <c r="A527" s="1507"/>
      <c r="B527" s="1508"/>
      <c r="C527" s="1508"/>
      <c r="D527" s="857" t="s">
        <v>575</v>
      </c>
      <c r="E527" s="1509" t="s">
        <v>793</v>
      </c>
      <c r="F527" s="1301">
        <v>559</v>
      </c>
      <c r="G527" s="1301">
        <v>568</v>
      </c>
      <c r="H527" s="1301">
        <v>568</v>
      </c>
      <c r="I527" s="1297">
        <f t="shared" si="54"/>
        <v>100</v>
      </c>
    </row>
    <row r="528" spans="1:20" ht="14.25" x14ac:dyDescent="0.2">
      <c r="A528" s="431"/>
      <c r="B528" s="673"/>
      <c r="C528" s="840"/>
      <c r="D528" s="552" t="s">
        <v>570</v>
      </c>
      <c r="E528" s="455" t="s">
        <v>71</v>
      </c>
      <c r="F528" s="827">
        <v>575</v>
      </c>
      <c r="G528" s="827">
        <v>569</v>
      </c>
      <c r="H528" s="827">
        <v>569</v>
      </c>
      <c r="I528" s="823">
        <f t="shared" si="54"/>
        <v>100</v>
      </c>
    </row>
    <row r="529" spans="1:9" ht="15" x14ac:dyDescent="0.25">
      <c r="A529" s="431">
        <v>1038</v>
      </c>
      <c r="B529" s="750">
        <v>3114</v>
      </c>
      <c r="C529" s="1393">
        <v>5336</v>
      </c>
      <c r="D529" s="1295"/>
      <c r="E529" s="672" t="s">
        <v>2054</v>
      </c>
      <c r="F529" s="1296"/>
      <c r="G529" s="1298">
        <f>G530+G532+G533+G535+G536+G538+G539</f>
        <v>9280</v>
      </c>
      <c r="H529" s="1298">
        <f>H530+H532+H533+H535+H536+H538+H539</f>
        <v>9280</v>
      </c>
      <c r="I529" s="836">
        <f t="shared" si="54"/>
        <v>100</v>
      </c>
    </row>
    <row r="530" spans="1:9" ht="14.25" x14ac:dyDescent="0.2">
      <c r="A530" s="431"/>
      <c r="B530" s="750"/>
      <c r="C530" s="1393"/>
      <c r="D530" s="1325" t="s">
        <v>1169</v>
      </c>
      <c r="E530" s="2678" t="s">
        <v>1825</v>
      </c>
      <c r="F530" s="827"/>
      <c r="G530" s="827">
        <v>10</v>
      </c>
      <c r="H530" s="827">
        <v>10</v>
      </c>
      <c r="I530" s="823">
        <f t="shared" ref="I530" si="55">(H530/G530)*100</f>
        <v>100</v>
      </c>
    </row>
    <row r="531" spans="1:9" ht="14.25" x14ac:dyDescent="0.2">
      <c r="A531" s="431"/>
      <c r="B531" s="750"/>
      <c r="C531" s="1393"/>
      <c r="D531" s="1325"/>
      <c r="E531" s="2678"/>
      <c r="F531" s="827"/>
      <c r="G531" s="827"/>
      <c r="H531" s="827"/>
      <c r="I531" s="823"/>
    </row>
    <row r="532" spans="1:9" ht="14.25" x14ac:dyDescent="0.2">
      <c r="A532" s="431"/>
      <c r="B532" s="750"/>
      <c r="C532" s="1393"/>
      <c r="D532" s="1068" t="s">
        <v>1903</v>
      </c>
      <c r="E532" s="2546" t="s">
        <v>2032</v>
      </c>
      <c r="F532" s="314"/>
      <c r="G532" s="316">
        <v>3</v>
      </c>
      <c r="H532" s="316">
        <v>3</v>
      </c>
      <c r="I532" s="1074">
        <f t="shared" ref="I532:I533" si="56">(H532/G532)*100</f>
        <v>100</v>
      </c>
    </row>
    <row r="533" spans="1:9" ht="14.25" customHeight="1" x14ac:dyDescent="0.2">
      <c r="A533" s="431"/>
      <c r="B533" s="750"/>
      <c r="C533" s="1393"/>
      <c r="D533" s="1068" t="s">
        <v>1911</v>
      </c>
      <c r="E533" s="2671" t="s">
        <v>2051</v>
      </c>
      <c r="F533" s="827"/>
      <c r="G533" s="837">
        <v>80</v>
      </c>
      <c r="H533" s="837">
        <v>80</v>
      </c>
      <c r="I533" s="823">
        <f t="shared" si="56"/>
        <v>100</v>
      </c>
    </row>
    <row r="534" spans="1:9" ht="15" x14ac:dyDescent="0.25">
      <c r="A534" s="431"/>
      <c r="B534" s="750"/>
      <c r="C534" s="1393"/>
      <c r="D534" s="1068"/>
      <c r="E534" s="2671"/>
      <c r="F534" s="827"/>
      <c r="G534" s="846"/>
      <c r="H534" s="846"/>
      <c r="I534" s="853"/>
    </row>
    <row r="535" spans="1:9" ht="15" x14ac:dyDescent="0.2">
      <c r="A535" s="431"/>
      <c r="B535" s="750"/>
      <c r="C535" s="1393"/>
      <c r="D535" s="1068" t="s">
        <v>1913</v>
      </c>
      <c r="E535" s="2113" t="s">
        <v>2052</v>
      </c>
      <c r="F535" s="2530"/>
      <c r="G535" s="2531">
        <v>95</v>
      </c>
      <c r="H535" s="2531">
        <v>95</v>
      </c>
      <c r="I535" s="376">
        <f t="shared" ref="I535:I536" si="57">(H535/G535)*100</f>
        <v>100</v>
      </c>
    </row>
    <row r="536" spans="1:9" ht="14.25" customHeight="1" x14ac:dyDescent="0.2">
      <c r="A536" s="431"/>
      <c r="B536" s="750"/>
      <c r="C536" s="1393"/>
      <c r="D536" s="1068" t="s">
        <v>1929</v>
      </c>
      <c r="E536" s="2671" t="s">
        <v>2056</v>
      </c>
      <c r="F536" s="314"/>
      <c r="G536" s="316">
        <v>46</v>
      </c>
      <c r="H536" s="316">
        <v>46</v>
      </c>
      <c r="I536" s="1074">
        <f t="shared" si="57"/>
        <v>100</v>
      </c>
    </row>
    <row r="537" spans="1:9" ht="14.25" x14ac:dyDescent="0.2">
      <c r="A537" s="431"/>
      <c r="B537" s="750"/>
      <c r="C537" s="1393"/>
      <c r="D537" s="1068"/>
      <c r="E537" s="2671"/>
      <c r="F537" s="314"/>
      <c r="G537" s="316"/>
      <c r="H537" s="316"/>
      <c r="I537" s="1074"/>
    </row>
    <row r="538" spans="1:9" ht="14.25" x14ac:dyDescent="0.2">
      <c r="A538" s="431"/>
      <c r="B538" s="750"/>
      <c r="C538" s="1393"/>
      <c r="D538" s="552" t="s">
        <v>1124</v>
      </c>
      <c r="E538" s="455" t="s">
        <v>792</v>
      </c>
      <c r="F538" s="1296"/>
      <c r="G538" s="1296">
        <v>8838</v>
      </c>
      <c r="H538" s="1296">
        <v>8838</v>
      </c>
      <c r="I538" s="823">
        <f t="shared" si="54"/>
        <v>100</v>
      </c>
    </row>
    <row r="539" spans="1:9" ht="14.25" x14ac:dyDescent="0.2">
      <c r="A539" s="431"/>
      <c r="B539" s="750"/>
      <c r="C539" s="1393"/>
      <c r="D539" s="748" t="s">
        <v>799</v>
      </c>
      <c r="E539" s="2674" t="s">
        <v>2055</v>
      </c>
      <c r="F539" s="833"/>
      <c r="G539" s="1296">
        <v>208</v>
      </c>
      <c r="H539" s="1296">
        <v>208</v>
      </c>
      <c r="I539" s="1300">
        <f t="shared" si="54"/>
        <v>100</v>
      </c>
    </row>
    <row r="540" spans="1:9" ht="15" x14ac:dyDescent="0.25">
      <c r="A540" s="431"/>
      <c r="B540" s="750"/>
      <c r="C540" s="1393"/>
      <c r="D540" s="568"/>
      <c r="E540" s="2675"/>
      <c r="F540" s="846"/>
      <c r="G540" s="837"/>
      <c r="H540" s="837"/>
      <c r="I540" s="828"/>
    </row>
    <row r="541" spans="1:9" ht="15" x14ac:dyDescent="0.25">
      <c r="A541" s="431">
        <v>1038</v>
      </c>
      <c r="B541" s="750">
        <v>3124</v>
      </c>
      <c r="C541" s="750">
        <v>5336</v>
      </c>
      <c r="D541" s="1295"/>
      <c r="E541" s="672" t="s">
        <v>2054</v>
      </c>
      <c r="F541" s="1298"/>
      <c r="G541" s="1298">
        <f>G542+G544</f>
        <v>2107</v>
      </c>
      <c r="H541" s="1298">
        <f>H542+H544</f>
        <v>2107</v>
      </c>
      <c r="I541" s="836">
        <f t="shared" si="54"/>
        <v>100</v>
      </c>
    </row>
    <row r="542" spans="1:9" ht="14.25" x14ac:dyDescent="0.2">
      <c r="A542" s="431"/>
      <c r="B542" s="750"/>
      <c r="C542" s="750"/>
      <c r="D542" s="1068" t="s">
        <v>1911</v>
      </c>
      <c r="E542" s="2671" t="s">
        <v>2051</v>
      </c>
      <c r="F542" s="827"/>
      <c r="G542" s="837">
        <v>22</v>
      </c>
      <c r="H542" s="837">
        <v>22</v>
      </c>
      <c r="I542" s="823">
        <f t="shared" si="54"/>
        <v>100</v>
      </c>
    </row>
    <row r="543" spans="1:9" ht="15" x14ac:dyDescent="0.25">
      <c r="A543" s="431"/>
      <c r="B543" s="750"/>
      <c r="C543" s="750"/>
      <c r="D543" s="1068"/>
      <c r="E543" s="2671"/>
      <c r="F543" s="827"/>
      <c r="G543" s="846"/>
      <c r="H543" s="846"/>
      <c r="I543" s="853"/>
    </row>
    <row r="544" spans="1:9" ht="15" x14ac:dyDescent="0.2">
      <c r="A544" s="431"/>
      <c r="B544" s="673"/>
      <c r="C544" s="673"/>
      <c r="D544" s="552" t="s">
        <v>1124</v>
      </c>
      <c r="E544" s="455" t="s">
        <v>792</v>
      </c>
      <c r="F544" s="1559"/>
      <c r="G544" s="1377">
        <v>2085</v>
      </c>
      <c r="H544" s="1377">
        <v>2085</v>
      </c>
      <c r="I544" s="823">
        <f t="shared" si="54"/>
        <v>100</v>
      </c>
    </row>
    <row r="545" spans="1:20" ht="15" x14ac:dyDescent="0.25">
      <c r="A545" s="431">
        <v>1038</v>
      </c>
      <c r="B545" s="673">
        <v>3141</v>
      </c>
      <c r="C545" s="673">
        <v>5336</v>
      </c>
      <c r="D545" s="552"/>
      <c r="E545" s="672" t="s">
        <v>2054</v>
      </c>
      <c r="F545" s="1559"/>
      <c r="G545" s="1559">
        <v>47</v>
      </c>
      <c r="H545" s="1559">
        <v>47</v>
      </c>
      <c r="I545" s="853">
        <f t="shared" si="54"/>
        <v>100</v>
      </c>
    </row>
    <row r="546" spans="1:20" ht="15" x14ac:dyDescent="0.2">
      <c r="A546" s="431"/>
      <c r="B546" s="673"/>
      <c r="C546" s="673"/>
      <c r="D546" s="552" t="s">
        <v>1124</v>
      </c>
      <c r="E546" s="455" t="s">
        <v>792</v>
      </c>
      <c r="F546" s="1559"/>
      <c r="G546" s="1377">
        <v>47</v>
      </c>
      <c r="H546" s="1377">
        <v>47</v>
      </c>
      <c r="I546" s="823">
        <f t="shared" si="54"/>
        <v>100</v>
      </c>
    </row>
    <row r="547" spans="1:20" ht="15" x14ac:dyDescent="0.25">
      <c r="A547" s="431">
        <v>1038</v>
      </c>
      <c r="B547" s="673">
        <v>3142</v>
      </c>
      <c r="C547" s="1392">
        <v>5336</v>
      </c>
      <c r="D547" s="552"/>
      <c r="E547" s="672" t="s">
        <v>2054</v>
      </c>
      <c r="F547" s="827"/>
      <c r="G547" s="851">
        <v>12</v>
      </c>
      <c r="H547" s="851">
        <v>12</v>
      </c>
      <c r="I547" s="853">
        <f t="shared" si="54"/>
        <v>100</v>
      </c>
    </row>
    <row r="548" spans="1:20" ht="14.25" x14ac:dyDescent="0.2">
      <c r="A548" s="431"/>
      <c r="B548" s="673"/>
      <c r="C548" s="1392"/>
      <c r="D548" s="552" t="s">
        <v>1124</v>
      </c>
      <c r="E548" s="455" t="s">
        <v>792</v>
      </c>
      <c r="F548" s="827"/>
      <c r="G548" s="827">
        <v>12</v>
      </c>
      <c r="H548" s="827">
        <v>12</v>
      </c>
      <c r="I548" s="823">
        <f t="shared" si="54"/>
        <v>100</v>
      </c>
    </row>
    <row r="549" spans="1:20" ht="15" x14ac:dyDescent="0.25">
      <c r="A549" s="431">
        <v>1038</v>
      </c>
      <c r="B549" s="750">
        <v>3143</v>
      </c>
      <c r="C549" s="750">
        <v>5336</v>
      </c>
      <c r="D549" s="859"/>
      <c r="E549" s="672" t="s">
        <v>2054</v>
      </c>
      <c r="F549" s="835"/>
      <c r="G549" s="835">
        <v>442</v>
      </c>
      <c r="H549" s="835">
        <v>442</v>
      </c>
      <c r="I549" s="836">
        <f t="shared" si="54"/>
        <v>100</v>
      </c>
    </row>
    <row r="550" spans="1:20" ht="15" thickBot="1" x14ac:dyDescent="0.25">
      <c r="A550" s="431"/>
      <c r="B550" s="750"/>
      <c r="C550" s="750"/>
      <c r="D550" s="552" t="s">
        <v>1124</v>
      </c>
      <c r="E550" s="455" t="s">
        <v>792</v>
      </c>
      <c r="F550" s="833"/>
      <c r="G550" s="833">
        <v>442</v>
      </c>
      <c r="H550" s="833">
        <v>442</v>
      </c>
      <c r="I550" s="828">
        <f t="shared" si="54"/>
        <v>100</v>
      </c>
    </row>
    <row r="551" spans="1:20" ht="15" thickTop="1" x14ac:dyDescent="0.2">
      <c r="A551" s="1511"/>
      <c r="B551" s="654"/>
      <c r="C551" s="654"/>
      <c r="D551" s="1512"/>
      <c r="E551" s="1055"/>
      <c r="F551" s="1513"/>
      <c r="G551" s="1513"/>
      <c r="H551" s="1513"/>
      <c r="I551" s="1514"/>
    </row>
    <row r="552" spans="1:20" ht="16.5" customHeight="1" thickBot="1" x14ac:dyDescent="0.25">
      <c r="A552" s="432"/>
      <c r="I552" s="1390" t="s">
        <v>161</v>
      </c>
    </row>
    <row r="553" spans="1:20" s="107" customFormat="1" thickTop="1" thickBot="1" x14ac:dyDescent="0.25">
      <c r="A553" s="631" t="s">
        <v>624</v>
      </c>
      <c r="B553" s="774" t="s">
        <v>162</v>
      </c>
      <c r="C553" s="632" t="s">
        <v>163</v>
      </c>
      <c r="D553" s="634" t="s">
        <v>705</v>
      </c>
      <c r="E553" s="634" t="s">
        <v>164</v>
      </c>
      <c r="F553" s="634" t="s">
        <v>165</v>
      </c>
      <c r="G553" s="634" t="s">
        <v>881</v>
      </c>
      <c r="H553" s="634" t="s">
        <v>882</v>
      </c>
      <c r="I553" s="818" t="s">
        <v>883</v>
      </c>
    </row>
    <row r="554" spans="1:20" s="1506" customFormat="1" ht="13.5" thickTop="1" thickBot="1" x14ac:dyDescent="0.25">
      <c r="A554" s="1501">
        <v>1</v>
      </c>
      <c r="B554" s="1502">
        <v>2</v>
      </c>
      <c r="C554" s="1502">
        <v>3</v>
      </c>
      <c r="D554" s="1502">
        <v>4</v>
      </c>
      <c r="E554" s="1502">
        <v>5</v>
      </c>
      <c r="F554" s="1503">
        <v>6</v>
      </c>
      <c r="G554" s="1503">
        <v>7</v>
      </c>
      <c r="H554" s="1504">
        <v>8</v>
      </c>
      <c r="I554" s="1505" t="s">
        <v>762</v>
      </c>
    </row>
    <row r="555" spans="1:20" ht="15.75" thickTop="1" x14ac:dyDescent="0.25">
      <c r="A555" s="431">
        <v>1038</v>
      </c>
      <c r="B555" s="750">
        <v>3293</v>
      </c>
      <c r="C555" s="750">
        <v>5336</v>
      </c>
      <c r="D555" s="859"/>
      <c r="E555" s="672" t="s">
        <v>2054</v>
      </c>
      <c r="F555" s="846"/>
      <c r="G555" s="846">
        <v>9</v>
      </c>
      <c r="H555" s="846">
        <v>9</v>
      </c>
      <c r="I555" s="836">
        <f t="shared" si="54"/>
        <v>100</v>
      </c>
    </row>
    <row r="556" spans="1:20" ht="15" thickBot="1" x14ac:dyDescent="0.25">
      <c r="A556" s="431"/>
      <c r="B556" s="750"/>
      <c r="C556" s="750"/>
      <c r="D556" s="1068" t="s">
        <v>1127</v>
      </c>
      <c r="E556" s="2545" t="s">
        <v>1209</v>
      </c>
      <c r="F556" s="833"/>
      <c r="G556" s="833">
        <v>9</v>
      </c>
      <c r="H556" s="833">
        <v>9</v>
      </c>
      <c r="I556" s="828">
        <f t="shared" si="54"/>
        <v>100</v>
      </c>
    </row>
    <row r="557" spans="1:20" ht="16.5" thickTop="1" thickBot="1" x14ac:dyDescent="0.3">
      <c r="A557" s="2672" t="s">
        <v>1105</v>
      </c>
      <c r="B557" s="2673"/>
      <c r="C557" s="2673"/>
      <c r="D557" s="2673"/>
      <c r="E557" s="2673"/>
      <c r="F557" s="824">
        <f>SUM(F526,F549,F541,F555)</f>
        <v>1134</v>
      </c>
      <c r="G557" s="824">
        <f>SUM(G526,G549,G541,G555,G545,G547,G529)</f>
        <v>13034</v>
      </c>
      <c r="H557" s="824">
        <f>SUM(H526,H549,H541,H555,H545,H547,H529)</f>
        <v>13034</v>
      </c>
      <c r="I557" s="825">
        <f>(H557/G557)*100</f>
        <v>100</v>
      </c>
      <c r="R557" s="382">
        <f>F557</f>
        <v>1134</v>
      </c>
      <c r="S557" s="382">
        <f>G557</f>
        <v>13034</v>
      </c>
      <c r="T557" s="382">
        <f>H557</f>
        <v>13034</v>
      </c>
    </row>
    <row r="558" spans="1:20" s="1483" customFormat="1" ht="13.5" thickTop="1" x14ac:dyDescent="0.2">
      <c r="B558" s="1497"/>
      <c r="D558" s="1498"/>
      <c r="F558" s="1496"/>
      <c r="G558" s="1496"/>
      <c r="H558" s="1496"/>
      <c r="I558" s="1499"/>
    </row>
    <row r="559" spans="1:20" s="1483" customFormat="1" x14ac:dyDescent="0.2">
      <c r="B559" s="1497"/>
      <c r="D559" s="1498"/>
      <c r="F559" s="1496"/>
      <c r="G559" s="1496"/>
      <c r="H559" s="1496"/>
      <c r="I559" s="1499"/>
    </row>
    <row r="560" spans="1:20" ht="13.5" thickBot="1" x14ac:dyDescent="0.25">
      <c r="A560" s="432" t="s">
        <v>54</v>
      </c>
      <c r="I560" s="1390" t="s">
        <v>161</v>
      </c>
    </row>
    <row r="561" spans="1:9" s="107" customFormat="1" thickTop="1" thickBot="1" x14ac:dyDescent="0.25">
      <c r="A561" s="631" t="s">
        <v>624</v>
      </c>
      <c r="B561" s="774" t="s">
        <v>162</v>
      </c>
      <c r="C561" s="632" t="s">
        <v>163</v>
      </c>
      <c r="D561" s="634" t="s">
        <v>705</v>
      </c>
      <c r="E561" s="634" t="s">
        <v>164</v>
      </c>
      <c r="F561" s="634" t="s">
        <v>165</v>
      </c>
      <c r="G561" s="634" t="s">
        <v>881</v>
      </c>
      <c r="H561" s="634" t="s">
        <v>882</v>
      </c>
      <c r="I561" s="818" t="s">
        <v>883</v>
      </c>
    </row>
    <row r="562" spans="1:9" s="383" customFormat="1" ht="13.5" thickTop="1" thickBot="1" x14ac:dyDescent="0.25">
      <c r="A562" s="566">
        <v>1</v>
      </c>
      <c r="B562" s="567">
        <v>2</v>
      </c>
      <c r="C562" s="567">
        <v>3</v>
      </c>
      <c r="D562" s="567">
        <v>4</v>
      </c>
      <c r="E562" s="567">
        <v>5</v>
      </c>
      <c r="F562" s="541">
        <v>6</v>
      </c>
      <c r="G562" s="541">
        <v>7</v>
      </c>
      <c r="H562" s="542">
        <v>8</v>
      </c>
      <c r="I562" s="636" t="s">
        <v>762</v>
      </c>
    </row>
    <row r="563" spans="1:9" ht="15.75" thickTop="1" x14ac:dyDescent="0.25">
      <c r="A563" s="1391">
        <v>1040</v>
      </c>
      <c r="B563" s="775">
        <v>3112</v>
      </c>
      <c r="C563" s="775">
        <v>5331</v>
      </c>
      <c r="D563" s="839"/>
      <c r="E563" s="860" t="s">
        <v>951</v>
      </c>
      <c r="F563" s="861">
        <v>555</v>
      </c>
      <c r="G563" s="861">
        <v>549</v>
      </c>
      <c r="H563" s="861">
        <v>549</v>
      </c>
      <c r="I563" s="826">
        <f t="shared" ref="I563:I598" si="58">(H563/G563)*100</f>
        <v>100</v>
      </c>
    </row>
    <row r="564" spans="1:9" ht="14.25" x14ac:dyDescent="0.2">
      <c r="A564" s="431"/>
      <c r="B564" s="673"/>
      <c r="C564" s="673"/>
      <c r="D564" s="552" t="s">
        <v>570</v>
      </c>
      <c r="E564" s="455" t="s">
        <v>71</v>
      </c>
      <c r="F564" s="356">
        <v>555</v>
      </c>
      <c r="G564" s="356">
        <v>549</v>
      </c>
      <c r="H564" s="356">
        <v>549</v>
      </c>
      <c r="I564" s="823">
        <f t="shared" si="58"/>
        <v>100</v>
      </c>
    </row>
    <row r="565" spans="1:9" ht="15" x14ac:dyDescent="0.25">
      <c r="A565" s="431">
        <v>1040</v>
      </c>
      <c r="B565" s="750">
        <v>3112</v>
      </c>
      <c r="C565" s="750">
        <v>5336</v>
      </c>
      <c r="D565" s="859"/>
      <c r="E565" s="672" t="s">
        <v>2054</v>
      </c>
      <c r="F565" s="837"/>
      <c r="G565" s="846">
        <f>G566+G568</f>
        <v>6318</v>
      </c>
      <c r="H565" s="846">
        <f>H566+H568</f>
        <v>6318</v>
      </c>
      <c r="I565" s="821">
        <f t="shared" si="58"/>
        <v>100</v>
      </c>
    </row>
    <row r="566" spans="1:9" ht="14.25" customHeight="1" x14ac:dyDescent="0.2">
      <c r="A566" s="431"/>
      <c r="B566" s="750"/>
      <c r="C566" s="750"/>
      <c r="D566" s="1068" t="s">
        <v>1911</v>
      </c>
      <c r="E566" s="2671" t="s">
        <v>2051</v>
      </c>
      <c r="F566" s="827"/>
      <c r="G566" s="837">
        <v>27</v>
      </c>
      <c r="H566" s="837">
        <v>27</v>
      </c>
      <c r="I566" s="823">
        <f t="shared" si="58"/>
        <v>100</v>
      </c>
    </row>
    <row r="567" spans="1:9" ht="15" x14ac:dyDescent="0.25">
      <c r="A567" s="431"/>
      <c r="B567" s="750"/>
      <c r="C567" s="750"/>
      <c r="D567" s="1068"/>
      <c r="E567" s="2671"/>
      <c r="F567" s="827"/>
      <c r="G567" s="846"/>
      <c r="H567" s="846"/>
      <c r="I567" s="853"/>
    </row>
    <row r="568" spans="1:9" ht="15" x14ac:dyDescent="0.25">
      <c r="A568" s="431"/>
      <c r="B568" s="750"/>
      <c r="C568" s="750"/>
      <c r="D568" s="568" t="s">
        <v>1124</v>
      </c>
      <c r="E568" s="868" t="s">
        <v>792</v>
      </c>
      <c r="F568" s="835"/>
      <c r="G568" s="837">
        <v>6291</v>
      </c>
      <c r="H568" s="837">
        <v>6291</v>
      </c>
      <c r="I568" s="823">
        <f t="shared" si="58"/>
        <v>100</v>
      </c>
    </row>
    <row r="569" spans="1:9" ht="15" x14ac:dyDescent="0.25">
      <c r="A569" s="431">
        <v>1040</v>
      </c>
      <c r="B569" s="673">
        <v>3114</v>
      </c>
      <c r="C569" s="673">
        <v>5331</v>
      </c>
      <c r="D569" s="819"/>
      <c r="E569" s="792" t="s">
        <v>951</v>
      </c>
      <c r="F569" s="820">
        <f>SUM(F570:F571)</f>
        <v>817</v>
      </c>
      <c r="G569" s="820">
        <f>SUM(G570:G571)</f>
        <v>809</v>
      </c>
      <c r="H569" s="820">
        <f>SUM(H570:H571)</f>
        <v>809</v>
      </c>
      <c r="I569" s="821">
        <f t="shared" si="58"/>
        <v>100</v>
      </c>
    </row>
    <row r="570" spans="1:9" ht="14.25" x14ac:dyDescent="0.2">
      <c r="A570" s="431"/>
      <c r="B570" s="673"/>
      <c r="C570" s="673"/>
      <c r="D570" s="707" t="s">
        <v>575</v>
      </c>
      <c r="E570" s="1478" t="s">
        <v>793</v>
      </c>
      <c r="F570" s="827">
        <v>31</v>
      </c>
      <c r="G570" s="827">
        <v>31</v>
      </c>
      <c r="H570" s="827">
        <v>31</v>
      </c>
      <c r="I570" s="823">
        <f t="shared" si="58"/>
        <v>100</v>
      </c>
    </row>
    <row r="571" spans="1:9" ht="14.25" x14ac:dyDescent="0.2">
      <c r="A571" s="431"/>
      <c r="B571" s="673"/>
      <c r="C571" s="673"/>
      <c r="D571" s="552" t="s">
        <v>570</v>
      </c>
      <c r="E571" s="455" t="s">
        <v>71</v>
      </c>
      <c r="F571" s="827">
        <v>786</v>
      </c>
      <c r="G571" s="827">
        <v>778</v>
      </c>
      <c r="H571" s="827">
        <v>778</v>
      </c>
      <c r="I571" s="823">
        <f t="shared" si="58"/>
        <v>100</v>
      </c>
    </row>
    <row r="572" spans="1:9" s="1750" customFormat="1" ht="15" x14ac:dyDescent="0.25">
      <c r="A572" s="2112">
        <v>1040</v>
      </c>
      <c r="B572" s="750">
        <v>3114</v>
      </c>
      <c r="C572" s="750">
        <v>5336</v>
      </c>
      <c r="D572" s="1295"/>
      <c r="E572" s="672" t="s">
        <v>2054</v>
      </c>
      <c r="F572" s="1296"/>
      <c r="G572" s="1298">
        <f>G573+G575+G576</f>
        <v>20395</v>
      </c>
      <c r="H572" s="1298">
        <f>H573+H575+H576</f>
        <v>20395</v>
      </c>
      <c r="I572" s="821">
        <f t="shared" si="58"/>
        <v>100</v>
      </c>
    </row>
    <row r="573" spans="1:9" s="1750" customFormat="1" ht="14.25" customHeight="1" x14ac:dyDescent="0.2">
      <c r="A573" s="2112"/>
      <c r="B573" s="750"/>
      <c r="C573" s="750"/>
      <c r="D573" s="1068" t="s">
        <v>1911</v>
      </c>
      <c r="E573" s="2671" t="s">
        <v>2051</v>
      </c>
      <c r="F573" s="827"/>
      <c r="G573" s="837">
        <v>127</v>
      </c>
      <c r="H573" s="837">
        <v>127</v>
      </c>
      <c r="I573" s="823">
        <f t="shared" ref="I573" si="59">(H573/G573)*100</f>
        <v>100</v>
      </c>
    </row>
    <row r="574" spans="1:9" s="1750" customFormat="1" ht="15" x14ac:dyDescent="0.25">
      <c r="A574" s="2112"/>
      <c r="B574" s="750"/>
      <c r="C574" s="750"/>
      <c r="D574" s="1068"/>
      <c r="E574" s="2671"/>
      <c r="F574" s="827"/>
      <c r="G574" s="846"/>
      <c r="H574" s="846"/>
      <c r="I574" s="853"/>
    </row>
    <row r="575" spans="1:9" s="1750" customFormat="1" ht="15" x14ac:dyDescent="0.2">
      <c r="A575" s="2112"/>
      <c r="B575" s="750"/>
      <c r="C575" s="750"/>
      <c r="D575" s="1068" t="s">
        <v>1913</v>
      </c>
      <c r="E575" s="2113" t="s">
        <v>2052</v>
      </c>
      <c r="F575" s="2530"/>
      <c r="G575" s="2531">
        <v>120</v>
      </c>
      <c r="H575" s="2531">
        <v>120</v>
      </c>
      <c r="I575" s="376">
        <f t="shared" ref="I575" si="60">(H575/G575)*100</f>
        <v>100</v>
      </c>
    </row>
    <row r="576" spans="1:9" s="1750" customFormat="1" ht="14.25" x14ac:dyDescent="0.2">
      <c r="A576" s="2112"/>
      <c r="B576" s="750"/>
      <c r="C576" s="750"/>
      <c r="D576" s="552" t="s">
        <v>1124</v>
      </c>
      <c r="E576" s="455" t="s">
        <v>792</v>
      </c>
      <c r="F576" s="1296"/>
      <c r="G576" s="1296">
        <v>20148</v>
      </c>
      <c r="H576" s="1296">
        <v>20148</v>
      </c>
      <c r="I576" s="823">
        <f t="shared" si="58"/>
        <v>100</v>
      </c>
    </row>
    <row r="577" spans="1:9" ht="15" x14ac:dyDescent="0.25">
      <c r="A577" s="431">
        <v>1040</v>
      </c>
      <c r="B577" s="750">
        <v>3124</v>
      </c>
      <c r="C577" s="750">
        <v>5331</v>
      </c>
      <c r="D577" s="842"/>
      <c r="E577" s="792" t="s">
        <v>951</v>
      </c>
      <c r="F577" s="835">
        <v>85</v>
      </c>
      <c r="G577" s="835">
        <v>84</v>
      </c>
      <c r="H577" s="835">
        <v>84</v>
      </c>
      <c r="I577" s="821">
        <f t="shared" si="58"/>
        <v>100</v>
      </c>
    </row>
    <row r="578" spans="1:9" ht="14.25" x14ac:dyDescent="0.2">
      <c r="A578" s="431"/>
      <c r="B578" s="750"/>
      <c r="C578" s="750"/>
      <c r="D578" s="552" t="s">
        <v>570</v>
      </c>
      <c r="E578" s="455" t="s">
        <v>71</v>
      </c>
      <c r="F578" s="837">
        <v>85</v>
      </c>
      <c r="G578" s="837">
        <v>84</v>
      </c>
      <c r="H578" s="837">
        <v>84</v>
      </c>
      <c r="I578" s="828">
        <f t="shared" si="58"/>
        <v>100</v>
      </c>
    </row>
    <row r="579" spans="1:9" ht="15" x14ac:dyDescent="0.25">
      <c r="A579" s="431">
        <v>1040</v>
      </c>
      <c r="B579" s="750">
        <v>3124</v>
      </c>
      <c r="C579" s="750">
        <v>5336</v>
      </c>
      <c r="D579" s="552"/>
      <c r="E579" s="672" t="s">
        <v>2054</v>
      </c>
      <c r="F579" s="837"/>
      <c r="G579" s="846">
        <f>G582+G580</f>
        <v>1097</v>
      </c>
      <c r="H579" s="846">
        <f>H582+H580</f>
        <v>1097</v>
      </c>
      <c r="I579" s="821">
        <f t="shared" si="58"/>
        <v>100</v>
      </c>
    </row>
    <row r="580" spans="1:9" ht="14.25" customHeight="1" x14ac:dyDescent="0.2">
      <c r="A580" s="431"/>
      <c r="B580" s="750"/>
      <c r="C580" s="750"/>
      <c r="D580" s="1068" t="s">
        <v>1911</v>
      </c>
      <c r="E580" s="2671" t="s">
        <v>2051</v>
      </c>
      <c r="F580" s="827"/>
      <c r="G580" s="837">
        <v>9</v>
      </c>
      <c r="H580" s="837">
        <v>9</v>
      </c>
      <c r="I580" s="823">
        <f t="shared" si="58"/>
        <v>100</v>
      </c>
    </row>
    <row r="581" spans="1:9" ht="15" x14ac:dyDescent="0.25">
      <c r="A581" s="431"/>
      <c r="B581" s="750"/>
      <c r="C581" s="750"/>
      <c r="D581" s="1068"/>
      <c r="E581" s="2671"/>
      <c r="F581" s="827"/>
      <c r="G581" s="846"/>
      <c r="H581" s="846"/>
      <c r="I581" s="853"/>
    </row>
    <row r="582" spans="1:9" ht="14.25" x14ac:dyDescent="0.2">
      <c r="A582" s="431"/>
      <c r="B582" s="750"/>
      <c r="C582" s="750"/>
      <c r="D582" s="552" t="s">
        <v>1124</v>
      </c>
      <c r="E582" s="455" t="s">
        <v>792</v>
      </c>
      <c r="F582" s="833"/>
      <c r="G582" s="833">
        <v>1088</v>
      </c>
      <c r="H582" s="833">
        <v>1088</v>
      </c>
      <c r="I582" s="828">
        <f t="shared" si="58"/>
        <v>100</v>
      </c>
    </row>
    <row r="583" spans="1:9" ht="15" x14ac:dyDescent="0.25">
      <c r="A583" s="431">
        <v>1040</v>
      </c>
      <c r="B583" s="750">
        <v>3141</v>
      </c>
      <c r="C583" s="750">
        <v>5336</v>
      </c>
      <c r="D583" s="552"/>
      <c r="E583" s="672" t="s">
        <v>2054</v>
      </c>
      <c r="F583" s="846"/>
      <c r="G583" s="846">
        <v>193</v>
      </c>
      <c r="H583" s="846">
        <v>193</v>
      </c>
      <c r="I583" s="838">
        <f t="shared" si="58"/>
        <v>100</v>
      </c>
    </row>
    <row r="584" spans="1:9" ht="14.25" x14ac:dyDescent="0.2">
      <c r="A584" s="431"/>
      <c r="B584" s="750"/>
      <c r="C584" s="750"/>
      <c r="D584" s="552" t="s">
        <v>1124</v>
      </c>
      <c r="E584" s="455" t="s">
        <v>792</v>
      </c>
      <c r="F584" s="833"/>
      <c r="G584" s="833">
        <v>193</v>
      </c>
      <c r="H584" s="833">
        <v>193</v>
      </c>
      <c r="I584" s="828">
        <f t="shared" si="58"/>
        <v>100</v>
      </c>
    </row>
    <row r="585" spans="1:9" ht="15" x14ac:dyDescent="0.25">
      <c r="A585" s="431">
        <v>1040</v>
      </c>
      <c r="B585" s="750">
        <v>3142</v>
      </c>
      <c r="C585" s="750">
        <v>5331</v>
      </c>
      <c r="D585" s="842"/>
      <c r="E585" s="672" t="s">
        <v>951</v>
      </c>
      <c r="F585" s="835">
        <v>195</v>
      </c>
      <c r="G585" s="835">
        <v>193</v>
      </c>
      <c r="H585" s="835">
        <v>193</v>
      </c>
      <c r="I585" s="836">
        <f t="shared" si="58"/>
        <v>100</v>
      </c>
    </row>
    <row r="586" spans="1:9" ht="14.25" x14ac:dyDescent="0.2">
      <c r="A586" s="431"/>
      <c r="B586" s="750"/>
      <c r="C586" s="750"/>
      <c r="D586" s="552" t="s">
        <v>570</v>
      </c>
      <c r="E586" s="455" t="s">
        <v>71</v>
      </c>
      <c r="F586" s="833">
        <v>195</v>
      </c>
      <c r="G586" s="833">
        <v>193</v>
      </c>
      <c r="H586" s="833">
        <v>193</v>
      </c>
      <c r="I586" s="828">
        <f t="shared" si="58"/>
        <v>100</v>
      </c>
    </row>
    <row r="587" spans="1:9" ht="15" x14ac:dyDescent="0.25">
      <c r="A587" s="431">
        <v>1040</v>
      </c>
      <c r="B587" s="750">
        <v>3142</v>
      </c>
      <c r="C587" s="750">
        <v>5336</v>
      </c>
      <c r="D587" s="552"/>
      <c r="E587" s="672" t="s">
        <v>2054</v>
      </c>
      <c r="F587" s="833"/>
      <c r="G587" s="846">
        <v>27</v>
      </c>
      <c r="H587" s="846">
        <v>27</v>
      </c>
      <c r="I587" s="838">
        <f t="shared" si="58"/>
        <v>100</v>
      </c>
    </row>
    <row r="588" spans="1:9" ht="14.25" x14ac:dyDescent="0.2">
      <c r="A588" s="431"/>
      <c r="B588" s="750"/>
      <c r="C588" s="750"/>
      <c r="D588" s="552" t="s">
        <v>1124</v>
      </c>
      <c r="E588" s="455" t="s">
        <v>792</v>
      </c>
      <c r="F588" s="833"/>
      <c r="G588" s="833">
        <v>27</v>
      </c>
      <c r="H588" s="833">
        <v>27</v>
      </c>
      <c r="I588" s="828">
        <f t="shared" si="58"/>
        <v>100</v>
      </c>
    </row>
    <row r="589" spans="1:9" ht="15" x14ac:dyDescent="0.25">
      <c r="A589" s="431">
        <v>1040</v>
      </c>
      <c r="B589" s="750">
        <v>3143</v>
      </c>
      <c r="C589" s="750">
        <v>5331</v>
      </c>
      <c r="D589" s="859"/>
      <c r="E589" s="672" t="s">
        <v>951</v>
      </c>
      <c r="F589" s="835">
        <v>100</v>
      </c>
      <c r="G589" s="835">
        <v>99</v>
      </c>
      <c r="H589" s="835">
        <v>99</v>
      </c>
      <c r="I589" s="836">
        <f t="shared" si="58"/>
        <v>100</v>
      </c>
    </row>
    <row r="590" spans="1:9" ht="14.25" x14ac:dyDescent="0.2">
      <c r="A590" s="431"/>
      <c r="B590" s="750"/>
      <c r="C590" s="750"/>
      <c r="D590" s="552" t="s">
        <v>570</v>
      </c>
      <c r="E590" s="455" t="s">
        <v>71</v>
      </c>
      <c r="F590" s="833">
        <v>100</v>
      </c>
      <c r="G590" s="833">
        <v>99</v>
      </c>
      <c r="H590" s="833">
        <v>99</v>
      </c>
      <c r="I590" s="828">
        <f t="shared" si="58"/>
        <v>100</v>
      </c>
    </row>
    <row r="591" spans="1:9" ht="15" x14ac:dyDescent="0.25">
      <c r="A591" s="431">
        <v>1040</v>
      </c>
      <c r="B591" s="750">
        <v>3143</v>
      </c>
      <c r="C591" s="750">
        <v>5336</v>
      </c>
      <c r="D591" s="552"/>
      <c r="E591" s="672" t="s">
        <v>2054</v>
      </c>
      <c r="F591" s="833"/>
      <c r="G591" s="846">
        <v>795</v>
      </c>
      <c r="H591" s="846">
        <v>795</v>
      </c>
      <c r="I591" s="838">
        <f t="shared" si="58"/>
        <v>100</v>
      </c>
    </row>
    <row r="592" spans="1:9" ht="14.25" x14ac:dyDescent="0.2">
      <c r="A592" s="431"/>
      <c r="B592" s="750"/>
      <c r="C592" s="1393"/>
      <c r="D592" s="552" t="s">
        <v>1124</v>
      </c>
      <c r="E592" s="455" t="s">
        <v>792</v>
      </c>
      <c r="F592" s="833"/>
      <c r="G592" s="833">
        <v>795</v>
      </c>
      <c r="H592" s="833">
        <v>795</v>
      </c>
      <c r="I592" s="828">
        <f t="shared" si="58"/>
        <v>100</v>
      </c>
    </row>
    <row r="593" spans="1:20" ht="15" x14ac:dyDescent="0.25">
      <c r="A593" s="431">
        <v>1040</v>
      </c>
      <c r="B593" s="750">
        <v>3145</v>
      </c>
      <c r="C593" s="750">
        <v>5331</v>
      </c>
      <c r="D593" s="859"/>
      <c r="E593" s="672" t="s">
        <v>951</v>
      </c>
      <c r="F593" s="846">
        <v>195</v>
      </c>
      <c r="G593" s="846">
        <v>193</v>
      </c>
      <c r="H593" s="846">
        <v>193</v>
      </c>
      <c r="I593" s="836">
        <f t="shared" si="58"/>
        <v>100</v>
      </c>
    </row>
    <row r="594" spans="1:20" ht="14.25" x14ac:dyDescent="0.2">
      <c r="A594" s="431"/>
      <c r="B594" s="750"/>
      <c r="C594" s="750"/>
      <c r="D594" s="552" t="s">
        <v>570</v>
      </c>
      <c r="E594" s="455" t="s">
        <v>71</v>
      </c>
      <c r="F594" s="833">
        <v>195</v>
      </c>
      <c r="G594" s="833">
        <v>193</v>
      </c>
      <c r="H594" s="833">
        <v>193</v>
      </c>
      <c r="I594" s="828">
        <f t="shared" si="58"/>
        <v>100</v>
      </c>
    </row>
    <row r="595" spans="1:20" ht="15" x14ac:dyDescent="0.25">
      <c r="A595" s="431">
        <v>1040</v>
      </c>
      <c r="B595" s="750">
        <v>3145</v>
      </c>
      <c r="C595" s="750">
        <v>5336</v>
      </c>
      <c r="D595" s="552"/>
      <c r="E595" s="672" t="s">
        <v>2054</v>
      </c>
      <c r="F595" s="833"/>
      <c r="G595" s="846">
        <v>1026</v>
      </c>
      <c r="H595" s="846">
        <v>1026</v>
      </c>
      <c r="I595" s="838">
        <f t="shared" si="58"/>
        <v>100</v>
      </c>
    </row>
    <row r="596" spans="1:20" ht="14.25" x14ac:dyDescent="0.2">
      <c r="A596" s="431"/>
      <c r="B596" s="750"/>
      <c r="C596" s="1393"/>
      <c r="D596" s="552" t="s">
        <v>1124</v>
      </c>
      <c r="E596" s="455" t="s">
        <v>792</v>
      </c>
      <c r="F596" s="833"/>
      <c r="G596" s="833">
        <v>1026</v>
      </c>
      <c r="H596" s="833">
        <v>1026</v>
      </c>
      <c r="I596" s="828">
        <f t="shared" si="58"/>
        <v>100</v>
      </c>
    </row>
    <row r="597" spans="1:20" ht="15" x14ac:dyDescent="0.25">
      <c r="A597" s="431">
        <v>1040</v>
      </c>
      <c r="B597" s="750">
        <v>3792</v>
      </c>
      <c r="C597" s="1393">
        <v>5331</v>
      </c>
      <c r="D597" s="552"/>
      <c r="E597" s="672" t="s">
        <v>951</v>
      </c>
      <c r="F597" s="846"/>
      <c r="G597" s="846">
        <v>5</v>
      </c>
      <c r="H597" s="846">
        <v>5</v>
      </c>
      <c r="I597" s="838">
        <f t="shared" si="58"/>
        <v>100</v>
      </c>
    </row>
    <row r="598" spans="1:20" ht="18" customHeight="1" thickBot="1" x14ac:dyDescent="0.25">
      <c r="A598" s="431"/>
      <c r="B598" s="750"/>
      <c r="C598" s="1393"/>
      <c r="D598" s="1059" t="s">
        <v>1319</v>
      </c>
      <c r="E598" s="1161" t="s">
        <v>369</v>
      </c>
      <c r="F598" s="833"/>
      <c r="G598" s="833">
        <v>5</v>
      </c>
      <c r="H598" s="833">
        <v>5</v>
      </c>
      <c r="I598" s="828">
        <f t="shared" si="58"/>
        <v>100</v>
      </c>
    </row>
    <row r="599" spans="1:20" ht="16.5" thickTop="1" thickBot="1" x14ac:dyDescent="0.3">
      <c r="A599" s="2672" t="s">
        <v>1105</v>
      </c>
      <c r="B599" s="2673"/>
      <c r="C599" s="2673"/>
      <c r="D599" s="2673"/>
      <c r="E599" s="2673"/>
      <c r="F599" s="824">
        <f>F563+F589+F569+F593+F583+F585+F577</f>
        <v>1947</v>
      </c>
      <c r="G599" s="824">
        <f>G563+G589+G569+G593+G583+G585+G577+G597+G565+G572+G595+G591+G587+G579</f>
        <v>31783</v>
      </c>
      <c r="H599" s="824">
        <f>H563+H589+H569+H593+H583+H585+H577+H597+H565+H572+H595+H591+H587+H579</f>
        <v>31783</v>
      </c>
      <c r="I599" s="825">
        <f>(H599/G599)*100</f>
        <v>100</v>
      </c>
      <c r="R599" s="382">
        <f>F599</f>
        <v>1947</v>
      </c>
      <c r="S599" s="382">
        <f>G599</f>
        <v>31783</v>
      </c>
      <c r="T599" s="382">
        <f>H599</f>
        <v>31783</v>
      </c>
    </row>
    <row r="600" spans="1:20" ht="13.5" thickTop="1" x14ac:dyDescent="0.2"/>
    <row r="602" spans="1:20" ht="20.25" customHeight="1" thickBot="1" x14ac:dyDescent="0.25">
      <c r="A602" s="432" t="s">
        <v>2057</v>
      </c>
      <c r="I602" s="1390" t="s">
        <v>161</v>
      </c>
    </row>
    <row r="603" spans="1:20" s="107" customFormat="1" thickTop="1" thickBot="1" x14ac:dyDescent="0.25">
      <c r="A603" s="631" t="s">
        <v>624</v>
      </c>
      <c r="B603" s="774" t="s">
        <v>162</v>
      </c>
      <c r="C603" s="632" t="s">
        <v>163</v>
      </c>
      <c r="D603" s="634" t="s">
        <v>705</v>
      </c>
      <c r="E603" s="634" t="s">
        <v>164</v>
      </c>
      <c r="F603" s="634" t="s">
        <v>165</v>
      </c>
      <c r="G603" s="634" t="s">
        <v>881</v>
      </c>
      <c r="H603" s="634" t="s">
        <v>882</v>
      </c>
      <c r="I603" s="818" t="s">
        <v>883</v>
      </c>
    </row>
    <row r="604" spans="1:20" s="383" customFormat="1" ht="13.5" thickTop="1" thickBot="1" x14ac:dyDescent="0.25">
      <c r="A604" s="566">
        <v>1</v>
      </c>
      <c r="B604" s="567">
        <v>2</v>
      </c>
      <c r="C604" s="567">
        <v>3</v>
      </c>
      <c r="D604" s="567">
        <v>4</v>
      </c>
      <c r="E604" s="567">
        <v>5</v>
      </c>
      <c r="F604" s="541">
        <v>6</v>
      </c>
      <c r="G604" s="541">
        <v>7</v>
      </c>
      <c r="H604" s="542">
        <v>8</v>
      </c>
      <c r="I604" s="636" t="s">
        <v>762</v>
      </c>
    </row>
    <row r="605" spans="1:20" s="383" customFormat="1" ht="15.75" thickTop="1" x14ac:dyDescent="0.25">
      <c r="A605" s="431">
        <v>1041</v>
      </c>
      <c r="B605" s="673">
        <v>3112</v>
      </c>
      <c r="C605" s="673">
        <v>5331</v>
      </c>
      <c r="D605" s="819"/>
      <c r="E605" s="792" t="s">
        <v>951</v>
      </c>
      <c r="F605" s="820">
        <v>340</v>
      </c>
      <c r="G605" s="820">
        <v>338</v>
      </c>
      <c r="H605" s="820">
        <v>338</v>
      </c>
      <c r="I605" s="821">
        <f t="shared" ref="I605:I606" si="61">(H605/G605)*100</f>
        <v>100</v>
      </c>
    </row>
    <row r="606" spans="1:20" s="383" customFormat="1" ht="14.25" x14ac:dyDescent="0.2">
      <c r="A606" s="431"/>
      <c r="B606" s="673"/>
      <c r="C606" s="673"/>
      <c r="D606" s="552" t="s">
        <v>570</v>
      </c>
      <c r="E606" s="455" t="s">
        <v>71</v>
      </c>
      <c r="F606" s="356">
        <v>340</v>
      </c>
      <c r="G606" s="827">
        <v>338</v>
      </c>
      <c r="H606" s="827">
        <v>338</v>
      </c>
      <c r="I606" s="823">
        <f t="shared" si="61"/>
        <v>100</v>
      </c>
    </row>
    <row r="607" spans="1:20" s="383" customFormat="1" ht="15" x14ac:dyDescent="0.25">
      <c r="A607" s="431">
        <v>1041</v>
      </c>
      <c r="B607" s="750">
        <v>3112</v>
      </c>
      <c r="C607" s="750">
        <v>5336</v>
      </c>
      <c r="D607" s="552"/>
      <c r="E607" s="672" t="s">
        <v>2054</v>
      </c>
      <c r="F607" s="356"/>
      <c r="G607" s="851">
        <f>G608+G610</f>
        <v>2018</v>
      </c>
      <c r="H607" s="851">
        <f>H608+H610</f>
        <v>2018</v>
      </c>
      <c r="I607" s="853">
        <f t="shared" ref="I607:I610" si="62">(H607/G607)*100</f>
        <v>100</v>
      </c>
    </row>
    <row r="608" spans="1:20" s="383" customFormat="1" ht="14.25" x14ac:dyDescent="0.2">
      <c r="A608" s="431"/>
      <c r="B608" s="750"/>
      <c r="C608" s="750"/>
      <c r="D608" s="1068" t="s">
        <v>1911</v>
      </c>
      <c r="E608" s="2671" t="s">
        <v>2051</v>
      </c>
      <c r="F608" s="827"/>
      <c r="G608" s="837">
        <v>19</v>
      </c>
      <c r="H608" s="837">
        <v>19</v>
      </c>
      <c r="I608" s="823">
        <f t="shared" si="62"/>
        <v>100</v>
      </c>
    </row>
    <row r="609" spans="1:9" s="383" customFormat="1" ht="15" x14ac:dyDescent="0.25">
      <c r="A609" s="431"/>
      <c r="B609" s="750"/>
      <c r="C609" s="750"/>
      <c r="D609" s="1068"/>
      <c r="E609" s="2671"/>
      <c r="F609" s="827"/>
      <c r="G609" s="846"/>
      <c r="H609" s="846"/>
      <c r="I609" s="853"/>
    </row>
    <row r="610" spans="1:9" s="383" customFormat="1" ht="15" x14ac:dyDescent="0.25">
      <c r="A610" s="431"/>
      <c r="B610" s="673"/>
      <c r="C610" s="673"/>
      <c r="D610" s="552" t="s">
        <v>1124</v>
      </c>
      <c r="E610" s="455" t="s">
        <v>792</v>
      </c>
      <c r="F610" s="820"/>
      <c r="G610" s="827">
        <v>1999</v>
      </c>
      <c r="H610" s="827">
        <v>1999</v>
      </c>
      <c r="I610" s="823">
        <f t="shared" si="62"/>
        <v>100</v>
      </c>
    </row>
    <row r="611" spans="1:9" ht="15" x14ac:dyDescent="0.25">
      <c r="A611" s="431">
        <v>1041</v>
      </c>
      <c r="B611" s="673">
        <v>3114</v>
      </c>
      <c r="C611" s="673">
        <v>5331</v>
      </c>
      <c r="D611" s="819"/>
      <c r="E611" s="792" t="s">
        <v>951</v>
      </c>
      <c r="F611" s="820">
        <f>SUM(F612:F618)</f>
        <v>2891</v>
      </c>
      <c r="G611" s="820">
        <f>SUM(G612:G613)</f>
        <v>2883</v>
      </c>
      <c r="H611" s="820">
        <f>SUM(H612:H613)</f>
        <v>2883</v>
      </c>
      <c r="I611" s="821">
        <f t="shared" ref="I611:I633" si="63">(H611/G611)*100</f>
        <v>100</v>
      </c>
    </row>
    <row r="612" spans="1:9" ht="14.25" x14ac:dyDescent="0.2">
      <c r="A612" s="431"/>
      <c r="B612" s="673"/>
      <c r="C612" s="673"/>
      <c r="D612" s="707" t="s">
        <v>575</v>
      </c>
      <c r="E612" s="1478" t="s">
        <v>793</v>
      </c>
      <c r="F612" s="356">
        <v>1391</v>
      </c>
      <c r="G612" s="827">
        <v>1391</v>
      </c>
      <c r="H612" s="827">
        <v>1391</v>
      </c>
      <c r="I612" s="823">
        <f t="shared" si="63"/>
        <v>100</v>
      </c>
    </row>
    <row r="613" spans="1:9" ht="14.25" x14ac:dyDescent="0.2">
      <c r="A613" s="431"/>
      <c r="B613" s="673"/>
      <c r="C613" s="673"/>
      <c r="D613" s="552" t="s">
        <v>570</v>
      </c>
      <c r="E613" s="455" t="s">
        <v>71</v>
      </c>
      <c r="F613" s="356">
        <v>1500</v>
      </c>
      <c r="G613" s="827">
        <v>1492</v>
      </c>
      <c r="H613" s="827">
        <v>1492</v>
      </c>
      <c r="I613" s="823">
        <f t="shared" si="63"/>
        <v>100</v>
      </c>
    </row>
    <row r="614" spans="1:9" ht="15" x14ac:dyDescent="0.25">
      <c r="A614" s="431">
        <v>1041</v>
      </c>
      <c r="B614" s="750">
        <v>3114</v>
      </c>
      <c r="C614" s="750">
        <v>5336</v>
      </c>
      <c r="D614" s="552"/>
      <c r="E614" s="672" t="s">
        <v>2054</v>
      </c>
      <c r="F614" s="356"/>
      <c r="G614" s="851">
        <f>G615+G616+G618</f>
        <v>7671</v>
      </c>
      <c r="H614" s="851">
        <f>H615+H616+H618</f>
        <v>7671</v>
      </c>
      <c r="I614" s="853">
        <f t="shared" si="63"/>
        <v>100</v>
      </c>
    </row>
    <row r="615" spans="1:9" ht="14.25" x14ac:dyDescent="0.2">
      <c r="A615" s="431"/>
      <c r="B615" s="750"/>
      <c r="C615" s="750"/>
      <c r="D615" s="1068" t="s">
        <v>1903</v>
      </c>
      <c r="E615" s="2546" t="s">
        <v>2032</v>
      </c>
      <c r="F615" s="356"/>
      <c r="G615" s="356">
        <v>3</v>
      </c>
      <c r="H615" s="356">
        <v>3</v>
      </c>
      <c r="I615" s="854">
        <f t="shared" si="63"/>
        <v>100</v>
      </c>
    </row>
    <row r="616" spans="1:9" ht="14.25" customHeight="1" x14ac:dyDescent="0.2">
      <c r="A616" s="431"/>
      <c r="B616" s="750"/>
      <c r="C616" s="750"/>
      <c r="D616" s="1068" t="s">
        <v>1911</v>
      </c>
      <c r="E616" s="2671" t="s">
        <v>2051</v>
      </c>
      <c r="F616" s="827"/>
      <c r="G616" s="837">
        <v>62</v>
      </c>
      <c r="H616" s="837">
        <v>62</v>
      </c>
      <c r="I616" s="823">
        <f t="shared" ref="I616" si="64">(H616/G616)*100</f>
        <v>100</v>
      </c>
    </row>
    <row r="617" spans="1:9" ht="15" x14ac:dyDescent="0.25">
      <c r="A617" s="431"/>
      <c r="B617" s="750"/>
      <c r="C617" s="750"/>
      <c r="D617" s="1068"/>
      <c r="E617" s="2671"/>
      <c r="F617" s="827"/>
      <c r="G617" s="846"/>
      <c r="H617" s="846"/>
      <c r="I617" s="853"/>
    </row>
    <row r="618" spans="1:9" ht="15" x14ac:dyDescent="0.25">
      <c r="A618" s="431"/>
      <c r="B618" s="673"/>
      <c r="C618" s="673"/>
      <c r="D618" s="552" t="s">
        <v>1124</v>
      </c>
      <c r="E618" s="455" t="s">
        <v>792</v>
      </c>
      <c r="F618" s="820"/>
      <c r="G618" s="827">
        <v>7606</v>
      </c>
      <c r="H618" s="827">
        <v>7606</v>
      </c>
      <c r="I618" s="823">
        <f t="shared" si="63"/>
        <v>100</v>
      </c>
    </row>
    <row r="619" spans="1:9" ht="15" x14ac:dyDescent="0.25">
      <c r="A619" s="431">
        <v>1041</v>
      </c>
      <c r="B619" s="750">
        <v>3141</v>
      </c>
      <c r="C619" s="1393">
        <v>5331</v>
      </c>
      <c r="D619" s="842"/>
      <c r="E619" s="672" t="s">
        <v>951</v>
      </c>
      <c r="F619" s="835">
        <v>1000</v>
      </c>
      <c r="G619" s="835">
        <v>995</v>
      </c>
      <c r="H619" s="835">
        <v>995</v>
      </c>
      <c r="I619" s="836">
        <f t="shared" si="63"/>
        <v>100</v>
      </c>
    </row>
    <row r="620" spans="1:9" ht="14.25" x14ac:dyDescent="0.2">
      <c r="A620" s="431"/>
      <c r="B620" s="750"/>
      <c r="C620" s="1393"/>
      <c r="D620" s="552" t="s">
        <v>570</v>
      </c>
      <c r="E620" s="455" t="s">
        <v>71</v>
      </c>
      <c r="F620" s="837">
        <v>1000</v>
      </c>
      <c r="G620" s="833">
        <v>995</v>
      </c>
      <c r="H620" s="833">
        <v>995</v>
      </c>
      <c r="I620" s="828">
        <f t="shared" si="63"/>
        <v>100</v>
      </c>
    </row>
    <row r="621" spans="1:9" ht="15" x14ac:dyDescent="0.25">
      <c r="A621" s="431">
        <v>1041</v>
      </c>
      <c r="B621" s="750">
        <v>3141</v>
      </c>
      <c r="C621" s="750">
        <v>5336</v>
      </c>
      <c r="D621" s="552"/>
      <c r="E621" s="672" t="s">
        <v>2054</v>
      </c>
      <c r="F621" s="837"/>
      <c r="G621" s="846">
        <v>201</v>
      </c>
      <c r="H621" s="846">
        <v>201</v>
      </c>
      <c r="I621" s="838">
        <f t="shared" si="63"/>
        <v>100</v>
      </c>
    </row>
    <row r="622" spans="1:9" ht="15.75" thickBot="1" x14ac:dyDescent="0.3">
      <c r="A622" s="1394"/>
      <c r="B622" s="891"/>
      <c r="C622" s="1395"/>
      <c r="D622" s="718" t="s">
        <v>1124</v>
      </c>
      <c r="E622" s="456" t="s">
        <v>792</v>
      </c>
      <c r="F622" s="2532"/>
      <c r="G622" s="892">
        <v>201</v>
      </c>
      <c r="H622" s="892">
        <v>201</v>
      </c>
      <c r="I622" s="872">
        <f t="shared" si="63"/>
        <v>100</v>
      </c>
    </row>
    <row r="623" spans="1:9" ht="20.25" customHeight="1" thickTop="1" thickBot="1" x14ac:dyDescent="0.25">
      <c r="A623" s="432"/>
      <c r="I623" s="1390" t="s">
        <v>161</v>
      </c>
    </row>
    <row r="624" spans="1:9" s="107" customFormat="1" thickTop="1" thickBot="1" x14ac:dyDescent="0.25">
      <c r="A624" s="631" t="s">
        <v>624</v>
      </c>
      <c r="B624" s="774" t="s">
        <v>162</v>
      </c>
      <c r="C624" s="632" t="s">
        <v>163</v>
      </c>
      <c r="D624" s="634" t="s">
        <v>705</v>
      </c>
      <c r="E624" s="634" t="s">
        <v>164</v>
      </c>
      <c r="F624" s="634" t="s">
        <v>165</v>
      </c>
      <c r="G624" s="634" t="s">
        <v>881</v>
      </c>
      <c r="H624" s="634" t="s">
        <v>882</v>
      </c>
      <c r="I624" s="818" t="s">
        <v>883</v>
      </c>
    </row>
    <row r="625" spans="1:20" s="383" customFormat="1" ht="13.5" thickTop="1" thickBot="1" x14ac:dyDescent="0.25">
      <c r="A625" s="566">
        <v>1</v>
      </c>
      <c r="B625" s="567">
        <v>2</v>
      </c>
      <c r="C625" s="567">
        <v>3</v>
      </c>
      <c r="D625" s="567">
        <v>4</v>
      </c>
      <c r="E625" s="567">
        <v>5</v>
      </c>
      <c r="F625" s="541">
        <v>6</v>
      </c>
      <c r="G625" s="541">
        <v>7</v>
      </c>
      <c r="H625" s="542">
        <v>8</v>
      </c>
      <c r="I625" s="636" t="s">
        <v>762</v>
      </c>
    </row>
    <row r="626" spans="1:20" ht="15.75" thickTop="1" x14ac:dyDescent="0.25">
      <c r="A626" s="431">
        <v>1041</v>
      </c>
      <c r="B626" s="750">
        <v>3142</v>
      </c>
      <c r="C626" s="1393">
        <v>5336</v>
      </c>
      <c r="D626" s="568"/>
      <c r="E626" s="672" t="s">
        <v>2054</v>
      </c>
      <c r="F626" s="835"/>
      <c r="G626" s="846">
        <v>371</v>
      </c>
      <c r="H626" s="846">
        <v>371</v>
      </c>
      <c r="I626" s="838">
        <f t="shared" si="63"/>
        <v>100</v>
      </c>
    </row>
    <row r="627" spans="1:20" ht="15" x14ac:dyDescent="0.25">
      <c r="A627" s="431"/>
      <c r="B627" s="750"/>
      <c r="C627" s="1393"/>
      <c r="D627" s="552" t="s">
        <v>1124</v>
      </c>
      <c r="E627" s="455" t="s">
        <v>792</v>
      </c>
      <c r="F627" s="835"/>
      <c r="G627" s="833">
        <v>371</v>
      </c>
      <c r="H627" s="833">
        <v>371</v>
      </c>
      <c r="I627" s="828">
        <f t="shared" si="63"/>
        <v>100</v>
      </c>
    </row>
    <row r="628" spans="1:20" ht="15" x14ac:dyDescent="0.25">
      <c r="A628" s="431">
        <v>1041</v>
      </c>
      <c r="B628" s="750">
        <v>3143</v>
      </c>
      <c r="C628" s="1393">
        <v>5331</v>
      </c>
      <c r="D628" s="842"/>
      <c r="E628" s="672" t="s">
        <v>951</v>
      </c>
      <c r="F628" s="835">
        <v>70</v>
      </c>
      <c r="G628" s="835">
        <v>70</v>
      </c>
      <c r="H628" s="835">
        <v>70</v>
      </c>
      <c r="I628" s="836">
        <f t="shared" si="63"/>
        <v>100</v>
      </c>
    </row>
    <row r="629" spans="1:20" ht="14.25" x14ac:dyDescent="0.2">
      <c r="A629" s="431"/>
      <c r="B629" s="750"/>
      <c r="C629" s="1393"/>
      <c r="D629" s="552" t="s">
        <v>570</v>
      </c>
      <c r="E629" s="455" t="s">
        <v>71</v>
      </c>
      <c r="F629" s="837">
        <v>70</v>
      </c>
      <c r="G629" s="833">
        <v>70</v>
      </c>
      <c r="H629" s="833">
        <v>70</v>
      </c>
      <c r="I629" s="828">
        <f t="shared" si="63"/>
        <v>100</v>
      </c>
    </row>
    <row r="630" spans="1:20" ht="15" customHeight="1" x14ac:dyDescent="0.25">
      <c r="A630" s="431">
        <v>1041</v>
      </c>
      <c r="B630" s="750">
        <v>3143</v>
      </c>
      <c r="C630" s="1393">
        <v>5336</v>
      </c>
      <c r="D630" s="568"/>
      <c r="E630" s="672" t="s">
        <v>2054</v>
      </c>
      <c r="F630" s="837"/>
      <c r="G630" s="846">
        <v>509</v>
      </c>
      <c r="H630" s="846">
        <v>509</v>
      </c>
      <c r="I630" s="838">
        <f t="shared" si="63"/>
        <v>100</v>
      </c>
    </row>
    <row r="631" spans="1:20" ht="15" customHeight="1" x14ac:dyDescent="0.2">
      <c r="A631" s="431"/>
      <c r="B631" s="750"/>
      <c r="C631" s="1393"/>
      <c r="D631" s="552" t="s">
        <v>1124</v>
      </c>
      <c r="E631" s="455" t="s">
        <v>792</v>
      </c>
      <c r="F631" s="833"/>
      <c r="G631" s="833">
        <v>509</v>
      </c>
      <c r="H631" s="833">
        <v>509</v>
      </c>
      <c r="I631" s="828">
        <f t="shared" si="63"/>
        <v>100</v>
      </c>
    </row>
    <row r="632" spans="1:20" ht="15" x14ac:dyDescent="0.25">
      <c r="A632" s="431">
        <v>1041</v>
      </c>
      <c r="B632" s="750">
        <v>4322</v>
      </c>
      <c r="C632" s="750">
        <v>5331</v>
      </c>
      <c r="D632" s="859"/>
      <c r="E632" s="672" t="s">
        <v>951</v>
      </c>
      <c r="F632" s="835">
        <v>3052</v>
      </c>
      <c r="G632" s="835">
        <v>3037</v>
      </c>
      <c r="H632" s="835">
        <v>3037</v>
      </c>
      <c r="I632" s="836">
        <f t="shared" si="63"/>
        <v>100</v>
      </c>
    </row>
    <row r="633" spans="1:20" ht="14.25" x14ac:dyDescent="0.2">
      <c r="A633" s="431"/>
      <c r="B633" s="750"/>
      <c r="C633" s="750"/>
      <c r="D633" s="552" t="s">
        <v>570</v>
      </c>
      <c r="E633" s="455" t="s">
        <v>71</v>
      </c>
      <c r="F633" s="833">
        <v>3052</v>
      </c>
      <c r="G633" s="833">
        <v>3037</v>
      </c>
      <c r="H633" s="833">
        <v>3037</v>
      </c>
      <c r="I633" s="828">
        <f t="shared" si="63"/>
        <v>100</v>
      </c>
    </row>
    <row r="634" spans="1:20" ht="15.75" customHeight="1" x14ac:dyDescent="0.25">
      <c r="A634" s="431">
        <v>1041</v>
      </c>
      <c r="B634" s="673">
        <v>4322</v>
      </c>
      <c r="C634" s="673">
        <v>5336</v>
      </c>
      <c r="D634" s="748"/>
      <c r="E634" s="672" t="s">
        <v>2054</v>
      </c>
      <c r="F634" s="1301"/>
      <c r="G634" s="1559">
        <f>G635+G637+G638</f>
        <v>19681</v>
      </c>
      <c r="H634" s="1559">
        <f>H635+H637+H638</f>
        <v>19681</v>
      </c>
      <c r="I634" s="836">
        <f>(H634/G634)*100</f>
        <v>100</v>
      </c>
    </row>
    <row r="635" spans="1:20" ht="15.75" customHeight="1" x14ac:dyDescent="0.2">
      <c r="A635" s="431"/>
      <c r="B635" s="673"/>
      <c r="C635" s="673"/>
      <c r="D635" s="1068" t="s">
        <v>1911</v>
      </c>
      <c r="E635" s="2671" t="s">
        <v>2051</v>
      </c>
      <c r="F635" s="827"/>
      <c r="G635" s="837">
        <v>33</v>
      </c>
      <c r="H635" s="837">
        <v>33</v>
      </c>
      <c r="I635" s="823">
        <f t="shared" ref="I635" si="65">(H635/G635)*100</f>
        <v>100</v>
      </c>
    </row>
    <row r="636" spans="1:20" ht="15.75" customHeight="1" x14ac:dyDescent="0.25">
      <c r="A636" s="431"/>
      <c r="B636" s="673"/>
      <c r="C636" s="673"/>
      <c r="D636" s="1068"/>
      <c r="E636" s="2671"/>
      <c r="F636" s="827"/>
      <c r="G636" s="846"/>
      <c r="H636" s="846"/>
      <c r="I636" s="853"/>
    </row>
    <row r="637" spans="1:20" ht="15.75" customHeight="1" x14ac:dyDescent="0.2">
      <c r="A637" s="431"/>
      <c r="B637" s="673"/>
      <c r="C637" s="673"/>
      <c r="D637" s="1068" t="s">
        <v>1913</v>
      </c>
      <c r="E637" s="2113" t="s">
        <v>2052</v>
      </c>
      <c r="F637" s="2530"/>
      <c r="G637" s="2531">
        <v>140</v>
      </c>
      <c r="H637" s="2531">
        <v>140</v>
      </c>
      <c r="I637" s="376">
        <f t="shared" ref="I637" si="66">(H637/G637)*100</f>
        <v>100</v>
      </c>
    </row>
    <row r="638" spans="1:20" ht="12" customHeight="1" thickBot="1" x14ac:dyDescent="0.25">
      <c r="A638" s="431"/>
      <c r="B638" s="673"/>
      <c r="C638" s="673"/>
      <c r="D638" s="552" t="s">
        <v>1124</v>
      </c>
      <c r="E638" s="455" t="s">
        <v>792</v>
      </c>
      <c r="F638" s="1301"/>
      <c r="G638" s="1301">
        <v>19508</v>
      </c>
      <c r="H638" s="1301">
        <v>19508</v>
      </c>
      <c r="I638" s="376">
        <f>(H638/G638)*100</f>
        <v>100</v>
      </c>
    </row>
    <row r="639" spans="1:20" ht="16.5" thickTop="1" thickBot="1" x14ac:dyDescent="0.3">
      <c r="A639" s="2672" t="s">
        <v>1105</v>
      </c>
      <c r="B639" s="2673"/>
      <c r="C639" s="2673"/>
      <c r="D639" s="2673"/>
      <c r="E639" s="2673"/>
      <c r="F639" s="824">
        <f>F611+F619+F628+F626+F632+F605</f>
        <v>7353</v>
      </c>
      <c r="G639" s="824">
        <f>G611+G619+G628+G626+G634+G632+G630+G621+G614+G607+G605</f>
        <v>37774</v>
      </c>
      <c r="H639" s="824">
        <f>H611+H619+H628+H626+H634+H632+H630+H621+H614+H607+H605</f>
        <v>37774</v>
      </c>
      <c r="I639" s="825">
        <f>(H639/G639)*100</f>
        <v>100</v>
      </c>
      <c r="R639" s="382">
        <f>F639</f>
        <v>7353</v>
      </c>
      <c r="S639" s="382">
        <f>G639</f>
        <v>37774</v>
      </c>
      <c r="T639" s="382">
        <f>H639</f>
        <v>37774</v>
      </c>
    </row>
    <row r="640" spans="1:20" s="1483" customFormat="1" ht="13.5" thickTop="1" x14ac:dyDescent="0.2">
      <c r="B640" s="1497"/>
      <c r="D640" s="1498"/>
      <c r="F640" s="1496"/>
      <c r="G640" s="1496"/>
      <c r="H640" s="1496"/>
      <c r="I640" s="1499"/>
    </row>
    <row r="641" spans="1:9" s="1483" customFormat="1" x14ac:dyDescent="0.2">
      <c r="B641" s="1497"/>
      <c r="D641" s="1498"/>
      <c r="F641" s="1496"/>
      <c r="G641" s="1496"/>
      <c r="H641" s="1496"/>
      <c r="I641" s="1499"/>
    </row>
    <row r="642" spans="1:9" s="1483" customFormat="1" x14ac:dyDescent="0.2">
      <c r="B642" s="1497"/>
      <c r="D642" s="1498"/>
      <c r="F642" s="1496"/>
      <c r="G642" s="1496"/>
      <c r="H642" s="1496"/>
      <c r="I642" s="1499"/>
    </row>
    <row r="643" spans="1:9" ht="13.5" thickBot="1" x14ac:dyDescent="0.25">
      <c r="A643" s="432" t="s">
        <v>84</v>
      </c>
      <c r="I643" s="1390" t="s">
        <v>161</v>
      </c>
    </row>
    <row r="644" spans="1:9" s="107" customFormat="1" thickTop="1" thickBot="1" x14ac:dyDescent="0.25">
      <c r="A644" s="631" t="s">
        <v>624</v>
      </c>
      <c r="B644" s="774" t="s">
        <v>162</v>
      </c>
      <c r="C644" s="632" t="s">
        <v>163</v>
      </c>
      <c r="D644" s="634" t="s">
        <v>705</v>
      </c>
      <c r="E644" s="634" t="s">
        <v>164</v>
      </c>
      <c r="F644" s="634" t="s">
        <v>165</v>
      </c>
      <c r="G644" s="634" t="s">
        <v>881</v>
      </c>
      <c r="H644" s="634" t="s">
        <v>882</v>
      </c>
      <c r="I644" s="818" t="s">
        <v>883</v>
      </c>
    </row>
    <row r="645" spans="1:9" s="383" customFormat="1" ht="20.25" customHeight="1" thickTop="1" thickBot="1" x14ac:dyDescent="0.25">
      <c r="A645" s="566">
        <v>1</v>
      </c>
      <c r="B645" s="567">
        <v>2</v>
      </c>
      <c r="C645" s="567">
        <v>3</v>
      </c>
      <c r="D645" s="567">
        <v>4</v>
      </c>
      <c r="E645" s="567">
        <v>5</v>
      </c>
      <c r="F645" s="541">
        <v>6</v>
      </c>
      <c r="G645" s="541">
        <v>7</v>
      </c>
      <c r="H645" s="542">
        <v>8</v>
      </c>
      <c r="I645" s="636" t="s">
        <v>762</v>
      </c>
    </row>
    <row r="646" spans="1:9" ht="15.75" thickTop="1" x14ac:dyDescent="0.25">
      <c r="A646" s="1391">
        <v>1043</v>
      </c>
      <c r="B646" s="775">
        <v>3114</v>
      </c>
      <c r="C646" s="775">
        <v>5331</v>
      </c>
      <c r="D646" s="839"/>
      <c r="E646" s="860" t="s">
        <v>951</v>
      </c>
      <c r="F646" s="861">
        <f>SUM(F647,F648)</f>
        <v>2271</v>
      </c>
      <c r="G646" s="861">
        <f>G647+G648</f>
        <v>2265</v>
      </c>
      <c r="H646" s="861">
        <f>H647+H648</f>
        <v>2265</v>
      </c>
      <c r="I646" s="826">
        <f t="shared" ref="I646:I660" si="67">(H646/G646)*100</f>
        <v>100</v>
      </c>
    </row>
    <row r="647" spans="1:9" ht="14.25" x14ac:dyDescent="0.2">
      <c r="A647" s="431"/>
      <c r="B647" s="673"/>
      <c r="C647" s="673"/>
      <c r="D647" s="707" t="s">
        <v>575</v>
      </c>
      <c r="E647" s="1478" t="s">
        <v>793</v>
      </c>
      <c r="F647" s="827">
        <v>381</v>
      </c>
      <c r="G647" s="827">
        <v>394</v>
      </c>
      <c r="H647" s="827">
        <v>394</v>
      </c>
      <c r="I647" s="823">
        <f t="shared" si="67"/>
        <v>100</v>
      </c>
    </row>
    <row r="648" spans="1:9" ht="14.25" x14ac:dyDescent="0.2">
      <c r="A648" s="431"/>
      <c r="B648" s="673"/>
      <c r="C648" s="673"/>
      <c r="D648" s="552" t="s">
        <v>570</v>
      </c>
      <c r="E648" s="455" t="s">
        <v>71</v>
      </c>
      <c r="F648" s="827">
        <v>1890</v>
      </c>
      <c r="G648" s="827">
        <v>1871</v>
      </c>
      <c r="H648" s="827">
        <v>1871</v>
      </c>
      <c r="I648" s="823">
        <f t="shared" si="67"/>
        <v>100</v>
      </c>
    </row>
    <row r="649" spans="1:9" ht="15" x14ac:dyDescent="0.25">
      <c r="A649" s="431">
        <v>1043</v>
      </c>
      <c r="B649" s="750">
        <v>3114</v>
      </c>
      <c r="C649" s="750">
        <v>5336</v>
      </c>
      <c r="D649" s="1295"/>
      <c r="E649" s="672" t="s">
        <v>2054</v>
      </c>
      <c r="F649" s="1298"/>
      <c r="G649" s="1298">
        <f>G650+G651+G653+G654+G655</f>
        <v>17697</v>
      </c>
      <c r="H649" s="1298">
        <f>H650+H651+H653+H654+H655</f>
        <v>17697</v>
      </c>
      <c r="I649" s="836">
        <f t="shared" si="67"/>
        <v>100</v>
      </c>
    </row>
    <row r="650" spans="1:9" ht="14.25" x14ac:dyDescent="0.2">
      <c r="A650" s="431"/>
      <c r="B650" s="750"/>
      <c r="C650" s="750"/>
      <c r="D650" s="1068" t="s">
        <v>1903</v>
      </c>
      <c r="E650" s="2546" t="s">
        <v>2032</v>
      </c>
      <c r="F650" s="356"/>
      <c r="G650" s="356">
        <v>5</v>
      </c>
      <c r="H650" s="356">
        <v>5</v>
      </c>
      <c r="I650" s="854">
        <f t="shared" si="67"/>
        <v>100</v>
      </c>
    </row>
    <row r="651" spans="1:9" ht="14.25" customHeight="1" x14ac:dyDescent="0.2">
      <c r="A651" s="431"/>
      <c r="B651" s="750"/>
      <c r="C651" s="750"/>
      <c r="D651" s="1068" t="s">
        <v>1911</v>
      </c>
      <c r="E651" s="2671" t="s">
        <v>2051</v>
      </c>
      <c r="F651" s="827"/>
      <c r="G651" s="837">
        <v>142</v>
      </c>
      <c r="H651" s="837">
        <v>142</v>
      </c>
      <c r="I651" s="823">
        <f t="shared" si="67"/>
        <v>100</v>
      </c>
    </row>
    <row r="652" spans="1:9" ht="15" x14ac:dyDescent="0.25">
      <c r="A652" s="431"/>
      <c r="B652" s="750"/>
      <c r="C652" s="750"/>
      <c r="D652" s="1068"/>
      <c r="E652" s="2671"/>
      <c r="F652" s="827"/>
      <c r="G652" s="846"/>
      <c r="H652" s="846"/>
      <c r="I652" s="853"/>
    </row>
    <row r="653" spans="1:9" ht="15" x14ac:dyDescent="0.2">
      <c r="A653" s="431"/>
      <c r="B653" s="750"/>
      <c r="C653" s="750"/>
      <c r="D653" s="1068" t="s">
        <v>1913</v>
      </c>
      <c r="E653" s="2113" t="s">
        <v>2052</v>
      </c>
      <c r="F653" s="2530"/>
      <c r="G653" s="2531">
        <v>128</v>
      </c>
      <c r="H653" s="2531">
        <v>128</v>
      </c>
      <c r="I653" s="376">
        <f t="shared" ref="I653:I654" si="68">(H653/G653)*100</f>
        <v>100</v>
      </c>
    </row>
    <row r="654" spans="1:9" ht="15" x14ac:dyDescent="0.2">
      <c r="A654" s="431"/>
      <c r="B654" s="750"/>
      <c r="C654" s="750"/>
      <c r="D654" s="552" t="s">
        <v>1124</v>
      </c>
      <c r="E654" s="455" t="s">
        <v>792</v>
      </c>
      <c r="F654" s="1298"/>
      <c r="G654" s="1551">
        <v>16966</v>
      </c>
      <c r="H654" s="1551">
        <v>16966</v>
      </c>
      <c r="I654" s="828">
        <f t="shared" si="68"/>
        <v>100</v>
      </c>
    </row>
    <row r="655" spans="1:9" ht="14.25" customHeight="1" x14ac:dyDescent="0.2">
      <c r="A655" s="431"/>
      <c r="B655" s="750"/>
      <c r="C655" s="750"/>
      <c r="D655" s="748" t="s">
        <v>799</v>
      </c>
      <c r="E655" s="2674" t="s">
        <v>2055</v>
      </c>
      <c r="F655" s="1296"/>
      <c r="G655" s="1296">
        <v>456</v>
      </c>
      <c r="H655" s="1296">
        <v>456</v>
      </c>
      <c r="I655" s="1297">
        <f t="shared" ref="I655" si="69">(H655/G655)*100</f>
        <v>100</v>
      </c>
    </row>
    <row r="656" spans="1:9" ht="15" x14ac:dyDescent="0.25">
      <c r="A656" s="431"/>
      <c r="B656" s="750"/>
      <c r="C656" s="750"/>
      <c r="D656" s="1295"/>
      <c r="E656" s="2675"/>
      <c r="F656" s="1298"/>
      <c r="G656" s="1298"/>
      <c r="H656" s="1298"/>
      <c r="I656" s="836"/>
    </row>
    <row r="657" spans="1:20" ht="15" x14ac:dyDescent="0.25">
      <c r="A657" s="431">
        <v>1043</v>
      </c>
      <c r="B657" s="750">
        <v>3141</v>
      </c>
      <c r="C657" s="1393">
        <v>5336</v>
      </c>
      <c r="D657" s="842"/>
      <c r="E657" s="672" t="s">
        <v>2054</v>
      </c>
      <c r="F657" s="835"/>
      <c r="G657" s="835">
        <v>24</v>
      </c>
      <c r="H657" s="835">
        <v>24</v>
      </c>
      <c r="I657" s="836">
        <f t="shared" si="67"/>
        <v>100</v>
      </c>
    </row>
    <row r="658" spans="1:20" ht="14.25" x14ac:dyDescent="0.2">
      <c r="A658" s="431"/>
      <c r="B658" s="750"/>
      <c r="C658" s="1393"/>
      <c r="D658" s="552" t="s">
        <v>1124</v>
      </c>
      <c r="E658" s="455" t="s">
        <v>792</v>
      </c>
      <c r="F658" s="833"/>
      <c r="G658" s="833">
        <v>24</v>
      </c>
      <c r="H658" s="833">
        <v>24</v>
      </c>
      <c r="I658" s="828">
        <f t="shared" si="67"/>
        <v>100</v>
      </c>
    </row>
    <row r="659" spans="1:20" ht="15" x14ac:dyDescent="0.25">
      <c r="A659" s="431">
        <v>1043</v>
      </c>
      <c r="B659" s="750">
        <v>3143</v>
      </c>
      <c r="C659" s="1393">
        <v>5336</v>
      </c>
      <c r="D659" s="842"/>
      <c r="E659" s="672" t="s">
        <v>2054</v>
      </c>
      <c r="F659" s="835"/>
      <c r="G659" s="835">
        <v>967</v>
      </c>
      <c r="H659" s="835">
        <v>967</v>
      </c>
      <c r="I659" s="836">
        <f t="shared" si="67"/>
        <v>100</v>
      </c>
    </row>
    <row r="660" spans="1:20" ht="15" thickBot="1" x14ac:dyDescent="0.25">
      <c r="A660" s="431"/>
      <c r="B660" s="750"/>
      <c r="C660" s="1393"/>
      <c r="D660" s="552" t="s">
        <v>1124</v>
      </c>
      <c r="E660" s="455" t="s">
        <v>792</v>
      </c>
      <c r="F660" s="833"/>
      <c r="G660" s="833">
        <v>967</v>
      </c>
      <c r="H660" s="833">
        <v>967</v>
      </c>
      <c r="I660" s="828">
        <f t="shared" si="67"/>
        <v>100</v>
      </c>
    </row>
    <row r="661" spans="1:20" ht="16.5" thickTop="1" thickBot="1" x14ac:dyDescent="0.3">
      <c r="A661" s="2672" t="s">
        <v>1105</v>
      </c>
      <c r="B661" s="2673"/>
      <c r="C661" s="2673"/>
      <c r="D661" s="2673"/>
      <c r="E661" s="2673"/>
      <c r="F661" s="824">
        <f>F646+F657+F659</f>
        <v>2271</v>
      </c>
      <c r="G661" s="824">
        <f>G646+G657+G659+G649</f>
        <v>20953</v>
      </c>
      <c r="H661" s="824">
        <f>H646+H657+H659+H649</f>
        <v>20953</v>
      </c>
      <c r="I661" s="825">
        <f>(H661/G661)*100</f>
        <v>100</v>
      </c>
      <c r="R661" s="382">
        <f>F661</f>
        <v>2271</v>
      </c>
      <c r="S661" s="382">
        <f>G661</f>
        <v>20953</v>
      </c>
      <c r="T661" s="382">
        <f>H661</f>
        <v>20953</v>
      </c>
    </row>
    <row r="662" spans="1:20" ht="15.75" thickTop="1" x14ac:dyDescent="0.25">
      <c r="A662" s="368"/>
      <c r="B662" s="368"/>
      <c r="C662" s="368"/>
      <c r="D662" s="368"/>
      <c r="E662" s="368"/>
      <c r="F662" s="181"/>
      <c r="G662" s="181"/>
      <c r="H662" s="181"/>
      <c r="I662" s="210"/>
      <c r="R662" s="382"/>
      <c r="S662" s="382"/>
      <c r="T662" s="382"/>
    </row>
    <row r="663" spans="1:20" ht="15" x14ac:dyDescent="0.25">
      <c r="A663" s="368"/>
      <c r="B663" s="368"/>
      <c r="C663" s="368"/>
      <c r="D663" s="368"/>
      <c r="E663" s="368"/>
      <c r="F663" s="181"/>
      <c r="G663" s="181"/>
      <c r="H663" s="181"/>
      <c r="I663" s="210"/>
      <c r="R663" s="382"/>
      <c r="S663" s="382"/>
      <c r="T663" s="382"/>
    </row>
    <row r="664" spans="1:20" ht="15" x14ac:dyDescent="0.25">
      <c r="A664" s="368"/>
      <c r="B664" s="368"/>
      <c r="C664" s="368"/>
      <c r="D664" s="368"/>
      <c r="E664" s="368"/>
      <c r="F664" s="181"/>
      <c r="G664" s="181"/>
      <c r="H664" s="181"/>
      <c r="I664" s="210"/>
      <c r="R664" s="382"/>
      <c r="S664" s="382"/>
      <c r="T664" s="382"/>
    </row>
    <row r="665" spans="1:20" ht="20.25" customHeight="1" thickBot="1" x14ac:dyDescent="0.25">
      <c r="A665" s="432" t="s">
        <v>1303</v>
      </c>
      <c r="I665" s="1390" t="s">
        <v>161</v>
      </c>
    </row>
    <row r="666" spans="1:20" s="107" customFormat="1" thickTop="1" thickBot="1" x14ac:dyDescent="0.25">
      <c r="A666" s="631" t="s">
        <v>624</v>
      </c>
      <c r="B666" s="774" t="s">
        <v>162</v>
      </c>
      <c r="C666" s="632" t="s">
        <v>163</v>
      </c>
      <c r="D666" s="634" t="s">
        <v>705</v>
      </c>
      <c r="E666" s="634" t="s">
        <v>164</v>
      </c>
      <c r="F666" s="634" t="s">
        <v>165</v>
      </c>
      <c r="G666" s="634" t="s">
        <v>881</v>
      </c>
      <c r="H666" s="634" t="s">
        <v>882</v>
      </c>
      <c r="I666" s="818" t="s">
        <v>883</v>
      </c>
    </row>
    <row r="667" spans="1:20" s="383" customFormat="1" ht="13.5" thickTop="1" thickBot="1" x14ac:dyDescent="0.25">
      <c r="A667" s="566">
        <v>1</v>
      </c>
      <c r="B667" s="567">
        <v>2</v>
      </c>
      <c r="C667" s="567">
        <v>3</v>
      </c>
      <c r="D667" s="567">
        <v>4</v>
      </c>
      <c r="E667" s="567">
        <v>5</v>
      </c>
      <c r="F667" s="541">
        <v>6</v>
      </c>
      <c r="G667" s="541">
        <v>7</v>
      </c>
      <c r="H667" s="542">
        <v>8</v>
      </c>
      <c r="I667" s="636" t="s">
        <v>762</v>
      </c>
    </row>
    <row r="668" spans="1:20" ht="15.75" thickTop="1" x14ac:dyDescent="0.25">
      <c r="A668" s="1391">
        <v>1100</v>
      </c>
      <c r="B668" s="775">
        <v>3121</v>
      </c>
      <c r="C668" s="775">
        <v>5331</v>
      </c>
      <c r="D668" s="839"/>
      <c r="E668" s="860" t="s">
        <v>951</v>
      </c>
      <c r="F668" s="861">
        <f>SUM(F669:F671)</f>
        <v>2691</v>
      </c>
      <c r="G668" s="861">
        <f>SUM(G669:G672)</f>
        <v>2709</v>
      </c>
      <c r="H668" s="861">
        <f>SUM(H669:H672)</f>
        <v>2709</v>
      </c>
      <c r="I668" s="826">
        <f t="shared" ref="I668:I679" si="70">(H668/G668)*100</f>
        <v>100</v>
      </c>
    </row>
    <row r="669" spans="1:20" ht="14.25" x14ac:dyDescent="0.2">
      <c r="A669" s="431"/>
      <c r="B669" s="673"/>
      <c r="C669" s="673"/>
      <c r="D669" s="707" t="s">
        <v>575</v>
      </c>
      <c r="E669" s="1478" t="s">
        <v>793</v>
      </c>
      <c r="F669" s="827">
        <v>28</v>
      </c>
      <c r="G669" s="827">
        <v>36</v>
      </c>
      <c r="H669" s="827">
        <v>36</v>
      </c>
      <c r="I669" s="823">
        <f t="shared" si="70"/>
        <v>100</v>
      </c>
    </row>
    <row r="670" spans="1:20" ht="14.25" x14ac:dyDescent="0.2">
      <c r="A670" s="431"/>
      <c r="B670" s="673"/>
      <c r="C670" s="673"/>
      <c r="D670" s="748" t="s">
        <v>352</v>
      </c>
      <c r="E670" s="455" t="s">
        <v>833</v>
      </c>
      <c r="F670" s="833"/>
      <c r="G670" s="827">
        <v>10</v>
      </c>
      <c r="H670" s="827">
        <v>10</v>
      </c>
      <c r="I670" s="823">
        <f t="shared" si="70"/>
        <v>100</v>
      </c>
    </row>
    <row r="671" spans="1:20" ht="14.25" x14ac:dyDescent="0.2">
      <c r="A671" s="431"/>
      <c r="B671" s="673"/>
      <c r="C671" s="673"/>
      <c r="D671" s="552" t="s">
        <v>570</v>
      </c>
      <c r="E671" s="455" t="s">
        <v>71</v>
      </c>
      <c r="F671" s="833">
        <v>2663</v>
      </c>
      <c r="G671" s="827">
        <v>2660</v>
      </c>
      <c r="H671" s="827">
        <v>2660</v>
      </c>
      <c r="I671" s="823">
        <f t="shared" si="70"/>
        <v>100</v>
      </c>
    </row>
    <row r="672" spans="1:20" ht="14.25" x14ac:dyDescent="0.2">
      <c r="A672" s="431"/>
      <c r="B672" s="750"/>
      <c r="C672" s="673"/>
      <c r="D672" s="1059" t="s">
        <v>665</v>
      </c>
      <c r="E672" s="1278" t="s">
        <v>1294</v>
      </c>
      <c r="F672" s="1311"/>
      <c r="G672" s="451">
        <v>3</v>
      </c>
      <c r="H672" s="316">
        <v>3</v>
      </c>
      <c r="I672" s="1074">
        <f t="shared" si="70"/>
        <v>100</v>
      </c>
    </row>
    <row r="673" spans="1:20" ht="15" x14ac:dyDescent="0.25">
      <c r="A673" s="431">
        <v>1100</v>
      </c>
      <c r="B673" s="750">
        <v>3121</v>
      </c>
      <c r="C673" s="673">
        <v>5336</v>
      </c>
      <c r="D673" s="552"/>
      <c r="E673" s="672" t="s">
        <v>2054</v>
      </c>
      <c r="F673" s="833"/>
      <c r="G673" s="846">
        <f>G674+G675+G676+G678+G679</f>
        <v>12704</v>
      </c>
      <c r="H673" s="846">
        <f>H674+H675+H676+H678+H679</f>
        <v>12704</v>
      </c>
      <c r="I673" s="853">
        <f t="shared" si="70"/>
        <v>100</v>
      </c>
    </row>
    <row r="674" spans="1:20" ht="14.25" x14ac:dyDescent="0.2">
      <c r="A674" s="431"/>
      <c r="B674" s="750"/>
      <c r="C674" s="673"/>
      <c r="D674" s="552" t="s">
        <v>1243</v>
      </c>
      <c r="E674" s="1309" t="s">
        <v>706</v>
      </c>
      <c r="F674" s="833"/>
      <c r="G674" s="833">
        <v>16</v>
      </c>
      <c r="H674" s="827">
        <v>16</v>
      </c>
      <c r="I674" s="823">
        <f t="shared" ref="I674:I676" si="71">(H674/G674)*100</f>
        <v>100</v>
      </c>
    </row>
    <row r="675" spans="1:20" ht="14.25" x14ac:dyDescent="0.2">
      <c r="A675" s="431"/>
      <c r="B675" s="750"/>
      <c r="C675" s="673"/>
      <c r="D675" s="1068" t="s">
        <v>1903</v>
      </c>
      <c r="E675" s="2546" t="s">
        <v>2032</v>
      </c>
      <c r="F675" s="356"/>
      <c r="G675" s="356">
        <v>6</v>
      </c>
      <c r="H675" s="356">
        <v>6</v>
      </c>
      <c r="I675" s="854">
        <f t="shared" si="71"/>
        <v>100</v>
      </c>
    </row>
    <row r="676" spans="1:20" ht="14.25" customHeight="1" x14ac:dyDescent="0.2">
      <c r="A676" s="431"/>
      <c r="B676" s="750"/>
      <c r="C676" s="673"/>
      <c r="D676" s="1068" t="s">
        <v>1911</v>
      </c>
      <c r="E676" s="2671" t="s">
        <v>2051</v>
      </c>
      <c r="F676" s="827"/>
      <c r="G676" s="837">
        <v>15</v>
      </c>
      <c r="H676" s="837">
        <v>15</v>
      </c>
      <c r="I676" s="823">
        <f t="shared" si="71"/>
        <v>100</v>
      </c>
    </row>
    <row r="677" spans="1:20" ht="15" x14ac:dyDescent="0.25">
      <c r="A677" s="431"/>
      <c r="B677" s="750"/>
      <c r="C677" s="673"/>
      <c r="D677" s="1068"/>
      <c r="E677" s="2671"/>
      <c r="F677" s="827"/>
      <c r="G677" s="846"/>
      <c r="H677" s="846"/>
      <c r="I677" s="853"/>
    </row>
    <row r="678" spans="1:20" ht="15" x14ac:dyDescent="0.2">
      <c r="A678" s="431"/>
      <c r="B678" s="750"/>
      <c r="C678" s="673"/>
      <c r="D678" s="1068" t="s">
        <v>1913</v>
      </c>
      <c r="E678" s="2113" t="s">
        <v>2052</v>
      </c>
      <c r="F678" s="2530"/>
      <c r="G678" s="2531">
        <v>87</v>
      </c>
      <c r="H678" s="2531">
        <v>87</v>
      </c>
      <c r="I678" s="376">
        <f t="shared" ref="I678" si="72">(H678/G678)*100</f>
        <v>100</v>
      </c>
    </row>
    <row r="679" spans="1:20" ht="14.25" x14ac:dyDescent="0.2">
      <c r="A679" s="431"/>
      <c r="B679" s="750"/>
      <c r="C679" s="673"/>
      <c r="D679" s="552" t="s">
        <v>1124</v>
      </c>
      <c r="E679" s="455" t="s">
        <v>792</v>
      </c>
      <c r="F679" s="833"/>
      <c r="G679" s="833">
        <v>12580</v>
      </c>
      <c r="H679" s="827">
        <v>12580</v>
      </c>
      <c r="I679" s="823">
        <f t="shared" si="70"/>
        <v>100</v>
      </c>
    </row>
    <row r="680" spans="1:20" ht="15" x14ac:dyDescent="0.25">
      <c r="A680" s="431">
        <v>1100</v>
      </c>
      <c r="B680" s="750">
        <v>3142</v>
      </c>
      <c r="C680" s="1393">
        <v>5331</v>
      </c>
      <c r="D680" s="842"/>
      <c r="E680" s="672" t="s">
        <v>951</v>
      </c>
      <c r="F680" s="835">
        <v>440</v>
      </c>
      <c r="G680" s="835">
        <v>440</v>
      </c>
      <c r="H680" s="835">
        <v>440</v>
      </c>
      <c r="I680" s="836">
        <f>(H680/G680)*100</f>
        <v>100</v>
      </c>
    </row>
    <row r="681" spans="1:20" ht="15" thickBot="1" x14ac:dyDescent="0.25">
      <c r="A681" s="431"/>
      <c r="B681" s="750"/>
      <c r="C681" s="1393"/>
      <c r="D681" s="552" t="s">
        <v>570</v>
      </c>
      <c r="E681" s="455" t="s">
        <v>71</v>
      </c>
      <c r="F681" s="833">
        <v>440</v>
      </c>
      <c r="G681" s="833">
        <v>440</v>
      </c>
      <c r="H681" s="833">
        <v>440</v>
      </c>
      <c r="I681" s="828">
        <v>100</v>
      </c>
    </row>
    <row r="682" spans="1:20" ht="16.5" thickTop="1" thickBot="1" x14ac:dyDescent="0.3">
      <c r="A682" s="2672" t="s">
        <v>1105</v>
      </c>
      <c r="B682" s="2673"/>
      <c r="C682" s="2673"/>
      <c r="D682" s="2673"/>
      <c r="E682" s="2673"/>
      <c r="F682" s="824">
        <f>F668+F680+F673</f>
        <v>3131</v>
      </c>
      <c r="G682" s="824">
        <f>G668+G680+G673</f>
        <v>15853</v>
      </c>
      <c r="H682" s="824">
        <f>H668+H680+H673</f>
        <v>15853</v>
      </c>
      <c r="I682" s="825">
        <f>(H682/G682)*100</f>
        <v>100</v>
      </c>
      <c r="R682" s="382">
        <f>F682</f>
        <v>3131</v>
      </c>
      <c r="S682" s="382">
        <f>G682</f>
        <v>15853</v>
      </c>
      <c r="T682" s="382">
        <f>H682</f>
        <v>15853</v>
      </c>
    </row>
    <row r="683" spans="1:20" ht="14.25" customHeight="1" thickTop="1" x14ac:dyDescent="0.2"/>
    <row r="684" spans="1:20" ht="14.25" customHeight="1" x14ac:dyDescent="0.2"/>
    <row r="685" spans="1:20" ht="14.25" customHeight="1" x14ac:dyDescent="0.2"/>
    <row r="686" spans="1:20" ht="16.5" customHeight="1" thickBot="1" x14ac:dyDescent="0.25">
      <c r="A686" s="432" t="s">
        <v>1304</v>
      </c>
      <c r="I686" s="1390" t="s">
        <v>161</v>
      </c>
    </row>
    <row r="687" spans="1:20" s="107" customFormat="1" thickTop="1" thickBot="1" x14ac:dyDescent="0.25">
      <c r="A687" s="631" t="s">
        <v>624</v>
      </c>
      <c r="B687" s="774" t="s">
        <v>162</v>
      </c>
      <c r="C687" s="632" t="s">
        <v>163</v>
      </c>
      <c r="D687" s="634" t="s">
        <v>705</v>
      </c>
      <c r="E687" s="634" t="s">
        <v>164</v>
      </c>
      <c r="F687" s="634" t="s">
        <v>165</v>
      </c>
      <c r="G687" s="634" t="s">
        <v>881</v>
      </c>
      <c r="H687" s="634" t="s">
        <v>882</v>
      </c>
      <c r="I687" s="818" t="s">
        <v>883</v>
      </c>
    </row>
    <row r="688" spans="1:20" s="383" customFormat="1" ht="13.5" thickTop="1" thickBot="1" x14ac:dyDescent="0.25">
      <c r="A688" s="566">
        <v>1</v>
      </c>
      <c r="B688" s="567">
        <v>2</v>
      </c>
      <c r="C688" s="567">
        <v>3</v>
      </c>
      <c r="D688" s="567">
        <v>4</v>
      </c>
      <c r="E688" s="567">
        <v>5</v>
      </c>
      <c r="F688" s="541">
        <v>6</v>
      </c>
      <c r="G688" s="541">
        <v>7</v>
      </c>
      <c r="H688" s="542">
        <v>8</v>
      </c>
      <c r="I688" s="636" t="s">
        <v>762</v>
      </c>
    </row>
    <row r="689" spans="1:9" ht="15.75" thickTop="1" x14ac:dyDescent="0.25">
      <c r="A689" s="1391">
        <v>1101</v>
      </c>
      <c r="B689" s="775">
        <v>3121</v>
      </c>
      <c r="C689" s="775">
        <v>5331</v>
      </c>
      <c r="D689" s="839"/>
      <c r="E689" s="860" t="s">
        <v>951</v>
      </c>
      <c r="F689" s="861">
        <f>SUM(F690:F692)</f>
        <v>4337</v>
      </c>
      <c r="G689" s="861">
        <f>SUM(G690:G692)</f>
        <v>4989</v>
      </c>
      <c r="H689" s="861">
        <f>SUM(H690:H692)</f>
        <v>4989</v>
      </c>
      <c r="I689" s="826">
        <f t="shared" ref="I689:I713" si="73">(H689/G689)*100</f>
        <v>100</v>
      </c>
    </row>
    <row r="690" spans="1:9" ht="14.25" x14ac:dyDescent="0.2">
      <c r="A690" s="431"/>
      <c r="B690" s="673"/>
      <c r="C690" s="673"/>
      <c r="D690" s="707" t="s">
        <v>575</v>
      </c>
      <c r="E690" s="1478" t="s">
        <v>793</v>
      </c>
      <c r="F690" s="827">
        <v>1364</v>
      </c>
      <c r="G690" s="827">
        <v>1358</v>
      </c>
      <c r="H690" s="827">
        <v>1358</v>
      </c>
      <c r="I690" s="823">
        <f t="shared" si="73"/>
        <v>100</v>
      </c>
    </row>
    <row r="691" spans="1:9" ht="14.25" x14ac:dyDescent="0.2">
      <c r="A691" s="431"/>
      <c r="B691" s="673"/>
      <c r="C691" s="673"/>
      <c r="D691" s="1059" t="s">
        <v>184</v>
      </c>
      <c r="E691" s="1161" t="s">
        <v>712</v>
      </c>
      <c r="F691" s="827"/>
      <c r="G691" s="827">
        <v>75</v>
      </c>
      <c r="H691" s="827">
        <v>75</v>
      </c>
      <c r="I691" s="823">
        <f t="shared" si="73"/>
        <v>100</v>
      </c>
    </row>
    <row r="692" spans="1:9" ht="15" thickBot="1" x14ac:dyDescent="0.25">
      <c r="A692" s="1394"/>
      <c r="B692" s="674"/>
      <c r="C692" s="674"/>
      <c r="D692" s="718" t="s">
        <v>570</v>
      </c>
      <c r="E692" s="456" t="s">
        <v>71</v>
      </c>
      <c r="F692" s="871">
        <v>2973</v>
      </c>
      <c r="G692" s="871">
        <v>3556</v>
      </c>
      <c r="H692" s="871">
        <v>3556</v>
      </c>
      <c r="I692" s="855">
        <f t="shared" si="73"/>
        <v>100</v>
      </c>
    </row>
    <row r="693" spans="1:9" ht="16.5" customHeight="1" thickTop="1" thickBot="1" x14ac:dyDescent="0.25">
      <c r="A693" s="432"/>
      <c r="I693" s="1390" t="s">
        <v>161</v>
      </c>
    </row>
    <row r="694" spans="1:9" s="107" customFormat="1" thickTop="1" thickBot="1" x14ac:dyDescent="0.25">
      <c r="A694" s="631" t="s">
        <v>624</v>
      </c>
      <c r="B694" s="774" t="s">
        <v>162</v>
      </c>
      <c r="C694" s="632" t="s">
        <v>163</v>
      </c>
      <c r="D694" s="634" t="s">
        <v>705</v>
      </c>
      <c r="E694" s="634" t="s">
        <v>164</v>
      </c>
      <c r="F694" s="634" t="s">
        <v>165</v>
      </c>
      <c r="G694" s="634" t="s">
        <v>881</v>
      </c>
      <c r="H694" s="634" t="s">
        <v>882</v>
      </c>
      <c r="I694" s="818" t="s">
        <v>883</v>
      </c>
    </row>
    <row r="695" spans="1:9" s="383" customFormat="1" ht="13.5" thickTop="1" thickBot="1" x14ac:dyDescent="0.25">
      <c r="A695" s="566">
        <v>1</v>
      </c>
      <c r="B695" s="567">
        <v>2</v>
      </c>
      <c r="C695" s="567">
        <v>3</v>
      </c>
      <c r="D695" s="567">
        <v>4</v>
      </c>
      <c r="E695" s="567">
        <v>5</v>
      </c>
      <c r="F695" s="541">
        <v>6</v>
      </c>
      <c r="G695" s="541">
        <v>7</v>
      </c>
      <c r="H695" s="542">
        <v>8</v>
      </c>
      <c r="I695" s="636" t="s">
        <v>762</v>
      </c>
    </row>
    <row r="696" spans="1:9" ht="15.75" thickTop="1" x14ac:dyDescent="0.25">
      <c r="A696" s="431">
        <v>1101</v>
      </c>
      <c r="B696" s="750">
        <v>3121</v>
      </c>
      <c r="C696" s="750">
        <v>5336</v>
      </c>
      <c r="D696" s="748"/>
      <c r="E696" s="672" t="s">
        <v>2054</v>
      </c>
      <c r="F696" s="827"/>
      <c r="G696" s="851">
        <f>G697+G698+G699+G702+G704+G705+G707</f>
        <v>25397</v>
      </c>
      <c r="H696" s="851">
        <f>H697+H698+H699+H702+H704+H705+H707</f>
        <v>25397</v>
      </c>
      <c r="I696" s="853">
        <f t="shared" si="73"/>
        <v>100</v>
      </c>
    </row>
    <row r="697" spans="1:9" ht="14.25" x14ac:dyDescent="0.2">
      <c r="A697" s="431"/>
      <c r="B697" s="750"/>
      <c r="C697" s="750"/>
      <c r="D697" s="1068" t="s">
        <v>1504</v>
      </c>
      <c r="E697" s="2113" t="s">
        <v>1604</v>
      </c>
      <c r="F697" s="827"/>
      <c r="G697" s="827">
        <v>45</v>
      </c>
      <c r="H697" s="827">
        <v>45</v>
      </c>
      <c r="I697" s="823">
        <f t="shared" ref="I697:I699" si="74">(H697/G697)*100</f>
        <v>100</v>
      </c>
    </row>
    <row r="698" spans="1:9" ht="14.25" x14ac:dyDescent="0.2">
      <c r="A698" s="431"/>
      <c r="B698" s="750"/>
      <c r="C698" s="750"/>
      <c r="D698" s="1068" t="s">
        <v>1903</v>
      </c>
      <c r="E698" s="2546" t="s">
        <v>2032</v>
      </c>
      <c r="F698" s="356"/>
      <c r="G698" s="356">
        <v>11</v>
      </c>
      <c r="H698" s="356">
        <v>11</v>
      </c>
      <c r="I698" s="854">
        <f t="shared" si="74"/>
        <v>100</v>
      </c>
    </row>
    <row r="699" spans="1:9" ht="14.25" x14ac:dyDescent="0.2">
      <c r="A699" s="431"/>
      <c r="B699" s="750"/>
      <c r="C699" s="750"/>
      <c r="D699" s="1068" t="s">
        <v>1909</v>
      </c>
      <c r="E699" s="2694" t="s">
        <v>2058</v>
      </c>
      <c r="F699" s="356"/>
      <c r="G699" s="356">
        <v>259</v>
      </c>
      <c r="H699" s="356">
        <v>259</v>
      </c>
      <c r="I699" s="854">
        <f t="shared" si="74"/>
        <v>100</v>
      </c>
    </row>
    <row r="700" spans="1:9" ht="14.25" x14ac:dyDescent="0.2">
      <c r="A700" s="431"/>
      <c r="B700" s="750"/>
      <c r="C700" s="750"/>
      <c r="D700" s="1068"/>
      <c r="E700" s="2694"/>
      <c r="F700" s="356"/>
      <c r="G700" s="356"/>
      <c r="H700" s="356"/>
      <c r="I700" s="854"/>
    </row>
    <row r="701" spans="1:9" ht="14.25" x14ac:dyDescent="0.2">
      <c r="A701" s="431"/>
      <c r="B701" s="750"/>
      <c r="C701" s="750"/>
      <c r="D701" s="1068"/>
      <c r="E701" s="2694"/>
      <c r="F701" s="827"/>
      <c r="G701" s="827"/>
      <c r="H701" s="827"/>
      <c r="I701" s="823"/>
    </row>
    <row r="702" spans="1:9" ht="14.25" x14ac:dyDescent="0.2">
      <c r="A702" s="431"/>
      <c r="B702" s="750"/>
      <c r="C702" s="750"/>
      <c r="D702" s="1068" t="s">
        <v>1911</v>
      </c>
      <c r="E702" s="2671" t="s">
        <v>2051</v>
      </c>
      <c r="F702" s="827"/>
      <c r="G702" s="837">
        <v>27</v>
      </c>
      <c r="H702" s="837">
        <v>27</v>
      </c>
      <c r="I702" s="823">
        <f t="shared" ref="I702" si="75">(H702/G702)*100</f>
        <v>100</v>
      </c>
    </row>
    <row r="703" spans="1:9" ht="15" x14ac:dyDescent="0.25">
      <c r="A703" s="431"/>
      <c r="B703" s="750"/>
      <c r="C703" s="750"/>
      <c r="D703" s="1068"/>
      <c r="E703" s="2671"/>
      <c r="F703" s="827"/>
      <c r="G703" s="846"/>
      <c r="H703" s="846"/>
      <c r="I703" s="853"/>
    </row>
    <row r="704" spans="1:9" ht="15" x14ac:dyDescent="0.2">
      <c r="A704" s="431"/>
      <c r="B704" s="750"/>
      <c r="C704" s="750"/>
      <c r="D704" s="1068" t="s">
        <v>1913</v>
      </c>
      <c r="E704" s="2113" t="s">
        <v>2052</v>
      </c>
      <c r="F704" s="2530"/>
      <c r="G704" s="2531">
        <v>148</v>
      </c>
      <c r="H704" s="2531">
        <v>148</v>
      </c>
      <c r="I704" s="376">
        <f t="shared" ref="I704:I705" si="76">(H704/G704)*100</f>
        <v>100</v>
      </c>
    </row>
    <row r="705" spans="1:20" ht="14.25" x14ac:dyDescent="0.2">
      <c r="A705" s="431"/>
      <c r="B705" s="750"/>
      <c r="C705" s="750"/>
      <c r="D705" s="1068" t="s">
        <v>1129</v>
      </c>
      <c r="E705" s="2682" t="s">
        <v>2059</v>
      </c>
      <c r="F705" s="314"/>
      <c r="G705" s="316">
        <v>82</v>
      </c>
      <c r="H705" s="316">
        <v>82</v>
      </c>
      <c r="I705" s="1074">
        <f t="shared" si="76"/>
        <v>100</v>
      </c>
    </row>
    <row r="706" spans="1:20" ht="14.25" x14ac:dyDescent="0.2">
      <c r="A706" s="431"/>
      <c r="B706" s="750"/>
      <c r="C706" s="750"/>
      <c r="D706" s="1068"/>
      <c r="E706" s="2682"/>
      <c r="F706" s="314"/>
      <c r="G706" s="316"/>
      <c r="H706" s="316"/>
      <c r="I706" s="1074"/>
    </row>
    <row r="707" spans="1:20" ht="14.25" x14ac:dyDescent="0.2">
      <c r="A707" s="431"/>
      <c r="B707" s="750"/>
      <c r="C707" s="750"/>
      <c r="D707" s="552" t="s">
        <v>1124</v>
      </c>
      <c r="E707" s="455" t="s">
        <v>792</v>
      </c>
      <c r="F707" s="827"/>
      <c r="G707" s="827">
        <v>24825</v>
      </c>
      <c r="H707" s="827">
        <v>24825</v>
      </c>
      <c r="I707" s="823">
        <f t="shared" si="73"/>
        <v>100</v>
      </c>
    </row>
    <row r="708" spans="1:20" ht="15" x14ac:dyDescent="0.25">
      <c r="A708" s="431">
        <v>1101</v>
      </c>
      <c r="B708" s="750">
        <v>3141</v>
      </c>
      <c r="C708" s="750">
        <v>5336</v>
      </c>
      <c r="D708" s="568"/>
      <c r="E708" s="672" t="s">
        <v>2054</v>
      </c>
      <c r="F708" s="846"/>
      <c r="G708" s="846">
        <v>180</v>
      </c>
      <c r="H708" s="846">
        <v>180</v>
      </c>
      <c r="I708" s="838">
        <f t="shared" si="73"/>
        <v>100</v>
      </c>
    </row>
    <row r="709" spans="1:20" ht="14.25" x14ac:dyDescent="0.2">
      <c r="A709" s="431"/>
      <c r="B709" s="750"/>
      <c r="C709" s="750"/>
      <c r="D709" s="552" t="s">
        <v>1124</v>
      </c>
      <c r="E709" s="455" t="s">
        <v>792</v>
      </c>
      <c r="F709" s="833"/>
      <c r="G709" s="833">
        <v>180</v>
      </c>
      <c r="H709" s="833">
        <v>180</v>
      </c>
      <c r="I709" s="828">
        <f t="shared" si="73"/>
        <v>100</v>
      </c>
    </row>
    <row r="710" spans="1:20" ht="15" x14ac:dyDescent="0.25">
      <c r="A710" s="431">
        <v>1101</v>
      </c>
      <c r="B710" s="750">
        <v>3142</v>
      </c>
      <c r="C710" s="1393">
        <v>5331</v>
      </c>
      <c r="D710" s="842"/>
      <c r="E710" s="672" t="s">
        <v>951</v>
      </c>
      <c r="F710" s="835">
        <f>F711+F712</f>
        <v>488</v>
      </c>
      <c r="G710" s="835">
        <f>G711+G712</f>
        <v>484</v>
      </c>
      <c r="H710" s="835">
        <f>H711+H712</f>
        <v>484</v>
      </c>
      <c r="I710" s="836">
        <f t="shared" si="73"/>
        <v>100</v>
      </c>
    </row>
    <row r="711" spans="1:20" ht="14.25" x14ac:dyDescent="0.2">
      <c r="A711" s="431"/>
      <c r="B711" s="750"/>
      <c r="C711" s="1393"/>
      <c r="D711" s="707" t="s">
        <v>575</v>
      </c>
      <c r="E711" s="1478" t="s">
        <v>793</v>
      </c>
      <c r="F711" s="827">
        <v>23</v>
      </c>
      <c r="G711" s="827">
        <v>24</v>
      </c>
      <c r="H711" s="827">
        <v>24</v>
      </c>
      <c r="I711" s="823">
        <f t="shared" si="73"/>
        <v>100</v>
      </c>
    </row>
    <row r="712" spans="1:20" ht="14.25" x14ac:dyDescent="0.2">
      <c r="A712" s="431"/>
      <c r="B712" s="750"/>
      <c r="C712" s="1393"/>
      <c r="D712" s="552" t="s">
        <v>570</v>
      </c>
      <c r="E712" s="455" t="s">
        <v>71</v>
      </c>
      <c r="F712" s="833">
        <v>465</v>
      </c>
      <c r="G712" s="833">
        <v>460</v>
      </c>
      <c r="H712" s="833">
        <v>460</v>
      </c>
      <c r="I712" s="828">
        <f t="shared" si="73"/>
        <v>100</v>
      </c>
    </row>
    <row r="713" spans="1:20" ht="15" x14ac:dyDescent="0.25">
      <c r="A713" s="431">
        <v>1101</v>
      </c>
      <c r="B713" s="750">
        <v>3142</v>
      </c>
      <c r="C713" s="1393">
        <v>5336</v>
      </c>
      <c r="D713" s="552"/>
      <c r="E713" s="672" t="s">
        <v>2054</v>
      </c>
      <c r="F713" s="833"/>
      <c r="G713" s="846">
        <v>228</v>
      </c>
      <c r="H713" s="846">
        <v>228</v>
      </c>
      <c r="I713" s="838">
        <f t="shared" si="73"/>
        <v>100</v>
      </c>
    </row>
    <row r="714" spans="1:20" ht="12.75" customHeight="1" thickBot="1" x14ac:dyDescent="0.25">
      <c r="A714" s="431"/>
      <c r="B714" s="750"/>
      <c r="C714" s="1393"/>
      <c r="D714" s="552" t="s">
        <v>1124</v>
      </c>
      <c r="E714" s="455" t="s">
        <v>792</v>
      </c>
      <c r="F714" s="833"/>
      <c r="G714" s="833">
        <v>228</v>
      </c>
      <c r="H714" s="833">
        <v>228</v>
      </c>
      <c r="I714" s="828">
        <v>100</v>
      </c>
    </row>
    <row r="715" spans="1:20" ht="16.5" thickTop="1" thickBot="1" x14ac:dyDescent="0.3">
      <c r="A715" s="2672" t="s">
        <v>1105</v>
      </c>
      <c r="B715" s="2673"/>
      <c r="C715" s="2673"/>
      <c r="D715" s="2673"/>
      <c r="E715" s="2673"/>
      <c r="F715" s="824">
        <f>F689+F710</f>
        <v>4825</v>
      </c>
      <c r="G715" s="824">
        <f>G689+G696+G708+G710+G713</f>
        <v>31278</v>
      </c>
      <c r="H715" s="824">
        <f>H689+H696+H708+H710+H713</f>
        <v>31278</v>
      </c>
      <c r="I715" s="825">
        <f>(H715/G715)*100</f>
        <v>100</v>
      </c>
      <c r="R715" s="382">
        <f>F715</f>
        <v>4825</v>
      </c>
      <c r="S715" s="382">
        <f>G715</f>
        <v>31278</v>
      </c>
      <c r="T715" s="382">
        <f>H715</f>
        <v>31278</v>
      </c>
    </row>
    <row r="716" spans="1:20" ht="13.5" thickTop="1" x14ac:dyDescent="0.2"/>
    <row r="719" spans="1:20" ht="13.5" thickBot="1" x14ac:dyDescent="0.25">
      <c r="A719" s="432" t="s">
        <v>397</v>
      </c>
      <c r="I719" s="1390" t="s">
        <v>161</v>
      </c>
    </row>
    <row r="720" spans="1:20" s="107" customFormat="1" thickTop="1" thickBot="1" x14ac:dyDescent="0.25">
      <c r="A720" s="631" t="s">
        <v>624</v>
      </c>
      <c r="B720" s="774" t="s">
        <v>162</v>
      </c>
      <c r="C720" s="632" t="s">
        <v>163</v>
      </c>
      <c r="D720" s="634" t="s">
        <v>705</v>
      </c>
      <c r="E720" s="634" t="s">
        <v>164</v>
      </c>
      <c r="F720" s="634" t="s">
        <v>165</v>
      </c>
      <c r="G720" s="634" t="s">
        <v>881</v>
      </c>
      <c r="H720" s="634" t="s">
        <v>882</v>
      </c>
      <c r="I720" s="818" t="s">
        <v>883</v>
      </c>
    </row>
    <row r="721" spans="1:19" s="383" customFormat="1" ht="13.5" thickTop="1" thickBot="1" x14ac:dyDescent="0.25">
      <c r="A721" s="566">
        <v>1</v>
      </c>
      <c r="B721" s="567">
        <v>2</v>
      </c>
      <c r="C721" s="567">
        <v>3</v>
      </c>
      <c r="D721" s="567">
        <v>4</v>
      </c>
      <c r="E721" s="567">
        <v>5</v>
      </c>
      <c r="F721" s="541">
        <v>6</v>
      </c>
      <c r="G721" s="541">
        <v>7</v>
      </c>
      <c r="H721" s="542">
        <v>8</v>
      </c>
      <c r="I721" s="636" t="s">
        <v>762</v>
      </c>
    </row>
    <row r="722" spans="1:19" ht="15.75" thickTop="1" x14ac:dyDescent="0.25">
      <c r="A722" s="1391">
        <v>1102</v>
      </c>
      <c r="B722" s="775">
        <v>3121</v>
      </c>
      <c r="C722" s="775">
        <v>5331</v>
      </c>
      <c r="D722" s="839"/>
      <c r="E722" s="860" t="s">
        <v>951</v>
      </c>
      <c r="F722" s="861">
        <f>F723+F724+F725</f>
        <v>10521</v>
      </c>
      <c r="G722" s="861">
        <f>G723+G724+G725</f>
        <v>11414</v>
      </c>
      <c r="H722" s="861">
        <f>H723+H724+H725</f>
        <v>11414</v>
      </c>
      <c r="I722" s="826">
        <f t="shared" ref="I722:I736" si="77">(H722/G722)*100</f>
        <v>100</v>
      </c>
    </row>
    <row r="723" spans="1:19" ht="14.25" x14ac:dyDescent="0.2">
      <c r="A723" s="431"/>
      <c r="B723" s="673"/>
      <c r="C723" s="673"/>
      <c r="D723" s="707" t="s">
        <v>575</v>
      </c>
      <c r="E723" s="1478" t="s">
        <v>793</v>
      </c>
      <c r="F723" s="827">
        <v>4626</v>
      </c>
      <c r="G723" s="827">
        <v>4978</v>
      </c>
      <c r="H723" s="827">
        <v>4978</v>
      </c>
      <c r="I723" s="823">
        <f t="shared" si="77"/>
        <v>100</v>
      </c>
    </row>
    <row r="724" spans="1:19" ht="14.25" x14ac:dyDescent="0.2">
      <c r="A724" s="431"/>
      <c r="B724" s="673"/>
      <c r="C724" s="673"/>
      <c r="D724" s="1059" t="s">
        <v>184</v>
      </c>
      <c r="E724" s="1161" t="s">
        <v>712</v>
      </c>
      <c r="F724" s="827"/>
      <c r="G724" s="827">
        <v>200</v>
      </c>
      <c r="H724" s="827">
        <v>200</v>
      </c>
      <c r="I724" s="823">
        <f t="shared" si="77"/>
        <v>100</v>
      </c>
    </row>
    <row r="725" spans="1:19" ht="14.25" x14ac:dyDescent="0.2">
      <c r="A725" s="431"/>
      <c r="B725" s="673"/>
      <c r="C725" s="673"/>
      <c r="D725" s="552" t="s">
        <v>570</v>
      </c>
      <c r="E725" s="455" t="s">
        <v>71</v>
      </c>
      <c r="F725" s="827">
        <v>5895</v>
      </c>
      <c r="G725" s="827">
        <v>6236</v>
      </c>
      <c r="H725" s="827">
        <v>6236</v>
      </c>
      <c r="I725" s="823">
        <f t="shared" si="77"/>
        <v>100</v>
      </c>
    </row>
    <row r="726" spans="1:19" ht="15" x14ac:dyDescent="0.25">
      <c r="A726" s="431">
        <v>1102</v>
      </c>
      <c r="B726" s="750">
        <v>3121</v>
      </c>
      <c r="C726" s="750">
        <v>5336</v>
      </c>
      <c r="D726" s="748"/>
      <c r="E726" s="672" t="s">
        <v>2054</v>
      </c>
      <c r="F726" s="827"/>
      <c r="G726" s="851">
        <f>G727+G728+G729+G730+G732+G733</f>
        <v>39998</v>
      </c>
      <c r="H726" s="851">
        <f>H727+H728+H729+H730+H732+H733</f>
        <v>39997</v>
      </c>
      <c r="I726" s="853">
        <f t="shared" si="77"/>
        <v>99.99749987499375</v>
      </c>
    </row>
    <row r="727" spans="1:19" ht="14.25" x14ac:dyDescent="0.2">
      <c r="A727" s="431"/>
      <c r="B727" s="750"/>
      <c r="C727" s="750"/>
      <c r="D727" s="1068" t="s">
        <v>1431</v>
      </c>
      <c r="E727" s="1401" t="s">
        <v>1446</v>
      </c>
      <c r="F727" s="827"/>
      <c r="G727" s="827">
        <v>88</v>
      </c>
      <c r="H727" s="827">
        <v>88</v>
      </c>
      <c r="I727" s="823">
        <f t="shared" ref="I727:I730" si="78">(H727/G727)*100</f>
        <v>100</v>
      </c>
    </row>
    <row r="728" spans="1:19" ht="14.25" x14ac:dyDescent="0.2">
      <c r="A728" s="431"/>
      <c r="B728" s="750"/>
      <c r="C728" s="750"/>
      <c r="D728" s="1068" t="s">
        <v>1504</v>
      </c>
      <c r="E728" s="2113" t="s">
        <v>1604</v>
      </c>
      <c r="F728" s="827"/>
      <c r="G728" s="827">
        <v>125</v>
      </c>
      <c r="H728" s="827">
        <v>125</v>
      </c>
      <c r="I728" s="823">
        <f t="shared" si="78"/>
        <v>100</v>
      </c>
    </row>
    <row r="729" spans="1:19" ht="14.25" x14ac:dyDescent="0.2">
      <c r="A729" s="431"/>
      <c r="B729" s="750"/>
      <c r="C729" s="750"/>
      <c r="D729" s="1068" t="s">
        <v>1903</v>
      </c>
      <c r="E729" s="2546" t="s">
        <v>2032</v>
      </c>
      <c r="F729" s="356"/>
      <c r="G729" s="356">
        <v>21</v>
      </c>
      <c r="H729" s="356">
        <v>21</v>
      </c>
      <c r="I729" s="854">
        <f t="shared" si="78"/>
        <v>100</v>
      </c>
    </row>
    <row r="730" spans="1:19" ht="14.25" x14ac:dyDescent="0.2">
      <c r="A730" s="431"/>
      <c r="B730" s="750"/>
      <c r="C730" s="750"/>
      <c r="D730" s="1068" t="s">
        <v>1911</v>
      </c>
      <c r="E730" s="2671" t="s">
        <v>2051</v>
      </c>
      <c r="F730" s="827"/>
      <c r="G730" s="837">
        <v>44</v>
      </c>
      <c r="H730" s="837">
        <v>44</v>
      </c>
      <c r="I730" s="823">
        <f t="shared" si="78"/>
        <v>100</v>
      </c>
    </row>
    <row r="731" spans="1:19" ht="15" x14ac:dyDescent="0.25">
      <c r="A731" s="431"/>
      <c r="B731" s="750"/>
      <c r="C731" s="750"/>
      <c r="D731" s="1068"/>
      <c r="E731" s="2671"/>
      <c r="F731" s="827"/>
      <c r="G731" s="846"/>
      <c r="H731" s="846"/>
      <c r="I731" s="853"/>
    </row>
    <row r="732" spans="1:19" ht="15" x14ac:dyDescent="0.2">
      <c r="A732" s="431"/>
      <c r="B732" s="750"/>
      <c r="C732" s="750"/>
      <c r="D732" s="1068" t="s">
        <v>1913</v>
      </c>
      <c r="E732" s="2113" t="s">
        <v>2052</v>
      </c>
      <c r="F732" s="2530"/>
      <c r="G732" s="2531">
        <v>231</v>
      </c>
      <c r="H732" s="2531">
        <v>231</v>
      </c>
      <c r="I732" s="376">
        <f t="shared" ref="I732" si="79">(H732/G732)*100</f>
        <v>100</v>
      </c>
    </row>
    <row r="733" spans="1:19" ht="14.25" x14ac:dyDescent="0.2">
      <c r="A733" s="431"/>
      <c r="B733" s="750"/>
      <c r="C733" s="673"/>
      <c r="D733" s="552" t="s">
        <v>1124</v>
      </c>
      <c r="E733" s="455" t="s">
        <v>792</v>
      </c>
      <c r="F733" s="827"/>
      <c r="G733" s="827">
        <v>39489</v>
      </c>
      <c r="H733" s="827">
        <v>39488</v>
      </c>
      <c r="I733" s="823">
        <f t="shared" si="77"/>
        <v>99.997467649218777</v>
      </c>
    </row>
    <row r="734" spans="1:19" ht="15" x14ac:dyDescent="0.25">
      <c r="A734" s="431">
        <v>1102</v>
      </c>
      <c r="B734" s="750">
        <v>3141</v>
      </c>
      <c r="C734" s="750">
        <v>5336</v>
      </c>
      <c r="D734" s="568"/>
      <c r="E734" s="672" t="s">
        <v>2054</v>
      </c>
      <c r="F734" s="846"/>
      <c r="G734" s="846">
        <v>197</v>
      </c>
      <c r="H734" s="846">
        <v>197</v>
      </c>
      <c r="I734" s="838">
        <f t="shared" si="77"/>
        <v>100</v>
      </c>
    </row>
    <row r="735" spans="1:19" ht="14.25" x14ac:dyDescent="0.2">
      <c r="A735" s="431"/>
      <c r="B735" s="750"/>
      <c r="C735" s="750"/>
      <c r="D735" s="552" t="s">
        <v>1124</v>
      </c>
      <c r="E735" s="455" t="s">
        <v>792</v>
      </c>
      <c r="F735" s="833"/>
      <c r="G735" s="833">
        <v>197</v>
      </c>
      <c r="H735" s="833">
        <v>197</v>
      </c>
      <c r="I735" s="828">
        <f t="shared" si="77"/>
        <v>100</v>
      </c>
    </row>
    <row r="736" spans="1:19" ht="15" x14ac:dyDescent="0.25">
      <c r="A736" s="431">
        <v>1102</v>
      </c>
      <c r="B736" s="750">
        <v>3142</v>
      </c>
      <c r="C736" s="750">
        <v>5331</v>
      </c>
      <c r="D736" s="859"/>
      <c r="E736" s="672" t="s">
        <v>951</v>
      </c>
      <c r="F736" s="835">
        <v>600</v>
      </c>
      <c r="G736" s="835">
        <v>574</v>
      </c>
      <c r="H736" s="835">
        <v>574</v>
      </c>
      <c r="I736" s="838">
        <f t="shared" si="77"/>
        <v>100</v>
      </c>
      <c r="R736" s="894"/>
      <c r="S736" s="2690"/>
    </row>
    <row r="737" spans="1:23" ht="14.25" x14ac:dyDescent="0.2">
      <c r="A737" s="431"/>
      <c r="B737" s="750"/>
      <c r="C737" s="750"/>
      <c r="D737" s="552" t="s">
        <v>570</v>
      </c>
      <c r="E737" s="455" t="s">
        <v>71</v>
      </c>
      <c r="F737" s="833">
        <v>600</v>
      </c>
      <c r="G737" s="833">
        <v>574</v>
      </c>
      <c r="H737" s="833">
        <v>574</v>
      </c>
      <c r="I737" s="828">
        <f>(H737/G737)*100</f>
        <v>100</v>
      </c>
      <c r="R737" s="895"/>
      <c r="S737" s="2690"/>
    </row>
    <row r="738" spans="1:23" ht="18" customHeight="1" x14ac:dyDescent="0.25">
      <c r="A738" s="431">
        <v>1102</v>
      </c>
      <c r="B738" s="750">
        <v>3142</v>
      </c>
      <c r="C738" s="750">
        <v>5336</v>
      </c>
      <c r="D738" s="568"/>
      <c r="E738" s="672" t="s">
        <v>2054</v>
      </c>
      <c r="F738" s="833"/>
      <c r="G738" s="846">
        <v>411</v>
      </c>
      <c r="H738" s="846">
        <v>411</v>
      </c>
      <c r="I738" s="838">
        <f>(H738/G738)*100</f>
        <v>100</v>
      </c>
      <c r="R738" s="895"/>
      <c r="S738" s="2550"/>
    </row>
    <row r="739" spans="1:23" ht="14.25" x14ac:dyDescent="0.2">
      <c r="A739" s="431"/>
      <c r="B739" s="750"/>
      <c r="C739" s="1393"/>
      <c r="D739" s="552" t="s">
        <v>1124</v>
      </c>
      <c r="E739" s="455" t="s">
        <v>792</v>
      </c>
      <c r="F739" s="833"/>
      <c r="G739" s="833">
        <v>411</v>
      </c>
      <c r="H739" s="833">
        <v>411</v>
      </c>
      <c r="I739" s="828">
        <f>(H739/G739)*100</f>
        <v>100</v>
      </c>
      <c r="R739" s="896"/>
      <c r="S739" s="2690"/>
    </row>
    <row r="740" spans="1:23" ht="15" x14ac:dyDescent="0.25">
      <c r="A740" s="431">
        <v>1102</v>
      </c>
      <c r="B740" s="673">
        <v>3299</v>
      </c>
      <c r="C740" s="1392">
        <v>5331</v>
      </c>
      <c r="D740" s="829"/>
      <c r="E740" s="792" t="s">
        <v>951</v>
      </c>
      <c r="F740" s="835"/>
      <c r="G740" s="835">
        <f>SUM(G741:G742)</f>
        <v>25</v>
      </c>
      <c r="H740" s="835">
        <f>SUM(H741:H742)</f>
        <v>25</v>
      </c>
      <c r="I740" s="821">
        <v>100</v>
      </c>
      <c r="R740" s="895"/>
      <c r="S740" s="2690"/>
    </row>
    <row r="741" spans="1:23" ht="15" x14ac:dyDescent="0.25">
      <c r="A741" s="431"/>
      <c r="B741" s="673"/>
      <c r="C741" s="1392"/>
      <c r="D741" s="1059" t="s">
        <v>1122</v>
      </c>
      <c r="E741" s="1161" t="s">
        <v>24</v>
      </c>
      <c r="F741" s="835"/>
      <c r="G741" s="837">
        <v>15</v>
      </c>
      <c r="H741" s="837">
        <v>15</v>
      </c>
      <c r="I741" s="823">
        <f t="shared" ref="I741:I743" si="80">(H741/G741)*100</f>
        <v>100</v>
      </c>
      <c r="R741" s="895"/>
      <c r="S741" s="2550"/>
    </row>
    <row r="742" spans="1:23" ht="14.25" customHeight="1" thickBot="1" x14ac:dyDescent="0.3">
      <c r="A742" s="431"/>
      <c r="B742" s="673"/>
      <c r="C742" s="1392"/>
      <c r="D742" s="1302" t="s">
        <v>370</v>
      </c>
      <c r="E742" s="459" t="s">
        <v>1117</v>
      </c>
      <c r="F742" s="820"/>
      <c r="G742" s="827">
        <v>10</v>
      </c>
      <c r="H742" s="827">
        <v>10</v>
      </c>
      <c r="I742" s="823">
        <f t="shared" si="80"/>
        <v>100</v>
      </c>
    </row>
    <row r="743" spans="1:23" ht="16.5" thickTop="1" thickBot="1" x14ac:dyDescent="0.3">
      <c r="A743" s="2672" t="s">
        <v>1105</v>
      </c>
      <c r="B743" s="2673"/>
      <c r="C743" s="2673"/>
      <c r="D743" s="2673"/>
      <c r="E743" s="2673"/>
      <c r="F743" s="824">
        <f>F722+F736+F740</f>
        <v>11121</v>
      </c>
      <c r="G743" s="824">
        <f>G722+G726+G734+G736+G738+G740</f>
        <v>52619</v>
      </c>
      <c r="H743" s="824">
        <f>H722+H726+H734+H736+H738+H740</f>
        <v>52618</v>
      </c>
      <c r="I743" s="825">
        <f t="shared" si="80"/>
        <v>99.998099545791447</v>
      </c>
      <c r="R743" s="382">
        <f>F743</f>
        <v>11121</v>
      </c>
      <c r="S743" s="382">
        <f>G743</f>
        <v>52619</v>
      </c>
      <c r="T743" s="382">
        <f>H743</f>
        <v>52618</v>
      </c>
    </row>
    <row r="744" spans="1:23" ht="15.75" thickTop="1" x14ac:dyDescent="0.25">
      <c r="A744" s="431">
        <v>1102</v>
      </c>
      <c r="B744" s="673">
        <v>3121</v>
      </c>
      <c r="C744" s="673">
        <v>6351</v>
      </c>
      <c r="D744" s="819"/>
      <c r="E744" s="624" t="s">
        <v>1172</v>
      </c>
      <c r="F744" s="820"/>
      <c r="G744" s="820">
        <f>G745+G746</f>
        <v>10245</v>
      </c>
      <c r="H744" s="820">
        <f>H745+H746</f>
        <v>10245</v>
      </c>
      <c r="I744" s="821">
        <f>(H744/G744)*100</f>
        <v>100</v>
      </c>
    </row>
    <row r="745" spans="1:23" ht="15" x14ac:dyDescent="0.25">
      <c r="A745" s="431"/>
      <c r="B745" s="673"/>
      <c r="C745" s="673"/>
      <c r="D745" s="1059" t="s">
        <v>1875</v>
      </c>
      <c r="E745" s="1161" t="s">
        <v>1874</v>
      </c>
      <c r="F745" s="820"/>
      <c r="G745" s="356">
        <v>3356</v>
      </c>
      <c r="H745" s="356">
        <v>3356</v>
      </c>
      <c r="I745" s="854">
        <f>(H745/G745)*100</f>
        <v>100</v>
      </c>
    </row>
    <row r="746" spans="1:23" ht="15.75" thickBot="1" x14ac:dyDescent="0.3">
      <c r="A746" s="431"/>
      <c r="B746" s="673"/>
      <c r="C746" s="673"/>
      <c r="D746" s="1069" t="s">
        <v>1183</v>
      </c>
      <c r="E746" s="1276" t="s">
        <v>2060</v>
      </c>
      <c r="F746" s="820"/>
      <c r="G746" s="356">
        <v>6889</v>
      </c>
      <c r="H746" s="356">
        <v>6889</v>
      </c>
      <c r="I746" s="854">
        <f>(H746/G746)*100</f>
        <v>100</v>
      </c>
    </row>
    <row r="747" spans="1:23" ht="16.5" thickTop="1" thickBot="1" x14ac:dyDescent="0.3">
      <c r="A747" s="2672" t="s">
        <v>1106</v>
      </c>
      <c r="B747" s="2673"/>
      <c r="C747" s="2673"/>
      <c r="D747" s="2673"/>
      <c r="E747" s="2673"/>
      <c r="F747" s="824">
        <f>F744</f>
        <v>0</v>
      </c>
      <c r="G747" s="824">
        <f>G744</f>
        <v>10245</v>
      </c>
      <c r="H747" s="824">
        <f>H744</f>
        <v>10245</v>
      </c>
      <c r="I747" s="825">
        <f>(H747/G747)*100</f>
        <v>100</v>
      </c>
      <c r="R747" s="382"/>
      <c r="S747" s="382"/>
      <c r="T747" s="382"/>
      <c r="U747" s="382">
        <f>F747</f>
        <v>0</v>
      </c>
      <c r="V747" s="382">
        <f>G747</f>
        <v>10245</v>
      </c>
      <c r="W747" s="382">
        <f>H747</f>
        <v>10245</v>
      </c>
    </row>
    <row r="748" spans="1:23" ht="13.5" thickTop="1" x14ac:dyDescent="0.2"/>
    <row r="751" spans="1:23" ht="13.5" thickBot="1" x14ac:dyDescent="0.25">
      <c r="A751" s="432" t="s">
        <v>1305</v>
      </c>
      <c r="I751" s="1390" t="s">
        <v>161</v>
      </c>
    </row>
    <row r="752" spans="1:23" s="107" customFormat="1" thickTop="1" thickBot="1" x14ac:dyDescent="0.25">
      <c r="A752" s="631" t="s">
        <v>624</v>
      </c>
      <c r="B752" s="774" t="s">
        <v>162</v>
      </c>
      <c r="C752" s="632" t="s">
        <v>163</v>
      </c>
      <c r="D752" s="634" t="s">
        <v>705</v>
      </c>
      <c r="E752" s="634" t="s">
        <v>164</v>
      </c>
      <c r="F752" s="634" t="s">
        <v>165</v>
      </c>
      <c r="G752" s="634" t="s">
        <v>881</v>
      </c>
      <c r="H752" s="634" t="s">
        <v>882</v>
      </c>
      <c r="I752" s="818" t="s">
        <v>883</v>
      </c>
    </row>
    <row r="753" spans="1:9" s="383" customFormat="1" ht="13.5" thickTop="1" thickBot="1" x14ac:dyDescent="0.25">
      <c r="A753" s="566">
        <v>1</v>
      </c>
      <c r="B753" s="567">
        <v>2</v>
      </c>
      <c r="C753" s="567">
        <v>3</v>
      </c>
      <c r="D753" s="567">
        <v>4</v>
      </c>
      <c r="E753" s="567">
        <v>5</v>
      </c>
      <c r="F753" s="541">
        <v>6</v>
      </c>
      <c r="G753" s="541">
        <v>7</v>
      </c>
      <c r="H753" s="542">
        <v>8</v>
      </c>
      <c r="I753" s="636" t="s">
        <v>762</v>
      </c>
    </row>
    <row r="754" spans="1:9" ht="15.75" thickTop="1" x14ac:dyDescent="0.25">
      <c r="A754" s="1391">
        <v>1103</v>
      </c>
      <c r="B754" s="775">
        <v>3121</v>
      </c>
      <c r="C754" s="775">
        <v>5331</v>
      </c>
      <c r="D754" s="839"/>
      <c r="E754" s="860" t="s">
        <v>951</v>
      </c>
      <c r="F754" s="861">
        <f>F755+F756+F757</f>
        <v>7298</v>
      </c>
      <c r="G754" s="861">
        <f>G755+G756+G757</f>
        <v>7247</v>
      </c>
      <c r="H754" s="861">
        <f>H755+H756+H757</f>
        <v>7247</v>
      </c>
      <c r="I754" s="826">
        <f t="shared" ref="I754:I764" si="81">(H754/G754)*100</f>
        <v>100</v>
      </c>
    </row>
    <row r="755" spans="1:9" ht="14.25" x14ac:dyDescent="0.2">
      <c r="A755" s="431"/>
      <c r="B755" s="673"/>
      <c r="C755" s="673"/>
      <c r="D755" s="707" t="s">
        <v>575</v>
      </c>
      <c r="E755" s="1478" t="s">
        <v>793</v>
      </c>
      <c r="F755" s="827">
        <v>2238</v>
      </c>
      <c r="G755" s="827">
        <v>2238</v>
      </c>
      <c r="H755" s="827">
        <v>2238</v>
      </c>
      <c r="I755" s="823">
        <f t="shared" si="81"/>
        <v>100</v>
      </c>
    </row>
    <row r="756" spans="1:9" ht="14.25" x14ac:dyDescent="0.2">
      <c r="A756" s="431"/>
      <c r="B756" s="673"/>
      <c r="C756" s="673"/>
      <c r="D756" s="552" t="s">
        <v>570</v>
      </c>
      <c r="E756" s="455" t="s">
        <v>71</v>
      </c>
      <c r="F756" s="827">
        <v>5060</v>
      </c>
      <c r="G756" s="827">
        <v>5000</v>
      </c>
      <c r="H756" s="827">
        <v>5000</v>
      </c>
      <c r="I756" s="823">
        <f t="shared" si="81"/>
        <v>100</v>
      </c>
    </row>
    <row r="757" spans="1:9" ht="14.25" x14ac:dyDescent="0.2">
      <c r="A757" s="431"/>
      <c r="B757" s="673"/>
      <c r="C757" s="673"/>
      <c r="D757" s="552" t="s">
        <v>665</v>
      </c>
      <c r="E757" s="455" t="s">
        <v>74</v>
      </c>
      <c r="F757" s="827"/>
      <c r="G757" s="827">
        <v>9</v>
      </c>
      <c r="H757" s="827">
        <v>9</v>
      </c>
      <c r="I757" s="823">
        <f t="shared" si="81"/>
        <v>100</v>
      </c>
    </row>
    <row r="758" spans="1:9" ht="15" x14ac:dyDescent="0.25">
      <c r="A758" s="431">
        <v>1103</v>
      </c>
      <c r="B758" s="750">
        <v>3121</v>
      </c>
      <c r="C758" s="750">
        <v>5336</v>
      </c>
      <c r="D758" s="568"/>
      <c r="E758" s="672" t="s">
        <v>2054</v>
      </c>
      <c r="F758" s="846"/>
      <c r="G758" s="846">
        <f>G759+G760+G761+G764+G763</f>
        <v>46506</v>
      </c>
      <c r="H758" s="846">
        <f>H759+H760+H761+H764+H763</f>
        <v>46506</v>
      </c>
      <c r="I758" s="838">
        <f t="shared" si="81"/>
        <v>100</v>
      </c>
    </row>
    <row r="759" spans="1:9" ht="14.25" x14ac:dyDescent="0.2">
      <c r="A759" s="431"/>
      <c r="B759" s="750"/>
      <c r="C759" s="750"/>
      <c r="D759" s="1068" t="s">
        <v>1504</v>
      </c>
      <c r="E759" s="2113" t="s">
        <v>1604</v>
      </c>
      <c r="F759" s="827"/>
      <c r="G759" s="827">
        <v>261</v>
      </c>
      <c r="H759" s="827">
        <v>261</v>
      </c>
      <c r="I759" s="823">
        <f t="shared" ref="I759:I761" si="82">(H759/G759)*100</f>
        <v>100</v>
      </c>
    </row>
    <row r="760" spans="1:9" ht="14.25" x14ac:dyDescent="0.2">
      <c r="A760" s="431"/>
      <c r="B760" s="750"/>
      <c r="C760" s="750"/>
      <c r="D760" s="1068" t="s">
        <v>1903</v>
      </c>
      <c r="E760" s="2546" t="s">
        <v>2032</v>
      </c>
      <c r="F760" s="356"/>
      <c r="G760" s="356">
        <v>26</v>
      </c>
      <c r="H760" s="356">
        <v>26</v>
      </c>
      <c r="I760" s="854">
        <f t="shared" si="82"/>
        <v>100</v>
      </c>
    </row>
    <row r="761" spans="1:9" ht="14.25" x14ac:dyDescent="0.2">
      <c r="A761" s="431"/>
      <c r="B761" s="750"/>
      <c r="C761" s="750"/>
      <c r="D761" s="1068" t="s">
        <v>1911</v>
      </c>
      <c r="E761" s="2671" t="s">
        <v>2051</v>
      </c>
      <c r="F761" s="827"/>
      <c r="G761" s="837">
        <v>50</v>
      </c>
      <c r="H761" s="837">
        <v>50</v>
      </c>
      <c r="I761" s="823">
        <f t="shared" si="82"/>
        <v>100</v>
      </c>
    </row>
    <row r="762" spans="1:9" ht="15" x14ac:dyDescent="0.25">
      <c r="A762" s="431"/>
      <c r="B762" s="750"/>
      <c r="C762" s="750"/>
      <c r="D762" s="1068"/>
      <c r="E762" s="2671"/>
      <c r="F762" s="827"/>
      <c r="G762" s="846"/>
      <c r="H762" s="846"/>
      <c r="I762" s="853"/>
    </row>
    <row r="763" spans="1:9" ht="15" x14ac:dyDescent="0.2">
      <c r="A763" s="431"/>
      <c r="B763" s="750"/>
      <c r="C763" s="750"/>
      <c r="D763" s="1068" t="s">
        <v>1913</v>
      </c>
      <c r="E763" s="2113" t="s">
        <v>2052</v>
      </c>
      <c r="F763" s="2530"/>
      <c r="G763" s="2531">
        <v>244</v>
      </c>
      <c r="H763" s="2531">
        <v>244</v>
      </c>
      <c r="I763" s="376">
        <f t="shared" ref="I763" si="83">(H763/G763)*100</f>
        <v>100</v>
      </c>
    </row>
    <row r="764" spans="1:9" ht="15" thickBot="1" x14ac:dyDescent="0.25">
      <c r="A764" s="1394"/>
      <c r="B764" s="674"/>
      <c r="C764" s="674"/>
      <c r="D764" s="718" t="s">
        <v>1124</v>
      </c>
      <c r="E764" s="456" t="s">
        <v>792</v>
      </c>
      <c r="F764" s="871"/>
      <c r="G764" s="871">
        <v>45925</v>
      </c>
      <c r="H764" s="871">
        <v>45925</v>
      </c>
      <c r="I764" s="855">
        <f t="shared" si="81"/>
        <v>100</v>
      </c>
    </row>
    <row r="765" spans="1:9" ht="14.25" thickTop="1" thickBot="1" x14ac:dyDescent="0.25">
      <c r="A765" s="432"/>
      <c r="I765" s="1390" t="s">
        <v>161</v>
      </c>
    </row>
    <row r="766" spans="1:9" s="107" customFormat="1" thickTop="1" thickBot="1" x14ac:dyDescent="0.25">
      <c r="A766" s="631" t="s">
        <v>624</v>
      </c>
      <c r="B766" s="774" t="s">
        <v>162</v>
      </c>
      <c r="C766" s="632" t="s">
        <v>163</v>
      </c>
      <c r="D766" s="634" t="s">
        <v>705</v>
      </c>
      <c r="E766" s="634" t="s">
        <v>164</v>
      </c>
      <c r="F766" s="634" t="s">
        <v>165</v>
      </c>
      <c r="G766" s="634" t="s">
        <v>881</v>
      </c>
      <c r="H766" s="634" t="s">
        <v>882</v>
      </c>
      <c r="I766" s="818" t="s">
        <v>883</v>
      </c>
    </row>
    <row r="767" spans="1:9" s="383" customFormat="1" ht="13.5" thickTop="1" thickBot="1" x14ac:dyDescent="0.25">
      <c r="A767" s="566">
        <v>1</v>
      </c>
      <c r="B767" s="567">
        <v>2</v>
      </c>
      <c r="C767" s="567">
        <v>3</v>
      </c>
      <c r="D767" s="567">
        <v>4</v>
      </c>
      <c r="E767" s="567">
        <v>5</v>
      </c>
      <c r="F767" s="541">
        <v>6</v>
      </c>
      <c r="G767" s="541">
        <v>7</v>
      </c>
      <c r="H767" s="542">
        <v>8</v>
      </c>
      <c r="I767" s="636" t="s">
        <v>762</v>
      </c>
    </row>
    <row r="768" spans="1:9" ht="18" customHeight="1" thickTop="1" x14ac:dyDescent="0.25">
      <c r="A768" s="431">
        <v>1103</v>
      </c>
      <c r="B768" s="673">
        <v>3299</v>
      </c>
      <c r="C768" s="1392">
        <v>5331</v>
      </c>
      <c r="D768" s="829"/>
      <c r="E768" s="792" t="s">
        <v>951</v>
      </c>
      <c r="F768" s="835"/>
      <c r="G768" s="835">
        <f>G769+G770</f>
        <v>65</v>
      </c>
      <c r="H768" s="835">
        <f>H769+H770</f>
        <v>65</v>
      </c>
      <c r="I768" s="836">
        <v>100</v>
      </c>
    </row>
    <row r="769" spans="1:20" ht="18" customHeight="1" x14ac:dyDescent="0.25">
      <c r="A769" s="431"/>
      <c r="B769" s="673"/>
      <c r="C769" s="1392"/>
      <c r="D769" s="552" t="s">
        <v>1122</v>
      </c>
      <c r="E769" s="459" t="s">
        <v>1115</v>
      </c>
      <c r="F769" s="835"/>
      <c r="G769" s="837">
        <v>30</v>
      </c>
      <c r="H769" s="837">
        <v>30</v>
      </c>
      <c r="I769" s="828">
        <f>(H769/G769)*100</f>
        <v>100</v>
      </c>
    </row>
    <row r="770" spans="1:20" ht="15.75" thickBot="1" x14ac:dyDescent="0.3">
      <c r="A770" s="431"/>
      <c r="B770" s="673"/>
      <c r="C770" s="1392"/>
      <c r="D770" s="1302" t="s">
        <v>370</v>
      </c>
      <c r="E770" s="459" t="s">
        <v>1117</v>
      </c>
      <c r="F770" s="820"/>
      <c r="G770" s="827">
        <v>35</v>
      </c>
      <c r="H770" s="827">
        <v>35</v>
      </c>
      <c r="I770" s="823">
        <f>(H770/G770)*100</f>
        <v>100</v>
      </c>
    </row>
    <row r="771" spans="1:20" ht="20.25" customHeight="1" thickTop="1" thickBot="1" x14ac:dyDescent="0.3">
      <c r="A771" s="2672" t="s">
        <v>1105</v>
      </c>
      <c r="B771" s="2673"/>
      <c r="C771" s="2673"/>
      <c r="D771" s="2673"/>
      <c r="E771" s="2673"/>
      <c r="F771" s="824">
        <f>F754+F768</f>
        <v>7298</v>
      </c>
      <c r="G771" s="824">
        <f>G754+G758+G768</f>
        <v>53818</v>
      </c>
      <c r="H771" s="824">
        <f>H754+H758+H768</f>
        <v>53818</v>
      </c>
      <c r="I771" s="825">
        <f>(H771/G771)*100</f>
        <v>100</v>
      </c>
      <c r="R771" s="382">
        <f>F771</f>
        <v>7298</v>
      </c>
      <c r="S771" s="382">
        <f>G771</f>
        <v>53818</v>
      </c>
      <c r="T771" s="382">
        <f>H771</f>
        <v>53818</v>
      </c>
    </row>
    <row r="772" spans="1:20" ht="15" customHeight="1" thickTop="1" x14ac:dyDescent="0.25">
      <c r="A772" s="368"/>
      <c r="B772" s="368"/>
      <c r="C772" s="368"/>
      <c r="D772" s="368"/>
      <c r="E772" s="368"/>
      <c r="F772" s="181"/>
      <c r="G772" s="181"/>
      <c r="H772" s="181"/>
      <c r="I772" s="210"/>
      <c r="R772" s="382"/>
      <c r="S772" s="382"/>
      <c r="T772" s="382"/>
    </row>
    <row r="773" spans="1:20" ht="15" customHeight="1" x14ac:dyDescent="0.25">
      <c r="A773" s="368"/>
      <c r="B773" s="368"/>
      <c r="C773" s="368"/>
      <c r="D773" s="368"/>
      <c r="E773" s="368"/>
      <c r="F773" s="181"/>
      <c r="G773" s="181"/>
      <c r="H773" s="181"/>
      <c r="I773" s="210"/>
      <c r="R773" s="382"/>
      <c r="S773" s="382"/>
      <c r="T773" s="382"/>
    </row>
    <row r="774" spans="1:20" ht="15" customHeight="1" x14ac:dyDescent="0.25">
      <c r="A774" s="368"/>
      <c r="B774" s="368"/>
      <c r="C774" s="368"/>
      <c r="D774" s="368"/>
      <c r="E774" s="368"/>
      <c r="F774" s="181"/>
      <c r="G774" s="181"/>
      <c r="H774" s="181"/>
      <c r="I774" s="210"/>
      <c r="R774" s="382"/>
      <c r="S774" s="382"/>
      <c r="T774" s="382"/>
    </row>
    <row r="775" spans="1:20" ht="13.5" thickBot="1" x14ac:dyDescent="0.25">
      <c r="A775" s="432" t="s">
        <v>333</v>
      </c>
      <c r="I775" s="1390" t="s">
        <v>161</v>
      </c>
    </row>
    <row r="776" spans="1:20" s="107" customFormat="1" thickTop="1" thickBot="1" x14ac:dyDescent="0.25">
      <c r="A776" s="631" t="s">
        <v>624</v>
      </c>
      <c r="B776" s="774" t="s">
        <v>162</v>
      </c>
      <c r="C776" s="632" t="s">
        <v>163</v>
      </c>
      <c r="D776" s="634" t="s">
        <v>705</v>
      </c>
      <c r="E776" s="634" t="s">
        <v>164</v>
      </c>
      <c r="F776" s="634" t="s">
        <v>165</v>
      </c>
      <c r="G776" s="634" t="s">
        <v>881</v>
      </c>
      <c r="H776" s="634" t="s">
        <v>882</v>
      </c>
      <c r="I776" s="818" t="s">
        <v>883</v>
      </c>
    </row>
    <row r="777" spans="1:20" s="383" customFormat="1" ht="13.5" thickTop="1" thickBot="1" x14ac:dyDescent="0.25">
      <c r="A777" s="566">
        <v>1</v>
      </c>
      <c r="B777" s="567">
        <v>2</v>
      </c>
      <c r="C777" s="567">
        <v>3</v>
      </c>
      <c r="D777" s="567">
        <v>4</v>
      </c>
      <c r="E777" s="567">
        <v>5</v>
      </c>
      <c r="F777" s="541">
        <v>6</v>
      </c>
      <c r="G777" s="541">
        <v>7</v>
      </c>
      <c r="H777" s="542">
        <v>8</v>
      </c>
      <c r="I777" s="636" t="s">
        <v>762</v>
      </c>
    </row>
    <row r="778" spans="1:20" ht="15.75" thickTop="1" x14ac:dyDescent="0.25">
      <c r="A778" s="1391">
        <v>1104</v>
      </c>
      <c r="B778" s="775">
        <v>3121</v>
      </c>
      <c r="C778" s="775">
        <v>5331</v>
      </c>
      <c r="D778" s="839"/>
      <c r="E778" s="860" t="s">
        <v>951</v>
      </c>
      <c r="F778" s="861">
        <f>F779+F780</f>
        <v>4324</v>
      </c>
      <c r="G778" s="861">
        <f>G779+G780</f>
        <v>4308</v>
      </c>
      <c r="H778" s="861">
        <f>H779+H780</f>
        <v>4308</v>
      </c>
      <c r="I778" s="826">
        <f t="shared" ref="I778:I788" si="84">(H778/G778)*100</f>
        <v>100</v>
      </c>
    </row>
    <row r="779" spans="1:20" ht="14.25" x14ac:dyDescent="0.2">
      <c r="A779" s="431"/>
      <c r="B779" s="673"/>
      <c r="C779" s="673"/>
      <c r="D779" s="707" t="s">
        <v>575</v>
      </c>
      <c r="E779" s="1478" t="s">
        <v>793</v>
      </c>
      <c r="F779" s="827">
        <v>1465</v>
      </c>
      <c r="G779" s="827">
        <v>1478</v>
      </c>
      <c r="H779" s="827">
        <v>1478</v>
      </c>
      <c r="I779" s="823">
        <f t="shared" si="84"/>
        <v>100</v>
      </c>
    </row>
    <row r="780" spans="1:20" ht="14.25" x14ac:dyDescent="0.2">
      <c r="A780" s="431"/>
      <c r="B780" s="673"/>
      <c r="C780" s="673"/>
      <c r="D780" s="552" t="s">
        <v>570</v>
      </c>
      <c r="E780" s="455" t="s">
        <v>71</v>
      </c>
      <c r="F780" s="827">
        <v>2859</v>
      </c>
      <c r="G780" s="827">
        <v>2830</v>
      </c>
      <c r="H780" s="827">
        <v>2830</v>
      </c>
      <c r="I780" s="823">
        <f t="shared" si="84"/>
        <v>100</v>
      </c>
    </row>
    <row r="781" spans="1:20" ht="15" x14ac:dyDescent="0.25">
      <c r="A781" s="431">
        <v>1104</v>
      </c>
      <c r="B781" s="750">
        <v>3121</v>
      </c>
      <c r="C781" s="750">
        <v>5336</v>
      </c>
      <c r="D781" s="568"/>
      <c r="E781" s="672" t="s">
        <v>2054</v>
      </c>
      <c r="F781" s="846"/>
      <c r="G781" s="846">
        <f>G782+G783+G784+G786+G787</f>
        <v>16974</v>
      </c>
      <c r="H781" s="846">
        <f>H782+H783+H784+H786+H787</f>
        <v>16974</v>
      </c>
      <c r="I781" s="838">
        <f t="shared" si="84"/>
        <v>100</v>
      </c>
    </row>
    <row r="782" spans="1:20" ht="14.25" x14ac:dyDescent="0.2">
      <c r="A782" s="431"/>
      <c r="B782" s="750"/>
      <c r="C782" s="750"/>
      <c r="D782" s="1068" t="s">
        <v>1504</v>
      </c>
      <c r="E782" s="2113" t="s">
        <v>1604</v>
      </c>
      <c r="F782" s="827"/>
      <c r="G782" s="827">
        <v>73</v>
      </c>
      <c r="H782" s="827">
        <v>73</v>
      </c>
      <c r="I782" s="823">
        <f t="shared" ref="I782:I784" si="85">(H782/G782)*100</f>
        <v>100</v>
      </c>
    </row>
    <row r="783" spans="1:20" ht="14.25" x14ac:dyDescent="0.2">
      <c r="A783" s="431"/>
      <c r="B783" s="750"/>
      <c r="C783" s="750"/>
      <c r="D783" s="1068" t="s">
        <v>1903</v>
      </c>
      <c r="E783" s="2546" t="s">
        <v>2032</v>
      </c>
      <c r="F783" s="356"/>
      <c r="G783" s="356">
        <v>7</v>
      </c>
      <c r="H783" s="356">
        <v>7</v>
      </c>
      <c r="I783" s="854">
        <f t="shared" si="85"/>
        <v>100</v>
      </c>
    </row>
    <row r="784" spans="1:20" ht="14.25" x14ac:dyDescent="0.2">
      <c r="A784" s="431"/>
      <c r="B784" s="750"/>
      <c r="C784" s="750"/>
      <c r="D784" s="1068" t="s">
        <v>1911</v>
      </c>
      <c r="E784" s="2671" t="s">
        <v>2051</v>
      </c>
      <c r="F784" s="827"/>
      <c r="G784" s="837">
        <v>20</v>
      </c>
      <c r="H784" s="837">
        <v>20</v>
      </c>
      <c r="I784" s="823">
        <f t="shared" si="85"/>
        <v>100</v>
      </c>
    </row>
    <row r="785" spans="1:23" ht="15" x14ac:dyDescent="0.25">
      <c r="A785" s="431"/>
      <c r="B785" s="750"/>
      <c r="C785" s="750"/>
      <c r="D785" s="1068"/>
      <c r="E785" s="2671"/>
      <c r="F785" s="827"/>
      <c r="G785" s="846"/>
      <c r="H785" s="846"/>
      <c r="I785" s="853"/>
    </row>
    <row r="786" spans="1:23" ht="15" x14ac:dyDescent="0.2">
      <c r="A786" s="431"/>
      <c r="B786" s="750"/>
      <c r="C786" s="750"/>
      <c r="D786" s="1068" t="s">
        <v>1913</v>
      </c>
      <c r="E786" s="2113" t="s">
        <v>2052</v>
      </c>
      <c r="F786" s="2530"/>
      <c r="G786" s="2531">
        <v>95</v>
      </c>
      <c r="H786" s="2531">
        <v>95</v>
      </c>
      <c r="I786" s="376">
        <f t="shared" ref="I786" si="86">(H786/G786)*100</f>
        <v>100</v>
      </c>
    </row>
    <row r="787" spans="1:23" ht="15" thickBot="1" x14ac:dyDescent="0.25">
      <c r="A787" s="431"/>
      <c r="B787" s="673"/>
      <c r="C787" s="673"/>
      <c r="D787" s="552" t="s">
        <v>1124</v>
      </c>
      <c r="E787" s="455" t="s">
        <v>792</v>
      </c>
      <c r="F787" s="827"/>
      <c r="G787" s="827">
        <v>16779</v>
      </c>
      <c r="H787" s="827">
        <v>16779</v>
      </c>
      <c r="I787" s="823">
        <f t="shared" si="84"/>
        <v>100</v>
      </c>
    </row>
    <row r="788" spans="1:23" ht="16.5" thickTop="1" thickBot="1" x14ac:dyDescent="0.3">
      <c r="A788" s="2672" t="s">
        <v>1105</v>
      </c>
      <c r="B788" s="2673"/>
      <c r="C788" s="2673"/>
      <c r="D788" s="2673"/>
      <c r="E788" s="2673"/>
      <c r="F788" s="824">
        <f>F778</f>
        <v>4324</v>
      </c>
      <c r="G788" s="824">
        <f>G778+G781</f>
        <v>21282</v>
      </c>
      <c r="H788" s="824">
        <f>H778+H781</f>
        <v>21282</v>
      </c>
      <c r="I788" s="825">
        <f t="shared" si="84"/>
        <v>100</v>
      </c>
      <c r="R788" s="382">
        <f>F788</f>
        <v>4324</v>
      </c>
      <c r="S788" s="382">
        <f>G788</f>
        <v>21282</v>
      </c>
      <c r="T788" s="382">
        <f>H788</f>
        <v>21282</v>
      </c>
    </row>
    <row r="789" spans="1:23" ht="15.75" thickTop="1" x14ac:dyDescent="0.25">
      <c r="A789" s="431">
        <v>1104</v>
      </c>
      <c r="B789" s="673">
        <v>3121</v>
      </c>
      <c r="C789" s="673">
        <v>6351</v>
      </c>
      <c r="D789" s="819"/>
      <c r="E789" s="624" t="s">
        <v>1172</v>
      </c>
      <c r="F789" s="820"/>
      <c r="G789" s="820">
        <f>G790</f>
        <v>4775</v>
      </c>
      <c r="H789" s="820">
        <f>H790</f>
        <v>4730</v>
      </c>
      <c r="I789" s="821">
        <f>(H789/G789)*100</f>
        <v>99.057591623036643</v>
      </c>
    </row>
    <row r="790" spans="1:23" ht="15.75" thickBot="1" x14ac:dyDescent="0.3">
      <c r="A790" s="431"/>
      <c r="B790" s="673"/>
      <c r="C790" s="673"/>
      <c r="D790" s="1059" t="s">
        <v>1875</v>
      </c>
      <c r="E790" s="1161" t="s">
        <v>1874</v>
      </c>
      <c r="F790" s="820"/>
      <c r="G790" s="356">
        <v>4775</v>
      </c>
      <c r="H790" s="356">
        <v>4730</v>
      </c>
      <c r="I790" s="854">
        <f>(H790/G790)*100</f>
        <v>99.057591623036643</v>
      </c>
    </row>
    <row r="791" spans="1:23" ht="16.5" thickTop="1" thickBot="1" x14ac:dyDescent="0.3">
      <c r="A791" s="2672" t="s">
        <v>1106</v>
      </c>
      <c r="B791" s="2673"/>
      <c r="C791" s="2673"/>
      <c r="D791" s="2673"/>
      <c r="E791" s="2673"/>
      <c r="F791" s="824">
        <f>F789</f>
        <v>0</v>
      </c>
      <c r="G791" s="824">
        <f>G789</f>
        <v>4775</v>
      </c>
      <c r="H791" s="824">
        <f>H789</f>
        <v>4730</v>
      </c>
      <c r="I791" s="825">
        <f>(H791/G791)*100</f>
        <v>99.057591623036643</v>
      </c>
      <c r="R791" s="382"/>
      <c r="S791" s="382"/>
      <c r="T791" s="382"/>
      <c r="U791" s="382">
        <f>F791</f>
        <v>0</v>
      </c>
      <c r="V791" s="382">
        <f>G791</f>
        <v>4775</v>
      </c>
      <c r="W791" s="382">
        <f>H791</f>
        <v>4730</v>
      </c>
    </row>
    <row r="792" spans="1:23" ht="15" customHeight="1" thickTop="1" x14ac:dyDescent="0.25">
      <c r="A792" s="368"/>
      <c r="B792" s="368"/>
      <c r="C792" s="368"/>
      <c r="D792" s="368"/>
      <c r="E792" s="368"/>
      <c r="F792" s="181"/>
      <c r="G792" s="181"/>
      <c r="H792" s="181"/>
      <c r="I792" s="210"/>
      <c r="R792" s="382"/>
      <c r="S792" s="382"/>
      <c r="T792" s="382"/>
    </row>
    <row r="793" spans="1:23" ht="15" customHeight="1" x14ac:dyDescent="0.25">
      <c r="A793" s="368"/>
      <c r="B793" s="368"/>
      <c r="C793" s="368"/>
      <c r="D793" s="368"/>
      <c r="E793" s="368"/>
      <c r="F793" s="181"/>
      <c r="G793" s="181"/>
      <c r="H793" s="181"/>
      <c r="I793" s="210"/>
      <c r="R793" s="382"/>
      <c r="S793" s="382"/>
      <c r="T793" s="382"/>
    </row>
    <row r="794" spans="1:23" ht="15" customHeight="1" x14ac:dyDescent="0.25">
      <c r="A794" s="368"/>
      <c r="B794" s="368"/>
      <c r="C794" s="368"/>
      <c r="D794" s="368"/>
      <c r="E794" s="368"/>
      <c r="F794" s="181"/>
      <c r="G794" s="181"/>
      <c r="H794" s="181"/>
      <c r="I794" s="210"/>
      <c r="R794" s="382"/>
      <c r="S794" s="382"/>
      <c r="T794" s="382"/>
    </row>
    <row r="795" spans="1:23" ht="13.5" thickBot="1" x14ac:dyDescent="0.25">
      <c r="A795" s="432" t="s">
        <v>334</v>
      </c>
      <c r="I795" s="1390" t="s">
        <v>161</v>
      </c>
    </row>
    <row r="796" spans="1:23" s="107" customFormat="1" thickTop="1" thickBot="1" x14ac:dyDescent="0.25">
      <c r="A796" s="631" t="s">
        <v>624</v>
      </c>
      <c r="B796" s="774" t="s">
        <v>162</v>
      </c>
      <c r="C796" s="632" t="s">
        <v>163</v>
      </c>
      <c r="D796" s="634" t="s">
        <v>705</v>
      </c>
      <c r="E796" s="634" t="s">
        <v>164</v>
      </c>
      <c r="F796" s="634" t="s">
        <v>165</v>
      </c>
      <c r="G796" s="634" t="s">
        <v>881</v>
      </c>
      <c r="H796" s="634" t="s">
        <v>882</v>
      </c>
      <c r="I796" s="818" t="s">
        <v>883</v>
      </c>
    </row>
    <row r="797" spans="1:23" s="383" customFormat="1" ht="13.5" customHeight="1" thickTop="1" thickBot="1" x14ac:dyDescent="0.25">
      <c r="A797" s="566">
        <v>1</v>
      </c>
      <c r="B797" s="567">
        <v>2</v>
      </c>
      <c r="C797" s="567">
        <v>3</v>
      </c>
      <c r="D797" s="567">
        <v>4</v>
      </c>
      <c r="E797" s="567">
        <v>5</v>
      </c>
      <c r="F797" s="541">
        <v>6</v>
      </c>
      <c r="G797" s="541">
        <v>7</v>
      </c>
      <c r="H797" s="542">
        <v>8</v>
      </c>
      <c r="I797" s="636" t="s">
        <v>762</v>
      </c>
    </row>
    <row r="798" spans="1:23" ht="13.5" customHeight="1" thickTop="1" x14ac:dyDescent="0.25">
      <c r="A798" s="1391">
        <v>1105</v>
      </c>
      <c r="B798" s="775">
        <v>3121</v>
      </c>
      <c r="C798" s="775">
        <v>5331</v>
      </c>
      <c r="D798" s="839"/>
      <c r="E798" s="860" t="s">
        <v>951</v>
      </c>
      <c r="F798" s="861">
        <f>F799+F800</f>
        <v>2395</v>
      </c>
      <c r="G798" s="861">
        <f>G799+G800</f>
        <v>2373</v>
      </c>
      <c r="H798" s="861">
        <f>H799+H800</f>
        <v>2373</v>
      </c>
      <c r="I798" s="826">
        <f t="shared" ref="I798:I810" si="87">(H798/G798)*100</f>
        <v>100</v>
      </c>
    </row>
    <row r="799" spans="1:23" ht="13.5" customHeight="1" x14ac:dyDescent="0.2">
      <c r="A799" s="431"/>
      <c r="B799" s="673"/>
      <c r="C799" s="673"/>
      <c r="D799" s="707" t="s">
        <v>575</v>
      </c>
      <c r="E799" s="1478" t="s">
        <v>793</v>
      </c>
      <c r="F799" s="827">
        <v>775</v>
      </c>
      <c r="G799" s="827">
        <v>769</v>
      </c>
      <c r="H799" s="827">
        <v>769</v>
      </c>
      <c r="I799" s="823">
        <f t="shared" si="87"/>
        <v>100</v>
      </c>
    </row>
    <row r="800" spans="1:23" ht="13.5" customHeight="1" x14ac:dyDescent="0.2">
      <c r="A800" s="431"/>
      <c r="B800" s="673"/>
      <c r="C800" s="673"/>
      <c r="D800" s="552" t="s">
        <v>570</v>
      </c>
      <c r="E800" s="455" t="s">
        <v>71</v>
      </c>
      <c r="F800" s="827">
        <v>1620</v>
      </c>
      <c r="G800" s="827">
        <v>1604</v>
      </c>
      <c r="H800" s="827">
        <v>1604</v>
      </c>
      <c r="I800" s="823">
        <f t="shared" si="87"/>
        <v>100</v>
      </c>
    </row>
    <row r="801" spans="1:20" ht="15" x14ac:dyDescent="0.25">
      <c r="A801" s="431">
        <v>1105</v>
      </c>
      <c r="B801" s="750">
        <v>3121</v>
      </c>
      <c r="C801" s="750">
        <v>5336</v>
      </c>
      <c r="D801" s="568"/>
      <c r="E801" s="672" t="s">
        <v>2054</v>
      </c>
      <c r="F801" s="846"/>
      <c r="G801" s="846">
        <f>G802+G803+G804+G806+G807</f>
        <v>12780</v>
      </c>
      <c r="H801" s="846">
        <f>H802+H803+H804+H806+H807</f>
        <v>12780</v>
      </c>
      <c r="I801" s="838">
        <f t="shared" si="87"/>
        <v>100</v>
      </c>
    </row>
    <row r="802" spans="1:20" ht="14.25" x14ac:dyDescent="0.2">
      <c r="A802" s="431"/>
      <c r="B802" s="750"/>
      <c r="C802" s="750"/>
      <c r="D802" s="1068" t="s">
        <v>1504</v>
      </c>
      <c r="E802" s="2113" t="s">
        <v>1604</v>
      </c>
      <c r="F802" s="827"/>
      <c r="G802" s="827">
        <v>63</v>
      </c>
      <c r="H802" s="827">
        <v>63</v>
      </c>
      <c r="I802" s="823">
        <f t="shared" ref="I802:I804" si="88">(H802/G802)*100</f>
        <v>100</v>
      </c>
    </row>
    <row r="803" spans="1:20" ht="14.25" x14ac:dyDescent="0.2">
      <c r="A803" s="431"/>
      <c r="B803" s="750"/>
      <c r="C803" s="750"/>
      <c r="D803" s="1068" t="s">
        <v>1903</v>
      </c>
      <c r="E803" s="2546" t="s">
        <v>2032</v>
      </c>
      <c r="F803" s="356"/>
      <c r="G803" s="356">
        <v>7</v>
      </c>
      <c r="H803" s="356">
        <v>7</v>
      </c>
      <c r="I803" s="854">
        <f t="shared" si="88"/>
        <v>100</v>
      </c>
    </row>
    <row r="804" spans="1:20" ht="14.25" x14ac:dyDescent="0.2">
      <c r="A804" s="431"/>
      <c r="B804" s="750"/>
      <c r="C804" s="750"/>
      <c r="D804" s="1068" t="s">
        <v>1911</v>
      </c>
      <c r="E804" s="2671" t="s">
        <v>2051</v>
      </c>
      <c r="F804" s="827"/>
      <c r="G804" s="837">
        <v>15</v>
      </c>
      <c r="H804" s="837">
        <v>15</v>
      </c>
      <c r="I804" s="823">
        <f t="shared" si="88"/>
        <v>100</v>
      </c>
    </row>
    <row r="805" spans="1:20" ht="15" x14ac:dyDescent="0.25">
      <c r="A805" s="431"/>
      <c r="B805" s="750"/>
      <c r="C805" s="750"/>
      <c r="D805" s="1068"/>
      <c r="E805" s="2671"/>
      <c r="F805" s="827"/>
      <c r="G805" s="846"/>
      <c r="H805" s="846"/>
      <c r="I805" s="853"/>
    </row>
    <row r="806" spans="1:20" ht="15" x14ac:dyDescent="0.2">
      <c r="A806" s="431"/>
      <c r="B806" s="750"/>
      <c r="C806" s="750"/>
      <c r="D806" s="1068" t="s">
        <v>1913</v>
      </c>
      <c r="E806" s="2113" t="s">
        <v>2052</v>
      </c>
      <c r="F806" s="2530"/>
      <c r="G806" s="2531">
        <v>84</v>
      </c>
      <c r="H806" s="2531">
        <v>84</v>
      </c>
      <c r="I806" s="376">
        <f t="shared" ref="I806" si="89">(H806/G806)*100</f>
        <v>100</v>
      </c>
    </row>
    <row r="807" spans="1:20" ht="13.5" customHeight="1" x14ac:dyDescent="0.2">
      <c r="A807" s="431"/>
      <c r="B807" s="673"/>
      <c r="C807" s="673"/>
      <c r="D807" s="552" t="s">
        <v>1124</v>
      </c>
      <c r="E807" s="455" t="s">
        <v>792</v>
      </c>
      <c r="F807" s="827"/>
      <c r="G807" s="827">
        <v>12611</v>
      </c>
      <c r="H807" s="827">
        <v>12611</v>
      </c>
      <c r="I807" s="823">
        <f t="shared" si="87"/>
        <v>100</v>
      </c>
    </row>
    <row r="808" spans="1:20" ht="13.5" customHeight="1" x14ac:dyDescent="0.25">
      <c r="A808" s="431">
        <v>1105</v>
      </c>
      <c r="B808" s="673">
        <v>3299</v>
      </c>
      <c r="C808" s="673">
        <v>5331</v>
      </c>
      <c r="D808" s="552"/>
      <c r="E808" s="792" t="s">
        <v>951</v>
      </c>
      <c r="F808" s="827"/>
      <c r="G808" s="851">
        <v>15</v>
      </c>
      <c r="H808" s="851">
        <v>15</v>
      </c>
      <c r="I808" s="853">
        <f t="shared" si="87"/>
        <v>100</v>
      </c>
    </row>
    <row r="809" spans="1:20" ht="13.5" customHeight="1" thickBot="1" x14ac:dyDescent="0.25">
      <c r="A809" s="431"/>
      <c r="B809" s="673"/>
      <c r="C809" s="673"/>
      <c r="D809" s="1059" t="s">
        <v>490</v>
      </c>
      <c r="E809" s="1161" t="s">
        <v>1241</v>
      </c>
      <c r="F809" s="827"/>
      <c r="G809" s="827">
        <v>15</v>
      </c>
      <c r="H809" s="827">
        <v>15</v>
      </c>
      <c r="I809" s="823">
        <f t="shared" si="87"/>
        <v>100</v>
      </c>
    </row>
    <row r="810" spans="1:20" ht="16.5" thickTop="1" thickBot="1" x14ac:dyDescent="0.3">
      <c r="A810" s="2672" t="s">
        <v>1105</v>
      </c>
      <c r="B810" s="2673"/>
      <c r="C810" s="2673"/>
      <c r="D810" s="2673"/>
      <c r="E810" s="2673"/>
      <c r="F810" s="824">
        <f>F798</f>
        <v>2395</v>
      </c>
      <c r="G810" s="824">
        <f>G798+G801+G808</f>
        <v>15168</v>
      </c>
      <c r="H810" s="824">
        <f>H798+H801+H808</f>
        <v>15168</v>
      </c>
      <c r="I810" s="825">
        <f t="shared" si="87"/>
        <v>100</v>
      </c>
      <c r="R810" s="382">
        <f>F810</f>
        <v>2395</v>
      </c>
      <c r="S810" s="382">
        <f>G810</f>
        <v>15168</v>
      </c>
      <c r="T810" s="382">
        <f>H810</f>
        <v>15168</v>
      </c>
    </row>
    <row r="811" spans="1:20" ht="13.5" thickTop="1" x14ac:dyDescent="0.2"/>
    <row r="814" spans="1:20" ht="13.5" thickBot="1" x14ac:dyDescent="0.25">
      <c r="A814" s="432" t="s">
        <v>335</v>
      </c>
      <c r="I814" s="1390" t="s">
        <v>161</v>
      </c>
    </row>
    <row r="815" spans="1:20" s="107" customFormat="1" ht="18" customHeight="1" thickTop="1" thickBot="1" x14ac:dyDescent="0.25">
      <c r="A815" s="631" t="s">
        <v>624</v>
      </c>
      <c r="B815" s="774" t="s">
        <v>162</v>
      </c>
      <c r="C815" s="632" t="s">
        <v>163</v>
      </c>
      <c r="D815" s="634" t="s">
        <v>705</v>
      </c>
      <c r="E815" s="634" t="s">
        <v>164</v>
      </c>
      <c r="F815" s="634" t="s">
        <v>165</v>
      </c>
      <c r="G815" s="634" t="s">
        <v>881</v>
      </c>
      <c r="H815" s="634" t="s">
        <v>882</v>
      </c>
      <c r="I815" s="818" t="s">
        <v>883</v>
      </c>
    </row>
    <row r="816" spans="1:20" s="383" customFormat="1" ht="13.5" thickTop="1" thickBot="1" x14ac:dyDescent="0.25">
      <c r="A816" s="566">
        <v>1</v>
      </c>
      <c r="B816" s="567">
        <v>2</v>
      </c>
      <c r="C816" s="567">
        <v>3</v>
      </c>
      <c r="D816" s="567">
        <v>4</v>
      </c>
      <c r="E816" s="567">
        <v>5</v>
      </c>
      <c r="F816" s="541">
        <v>6</v>
      </c>
      <c r="G816" s="541">
        <v>7</v>
      </c>
      <c r="H816" s="542">
        <v>8</v>
      </c>
      <c r="I816" s="636" t="s">
        <v>762</v>
      </c>
    </row>
    <row r="817" spans="1:22" ht="15.75" thickTop="1" x14ac:dyDescent="0.25">
      <c r="A817" s="1391">
        <v>1106</v>
      </c>
      <c r="B817" s="775">
        <v>3121</v>
      </c>
      <c r="C817" s="775">
        <v>5331</v>
      </c>
      <c r="D817" s="839"/>
      <c r="E817" s="860" t="s">
        <v>951</v>
      </c>
      <c r="F817" s="861">
        <f>SUM(F818:F826)</f>
        <v>4175</v>
      </c>
      <c r="G817" s="861">
        <f>G818+G819</f>
        <v>4162</v>
      </c>
      <c r="H817" s="861">
        <f>H818+H819</f>
        <v>4162</v>
      </c>
      <c r="I817" s="826">
        <f t="shared" ref="I817:I831" si="90">(H817/G817)*100</f>
        <v>100</v>
      </c>
    </row>
    <row r="818" spans="1:22" ht="14.25" x14ac:dyDescent="0.2">
      <c r="A818" s="431"/>
      <c r="B818" s="673"/>
      <c r="C818" s="673"/>
      <c r="D818" s="707" t="s">
        <v>575</v>
      </c>
      <c r="E818" s="1478" t="s">
        <v>793</v>
      </c>
      <c r="F818" s="827">
        <v>964</v>
      </c>
      <c r="G818" s="827">
        <v>983</v>
      </c>
      <c r="H818" s="827">
        <v>983</v>
      </c>
      <c r="I818" s="823">
        <f t="shared" si="90"/>
        <v>100</v>
      </c>
    </row>
    <row r="819" spans="1:22" ht="14.25" x14ac:dyDescent="0.2">
      <c r="A819" s="431"/>
      <c r="B819" s="673"/>
      <c r="C819" s="673"/>
      <c r="D819" s="552" t="s">
        <v>570</v>
      </c>
      <c r="E819" s="455" t="s">
        <v>71</v>
      </c>
      <c r="F819" s="827">
        <v>3211</v>
      </c>
      <c r="G819" s="827">
        <v>3179</v>
      </c>
      <c r="H819" s="827">
        <v>3179</v>
      </c>
      <c r="I819" s="823">
        <f t="shared" si="90"/>
        <v>100</v>
      </c>
    </row>
    <row r="820" spans="1:22" ht="20.25" customHeight="1" x14ac:dyDescent="0.25">
      <c r="A820" s="431">
        <v>1106</v>
      </c>
      <c r="B820" s="750">
        <v>3121</v>
      </c>
      <c r="C820" s="750">
        <v>5336</v>
      </c>
      <c r="D820" s="568"/>
      <c r="E820" s="672" t="s">
        <v>2054</v>
      </c>
      <c r="F820" s="846"/>
      <c r="G820" s="846">
        <f>G821+G822+G823+G825+G826</f>
        <v>30125</v>
      </c>
      <c r="H820" s="846">
        <f>H821+H822+H823+H825+H826</f>
        <v>30125</v>
      </c>
      <c r="I820" s="838">
        <f t="shared" si="90"/>
        <v>100</v>
      </c>
    </row>
    <row r="821" spans="1:22" ht="14.25" customHeight="1" x14ac:dyDescent="0.2">
      <c r="A821" s="431"/>
      <c r="B821" s="750"/>
      <c r="C821" s="750"/>
      <c r="D821" s="1068" t="s">
        <v>1504</v>
      </c>
      <c r="E821" s="2113" t="s">
        <v>1604</v>
      </c>
      <c r="F821" s="827"/>
      <c r="G821" s="827">
        <v>63</v>
      </c>
      <c r="H821" s="827">
        <v>63</v>
      </c>
      <c r="I821" s="823">
        <f t="shared" ref="I821:I823" si="91">(H821/G821)*100</f>
        <v>100</v>
      </c>
    </row>
    <row r="822" spans="1:22" ht="14.25" customHeight="1" x14ac:dyDescent="0.2">
      <c r="A822" s="431"/>
      <c r="B822" s="750"/>
      <c r="C822" s="750"/>
      <c r="D822" s="1068" t="s">
        <v>1903</v>
      </c>
      <c r="E822" s="2546" t="s">
        <v>2032</v>
      </c>
      <c r="F822" s="356"/>
      <c r="G822" s="356">
        <v>14</v>
      </c>
      <c r="H822" s="356">
        <v>14</v>
      </c>
      <c r="I822" s="854">
        <f t="shared" si="91"/>
        <v>100</v>
      </c>
    </row>
    <row r="823" spans="1:22" ht="14.25" customHeight="1" x14ac:dyDescent="0.2">
      <c r="A823" s="431"/>
      <c r="B823" s="750"/>
      <c r="C823" s="750"/>
      <c r="D823" s="1068" t="s">
        <v>1911</v>
      </c>
      <c r="E823" s="2671" t="s">
        <v>2051</v>
      </c>
      <c r="F823" s="827"/>
      <c r="G823" s="837">
        <v>33</v>
      </c>
      <c r="H823" s="837">
        <v>33</v>
      </c>
      <c r="I823" s="823">
        <f t="shared" si="91"/>
        <v>100</v>
      </c>
    </row>
    <row r="824" spans="1:22" ht="14.25" customHeight="1" x14ac:dyDescent="0.25">
      <c r="A824" s="431"/>
      <c r="B824" s="750"/>
      <c r="C824" s="750"/>
      <c r="D824" s="1068"/>
      <c r="E824" s="2671"/>
      <c r="F824" s="827"/>
      <c r="G824" s="846"/>
      <c r="H824" s="846"/>
      <c r="I824" s="853"/>
    </row>
    <row r="825" spans="1:22" ht="14.25" customHeight="1" x14ac:dyDescent="0.2">
      <c r="A825" s="431"/>
      <c r="B825" s="750"/>
      <c r="C825" s="750"/>
      <c r="D825" s="1068" t="s">
        <v>1913</v>
      </c>
      <c r="E825" s="2113" t="s">
        <v>2052</v>
      </c>
      <c r="F825" s="2530"/>
      <c r="G825" s="2531">
        <v>160</v>
      </c>
      <c r="H825" s="2531">
        <v>160</v>
      </c>
      <c r="I825" s="376">
        <f t="shared" ref="I825" si="92">(H825/G825)*100</f>
        <v>100</v>
      </c>
    </row>
    <row r="826" spans="1:22" ht="14.25" x14ac:dyDescent="0.2">
      <c r="A826" s="431"/>
      <c r="B826" s="673"/>
      <c r="C826" s="673"/>
      <c r="D826" s="552" t="s">
        <v>1124</v>
      </c>
      <c r="E826" s="455" t="s">
        <v>792</v>
      </c>
      <c r="F826" s="827"/>
      <c r="G826" s="827">
        <v>29855</v>
      </c>
      <c r="H826" s="827">
        <v>29855</v>
      </c>
      <c r="I826" s="823">
        <f t="shared" si="90"/>
        <v>100</v>
      </c>
    </row>
    <row r="827" spans="1:22" ht="15" x14ac:dyDescent="0.25">
      <c r="A827" s="431">
        <v>1106</v>
      </c>
      <c r="B827" s="750">
        <v>3143</v>
      </c>
      <c r="C827" s="750">
        <v>5336</v>
      </c>
      <c r="D827" s="842"/>
      <c r="E827" s="672" t="s">
        <v>2054</v>
      </c>
      <c r="F827" s="835"/>
      <c r="G827" s="835">
        <v>453</v>
      </c>
      <c r="H827" s="835">
        <v>453</v>
      </c>
      <c r="I827" s="836">
        <f t="shared" si="90"/>
        <v>100</v>
      </c>
    </row>
    <row r="828" spans="1:22" ht="14.25" x14ac:dyDescent="0.2">
      <c r="A828" s="431"/>
      <c r="B828" s="750"/>
      <c r="C828" s="750"/>
      <c r="D828" s="552" t="s">
        <v>1124</v>
      </c>
      <c r="E828" s="455" t="s">
        <v>792</v>
      </c>
      <c r="F828" s="833"/>
      <c r="G828" s="833">
        <v>453</v>
      </c>
      <c r="H828" s="833">
        <v>453</v>
      </c>
      <c r="I828" s="828">
        <f t="shared" si="90"/>
        <v>100</v>
      </c>
    </row>
    <row r="829" spans="1:22" ht="15" x14ac:dyDescent="0.25">
      <c r="A829" s="431">
        <v>1106</v>
      </c>
      <c r="B829" s="750">
        <v>3299</v>
      </c>
      <c r="C829" s="750">
        <v>5331</v>
      </c>
      <c r="D829" s="552"/>
      <c r="E829" s="792" t="s">
        <v>951</v>
      </c>
      <c r="F829" s="833"/>
      <c r="G829" s="846">
        <v>10</v>
      </c>
      <c r="H829" s="846">
        <v>10</v>
      </c>
      <c r="I829" s="836">
        <f t="shared" si="90"/>
        <v>100</v>
      </c>
    </row>
    <row r="830" spans="1:22" ht="15" thickBot="1" x14ac:dyDescent="0.25">
      <c r="A830" s="431"/>
      <c r="B830" s="750"/>
      <c r="C830" s="750"/>
      <c r="D830" s="1375" t="s">
        <v>370</v>
      </c>
      <c r="E830" s="2114" t="s">
        <v>1339</v>
      </c>
      <c r="F830" s="1311"/>
      <c r="G830" s="451">
        <v>10</v>
      </c>
      <c r="H830" s="316">
        <v>10</v>
      </c>
      <c r="I830" s="1074">
        <f t="shared" ref="I830" si="93">(H830/G830)*100</f>
        <v>100</v>
      </c>
    </row>
    <row r="831" spans="1:22" ht="16.5" thickTop="1" thickBot="1" x14ac:dyDescent="0.3">
      <c r="A831" s="2672" t="s">
        <v>1105</v>
      </c>
      <c r="B831" s="2673"/>
      <c r="C831" s="2673"/>
      <c r="D831" s="2673"/>
      <c r="E831" s="2673"/>
      <c r="F831" s="824">
        <f>SUM(F817,F827)</f>
        <v>4175</v>
      </c>
      <c r="G831" s="824">
        <f>SUM(G817,G827,G820,G829)</f>
        <v>34750</v>
      </c>
      <c r="H831" s="824">
        <f>SUM(H817,H827,H820,H829)</f>
        <v>34750</v>
      </c>
      <c r="I831" s="825">
        <f t="shared" si="90"/>
        <v>100</v>
      </c>
      <c r="Q831" s="1397"/>
      <c r="R831" s="897">
        <f>F831</f>
        <v>4175</v>
      </c>
      <c r="S831" s="897">
        <f>G831</f>
        <v>34750</v>
      </c>
      <c r="T831" s="897">
        <f>H831</f>
        <v>34750</v>
      </c>
      <c r="U831" s="1397"/>
      <c r="V831" s="1397"/>
    </row>
    <row r="832" spans="1:22" ht="18" customHeight="1" thickTop="1" x14ac:dyDescent="0.25">
      <c r="A832" s="368"/>
      <c r="B832" s="368"/>
      <c r="C832" s="368"/>
      <c r="D832" s="368"/>
      <c r="E832" s="368"/>
      <c r="F832" s="181"/>
      <c r="G832" s="181"/>
      <c r="H832" s="181"/>
      <c r="I832" s="210"/>
      <c r="Q832" s="1397"/>
      <c r="R832" s="897"/>
      <c r="S832" s="897"/>
      <c r="T832" s="897"/>
      <c r="U832" s="1397"/>
      <c r="V832" s="1397"/>
    </row>
    <row r="833" spans="1:22" ht="18" customHeight="1" x14ac:dyDescent="0.25">
      <c r="A833" s="368"/>
      <c r="B833" s="368"/>
      <c r="C833" s="368"/>
      <c r="D833" s="368"/>
      <c r="E833" s="368"/>
      <c r="F833" s="181"/>
      <c r="G833" s="181"/>
      <c r="H833" s="181"/>
      <c r="I833" s="210"/>
      <c r="Q833" s="1397"/>
      <c r="R833" s="897"/>
      <c r="S833" s="897"/>
      <c r="T833" s="897"/>
      <c r="U833" s="1397"/>
      <c r="V833" s="1397"/>
    </row>
    <row r="834" spans="1:22" ht="18" customHeight="1" x14ac:dyDescent="0.25">
      <c r="A834" s="368"/>
      <c r="B834" s="368"/>
      <c r="C834" s="368"/>
      <c r="D834" s="368"/>
      <c r="E834" s="368"/>
      <c r="F834" s="181"/>
      <c r="G834" s="181"/>
      <c r="H834" s="181"/>
      <c r="I834" s="210"/>
      <c r="Q834" s="1397"/>
      <c r="R834" s="897"/>
      <c r="S834" s="897"/>
      <c r="T834" s="897"/>
      <c r="U834" s="1397"/>
      <c r="V834" s="1397"/>
    </row>
    <row r="835" spans="1:22" ht="13.5" thickBot="1" x14ac:dyDescent="0.25">
      <c r="A835" s="432" t="s">
        <v>336</v>
      </c>
      <c r="I835" s="1390" t="s">
        <v>161</v>
      </c>
    </row>
    <row r="836" spans="1:22" s="107" customFormat="1" thickTop="1" thickBot="1" x14ac:dyDescent="0.25">
      <c r="A836" s="631" t="s">
        <v>624</v>
      </c>
      <c r="B836" s="774" t="s">
        <v>162</v>
      </c>
      <c r="C836" s="632" t="s">
        <v>163</v>
      </c>
      <c r="D836" s="634" t="s">
        <v>705</v>
      </c>
      <c r="E836" s="634" t="s">
        <v>164</v>
      </c>
      <c r="F836" s="634" t="s">
        <v>165</v>
      </c>
      <c r="G836" s="634" t="s">
        <v>881</v>
      </c>
      <c r="H836" s="634" t="s">
        <v>882</v>
      </c>
      <c r="I836" s="818" t="s">
        <v>883</v>
      </c>
    </row>
    <row r="837" spans="1:22" s="107" customFormat="1" thickTop="1" thickBot="1" x14ac:dyDescent="0.25">
      <c r="A837" s="682"/>
      <c r="B837" s="685"/>
      <c r="C837" s="683"/>
      <c r="D837" s="686"/>
      <c r="E837" s="686"/>
      <c r="F837" s="686"/>
      <c r="G837" s="686"/>
      <c r="H837" s="686"/>
      <c r="I837" s="687"/>
    </row>
    <row r="838" spans="1:22" ht="15.75" thickTop="1" x14ac:dyDescent="0.25">
      <c r="A838" s="1391">
        <v>1108</v>
      </c>
      <c r="B838" s="775">
        <v>3121</v>
      </c>
      <c r="C838" s="775">
        <v>5331</v>
      </c>
      <c r="D838" s="839"/>
      <c r="E838" s="860" t="s">
        <v>951</v>
      </c>
      <c r="F838" s="861">
        <f>F839+F840</f>
        <v>4822</v>
      </c>
      <c r="G838" s="861">
        <f>G839+G840</f>
        <v>4740</v>
      </c>
      <c r="H838" s="861">
        <f>H839+H840</f>
        <v>4740</v>
      </c>
      <c r="I838" s="826">
        <f t="shared" ref="I838:I849" si="94">(H838/G838)*100</f>
        <v>100</v>
      </c>
    </row>
    <row r="839" spans="1:22" ht="14.25" x14ac:dyDescent="0.2">
      <c r="A839" s="431"/>
      <c r="B839" s="673"/>
      <c r="C839" s="673"/>
      <c r="D839" s="707" t="s">
        <v>575</v>
      </c>
      <c r="E839" s="1478" t="s">
        <v>793</v>
      </c>
      <c r="F839" s="827">
        <v>550</v>
      </c>
      <c r="G839" s="827">
        <v>511</v>
      </c>
      <c r="H839" s="827">
        <v>511</v>
      </c>
      <c r="I839" s="823">
        <f t="shared" si="94"/>
        <v>100</v>
      </c>
    </row>
    <row r="840" spans="1:22" ht="14.25" x14ac:dyDescent="0.2">
      <c r="A840" s="431"/>
      <c r="B840" s="673"/>
      <c r="C840" s="673"/>
      <c r="D840" s="552" t="s">
        <v>570</v>
      </c>
      <c r="E840" s="455" t="s">
        <v>71</v>
      </c>
      <c r="F840" s="827">
        <v>4272</v>
      </c>
      <c r="G840" s="827">
        <v>4229</v>
      </c>
      <c r="H840" s="827">
        <v>4229</v>
      </c>
      <c r="I840" s="823">
        <f t="shared" si="94"/>
        <v>100</v>
      </c>
    </row>
    <row r="841" spans="1:22" ht="15" x14ac:dyDescent="0.25">
      <c r="A841" s="431">
        <v>1108</v>
      </c>
      <c r="B841" s="750">
        <v>3121</v>
      </c>
      <c r="C841" s="750">
        <v>5336</v>
      </c>
      <c r="D841" s="1295"/>
      <c r="E841" s="672" t="s">
        <v>2054</v>
      </c>
      <c r="F841" s="846"/>
      <c r="G841" s="846">
        <f>G842+G843+G844+G846+G847+G848+G849</f>
        <v>31264</v>
      </c>
      <c r="H841" s="846">
        <f>H842+H843+H844+H846+H847+H848+H849</f>
        <v>31264</v>
      </c>
      <c r="I841" s="836">
        <f t="shared" si="94"/>
        <v>100</v>
      </c>
    </row>
    <row r="842" spans="1:22" ht="14.25" x14ac:dyDescent="0.2">
      <c r="A842" s="431"/>
      <c r="B842" s="750"/>
      <c r="C842" s="750"/>
      <c r="D842" s="1068" t="s">
        <v>1504</v>
      </c>
      <c r="E842" s="2113" t="s">
        <v>1604</v>
      </c>
      <c r="F842" s="827"/>
      <c r="G842" s="827">
        <v>245</v>
      </c>
      <c r="H842" s="827">
        <v>245</v>
      </c>
      <c r="I842" s="823">
        <f t="shared" ref="I842:I844" si="95">(H842/G842)*100</f>
        <v>100</v>
      </c>
    </row>
    <row r="843" spans="1:22" ht="14.25" x14ac:dyDescent="0.2">
      <c r="A843" s="431"/>
      <c r="B843" s="750"/>
      <c r="C843" s="750"/>
      <c r="D843" s="1068" t="s">
        <v>1903</v>
      </c>
      <c r="E843" s="2546" t="s">
        <v>2032</v>
      </c>
      <c r="F843" s="356"/>
      <c r="G843" s="356">
        <v>14</v>
      </c>
      <c r="H843" s="356">
        <v>14</v>
      </c>
      <c r="I843" s="854">
        <f t="shared" si="95"/>
        <v>100</v>
      </c>
    </row>
    <row r="844" spans="1:22" ht="14.25" customHeight="1" x14ac:dyDescent="0.2">
      <c r="A844" s="431"/>
      <c r="B844" s="750"/>
      <c r="C844" s="750"/>
      <c r="D844" s="1068" t="s">
        <v>1911</v>
      </c>
      <c r="E844" s="2671" t="s">
        <v>2051</v>
      </c>
      <c r="F844" s="827"/>
      <c r="G844" s="837">
        <v>33</v>
      </c>
      <c r="H844" s="837">
        <v>33</v>
      </c>
      <c r="I844" s="823">
        <f t="shared" si="95"/>
        <v>100</v>
      </c>
    </row>
    <row r="845" spans="1:22" ht="15" x14ac:dyDescent="0.25">
      <c r="A845" s="431"/>
      <c r="B845" s="750"/>
      <c r="C845" s="750"/>
      <c r="D845" s="1068"/>
      <c r="E845" s="2671"/>
      <c r="F845" s="827"/>
      <c r="G845" s="846"/>
      <c r="H845" s="846"/>
      <c r="I845" s="853"/>
    </row>
    <row r="846" spans="1:22" ht="15" x14ac:dyDescent="0.2">
      <c r="A846" s="431"/>
      <c r="B846" s="750"/>
      <c r="C846" s="750"/>
      <c r="D846" s="1068" t="s">
        <v>1913</v>
      </c>
      <c r="E846" s="2113" t="s">
        <v>2052</v>
      </c>
      <c r="F846" s="2530"/>
      <c r="G846" s="2531">
        <v>187</v>
      </c>
      <c r="H846" s="2531">
        <v>187</v>
      </c>
      <c r="I846" s="376">
        <f t="shared" ref="I846" si="96">(H846/G846)*100</f>
        <v>100</v>
      </c>
    </row>
    <row r="847" spans="1:22" ht="14.25" x14ac:dyDescent="0.2">
      <c r="A847" s="431"/>
      <c r="B847" s="673"/>
      <c r="C847" s="673"/>
      <c r="D847" s="552" t="s">
        <v>1124</v>
      </c>
      <c r="E847" s="455" t="s">
        <v>792</v>
      </c>
      <c r="F847" s="827"/>
      <c r="G847" s="827">
        <v>29907</v>
      </c>
      <c r="H847" s="827">
        <v>29907</v>
      </c>
      <c r="I847" s="823">
        <f t="shared" si="94"/>
        <v>100</v>
      </c>
    </row>
    <row r="848" spans="1:22" ht="14.25" x14ac:dyDescent="0.2">
      <c r="A848" s="431"/>
      <c r="B848" s="750"/>
      <c r="C848" s="750"/>
      <c r="D848" s="1404" t="s">
        <v>695</v>
      </c>
      <c r="E848" s="1405" t="s">
        <v>1210</v>
      </c>
      <c r="F848" s="833"/>
      <c r="G848" s="833">
        <v>132</v>
      </c>
      <c r="H848" s="833">
        <v>132</v>
      </c>
      <c r="I848" s="828">
        <f t="shared" si="94"/>
        <v>100</v>
      </c>
    </row>
    <row r="849" spans="1:20" ht="14.25" x14ac:dyDescent="0.2">
      <c r="A849" s="431"/>
      <c r="B849" s="750"/>
      <c r="C849" s="750"/>
      <c r="D849" s="1404" t="s">
        <v>696</v>
      </c>
      <c r="E849" s="1405" t="s">
        <v>1210</v>
      </c>
      <c r="F849" s="833"/>
      <c r="G849" s="833">
        <v>746</v>
      </c>
      <c r="H849" s="833">
        <v>746</v>
      </c>
      <c r="I849" s="828">
        <f t="shared" si="94"/>
        <v>100</v>
      </c>
    </row>
    <row r="850" spans="1:20" ht="15" x14ac:dyDescent="0.25">
      <c r="A850" s="431">
        <v>1108</v>
      </c>
      <c r="B850" s="750">
        <v>3142</v>
      </c>
      <c r="C850" s="1393">
        <v>5331</v>
      </c>
      <c r="D850" s="842"/>
      <c r="E850" s="672" t="s">
        <v>951</v>
      </c>
      <c r="F850" s="835">
        <v>926</v>
      </c>
      <c r="G850" s="835">
        <v>917</v>
      </c>
      <c r="H850" s="835">
        <v>917</v>
      </c>
      <c r="I850" s="836">
        <v>100</v>
      </c>
    </row>
    <row r="851" spans="1:20" ht="14.25" x14ac:dyDescent="0.2">
      <c r="A851" s="431"/>
      <c r="B851" s="750"/>
      <c r="C851" s="1393"/>
      <c r="D851" s="552" t="s">
        <v>570</v>
      </c>
      <c r="E851" s="455" t="s">
        <v>71</v>
      </c>
      <c r="F851" s="833">
        <v>926</v>
      </c>
      <c r="G851" s="833">
        <v>917</v>
      </c>
      <c r="H851" s="833">
        <v>917</v>
      </c>
      <c r="I851" s="828">
        <v>100</v>
      </c>
    </row>
    <row r="852" spans="1:20" ht="15" x14ac:dyDescent="0.25">
      <c r="A852" s="431">
        <v>1108</v>
      </c>
      <c r="B852" s="750">
        <v>3299</v>
      </c>
      <c r="C852" s="750">
        <v>5331</v>
      </c>
      <c r="D852" s="859"/>
      <c r="E852" s="672" t="s">
        <v>951</v>
      </c>
      <c r="F852" s="835"/>
      <c r="G852" s="835">
        <v>23</v>
      </c>
      <c r="H852" s="835">
        <v>23</v>
      </c>
      <c r="I852" s="836">
        <f>(H852/G852)*100</f>
        <v>100</v>
      </c>
    </row>
    <row r="853" spans="1:20" ht="15.75" thickBot="1" x14ac:dyDescent="0.3">
      <c r="A853" s="431"/>
      <c r="B853" s="750"/>
      <c r="C853" s="750"/>
      <c r="D853" s="1302" t="s">
        <v>370</v>
      </c>
      <c r="E853" s="459" t="s">
        <v>1117</v>
      </c>
      <c r="F853" s="835"/>
      <c r="G853" s="833">
        <v>23</v>
      </c>
      <c r="H853" s="833">
        <v>23</v>
      </c>
      <c r="I853" s="828">
        <f>(H853/G853)*100</f>
        <v>100</v>
      </c>
    </row>
    <row r="854" spans="1:20" ht="16.5" thickTop="1" thickBot="1" x14ac:dyDescent="0.3">
      <c r="A854" s="2672" t="s">
        <v>1105</v>
      </c>
      <c r="B854" s="2673"/>
      <c r="C854" s="2673"/>
      <c r="D854" s="2673"/>
      <c r="E854" s="2673"/>
      <c r="F854" s="824">
        <f>F838+F850</f>
        <v>5748</v>
      </c>
      <c r="G854" s="824">
        <f>G838+G841+G850+G852</f>
        <v>36944</v>
      </c>
      <c r="H854" s="824">
        <f>H838+H850+H852+H841</f>
        <v>36944</v>
      </c>
      <c r="I854" s="825">
        <f>(H854/G854)*100</f>
        <v>100</v>
      </c>
      <c r="R854" s="382">
        <f>F854</f>
        <v>5748</v>
      </c>
      <c r="S854" s="382">
        <f>G854</f>
        <v>36944</v>
      </c>
      <c r="T854" s="382">
        <f>H854</f>
        <v>36944</v>
      </c>
    </row>
    <row r="855" spans="1:20" ht="15.75" thickTop="1" x14ac:dyDescent="0.25">
      <c r="A855" s="368"/>
      <c r="B855" s="368"/>
      <c r="C855" s="368"/>
      <c r="D855" s="368"/>
      <c r="E855" s="368"/>
      <c r="F855" s="181"/>
      <c r="G855" s="181"/>
      <c r="H855" s="181"/>
      <c r="I855" s="210"/>
      <c r="R855" s="382"/>
      <c r="S855" s="382"/>
      <c r="T855" s="382"/>
    </row>
    <row r="856" spans="1:20" ht="13.5" thickBot="1" x14ac:dyDescent="0.25">
      <c r="A856" s="432" t="s">
        <v>1236</v>
      </c>
      <c r="I856" s="1390" t="s">
        <v>161</v>
      </c>
    </row>
    <row r="857" spans="1:20" s="107" customFormat="1" thickTop="1" thickBot="1" x14ac:dyDescent="0.25">
      <c r="A857" s="631" t="s">
        <v>624</v>
      </c>
      <c r="B857" s="774" t="s">
        <v>162</v>
      </c>
      <c r="C857" s="632" t="s">
        <v>163</v>
      </c>
      <c r="D857" s="634" t="s">
        <v>705</v>
      </c>
      <c r="E857" s="634" t="s">
        <v>164</v>
      </c>
      <c r="F857" s="634" t="s">
        <v>165</v>
      </c>
      <c r="G857" s="634" t="s">
        <v>881</v>
      </c>
      <c r="H857" s="634" t="s">
        <v>882</v>
      </c>
      <c r="I857" s="818" t="s">
        <v>883</v>
      </c>
    </row>
    <row r="858" spans="1:20" s="383" customFormat="1" ht="13.5" thickTop="1" thickBot="1" x14ac:dyDescent="0.25">
      <c r="A858" s="566">
        <v>1</v>
      </c>
      <c r="B858" s="567">
        <v>2</v>
      </c>
      <c r="C858" s="567">
        <v>3</v>
      </c>
      <c r="D858" s="567">
        <v>4</v>
      </c>
      <c r="E858" s="567">
        <v>5</v>
      </c>
      <c r="F858" s="541">
        <v>6</v>
      </c>
      <c r="G858" s="541">
        <v>7</v>
      </c>
      <c r="H858" s="542">
        <v>8</v>
      </c>
      <c r="I858" s="636" t="s">
        <v>762</v>
      </c>
    </row>
    <row r="859" spans="1:20" ht="15.75" thickTop="1" x14ac:dyDescent="0.25">
      <c r="A859" s="1391">
        <v>1109</v>
      </c>
      <c r="B859" s="775">
        <v>3121</v>
      </c>
      <c r="C859" s="775">
        <v>5331</v>
      </c>
      <c r="D859" s="839"/>
      <c r="E859" s="860" t="s">
        <v>951</v>
      </c>
      <c r="F859" s="861">
        <f>SUM(F860:F869)</f>
        <v>2483</v>
      </c>
      <c r="G859" s="861">
        <f>G860+G861+G862</f>
        <v>2576</v>
      </c>
      <c r="H859" s="861">
        <f>H860+H861+H862</f>
        <v>2576</v>
      </c>
      <c r="I859" s="826">
        <f t="shared" ref="I859:I871" si="97">(H859/G859)*100</f>
        <v>100</v>
      </c>
    </row>
    <row r="860" spans="1:20" ht="14.25" x14ac:dyDescent="0.2">
      <c r="A860" s="431"/>
      <c r="B860" s="673"/>
      <c r="C860" s="673"/>
      <c r="D860" s="707" t="s">
        <v>575</v>
      </c>
      <c r="E860" s="1478" t="s">
        <v>793</v>
      </c>
      <c r="F860" s="827">
        <v>826</v>
      </c>
      <c r="G860" s="827">
        <v>826</v>
      </c>
      <c r="H860" s="827">
        <v>826</v>
      </c>
      <c r="I860" s="823">
        <f t="shared" si="97"/>
        <v>100</v>
      </c>
    </row>
    <row r="861" spans="1:20" ht="14.25" x14ac:dyDescent="0.2">
      <c r="A861" s="431"/>
      <c r="B861" s="673"/>
      <c r="C861" s="673"/>
      <c r="D861" s="1059" t="s">
        <v>184</v>
      </c>
      <c r="E861" s="1161" t="s">
        <v>712</v>
      </c>
      <c r="F861" s="1311"/>
      <c r="G861" s="451">
        <v>110</v>
      </c>
      <c r="H861" s="451">
        <v>110</v>
      </c>
      <c r="I861" s="1074">
        <f t="shared" si="97"/>
        <v>100</v>
      </c>
    </row>
    <row r="862" spans="1:20" ht="14.25" x14ac:dyDescent="0.2">
      <c r="A862" s="431"/>
      <c r="B862" s="673"/>
      <c r="C862" s="673"/>
      <c r="D862" s="552" t="s">
        <v>570</v>
      </c>
      <c r="E862" s="455" t="s">
        <v>71</v>
      </c>
      <c r="F862" s="827">
        <v>1657</v>
      </c>
      <c r="G862" s="827">
        <v>1640</v>
      </c>
      <c r="H862" s="827">
        <v>1640</v>
      </c>
      <c r="I862" s="823">
        <f t="shared" si="97"/>
        <v>100</v>
      </c>
    </row>
    <row r="863" spans="1:20" ht="18" customHeight="1" x14ac:dyDescent="0.25">
      <c r="A863" s="431">
        <v>1109</v>
      </c>
      <c r="B863" s="750">
        <v>3121</v>
      </c>
      <c r="C863" s="750">
        <v>5336</v>
      </c>
      <c r="D863" s="1295"/>
      <c r="E863" s="672" t="s">
        <v>2054</v>
      </c>
      <c r="F863" s="846"/>
      <c r="G863" s="846">
        <f>G864+G865+G866+G868+G869</f>
        <v>13847</v>
      </c>
      <c r="H863" s="846">
        <f>H864+H865+H866+H868+H869</f>
        <v>13847</v>
      </c>
      <c r="I863" s="836">
        <f>(H863/G863)*100</f>
        <v>100</v>
      </c>
    </row>
    <row r="864" spans="1:20" ht="15" customHeight="1" x14ac:dyDescent="0.2">
      <c r="A864" s="431"/>
      <c r="B864" s="750"/>
      <c r="C864" s="750"/>
      <c r="D864" s="1068" t="s">
        <v>1504</v>
      </c>
      <c r="E864" s="2113" t="s">
        <v>1604</v>
      </c>
      <c r="F864" s="827"/>
      <c r="G864" s="827">
        <v>49</v>
      </c>
      <c r="H864" s="827">
        <v>49</v>
      </c>
      <c r="I864" s="823">
        <f t="shared" ref="I864:I866" si="98">(H864/G864)*100</f>
        <v>100</v>
      </c>
    </row>
    <row r="865" spans="1:20" ht="12" customHeight="1" x14ac:dyDescent="0.2">
      <c r="A865" s="431"/>
      <c r="B865" s="750"/>
      <c r="C865" s="750"/>
      <c r="D865" s="1068" t="s">
        <v>1903</v>
      </c>
      <c r="E865" s="2546" t="s">
        <v>2032</v>
      </c>
      <c r="F865" s="356"/>
      <c r="G865" s="356">
        <v>7</v>
      </c>
      <c r="H865" s="356">
        <v>7</v>
      </c>
      <c r="I865" s="854">
        <f t="shared" si="98"/>
        <v>100</v>
      </c>
    </row>
    <row r="866" spans="1:20" ht="13.5" customHeight="1" x14ac:dyDescent="0.2">
      <c r="A866" s="431"/>
      <c r="B866" s="750"/>
      <c r="C866" s="750"/>
      <c r="D866" s="1068" t="s">
        <v>1911</v>
      </c>
      <c r="E866" s="2671" t="s">
        <v>2051</v>
      </c>
      <c r="F866" s="827"/>
      <c r="G866" s="837">
        <v>16</v>
      </c>
      <c r="H866" s="837">
        <v>16</v>
      </c>
      <c r="I866" s="823">
        <f t="shared" si="98"/>
        <v>100</v>
      </c>
    </row>
    <row r="867" spans="1:20" ht="15" customHeight="1" x14ac:dyDescent="0.25">
      <c r="A867" s="431"/>
      <c r="B867" s="750"/>
      <c r="C867" s="750"/>
      <c r="D867" s="1068"/>
      <c r="E867" s="2671"/>
      <c r="F867" s="827"/>
      <c r="G867" s="846"/>
      <c r="H867" s="846"/>
      <c r="I867" s="853"/>
    </row>
    <row r="868" spans="1:20" ht="12" customHeight="1" x14ac:dyDescent="0.2">
      <c r="A868" s="431"/>
      <c r="B868" s="750"/>
      <c r="C868" s="750"/>
      <c r="D868" s="1068" t="s">
        <v>1913</v>
      </c>
      <c r="E868" s="2113" t="s">
        <v>2052</v>
      </c>
      <c r="F868" s="2530"/>
      <c r="G868" s="2531">
        <v>97</v>
      </c>
      <c r="H868" s="2531">
        <v>97</v>
      </c>
      <c r="I868" s="376">
        <f t="shared" ref="I868" si="99">(H868/G868)*100</f>
        <v>100</v>
      </c>
    </row>
    <row r="869" spans="1:20" ht="16.5" customHeight="1" x14ac:dyDescent="0.2">
      <c r="A869" s="431"/>
      <c r="B869" s="673"/>
      <c r="C869" s="673"/>
      <c r="D869" s="552" t="s">
        <v>1124</v>
      </c>
      <c r="E869" s="455" t="s">
        <v>792</v>
      </c>
      <c r="F869" s="827"/>
      <c r="G869" s="827">
        <v>13678</v>
      </c>
      <c r="H869" s="827">
        <v>13678</v>
      </c>
      <c r="I869" s="823">
        <f t="shared" si="97"/>
        <v>100</v>
      </c>
    </row>
    <row r="870" spans="1:20" ht="13.5" customHeight="1" x14ac:dyDescent="0.25">
      <c r="A870" s="431">
        <v>1109</v>
      </c>
      <c r="B870" s="750">
        <v>3142</v>
      </c>
      <c r="C870" s="750">
        <v>5331</v>
      </c>
      <c r="D870" s="859"/>
      <c r="E870" s="672" t="s">
        <v>951</v>
      </c>
      <c r="F870" s="835">
        <v>350</v>
      </c>
      <c r="G870" s="835">
        <v>346</v>
      </c>
      <c r="H870" s="835">
        <v>346</v>
      </c>
      <c r="I870" s="836">
        <f t="shared" si="97"/>
        <v>100</v>
      </c>
    </row>
    <row r="871" spans="1:20" ht="15" thickBot="1" x14ac:dyDescent="0.25">
      <c r="A871" s="431"/>
      <c r="B871" s="750"/>
      <c r="C871" s="750"/>
      <c r="D871" s="552" t="s">
        <v>570</v>
      </c>
      <c r="E871" s="455" t="s">
        <v>71</v>
      </c>
      <c r="F871" s="833">
        <v>350</v>
      </c>
      <c r="G871" s="833">
        <v>346</v>
      </c>
      <c r="H871" s="833">
        <v>346</v>
      </c>
      <c r="I871" s="828">
        <f t="shared" si="97"/>
        <v>100</v>
      </c>
    </row>
    <row r="872" spans="1:20" s="1483" customFormat="1" ht="16.5" thickTop="1" thickBot="1" x14ac:dyDescent="0.25">
      <c r="A872" s="2683" t="s">
        <v>1105</v>
      </c>
      <c r="B872" s="2684"/>
      <c r="C872" s="2684"/>
      <c r="D872" s="2684"/>
      <c r="E872" s="2684"/>
      <c r="F872" s="1494">
        <f>F859+F870</f>
        <v>2833</v>
      </c>
      <c r="G872" s="1494">
        <f>G859+G863+G870</f>
        <v>16769</v>
      </c>
      <c r="H872" s="1494">
        <f>H859+H863+H870</f>
        <v>16769</v>
      </c>
      <c r="I872" s="1495">
        <f>(H872/G872)*100</f>
        <v>100</v>
      </c>
      <c r="R872" s="1496">
        <f>F872</f>
        <v>2833</v>
      </c>
      <c r="S872" s="1496">
        <f>G872</f>
        <v>16769</v>
      </c>
      <c r="T872" s="1496">
        <f>H872</f>
        <v>16769</v>
      </c>
    </row>
    <row r="873" spans="1:20" s="1483" customFormat="1" ht="13.5" thickTop="1" x14ac:dyDescent="0.2">
      <c r="B873" s="1497"/>
      <c r="D873" s="1498"/>
      <c r="F873" s="1496"/>
      <c r="G873" s="1496"/>
      <c r="H873" s="1496"/>
      <c r="I873" s="1499"/>
    </row>
    <row r="874" spans="1:20" ht="13.5" thickBot="1" x14ac:dyDescent="0.25">
      <c r="A874" s="432" t="s">
        <v>721</v>
      </c>
      <c r="I874" s="1390" t="s">
        <v>161</v>
      </c>
    </row>
    <row r="875" spans="1:20" s="107" customFormat="1" thickTop="1" thickBot="1" x14ac:dyDescent="0.25">
      <c r="A875" s="631" t="s">
        <v>624</v>
      </c>
      <c r="B875" s="774" t="s">
        <v>162</v>
      </c>
      <c r="C875" s="632" t="s">
        <v>163</v>
      </c>
      <c r="D875" s="634" t="s">
        <v>705</v>
      </c>
      <c r="E875" s="634" t="s">
        <v>164</v>
      </c>
      <c r="F875" s="634" t="s">
        <v>165</v>
      </c>
      <c r="G875" s="634" t="s">
        <v>881</v>
      </c>
      <c r="H875" s="634" t="s">
        <v>882</v>
      </c>
      <c r="I875" s="818" t="s">
        <v>883</v>
      </c>
    </row>
    <row r="876" spans="1:20" s="383" customFormat="1" ht="13.5" thickTop="1" thickBot="1" x14ac:dyDescent="0.25">
      <c r="A876" s="566">
        <v>1</v>
      </c>
      <c r="B876" s="567">
        <v>2</v>
      </c>
      <c r="C876" s="567">
        <v>3</v>
      </c>
      <c r="D876" s="567">
        <v>4</v>
      </c>
      <c r="E876" s="567">
        <v>5</v>
      </c>
      <c r="F876" s="541">
        <v>6</v>
      </c>
      <c r="G876" s="541">
        <v>7</v>
      </c>
      <c r="H876" s="542">
        <v>8</v>
      </c>
      <c r="I876" s="636" t="s">
        <v>762</v>
      </c>
    </row>
    <row r="877" spans="1:20" ht="15.75" thickTop="1" x14ac:dyDescent="0.25">
      <c r="A877" s="1391">
        <v>1110</v>
      </c>
      <c r="B877" s="775">
        <v>3121</v>
      </c>
      <c r="C877" s="775">
        <v>5331</v>
      </c>
      <c r="D877" s="839"/>
      <c r="E877" s="860" t="s">
        <v>951</v>
      </c>
      <c r="F877" s="861">
        <f>SUM(F878:F887)</f>
        <v>2714</v>
      </c>
      <c r="G877" s="861">
        <f>G878+G879</f>
        <v>2704</v>
      </c>
      <c r="H877" s="861">
        <f>H878+H879</f>
        <v>2704</v>
      </c>
      <c r="I877" s="826">
        <f t="shared" ref="I877:I889" si="100">(H877/G877)*100</f>
        <v>100</v>
      </c>
    </row>
    <row r="878" spans="1:20" ht="14.25" x14ac:dyDescent="0.2">
      <c r="A878" s="431"/>
      <c r="B878" s="673"/>
      <c r="C878" s="673"/>
      <c r="D878" s="707" t="s">
        <v>575</v>
      </c>
      <c r="E878" s="1478" t="s">
        <v>793</v>
      </c>
      <c r="F878" s="827">
        <v>1222</v>
      </c>
      <c r="G878" s="827">
        <v>1227</v>
      </c>
      <c r="H878" s="827">
        <v>1227</v>
      </c>
      <c r="I878" s="823">
        <f t="shared" si="100"/>
        <v>100</v>
      </c>
    </row>
    <row r="879" spans="1:20" ht="14.25" x14ac:dyDescent="0.2">
      <c r="A879" s="431"/>
      <c r="B879" s="673"/>
      <c r="C879" s="673"/>
      <c r="D879" s="552" t="s">
        <v>570</v>
      </c>
      <c r="E879" s="455" t="s">
        <v>71</v>
      </c>
      <c r="F879" s="827">
        <v>1492</v>
      </c>
      <c r="G879" s="827">
        <v>1477</v>
      </c>
      <c r="H879" s="827">
        <v>1477</v>
      </c>
      <c r="I879" s="823">
        <f t="shared" si="100"/>
        <v>100</v>
      </c>
    </row>
    <row r="880" spans="1:20" ht="15" x14ac:dyDescent="0.25">
      <c r="A880" s="431">
        <v>1110</v>
      </c>
      <c r="B880" s="750">
        <v>3121</v>
      </c>
      <c r="C880" s="750">
        <v>5336</v>
      </c>
      <c r="D880" s="1295"/>
      <c r="E880" s="672" t="s">
        <v>2054</v>
      </c>
      <c r="F880" s="846"/>
      <c r="G880" s="846">
        <f>G881+G882+G883+G884+G886+G887</f>
        <v>12539</v>
      </c>
      <c r="H880" s="846">
        <f>H881+H882+H883+H884+H886+H887</f>
        <v>12539</v>
      </c>
      <c r="I880" s="836">
        <f>(H880/G880)*100</f>
        <v>100</v>
      </c>
    </row>
    <row r="881" spans="1:20" ht="14.25" x14ac:dyDescent="0.2">
      <c r="A881" s="431"/>
      <c r="B881" s="750"/>
      <c r="C881" s="750"/>
      <c r="D881" s="1069" t="s">
        <v>937</v>
      </c>
      <c r="E881" s="2533" t="s">
        <v>2033</v>
      </c>
      <c r="F881" s="314"/>
      <c r="G881" s="316">
        <v>5</v>
      </c>
      <c r="H881" s="316">
        <v>5</v>
      </c>
      <c r="I881" s="1074">
        <f t="shared" ref="I881" si="101">(H881/G881)*100</f>
        <v>100</v>
      </c>
    </row>
    <row r="882" spans="1:20" ht="14.25" x14ac:dyDescent="0.2">
      <c r="A882" s="431"/>
      <c r="B882" s="750"/>
      <c r="C882" s="750"/>
      <c r="D882" s="1068" t="s">
        <v>1504</v>
      </c>
      <c r="E882" s="2113" t="s">
        <v>1604</v>
      </c>
      <c r="F882" s="827"/>
      <c r="G882" s="827">
        <v>34</v>
      </c>
      <c r="H882" s="827">
        <v>34</v>
      </c>
      <c r="I882" s="823">
        <f t="shared" ref="I882:I884" si="102">(H882/G882)*100</f>
        <v>100</v>
      </c>
    </row>
    <row r="883" spans="1:20" ht="14.25" x14ac:dyDescent="0.2">
      <c r="A883" s="431"/>
      <c r="B883" s="750"/>
      <c r="C883" s="750"/>
      <c r="D883" s="1068" t="s">
        <v>1903</v>
      </c>
      <c r="E883" s="2546" t="s">
        <v>2032</v>
      </c>
      <c r="F883" s="356"/>
      <c r="G883" s="356">
        <v>6</v>
      </c>
      <c r="H883" s="356">
        <v>6</v>
      </c>
      <c r="I883" s="854">
        <f t="shared" si="102"/>
        <v>100</v>
      </c>
    </row>
    <row r="884" spans="1:20" ht="14.25" x14ac:dyDescent="0.2">
      <c r="A884" s="431"/>
      <c r="B884" s="750"/>
      <c r="C884" s="750"/>
      <c r="D884" s="1068" t="s">
        <v>1911</v>
      </c>
      <c r="E884" s="2671" t="s">
        <v>2051</v>
      </c>
      <c r="F884" s="827"/>
      <c r="G884" s="837">
        <v>15</v>
      </c>
      <c r="H884" s="837">
        <v>15</v>
      </c>
      <c r="I884" s="823">
        <f t="shared" si="102"/>
        <v>100</v>
      </c>
    </row>
    <row r="885" spans="1:20" ht="14.25" customHeight="1" x14ac:dyDescent="0.25">
      <c r="A885" s="431"/>
      <c r="B885" s="750"/>
      <c r="C885" s="750"/>
      <c r="D885" s="1068"/>
      <c r="E885" s="2671"/>
      <c r="F885" s="827"/>
      <c r="G885" s="846"/>
      <c r="H885" s="846"/>
      <c r="I885" s="853"/>
    </row>
    <row r="886" spans="1:20" ht="15" x14ac:dyDescent="0.2">
      <c r="A886" s="431"/>
      <c r="B886" s="750"/>
      <c r="C886" s="750"/>
      <c r="D886" s="1068" t="s">
        <v>1913</v>
      </c>
      <c r="E886" s="2113" t="s">
        <v>2052</v>
      </c>
      <c r="F886" s="2530"/>
      <c r="G886" s="2531">
        <v>79</v>
      </c>
      <c r="H886" s="2531">
        <v>79</v>
      </c>
      <c r="I886" s="376">
        <f t="shared" ref="I886" si="103">(H886/G886)*100</f>
        <v>100</v>
      </c>
    </row>
    <row r="887" spans="1:20" ht="14.25" x14ac:dyDescent="0.2">
      <c r="A887" s="431"/>
      <c r="B887" s="673"/>
      <c r="C887" s="1392"/>
      <c r="D887" s="552" t="s">
        <v>1124</v>
      </c>
      <c r="E887" s="455" t="s">
        <v>792</v>
      </c>
      <c r="F887" s="827"/>
      <c r="G887" s="827">
        <v>12400</v>
      </c>
      <c r="H887" s="827">
        <v>12400</v>
      </c>
      <c r="I887" s="823">
        <f t="shared" si="100"/>
        <v>100</v>
      </c>
    </row>
    <row r="888" spans="1:20" ht="15" x14ac:dyDescent="0.25">
      <c r="A888" s="431">
        <v>1110</v>
      </c>
      <c r="B888" s="750">
        <v>3142</v>
      </c>
      <c r="C888" s="750">
        <v>5331</v>
      </c>
      <c r="D888" s="859"/>
      <c r="E888" s="672" t="s">
        <v>951</v>
      </c>
      <c r="F888" s="835">
        <v>424</v>
      </c>
      <c r="G888" s="835">
        <v>420</v>
      </c>
      <c r="H888" s="835">
        <v>420</v>
      </c>
      <c r="I888" s="836">
        <f t="shared" si="100"/>
        <v>100</v>
      </c>
    </row>
    <row r="889" spans="1:20" ht="15" thickBot="1" x14ac:dyDescent="0.25">
      <c r="A889" s="431"/>
      <c r="B889" s="673"/>
      <c r="C889" s="673"/>
      <c r="D889" s="552" t="s">
        <v>570</v>
      </c>
      <c r="E889" s="455" t="s">
        <v>71</v>
      </c>
      <c r="F889" s="827">
        <v>424</v>
      </c>
      <c r="G889" s="827">
        <v>420</v>
      </c>
      <c r="H889" s="827">
        <v>420</v>
      </c>
      <c r="I889" s="823">
        <f t="shared" si="100"/>
        <v>100</v>
      </c>
    </row>
    <row r="890" spans="1:20" ht="16.5" thickTop="1" thickBot="1" x14ac:dyDescent="0.3">
      <c r="A890" s="2672" t="s">
        <v>1105</v>
      </c>
      <c r="B890" s="2673"/>
      <c r="C890" s="2673"/>
      <c r="D890" s="2673"/>
      <c r="E890" s="2673"/>
      <c r="F890" s="824">
        <f>F877+F888</f>
        <v>3138</v>
      </c>
      <c r="G890" s="824">
        <f>G877+G880+G888</f>
        <v>15663</v>
      </c>
      <c r="H890" s="824">
        <f>H877+H880+H888</f>
        <v>15663</v>
      </c>
      <c r="I890" s="825">
        <f>(H890/G890)*100</f>
        <v>100</v>
      </c>
      <c r="K890" s="382" t="e">
        <f>SUM(F890,#REF!,#REF!,#REF!,#REF!,F810,#REF!,#REF!,F743,F715,F682,#REF!,F661,#REF!,F639,F599,F557,F521,F501)</f>
        <v>#REF!</v>
      </c>
      <c r="L890" s="382" t="e">
        <f>SUM(G890,#REF!,#REF!,#REF!,#REF!,G810,#REF!,#REF!,G743,G715,G682,#REF!,G661,#REF!,G639,G599,G557,G521,G501)</f>
        <v>#REF!</v>
      </c>
      <c r="M890" s="382" t="e">
        <f>SUM(H890,#REF!,#REF!,#REF!,#REF!,H810,#REF!,#REF!,H743,H715,H682,#REF!,H661,#REF!,H639,H599,H557,H521,H501)</f>
        <v>#REF!</v>
      </c>
      <c r="R890" s="382">
        <f>F890</f>
        <v>3138</v>
      </c>
      <c r="S890" s="382">
        <f>G890</f>
        <v>15663</v>
      </c>
      <c r="T890" s="382">
        <f>H890</f>
        <v>15663</v>
      </c>
    </row>
    <row r="891" spans="1:20" ht="15.75" thickTop="1" x14ac:dyDescent="0.25">
      <c r="A891" s="368"/>
      <c r="B891" s="368"/>
      <c r="C891" s="368"/>
      <c r="D891" s="368"/>
      <c r="E891" s="368"/>
      <c r="F891" s="181"/>
      <c r="G891" s="181"/>
      <c r="H891" s="181"/>
      <c r="I891" s="210"/>
      <c r="K891" s="382"/>
      <c r="L891" s="382"/>
      <c r="M891" s="382"/>
      <c r="R891" s="382"/>
      <c r="S891" s="382"/>
      <c r="T891" s="382"/>
    </row>
    <row r="892" spans="1:20" ht="13.5" thickBot="1" x14ac:dyDescent="0.25">
      <c r="A892" s="432" t="s">
        <v>641</v>
      </c>
      <c r="I892" s="1390" t="s">
        <v>161</v>
      </c>
    </row>
    <row r="893" spans="1:20" s="107" customFormat="1" ht="18" customHeight="1" thickTop="1" thickBot="1" x14ac:dyDescent="0.25">
      <c r="A893" s="631" t="s">
        <v>624</v>
      </c>
      <c r="B893" s="774" t="s">
        <v>162</v>
      </c>
      <c r="C893" s="632" t="s">
        <v>163</v>
      </c>
      <c r="D893" s="634" t="s">
        <v>705</v>
      </c>
      <c r="E893" s="634" t="s">
        <v>164</v>
      </c>
      <c r="F893" s="634" t="s">
        <v>165</v>
      </c>
      <c r="G893" s="634" t="s">
        <v>881</v>
      </c>
      <c r="H893" s="634" t="s">
        <v>882</v>
      </c>
      <c r="I893" s="818" t="s">
        <v>883</v>
      </c>
    </row>
    <row r="894" spans="1:20" s="383" customFormat="1" ht="13.5" thickTop="1" thickBot="1" x14ac:dyDescent="0.25">
      <c r="A894" s="566">
        <v>1</v>
      </c>
      <c r="B894" s="567">
        <v>2</v>
      </c>
      <c r="C894" s="567">
        <v>3</v>
      </c>
      <c r="D894" s="567">
        <v>4</v>
      </c>
      <c r="E894" s="567">
        <v>5</v>
      </c>
      <c r="F894" s="541">
        <v>6</v>
      </c>
      <c r="G894" s="541">
        <v>7</v>
      </c>
      <c r="H894" s="542">
        <v>8</v>
      </c>
      <c r="I894" s="636" t="s">
        <v>762</v>
      </c>
    </row>
    <row r="895" spans="1:20" ht="15.75" thickTop="1" x14ac:dyDescent="0.25">
      <c r="A895" s="1391">
        <v>1111</v>
      </c>
      <c r="B895" s="775">
        <v>3121</v>
      </c>
      <c r="C895" s="775">
        <v>5331</v>
      </c>
      <c r="D895" s="839"/>
      <c r="E895" s="860" t="s">
        <v>951</v>
      </c>
      <c r="F895" s="861">
        <f>F896+F897</f>
        <v>4462</v>
      </c>
      <c r="G895" s="861">
        <f>G896+G897</f>
        <v>4446</v>
      </c>
      <c r="H895" s="861">
        <f>H896+H897</f>
        <v>4446</v>
      </c>
      <c r="I895" s="826">
        <f t="shared" ref="I895:I919" si="104">(H895/G895)*100</f>
        <v>100</v>
      </c>
    </row>
    <row r="896" spans="1:20" ht="14.25" x14ac:dyDescent="0.2">
      <c r="A896" s="431"/>
      <c r="B896" s="673"/>
      <c r="C896" s="673"/>
      <c r="D896" s="707" t="s">
        <v>575</v>
      </c>
      <c r="E896" s="1478" t="s">
        <v>793</v>
      </c>
      <c r="F896" s="827">
        <v>1361</v>
      </c>
      <c r="G896" s="827">
        <v>1376</v>
      </c>
      <c r="H896" s="827">
        <v>1376</v>
      </c>
      <c r="I896" s="823">
        <f t="shared" si="104"/>
        <v>100</v>
      </c>
    </row>
    <row r="897" spans="1:9" ht="14.25" x14ac:dyDescent="0.2">
      <c r="A897" s="431"/>
      <c r="B897" s="673"/>
      <c r="C897" s="673"/>
      <c r="D897" s="552" t="s">
        <v>570</v>
      </c>
      <c r="E897" s="455" t="s">
        <v>71</v>
      </c>
      <c r="F897" s="827">
        <v>3101</v>
      </c>
      <c r="G897" s="827">
        <v>3070</v>
      </c>
      <c r="H897" s="827">
        <v>3070</v>
      </c>
      <c r="I897" s="823">
        <f t="shared" si="104"/>
        <v>100</v>
      </c>
    </row>
    <row r="898" spans="1:9" ht="15" x14ac:dyDescent="0.25">
      <c r="A898" s="431">
        <v>1111</v>
      </c>
      <c r="B898" s="750">
        <v>3121</v>
      </c>
      <c r="C898" s="750">
        <v>5336</v>
      </c>
      <c r="D898" s="1295"/>
      <c r="E898" s="672" t="s">
        <v>2054</v>
      </c>
      <c r="F898" s="846"/>
      <c r="G898" s="846">
        <f>G899+G900+G901+G903+G904</f>
        <v>23923</v>
      </c>
      <c r="H898" s="846">
        <f>H899+H900+H901+H903+H904</f>
        <v>23923</v>
      </c>
      <c r="I898" s="836">
        <f>(H898/G898)*100</f>
        <v>100</v>
      </c>
    </row>
    <row r="899" spans="1:9" ht="14.25" x14ac:dyDescent="0.2">
      <c r="A899" s="431"/>
      <c r="B899" s="750"/>
      <c r="C899" s="750"/>
      <c r="D899" s="1068" t="s">
        <v>1504</v>
      </c>
      <c r="E899" s="2113" t="s">
        <v>1604</v>
      </c>
      <c r="F899" s="827"/>
      <c r="G899" s="827">
        <v>43</v>
      </c>
      <c r="H899" s="827">
        <v>43</v>
      </c>
      <c r="I899" s="823">
        <f t="shared" ref="I899:I901" si="105">(H899/G899)*100</f>
        <v>100</v>
      </c>
    </row>
    <row r="900" spans="1:9" ht="14.25" x14ac:dyDescent="0.2">
      <c r="A900" s="431"/>
      <c r="B900" s="750"/>
      <c r="C900" s="750"/>
      <c r="D900" s="1068" t="s">
        <v>1903</v>
      </c>
      <c r="E900" s="2546" t="s">
        <v>2032</v>
      </c>
      <c r="F900" s="356"/>
      <c r="G900" s="356">
        <v>7</v>
      </c>
      <c r="H900" s="356">
        <v>7</v>
      </c>
      <c r="I900" s="854">
        <f t="shared" si="105"/>
        <v>100</v>
      </c>
    </row>
    <row r="901" spans="1:9" ht="14.25" customHeight="1" x14ac:dyDescent="0.2">
      <c r="A901" s="431"/>
      <c r="B901" s="750"/>
      <c r="C901" s="750"/>
      <c r="D901" s="1068" t="s">
        <v>1911</v>
      </c>
      <c r="E901" s="2671" t="s">
        <v>2051</v>
      </c>
      <c r="F901" s="827"/>
      <c r="G901" s="837">
        <v>28</v>
      </c>
      <c r="H901" s="837">
        <v>28</v>
      </c>
      <c r="I901" s="823">
        <f t="shared" si="105"/>
        <v>100</v>
      </c>
    </row>
    <row r="902" spans="1:9" ht="15" x14ac:dyDescent="0.25">
      <c r="A902" s="431"/>
      <c r="B902" s="750"/>
      <c r="C902" s="750"/>
      <c r="D902" s="1068"/>
      <c r="E902" s="2671"/>
      <c r="F902" s="827"/>
      <c r="G902" s="846"/>
      <c r="H902" s="846"/>
      <c r="I902" s="853"/>
    </row>
    <row r="903" spans="1:9" ht="15" x14ac:dyDescent="0.2">
      <c r="A903" s="431"/>
      <c r="B903" s="750"/>
      <c r="C903" s="750"/>
      <c r="D903" s="1068" t="s">
        <v>1913</v>
      </c>
      <c r="E903" s="2113" t="s">
        <v>2052</v>
      </c>
      <c r="F903" s="2530"/>
      <c r="G903" s="2531">
        <v>160</v>
      </c>
      <c r="H903" s="2531">
        <v>160</v>
      </c>
      <c r="I903" s="376">
        <f t="shared" ref="I903" si="106">(H903/G903)*100</f>
        <v>100</v>
      </c>
    </row>
    <row r="904" spans="1:9" ht="14.25" x14ac:dyDescent="0.2">
      <c r="A904" s="431"/>
      <c r="B904" s="673"/>
      <c r="C904" s="1392"/>
      <c r="D904" s="552" t="s">
        <v>1124</v>
      </c>
      <c r="E904" s="455" t="s">
        <v>792</v>
      </c>
      <c r="F904" s="827"/>
      <c r="G904" s="827">
        <v>23685</v>
      </c>
      <c r="H904" s="827">
        <v>23685</v>
      </c>
      <c r="I904" s="823">
        <f t="shared" si="104"/>
        <v>100</v>
      </c>
    </row>
    <row r="905" spans="1:9" ht="15" x14ac:dyDescent="0.25">
      <c r="A905" s="431">
        <v>1111</v>
      </c>
      <c r="B905" s="750">
        <v>3141</v>
      </c>
      <c r="C905" s="1393">
        <v>5336</v>
      </c>
      <c r="D905" s="568"/>
      <c r="E905" s="672" t="s">
        <v>2054</v>
      </c>
      <c r="F905" s="846"/>
      <c r="G905" s="846">
        <f>G906</f>
        <v>339</v>
      </c>
      <c r="H905" s="846">
        <f>H906</f>
        <v>339</v>
      </c>
      <c r="I905" s="853">
        <f t="shared" si="104"/>
        <v>100</v>
      </c>
    </row>
    <row r="906" spans="1:9" ht="15" thickBot="1" x14ac:dyDescent="0.25">
      <c r="A906" s="1394"/>
      <c r="B906" s="891"/>
      <c r="C906" s="1395"/>
      <c r="D906" s="718" t="s">
        <v>1124</v>
      </c>
      <c r="E906" s="456" t="s">
        <v>792</v>
      </c>
      <c r="F906" s="892"/>
      <c r="G906" s="892">
        <v>339</v>
      </c>
      <c r="H906" s="892">
        <v>339</v>
      </c>
      <c r="I906" s="855">
        <f t="shared" si="104"/>
        <v>100</v>
      </c>
    </row>
    <row r="907" spans="1:9" ht="14.25" thickTop="1" thickBot="1" x14ac:dyDescent="0.25">
      <c r="A907" s="432"/>
      <c r="I907" s="1390" t="s">
        <v>161</v>
      </c>
    </row>
    <row r="908" spans="1:9" s="107" customFormat="1" ht="18" customHeight="1" thickTop="1" thickBot="1" x14ac:dyDescent="0.25">
      <c r="A908" s="631" t="s">
        <v>624</v>
      </c>
      <c r="B908" s="774" t="s">
        <v>162</v>
      </c>
      <c r="C908" s="632" t="s">
        <v>163</v>
      </c>
      <c r="D908" s="634" t="s">
        <v>705</v>
      </c>
      <c r="E908" s="634" t="s">
        <v>164</v>
      </c>
      <c r="F908" s="634" t="s">
        <v>165</v>
      </c>
      <c r="G908" s="634" t="s">
        <v>881</v>
      </c>
      <c r="H908" s="634" t="s">
        <v>882</v>
      </c>
      <c r="I908" s="818" t="s">
        <v>883</v>
      </c>
    </row>
    <row r="909" spans="1:9" s="383" customFormat="1" ht="13.5" thickTop="1" thickBot="1" x14ac:dyDescent="0.25">
      <c r="A909" s="566">
        <v>1</v>
      </c>
      <c r="B909" s="567">
        <v>2</v>
      </c>
      <c r="C909" s="567">
        <v>3</v>
      </c>
      <c r="D909" s="567">
        <v>4</v>
      </c>
      <c r="E909" s="567">
        <v>5</v>
      </c>
      <c r="F909" s="541">
        <v>6</v>
      </c>
      <c r="G909" s="541">
        <v>7</v>
      </c>
      <c r="H909" s="542">
        <v>8</v>
      </c>
      <c r="I909" s="636" t="s">
        <v>762</v>
      </c>
    </row>
    <row r="910" spans="1:9" ht="15.75" thickTop="1" x14ac:dyDescent="0.25">
      <c r="A910" s="431">
        <v>1111</v>
      </c>
      <c r="B910" s="750">
        <v>3142</v>
      </c>
      <c r="C910" s="750">
        <v>5331</v>
      </c>
      <c r="D910" s="859"/>
      <c r="E910" s="672" t="s">
        <v>951</v>
      </c>
      <c r="F910" s="835">
        <f>SUM(F911:F914)</f>
        <v>547</v>
      </c>
      <c r="G910" s="835">
        <f>G911+G912</f>
        <v>556</v>
      </c>
      <c r="H910" s="835">
        <f>H911+H912</f>
        <v>556</v>
      </c>
      <c r="I910" s="836">
        <f t="shared" si="104"/>
        <v>100</v>
      </c>
    </row>
    <row r="911" spans="1:9" ht="14.25" x14ac:dyDescent="0.2">
      <c r="A911" s="431"/>
      <c r="B911" s="750"/>
      <c r="C911" s="750"/>
      <c r="D911" s="707" t="s">
        <v>575</v>
      </c>
      <c r="E911" s="1478" t="s">
        <v>793</v>
      </c>
      <c r="F911" s="833">
        <v>112</v>
      </c>
      <c r="G911" s="833">
        <v>125</v>
      </c>
      <c r="H911" s="833">
        <v>125</v>
      </c>
      <c r="I911" s="828">
        <f t="shared" si="104"/>
        <v>100</v>
      </c>
    </row>
    <row r="912" spans="1:9" ht="14.25" x14ac:dyDescent="0.2">
      <c r="A912" s="431"/>
      <c r="B912" s="750"/>
      <c r="C912" s="750"/>
      <c r="D912" s="552" t="s">
        <v>570</v>
      </c>
      <c r="E912" s="455" t="s">
        <v>71</v>
      </c>
      <c r="F912" s="833">
        <v>435</v>
      </c>
      <c r="G912" s="833">
        <v>431</v>
      </c>
      <c r="H912" s="833">
        <v>431</v>
      </c>
      <c r="I912" s="828">
        <f t="shared" si="104"/>
        <v>100</v>
      </c>
    </row>
    <row r="913" spans="1:20" ht="15" x14ac:dyDescent="0.25">
      <c r="A913" s="431">
        <v>1111</v>
      </c>
      <c r="B913" s="750">
        <v>3142</v>
      </c>
      <c r="C913" s="750">
        <v>5336</v>
      </c>
      <c r="D913" s="552"/>
      <c r="E913" s="672" t="s">
        <v>2054</v>
      </c>
      <c r="F913" s="833"/>
      <c r="G913" s="846">
        <v>999</v>
      </c>
      <c r="H913" s="846">
        <v>999</v>
      </c>
      <c r="I913" s="838">
        <f t="shared" si="104"/>
        <v>100</v>
      </c>
    </row>
    <row r="914" spans="1:20" ht="14.25" x14ac:dyDescent="0.2">
      <c r="A914" s="431"/>
      <c r="B914" s="750"/>
      <c r="C914" s="1393"/>
      <c r="D914" s="552" t="s">
        <v>1124</v>
      </c>
      <c r="E914" s="455" t="s">
        <v>792</v>
      </c>
      <c r="F914" s="833"/>
      <c r="G914" s="833">
        <v>999</v>
      </c>
      <c r="H914" s="833">
        <v>999</v>
      </c>
      <c r="I914" s="828">
        <f t="shared" si="104"/>
        <v>100</v>
      </c>
    </row>
    <row r="915" spans="1:20" ht="15" x14ac:dyDescent="0.25">
      <c r="A915" s="431">
        <v>1111</v>
      </c>
      <c r="B915" s="750">
        <v>3299</v>
      </c>
      <c r="C915" s="1393">
        <v>5331</v>
      </c>
      <c r="D915" s="552"/>
      <c r="E915" s="672" t="s">
        <v>951</v>
      </c>
      <c r="F915" s="833"/>
      <c r="G915" s="846">
        <f>G916+G917</f>
        <v>35</v>
      </c>
      <c r="H915" s="846">
        <f>H916+H917</f>
        <v>35</v>
      </c>
      <c r="I915" s="838">
        <f t="shared" si="104"/>
        <v>100</v>
      </c>
    </row>
    <row r="916" spans="1:20" ht="14.25" x14ac:dyDescent="0.2">
      <c r="A916" s="431"/>
      <c r="B916" s="750"/>
      <c r="C916" s="1393"/>
      <c r="D916" s="552" t="s">
        <v>1122</v>
      </c>
      <c r="E916" s="458" t="s">
        <v>402</v>
      </c>
      <c r="F916" s="833"/>
      <c r="G916" s="833">
        <v>15</v>
      </c>
      <c r="H916" s="833">
        <v>15</v>
      </c>
      <c r="I916" s="828">
        <f t="shared" si="104"/>
        <v>100</v>
      </c>
    </row>
    <row r="917" spans="1:20" ht="14.25" x14ac:dyDescent="0.2">
      <c r="A917" s="431"/>
      <c r="B917" s="750"/>
      <c r="C917" s="1393"/>
      <c r="D917" s="1302" t="s">
        <v>370</v>
      </c>
      <c r="E917" s="459" t="s">
        <v>1117</v>
      </c>
      <c r="F917" s="833"/>
      <c r="G917" s="833">
        <v>20</v>
      </c>
      <c r="H917" s="833">
        <v>20</v>
      </c>
      <c r="I917" s="828">
        <f t="shared" si="104"/>
        <v>100</v>
      </c>
    </row>
    <row r="918" spans="1:20" ht="15" x14ac:dyDescent="0.25">
      <c r="A918" s="431">
        <v>1111</v>
      </c>
      <c r="B918" s="750">
        <v>3792</v>
      </c>
      <c r="C918" s="1393">
        <v>5331</v>
      </c>
      <c r="D918" s="1302"/>
      <c r="E918" s="672" t="s">
        <v>951</v>
      </c>
      <c r="F918" s="833"/>
      <c r="G918" s="846">
        <v>5</v>
      </c>
      <c r="H918" s="846">
        <v>5</v>
      </c>
      <c r="I918" s="838">
        <f t="shared" si="104"/>
        <v>100</v>
      </c>
    </row>
    <row r="919" spans="1:20" ht="15" thickBot="1" x14ac:dyDescent="0.25">
      <c r="A919" s="431"/>
      <c r="B919" s="750"/>
      <c r="C919" s="1393"/>
      <c r="D919" s="1059" t="s">
        <v>1319</v>
      </c>
      <c r="E919" s="1161" t="s">
        <v>369</v>
      </c>
      <c r="F919" s="833"/>
      <c r="G919" s="833">
        <v>5</v>
      </c>
      <c r="H919" s="833">
        <v>5</v>
      </c>
      <c r="I919" s="828">
        <f t="shared" si="104"/>
        <v>100</v>
      </c>
    </row>
    <row r="920" spans="1:20" ht="16.5" thickTop="1" thickBot="1" x14ac:dyDescent="0.3">
      <c r="A920" s="2672" t="s">
        <v>1105</v>
      </c>
      <c r="B920" s="2673"/>
      <c r="C920" s="2673"/>
      <c r="D920" s="2673"/>
      <c r="E920" s="2673"/>
      <c r="F920" s="824">
        <f>SUM(F910,F895,F905)</f>
        <v>5009</v>
      </c>
      <c r="G920" s="824">
        <f>G895+G898+G905+G910+G913+G915+G918</f>
        <v>30303</v>
      </c>
      <c r="H920" s="824">
        <f>H895+H898+H905+H910+H913+H915+H918</f>
        <v>30303</v>
      </c>
      <c r="I920" s="825">
        <f>(H920/G920)*100</f>
        <v>100</v>
      </c>
      <c r="R920" s="382">
        <f>F920</f>
        <v>5009</v>
      </c>
      <c r="S920" s="382">
        <f>G920</f>
        <v>30303</v>
      </c>
      <c r="T920" s="382">
        <f>H920</f>
        <v>30303</v>
      </c>
    </row>
    <row r="921" spans="1:20" ht="15.75" thickTop="1" x14ac:dyDescent="0.25">
      <c r="A921" s="368"/>
      <c r="B921" s="368"/>
      <c r="C921" s="368"/>
      <c r="D921" s="368"/>
      <c r="E921" s="368"/>
      <c r="F921" s="181"/>
      <c r="G921" s="181"/>
      <c r="H921" s="181"/>
      <c r="I921" s="210"/>
      <c r="R921" s="382"/>
      <c r="S921" s="382"/>
      <c r="T921" s="382"/>
    </row>
    <row r="922" spans="1:20" ht="13.5" thickBot="1" x14ac:dyDescent="0.25">
      <c r="A922" s="432" t="s">
        <v>1447</v>
      </c>
      <c r="I922" s="1390" t="s">
        <v>161</v>
      </c>
    </row>
    <row r="923" spans="1:20" s="107" customFormat="1" thickTop="1" thickBot="1" x14ac:dyDescent="0.25">
      <c r="A923" s="631" t="s">
        <v>624</v>
      </c>
      <c r="B923" s="774" t="s">
        <v>162</v>
      </c>
      <c r="C923" s="632" t="s">
        <v>163</v>
      </c>
      <c r="D923" s="634" t="s">
        <v>705</v>
      </c>
      <c r="E923" s="634" t="s">
        <v>164</v>
      </c>
      <c r="F923" s="634" t="s">
        <v>165</v>
      </c>
      <c r="G923" s="634" t="s">
        <v>881</v>
      </c>
      <c r="H923" s="634" t="s">
        <v>882</v>
      </c>
      <c r="I923" s="818" t="s">
        <v>883</v>
      </c>
    </row>
    <row r="924" spans="1:20" s="383" customFormat="1" ht="13.5" thickTop="1" thickBot="1" x14ac:dyDescent="0.25">
      <c r="A924" s="566">
        <v>1</v>
      </c>
      <c r="B924" s="567">
        <v>2</v>
      </c>
      <c r="C924" s="567">
        <v>3</v>
      </c>
      <c r="D924" s="567">
        <v>4</v>
      </c>
      <c r="E924" s="567">
        <v>5</v>
      </c>
      <c r="F924" s="541">
        <v>6</v>
      </c>
      <c r="G924" s="541">
        <v>7</v>
      </c>
      <c r="H924" s="542">
        <v>8</v>
      </c>
      <c r="I924" s="636" t="s">
        <v>762</v>
      </c>
    </row>
    <row r="925" spans="1:20" ht="15.75" thickTop="1" x14ac:dyDescent="0.25">
      <c r="A925" s="1391">
        <v>1112</v>
      </c>
      <c r="B925" s="775">
        <v>3121</v>
      </c>
      <c r="C925" s="775">
        <v>5331</v>
      </c>
      <c r="D925" s="839"/>
      <c r="E925" s="860" t="s">
        <v>951</v>
      </c>
      <c r="F925" s="861">
        <f>F926+F927</f>
        <v>2526</v>
      </c>
      <c r="G925" s="861">
        <f>G926+G927</f>
        <v>2503</v>
      </c>
      <c r="H925" s="861">
        <f>H926+H927</f>
        <v>2503</v>
      </c>
      <c r="I925" s="826">
        <f>(H925/G925)*100</f>
        <v>100</v>
      </c>
    </row>
    <row r="926" spans="1:20" ht="14.25" x14ac:dyDescent="0.2">
      <c r="A926" s="431"/>
      <c r="B926" s="673"/>
      <c r="C926" s="673"/>
      <c r="D926" s="707" t="s">
        <v>575</v>
      </c>
      <c r="E926" s="1478" t="s">
        <v>793</v>
      </c>
      <c r="F926" s="827">
        <v>233</v>
      </c>
      <c r="G926" s="827">
        <v>233</v>
      </c>
      <c r="H926" s="827">
        <v>233</v>
      </c>
      <c r="I926" s="823">
        <f>(H926/G926)*100</f>
        <v>100</v>
      </c>
    </row>
    <row r="927" spans="1:20" ht="14.25" x14ac:dyDescent="0.2">
      <c r="A927" s="431"/>
      <c r="B927" s="673"/>
      <c r="C927" s="673"/>
      <c r="D927" s="552" t="s">
        <v>570</v>
      </c>
      <c r="E927" s="455" t="s">
        <v>71</v>
      </c>
      <c r="F927" s="827">
        <v>2293</v>
      </c>
      <c r="G927" s="827">
        <v>2270</v>
      </c>
      <c r="H927" s="827">
        <v>2270</v>
      </c>
      <c r="I927" s="823">
        <v>100</v>
      </c>
    </row>
    <row r="928" spans="1:20" ht="16.5" customHeight="1" x14ac:dyDescent="0.25">
      <c r="A928" s="431">
        <v>1112</v>
      </c>
      <c r="B928" s="750">
        <v>3121</v>
      </c>
      <c r="C928" s="750">
        <v>5336</v>
      </c>
      <c r="D928" s="552"/>
      <c r="E928" s="672" t="s">
        <v>2054</v>
      </c>
      <c r="F928" s="833"/>
      <c r="G928" s="846">
        <f>G929+G930+G931+G933+G934</f>
        <v>14926</v>
      </c>
      <c r="H928" s="846">
        <f>H929+H930+H931+H933+H934</f>
        <v>14926</v>
      </c>
      <c r="I928" s="838">
        <f>(H928/G928)*100</f>
        <v>100</v>
      </c>
    </row>
    <row r="929" spans="1:20" ht="16.5" customHeight="1" x14ac:dyDescent="0.2">
      <c r="A929" s="431"/>
      <c r="B929" s="750"/>
      <c r="C929" s="750"/>
      <c r="D929" s="1068" t="s">
        <v>1504</v>
      </c>
      <c r="E929" s="2113" t="s">
        <v>1604</v>
      </c>
      <c r="F929" s="827"/>
      <c r="G929" s="827">
        <v>49</v>
      </c>
      <c r="H929" s="827">
        <v>49</v>
      </c>
      <c r="I929" s="823">
        <v>100</v>
      </c>
    </row>
    <row r="930" spans="1:20" ht="16.5" customHeight="1" x14ac:dyDescent="0.2">
      <c r="A930" s="431"/>
      <c r="B930" s="750"/>
      <c r="C930" s="750"/>
      <c r="D930" s="1068" t="s">
        <v>1903</v>
      </c>
      <c r="E930" s="2546" t="s">
        <v>2032</v>
      </c>
      <c r="F930" s="356"/>
      <c r="G930" s="356">
        <v>7</v>
      </c>
      <c r="H930" s="356">
        <v>7</v>
      </c>
      <c r="I930" s="854">
        <f t="shared" ref="I930:I931" si="107">(H930/G930)*100</f>
        <v>100</v>
      </c>
    </row>
    <row r="931" spans="1:20" ht="16.5" customHeight="1" x14ac:dyDescent="0.2">
      <c r="A931" s="431"/>
      <c r="B931" s="750"/>
      <c r="C931" s="750"/>
      <c r="D931" s="1068" t="s">
        <v>1911</v>
      </c>
      <c r="E931" s="2671" t="s">
        <v>2051</v>
      </c>
      <c r="F931" s="827"/>
      <c r="G931" s="837">
        <v>16</v>
      </c>
      <c r="H931" s="837">
        <v>16</v>
      </c>
      <c r="I931" s="823">
        <f t="shared" si="107"/>
        <v>100</v>
      </c>
    </row>
    <row r="932" spans="1:20" ht="16.5" customHeight="1" x14ac:dyDescent="0.25">
      <c r="A932" s="431"/>
      <c r="B932" s="750"/>
      <c r="C932" s="750"/>
      <c r="D932" s="1068"/>
      <c r="E932" s="2671"/>
      <c r="F932" s="827"/>
      <c r="G932" s="846"/>
      <c r="H932" s="846"/>
      <c r="I932" s="853"/>
    </row>
    <row r="933" spans="1:20" ht="16.5" customHeight="1" x14ac:dyDescent="0.2">
      <c r="A933" s="431"/>
      <c r="B933" s="750"/>
      <c r="C933" s="750"/>
      <c r="D933" s="1068" t="s">
        <v>1913</v>
      </c>
      <c r="E933" s="2113" t="s">
        <v>2052</v>
      </c>
      <c r="F933" s="2530"/>
      <c r="G933" s="2531">
        <v>93</v>
      </c>
      <c r="H933" s="2531">
        <v>93</v>
      </c>
      <c r="I933" s="376">
        <f t="shared" ref="I933" si="108">(H933/G933)*100</f>
        <v>100</v>
      </c>
    </row>
    <row r="934" spans="1:20" ht="14.25" x14ac:dyDescent="0.2">
      <c r="A934" s="431"/>
      <c r="B934" s="673"/>
      <c r="C934" s="1392"/>
      <c r="D934" s="552" t="s">
        <v>1124</v>
      </c>
      <c r="E934" s="455" t="s">
        <v>792</v>
      </c>
      <c r="F934" s="827"/>
      <c r="G934" s="827">
        <v>14761</v>
      </c>
      <c r="H934" s="827">
        <v>14761</v>
      </c>
      <c r="I934" s="828">
        <f t="shared" ref="I934:I941" si="109">(H934/G934)*100</f>
        <v>100</v>
      </c>
    </row>
    <row r="935" spans="1:20" ht="15" x14ac:dyDescent="0.25">
      <c r="A935" s="431">
        <v>1112</v>
      </c>
      <c r="B935" s="750">
        <v>3141</v>
      </c>
      <c r="C935" s="1393">
        <v>5336</v>
      </c>
      <c r="D935" s="568"/>
      <c r="E935" s="672" t="s">
        <v>2054</v>
      </c>
      <c r="F935" s="846"/>
      <c r="G935" s="846">
        <v>354</v>
      </c>
      <c r="H935" s="846">
        <v>354</v>
      </c>
      <c r="I935" s="838">
        <f t="shared" si="109"/>
        <v>100</v>
      </c>
    </row>
    <row r="936" spans="1:20" ht="14.25" x14ac:dyDescent="0.2">
      <c r="A936" s="431"/>
      <c r="B936" s="750"/>
      <c r="C936" s="1393"/>
      <c r="D936" s="552" t="s">
        <v>1124</v>
      </c>
      <c r="E936" s="455" t="s">
        <v>792</v>
      </c>
      <c r="F936" s="833"/>
      <c r="G936" s="833">
        <v>354</v>
      </c>
      <c r="H936" s="833">
        <v>354</v>
      </c>
      <c r="I936" s="828">
        <f t="shared" si="109"/>
        <v>100</v>
      </c>
    </row>
    <row r="937" spans="1:20" ht="15" x14ac:dyDescent="0.25">
      <c r="A937" s="431">
        <v>1112</v>
      </c>
      <c r="B937" s="750">
        <v>3142</v>
      </c>
      <c r="C937" s="1393">
        <v>5331</v>
      </c>
      <c r="D937" s="552"/>
      <c r="E937" s="672" t="s">
        <v>951</v>
      </c>
      <c r="F937" s="833"/>
      <c r="G937" s="846">
        <v>442</v>
      </c>
      <c r="H937" s="846">
        <v>442</v>
      </c>
      <c r="I937" s="838">
        <f t="shared" si="109"/>
        <v>100</v>
      </c>
    </row>
    <row r="938" spans="1:20" ht="14.25" x14ac:dyDescent="0.2">
      <c r="A938" s="431"/>
      <c r="B938" s="750"/>
      <c r="C938" s="1393"/>
      <c r="D938" s="552" t="s">
        <v>570</v>
      </c>
      <c r="E938" s="455" t="s">
        <v>71</v>
      </c>
      <c r="F938" s="827"/>
      <c r="G938" s="827">
        <v>442</v>
      </c>
      <c r="H938" s="827">
        <v>442</v>
      </c>
      <c r="I938" s="823">
        <v>100</v>
      </c>
    </row>
    <row r="939" spans="1:20" ht="15" x14ac:dyDescent="0.25">
      <c r="A939" s="431">
        <v>1112</v>
      </c>
      <c r="B939" s="750">
        <v>3142</v>
      </c>
      <c r="C939" s="750">
        <v>5336</v>
      </c>
      <c r="D939" s="552"/>
      <c r="E939" s="672" t="s">
        <v>2054</v>
      </c>
      <c r="F939" s="846">
        <v>446</v>
      </c>
      <c r="G939" s="846">
        <v>426</v>
      </c>
      <c r="H939" s="846">
        <v>426</v>
      </c>
      <c r="I939" s="838">
        <f t="shared" si="109"/>
        <v>100</v>
      </c>
    </row>
    <row r="940" spans="1:20" ht="15" thickBot="1" x14ac:dyDescent="0.25">
      <c r="A940" s="431"/>
      <c r="B940" s="750"/>
      <c r="C940" s="1393"/>
      <c r="D940" s="552" t="s">
        <v>1124</v>
      </c>
      <c r="E940" s="455" t="s">
        <v>792</v>
      </c>
      <c r="F940" s="833"/>
      <c r="G940" s="833">
        <v>426</v>
      </c>
      <c r="H940" s="833">
        <v>426</v>
      </c>
      <c r="I940" s="828">
        <f t="shared" si="109"/>
        <v>100</v>
      </c>
    </row>
    <row r="941" spans="1:20" ht="16.5" thickTop="1" thickBot="1" x14ac:dyDescent="0.3">
      <c r="A941" s="2672" t="s">
        <v>1105</v>
      </c>
      <c r="B941" s="2673"/>
      <c r="C941" s="2673"/>
      <c r="D941" s="2673"/>
      <c r="E941" s="2673"/>
      <c r="F941" s="824">
        <f>F925+F939</f>
        <v>2972</v>
      </c>
      <c r="G941" s="824">
        <f>G925+G928+G935+G939+G937</f>
        <v>18651</v>
      </c>
      <c r="H941" s="824">
        <f>H925+H928+H935+H939+H937</f>
        <v>18651</v>
      </c>
      <c r="I941" s="825">
        <f t="shared" si="109"/>
        <v>100</v>
      </c>
      <c r="R941" s="382">
        <f>F941</f>
        <v>2972</v>
      </c>
      <c r="S941" s="382">
        <f>G941</f>
        <v>18651</v>
      </c>
      <c r="T941" s="382">
        <f>H941</f>
        <v>18651</v>
      </c>
    </row>
    <row r="942" spans="1:20" ht="15.75" thickTop="1" x14ac:dyDescent="0.25">
      <c r="A942" s="368"/>
      <c r="B942" s="368"/>
      <c r="C942" s="368"/>
      <c r="D942" s="368"/>
      <c r="E942" s="368"/>
      <c r="F942" s="181"/>
      <c r="G942" s="181"/>
      <c r="H942" s="181"/>
      <c r="I942" s="210"/>
      <c r="R942" s="382"/>
      <c r="S942" s="382"/>
      <c r="T942" s="382"/>
    </row>
    <row r="943" spans="1:20" ht="13.5" thickBot="1" x14ac:dyDescent="0.25">
      <c r="A943" s="432" t="s">
        <v>1102</v>
      </c>
      <c r="I943" s="1390" t="s">
        <v>161</v>
      </c>
    </row>
    <row r="944" spans="1:20" s="107" customFormat="1" thickTop="1" thickBot="1" x14ac:dyDescent="0.25">
      <c r="A944" s="631" t="s">
        <v>624</v>
      </c>
      <c r="B944" s="774" t="s">
        <v>162</v>
      </c>
      <c r="C944" s="632" t="s">
        <v>163</v>
      </c>
      <c r="D944" s="634" t="s">
        <v>705</v>
      </c>
      <c r="E944" s="634" t="s">
        <v>164</v>
      </c>
      <c r="F944" s="634" t="s">
        <v>165</v>
      </c>
      <c r="G944" s="634" t="s">
        <v>881</v>
      </c>
      <c r="H944" s="634" t="s">
        <v>882</v>
      </c>
      <c r="I944" s="818" t="s">
        <v>883</v>
      </c>
    </row>
    <row r="945" spans="1:20" s="383" customFormat="1" ht="13.5" thickTop="1" thickBot="1" x14ac:dyDescent="0.25">
      <c r="A945" s="566">
        <v>1</v>
      </c>
      <c r="B945" s="567">
        <v>2</v>
      </c>
      <c r="C945" s="567">
        <v>3</v>
      </c>
      <c r="D945" s="567">
        <v>4</v>
      </c>
      <c r="E945" s="567">
        <v>5</v>
      </c>
      <c r="F945" s="541">
        <v>6</v>
      </c>
      <c r="G945" s="541">
        <v>7</v>
      </c>
      <c r="H945" s="542">
        <v>8</v>
      </c>
      <c r="I945" s="636" t="s">
        <v>762</v>
      </c>
    </row>
    <row r="946" spans="1:20" ht="20.25" customHeight="1" thickTop="1" x14ac:dyDescent="0.25">
      <c r="A946" s="1391">
        <v>1113</v>
      </c>
      <c r="B946" s="775">
        <v>3121</v>
      </c>
      <c r="C946" s="775">
        <v>5331</v>
      </c>
      <c r="D946" s="839"/>
      <c r="E946" s="860" t="s">
        <v>951</v>
      </c>
      <c r="F946" s="861">
        <f>SUM(F947:F948)</f>
        <v>3555</v>
      </c>
      <c r="G946" s="861">
        <f>SUM(G947:G948)</f>
        <v>3528</v>
      </c>
      <c r="H946" s="861">
        <f>SUM(H947:H948)</f>
        <v>3528</v>
      </c>
      <c r="I946" s="826">
        <f t="shared" ref="I946:I960" si="110">(H946/G946)*100</f>
        <v>100</v>
      </c>
    </row>
    <row r="947" spans="1:20" ht="14.25" x14ac:dyDescent="0.2">
      <c r="A947" s="431"/>
      <c r="B947" s="673"/>
      <c r="C947" s="673"/>
      <c r="D947" s="707" t="s">
        <v>575</v>
      </c>
      <c r="E947" s="1478" t="s">
        <v>793</v>
      </c>
      <c r="F947" s="827">
        <v>924</v>
      </c>
      <c r="G947" s="827">
        <v>923</v>
      </c>
      <c r="H947" s="827">
        <v>923</v>
      </c>
      <c r="I947" s="823">
        <f t="shared" si="110"/>
        <v>100</v>
      </c>
    </row>
    <row r="948" spans="1:20" ht="14.25" x14ac:dyDescent="0.2">
      <c r="A948" s="431"/>
      <c r="B948" s="673"/>
      <c r="C948" s="673"/>
      <c r="D948" s="552" t="s">
        <v>570</v>
      </c>
      <c r="E948" s="455" t="s">
        <v>71</v>
      </c>
      <c r="F948" s="827">
        <v>2631</v>
      </c>
      <c r="G948" s="827">
        <v>2605</v>
      </c>
      <c r="H948" s="827">
        <v>2605</v>
      </c>
      <c r="I948" s="823">
        <f t="shared" si="110"/>
        <v>100</v>
      </c>
    </row>
    <row r="949" spans="1:20" ht="15" x14ac:dyDescent="0.25">
      <c r="A949" s="431">
        <v>1113</v>
      </c>
      <c r="B949" s="750">
        <v>3121</v>
      </c>
      <c r="C949" s="750">
        <v>5336</v>
      </c>
      <c r="D949" s="552"/>
      <c r="E949" s="672" t="s">
        <v>2054</v>
      </c>
      <c r="F949" s="827"/>
      <c r="G949" s="851">
        <f>G950+G951+G952+G954+G955</f>
        <v>17566</v>
      </c>
      <c r="H949" s="851">
        <f>H950+H951+H952+H954+H955</f>
        <v>17566</v>
      </c>
      <c r="I949" s="853">
        <f t="shared" si="110"/>
        <v>100</v>
      </c>
    </row>
    <row r="950" spans="1:20" ht="14.25" x14ac:dyDescent="0.2">
      <c r="A950" s="431"/>
      <c r="B950" s="750"/>
      <c r="C950" s="750"/>
      <c r="D950" s="1068" t="s">
        <v>1504</v>
      </c>
      <c r="E950" s="2113" t="s">
        <v>1604</v>
      </c>
      <c r="F950" s="827"/>
      <c r="G950" s="827">
        <v>18</v>
      </c>
      <c r="H950" s="833">
        <v>18</v>
      </c>
      <c r="I950" s="823">
        <f t="shared" ref="I950:I952" si="111">(H950/G950)*100</f>
        <v>100</v>
      </c>
    </row>
    <row r="951" spans="1:20" ht="14.25" x14ac:dyDescent="0.2">
      <c r="A951" s="431"/>
      <c r="B951" s="750"/>
      <c r="C951" s="750"/>
      <c r="D951" s="1068" t="s">
        <v>1903</v>
      </c>
      <c r="E951" s="2546" t="s">
        <v>2032</v>
      </c>
      <c r="F951" s="356"/>
      <c r="G951" s="356">
        <v>8</v>
      </c>
      <c r="H951" s="356">
        <v>8</v>
      </c>
      <c r="I951" s="854">
        <f t="shared" si="111"/>
        <v>100</v>
      </c>
    </row>
    <row r="952" spans="1:20" ht="14.25" customHeight="1" x14ac:dyDescent="0.2">
      <c r="A952" s="431"/>
      <c r="B952" s="750"/>
      <c r="C952" s="750"/>
      <c r="D952" s="1068" t="s">
        <v>1911</v>
      </c>
      <c r="E952" s="2671" t="s">
        <v>2051</v>
      </c>
      <c r="F952" s="827"/>
      <c r="G952" s="837">
        <v>20</v>
      </c>
      <c r="H952" s="837">
        <v>20</v>
      </c>
      <c r="I952" s="823">
        <f t="shared" si="111"/>
        <v>100</v>
      </c>
    </row>
    <row r="953" spans="1:20" ht="15" x14ac:dyDescent="0.25">
      <c r="A953" s="431"/>
      <c r="B953" s="750"/>
      <c r="C953" s="750"/>
      <c r="D953" s="1068"/>
      <c r="E953" s="2671"/>
      <c r="F953" s="827"/>
      <c r="G953" s="846"/>
      <c r="H953" s="846"/>
      <c r="I953" s="853"/>
    </row>
    <row r="954" spans="1:20" ht="15" x14ac:dyDescent="0.2">
      <c r="A954" s="431"/>
      <c r="B954" s="750"/>
      <c r="C954" s="750"/>
      <c r="D954" s="1068" t="s">
        <v>1913</v>
      </c>
      <c r="E954" s="2113" t="s">
        <v>2052</v>
      </c>
      <c r="F954" s="2530"/>
      <c r="G954" s="2531">
        <v>113</v>
      </c>
      <c r="H954" s="2531">
        <v>113</v>
      </c>
      <c r="I954" s="376">
        <f t="shared" ref="I954" si="112">(H954/G954)*100</f>
        <v>100</v>
      </c>
    </row>
    <row r="955" spans="1:20" ht="14.25" x14ac:dyDescent="0.2">
      <c r="A955" s="431"/>
      <c r="B955" s="673"/>
      <c r="C955" s="673"/>
      <c r="D955" s="552" t="s">
        <v>1124</v>
      </c>
      <c r="E955" s="455" t="s">
        <v>792</v>
      </c>
      <c r="F955" s="827"/>
      <c r="G955" s="827">
        <v>17407</v>
      </c>
      <c r="H955" s="833">
        <v>17407</v>
      </c>
      <c r="I955" s="823">
        <f t="shared" si="110"/>
        <v>100</v>
      </c>
    </row>
    <row r="956" spans="1:20" ht="15" x14ac:dyDescent="0.25">
      <c r="A956" s="431">
        <v>1113</v>
      </c>
      <c r="B956" s="673">
        <v>3141</v>
      </c>
      <c r="C956" s="673">
        <v>5336</v>
      </c>
      <c r="D956" s="552"/>
      <c r="E956" s="672" t="s">
        <v>2054</v>
      </c>
      <c r="F956" s="851"/>
      <c r="G956" s="851">
        <v>87</v>
      </c>
      <c r="H956" s="846">
        <v>87</v>
      </c>
      <c r="I956" s="853">
        <f t="shared" si="110"/>
        <v>100</v>
      </c>
    </row>
    <row r="957" spans="1:20" ht="14.25" x14ac:dyDescent="0.2">
      <c r="A957" s="431"/>
      <c r="B957" s="673"/>
      <c r="C957" s="673"/>
      <c r="D957" s="552" t="s">
        <v>1124</v>
      </c>
      <c r="E957" s="868" t="s">
        <v>792</v>
      </c>
      <c r="F957" s="827"/>
      <c r="G957" s="827">
        <v>87</v>
      </c>
      <c r="H957" s="833">
        <v>87</v>
      </c>
      <c r="I957" s="823">
        <f t="shared" si="110"/>
        <v>100</v>
      </c>
    </row>
    <row r="958" spans="1:20" ht="15" x14ac:dyDescent="0.25">
      <c r="A958" s="431">
        <v>1113</v>
      </c>
      <c r="B958" s="673">
        <v>3142</v>
      </c>
      <c r="C958" s="673">
        <v>5331</v>
      </c>
      <c r="D958" s="552"/>
      <c r="E958" s="672" t="s">
        <v>951</v>
      </c>
      <c r="F958" s="851"/>
      <c r="G958" s="851">
        <v>170</v>
      </c>
      <c r="H958" s="846">
        <v>170</v>
      </c>
      <c r="I958" s="853">
        <f t="shared" si="110"/>
        <v>100</v>
      </c>
    </row>
    <row r="959" spans="1:20" ht="15" thickBot="1" x14ac:dyDescent="0.25">
      <c r="A959" s="431"/>
      <c r="B959" s="673"/>
      <c r="C959" s="673"/>
      <c r="D959" s="552" t="s">
        <v>1124</v>
      </c>
      <c r="E959" s="868" t="s">
        <v>792</v>
      </c>
      <c r="F959" s="827"/>
      <c r="G959" s="827">
        <v>170</v>
      </c>
      <c r="H959" s="833">
        <v>170</v>
      </c>
      <c r="I959" s="823">
        <f t="shared" si="110"/>
        <v>100</v>
      </c>
    </row>
    <row r="960" spans="1:20" ht="18" customHeight="1" thickTop="1" thickBot="1" x14ac:dyDescent="0.3">
      <c r="A960" s="2679" t="s">
        <v>1105</v>
      </c>
      <c r="B960" s="2680"/>
      <c r="C960" s="2680"/>
      <c r="D960" s="2680"/>
      <c r="E960" s="2681"/>
      <c r="F960" s="824">
        <f>F946</f>
        <v>3555</v>
      </c>
      <c r="G960" s="824">
        <f>G946+G949+G956+G958</f>
        <v>21351</v>
      </c>
      <c r="H960" s="824">
        <f>H946+H949+H956+H958</f>
        <v>21351</v>
      </c>
      <c r="I960" s="825">
        <f t="shared" si="110"/>
        <v>100</v>
      </c>
      <c r="R960" s="382">
        <f>F960</f>
        <v>3555</v>
      </c>
      <c r="S960" s="382">
        <f>G960</f>
        <v>21351</v>
      </c>
      <c r="T960" s="382">
        <f>H960</f>
        <v>21351</v>
      </c>
    </row>
    <row r="961" spans="1:9" ht="20.25" customHeight="1" thickTop="1" x14ac:dyDescent="0.2"/>
    <row r="962" spans="1:9" ht="13.5" thickBot="1" x14ac:dyDescent="0.25">
      <c r="A962" s="432" t="s">
        <v>1103</v>
      </c>
      <c r="I962" s="1390" t="s">
        <v>161</v>
      </c>
    </row>
    <row r="963" spans="1:9" s="107" customFormat="1" thickTop="1" thickBot="1" x14ac:dyDescent="0.25">
      <c r="A963" s="631" t="s">
        <v>624</v>
      </c>
      <c r="B963" s="774" t="s">
        <v>162</v>
      </c>
      <c r="C963" s="632" t="s">
        <v>163</v>
      </c>
      <c r="D963" s="634" t="s">
        <v>705</v>
      </c>
      <c r="E963" s="634" t="s">
        <v>164</v>
      </c>
      <c r="F963" s="634" t="s">
        <v>165</v>
      </c>
      <c r="G963" s="634" t="s">
        <v>881</v>
      </c>
      <c r="H963" s="634" t="s">
        <v>882</v>
      </c>
      <c r="I963" s="818" t="s">
        <v>883</v>
      </c>
    </row>
    <row r="964" spans="1:9" s="383" customFormat="1" ht="13.5" thickTop="1" thickBot="1" x14ac:dyDescent="0.25">
      <c r="A964" s="566">
        <v>1</v>
      </c>
      <c r="B964" s="567">
        <v>2</v>
      </c>
      <c r="C964" s="567">
        <v>3</v>
      </c>
      <c r="D964" s="567">
        <v>4</v>
      </c>
      <c r="E964" s="567">
        <v>5</v>
      </c>
      <c r="F964" s="541">
        <v>6</v>
      </c>
      <c r="G964" s="541">
        <v>7</v>
      </c>
      <c r="H964" s="542">
        <v>8</v>
      </c>
      <c r="I964" s="636" t="s">
        <v>762</v>
      </c>
    </row>
    <row r="965" spans="1:9" ht="15.75" thickTop="1" x14ac:dyDescent="0.25">
      <c r="A965" s="1391">
        <v>1120</v>
      </c>
      <c r="B965" s="775">
        <v>3122</v>
      </c>
      <c r="C965" s="775">
        <v>5331</v>
      </c>
      <c r="D965" s="839"/>
      <c r="E965" s="860" t="s">
        <v>951</v>
      </c>
      <c r="F965" s="861">
        <f>SUM(F966:F967)</f>
        <v>1902</v>
      </c>
      <c r="G965" s="861">
        <f>SUM(G966:G967)</f>
        <v>1920</v>
      </c>
      <c r="H965" s="861">
        <f>SUM(H966:H967)</f>
        <v>1920</v>
      </c>
      <c r="I965" s="826">
        <f t="shared" ref="I965:I990" si="113">(H965/G965)*100</f>
        <v>100</v>
      </c>
    </row>
    <row r="966" spans="1:9" ht="14.25" x14ac:dyDescent="0.2">
      <c r="A966" s="431"/>
      <c r="B966" s="673"/>
      <c r="C966" s="673"/>
      <c r="D966" s="707" t="s">
        <v>575</v>
      </c>
      <c r="E966" s="1478" t="s">
        <v>793</v>
      </c>
      <c r="F966" s="827">
        <v>247</v>
      </c>
      <c r="G966" s="827">
        <v>282</v>
      </c>
      <c r="H966" s="827">
        <v>282</v>
      </c>
      <c r="I966" s="823">
        <f t="shared" si="113"/>
        <v>100</v>
      </c>
    </row>
    <row r="967" spans="1:9" ht="14.25" x14ac:dyDescent="0.2">
      <c r="A967" s="431"/>
      <c r="B967" s="673"/>
      <c r="C967" s="1392"/>
      <c r="D967" s="552" t="s">
        <v>570</v>
      </c>
      <c r="E967" s="455" t="s">
        <v>71</v>
      </c>
      <c r="F967" s="827">
        <v>1655</v>
      </c>
      <c r="G967" s="827">
        <v>1638</v>
      </c>
      <c r="H967" s="827">
        <v>1638</v>
      </c>
      <c r="I967" s="823">
        <f t="shared" si="113"/>
        <v>100</v>
      </c>
    </row>
    <row r="968" spans="1:9" ht="15" x14ac:dyDescent="0.25">
      <c r="A968" s="431">
        <v>1120</v>
      </c>
      <c r="B968" s="673">
        <v>3122</v>
      </c>
      <c r="C968" s="673">
        <v>5336</v>
      </c>
      <c r="D968" s="552"/>
      <c r="E968" s="672" t="s">
        <v>2054</v>
      </c>
      <c r="F968" s="851"/>
      <c r="G968" s="851">
        <f>G969+G970+G972+G974+G975</f>
        <v>15610</v>
      </c>
      <c r="H968" s="851">
        <f>H969+H970+H972+H974+H975</f>
        <v>15610</v>
      </c>
      <c r="I968" s="853">
        <f t="shared" si="113"/>
        <v>100</v>
      </c>
    </row>
    <row r="969" spans="1:9" ht="14.25" x14ac:dyDescent="0.2">
      <c r="A969" s="431"/>
      <c r="B969" s="750"/>
      <c r="C969" s="750"/>
      <c r="D969" s="1068" t="s">
        <v>1504</v>
      </c>
      <c r="E969" s="2113" t="s">
        <v>1604</v>
      </c>
      <c r="F969" s="833"/>
      <c r="G969" s="833">
        <v>50</v>
      </c>
      <c r="H969" s="833">
        <v>50</v>
      </c>
      <c r="I969" s="823">
        <f t="shared" ref="I969:I970" si="114">(H969/G969)*100</f>
        <v>100</v>
      </c>
    </row>
    <row r="970" spans="1:9" ht="14.25" x14ac:dyDescent="0.2">
      <c r="A970" s="431"/>
      <c r="B970" s="750"/>
      <c r="C970" s="750"/>
      <c r="D970" s="1068" t="s">
        <v>1924</v>
      </c>
      <c r="E970" s="2682" t="s">
        <v>2062</v>
      </c>
      <c r="F970" s="314"/>
      <c r="G970" s="316">
        <v>97</v>
      </c>
      <c r="H970" s="316">
        <v>97</v>
      </c>
      <c r="I970" s="1074">
        <f t="shared" si="114"/>
        <v>100</v>
      </c>
    </row>
    <row r="971" spans="1:9" ht="14.25" x14ac:dyDescent="0.2">
      <c r="A971" s="431"/>
      <c r="B971" s="750"/>
      <c r="C971" s="750"/>
      <c r="D971" s="1068"/>
      <c r="E971" s="2682"/>
      <c r="F971" s="314"/>
      <c r="G971" s="316"/>
      <c r="H971" s="316"/>
      <c r="I971" s="1074"/>
    </row>
    <row r="972" spans="1:9" ht="14.25" customHeight="1" x14ac:dyDescent="0.2">
      <c r="A972" s="431"/>
      <c r="B972" s="750"/>
      <c r="C972" s="750"/>
      <c r="D972" s="1068" t="s">
        <v>1911</v>
      </c>
      <c r="E972" s="2671" t="s">
        <v>2051</v>
      </c>
      <c r="F972" s="827"/>
      <c r="G972" s="837">
        <v>23</v>
      </c>
      <c r="H972" s="837">
        <v>23</v>
      </c>
      <c r="I972" s="823">
        <f t="shared" ref="I972" si="115">(H972/G972)*100</f>
        <v>100</v>
      </c>
    </row>
    <row r="973" spans="1:9" ht="15" x14ac:dyDescent="0.25">
      <c r="A973" s="431"/>
      <c r="B973" s="750"/>
      <c r="C973" s="750"/>
      <c r="D973" s="1068"/>
      <c r="E973" s="2671"/>
      <c r="F973" s="827"/>
      <c r="G973" s="846"/>
      <c r="H973" s="846"/>
      <c r="I973" s="853"/>
    </row>
    <row r="974" spans="1:9" ht="15" x14ac:dyDescent="0.2">
      <c r="A974" s="431"/>
      <c r="B974" s="750"/>
      <c r="C974" s="750"/>
      <c r="D974" s="1068" t="s">
        <v>1913</v>
      </c>
      <c r="E974" s="2113" t="s">
        <v>2052</v>
      </c>
      <c r="F974" s="2530"/>
      <c r="G974" s="2531">
        <v>133</v>
      </c>
      <c r="H974" s="2531">
        <v>133</v>
      </c>
      <c r="I974" s="376">
        <f t="shared" ref="I974" si="116">(H974/G974)*100</f>
        <v>100</v>
      </c>
    </row>
    <row r="975" spans="1:9" ht="15" thickBot="1" x14ac:dyDescent="0.25">
      <c r="A975" s="431"/>
      <c r="B975" s="750"/>
      <c r="C975" s="1393"/>
      <c r="D975" s="552" t="s">
        <v>1124</v>
      </c>
      <c r="E975" s="455" t="s">
        <v>792</v>
      </c>
      <c r="F975" s="833"/>
      <c r="G975" s="833">
        <v>15307</v>
      </c>
      <c r="H975" s="833">
        <v>15307</v>
      </c>
      <c r="I975" s="828">
        <f t="shared" si="113"/>
        <v>100</v>
      </c>
    </row>
    <row r="976" spans="1:9" ht="15" thickTop="1" x14ac:dyDescent="0.2">
      <c r="A976" s="1511"/>
      <c r="B976" s="654"/>
      <c r="C976" s="1511"/>
      <c r="D976" s="1512"/>
      <c r="E976" s="1055"/>
      <c r="F976" s="1513"/>
      <c r="G976" s="1513"/>
      <c r="H976" s="1513"/>
      <c r="I976" s="1514"/>
    </row>
    <row r="977" spans="1:20" ht="13.5" thickBot="1" x14ac:dyDescent="0.25">
      <c r="A977" s="432"/>
      <c r="I977" s="1390" t="s">
        <v>161</v>
      </c>
    </row>
    <row r="978" spans="1:20" s="107" customFormat="1" thickTop="1" thickBot="1" x14ac:dyDescent="0.25">
      <c r="A978" s="631" t="s">
        <v>624</v>
      </c>
      <c r="B978" s="774" t="s">
        <v>162</v>
      </c>
      <c r="C978" s="632" t="s">
        <v>163</v>
      </c>
      <c r="D978" s="634" t="s">
        <v>705</v>
      </c>
      <c r="E978" s="634" t="s">
        <v>164</v>
      </c>
      <c r="F978" s="634" t="s">
        <v>165</v>
      </c>
      <c r="G978" s="634" t="s">
        <v>881</v>
      </c>
      <c r="H978" s="634" t="s">
        <v>882</v>
      </c>
      <c r="I978" s="818" t="s">
        <v>883</v>
      </c>
    </row>
    <row r="979" spans="1:20" s="383" customFormat="1" ht="13.5" thickTop="1" thickBot="1" x14ac:dyDescent="0.25">
      <c r="A979" s="566">
        <v>1</v>
      </c>
      <c r="B979" s="567">
        <v>2</v>
      </c>
      <c r="C979" s="567">
        <v>3</v>
      </c>
      <c r="D979" s="567">
        <v>4</v>
      </c>
      <c r="E979" s="567">
        <v>5</v>
      </c>
      <c r="F979" s="541">
        <v>6</v>
      </c>
      <c r="G979" s="541">
        <v>7</v>
      </c>
      <c r="H979" s="542">
        <v>8</v>
      </c>
      <c r="I979" s="636" t="s">
        <v>762</v>
      </c>
    </row>
    <row r="980" spans="1:20" ht="15.75" thickTop="1" x14ac:dyDescent="0.25">
      <c r="A980" s="431">
        <v>1120</v>
      </c>
      <c r="B980" s="750">
        <v>3142</v>
      </c>
      <c r="C980" s="750">
        <v>5331</v>
      </c>
      <c r="D980" s="859"/>
      <c r="E980" s="672" t="s">
        <v>951</v>
      </c>
      <c r="F980" s="835">
        <v>588</v>
      </c>
      <c r="G980" s="835">
        <v>582</v>
      </c>
      <c r="H980" s="835">
        <v>582</v>
      </c>
      <c r="I980" s="836">
        <f t="shared" si="113"/>
        <v>100</v>
      </c>
    </row>
    <row r="981" spans="1:20" ht="14.25" x14ac:dyDescent="0.2">
      <c r="A981" s="431"/>
      <c r="B981" s="750"/>
      <c r="C981" s="750"/>
      <c r="D981" s="552" t="s">
        <v>570</v>
      </c>
      <c r="E981" s="455" t="s">
        <v>71</v>
      </c>
      <c r="F981" s="833">
        <v>588</v>
      </c>
      <c r="G981" s="833">
        <v>582</v>
      </c>
      <c r="H981" s="833">
        <v>582</v>
      </c>
      <c r="I981" s="828">
        <f t="shared" si="113"/>
        <v>100</v>
      </c>
    </row>
    <row r="982" spans="1:20" ht="15" x14ac:dyDescent="0.25">
      <c r="A982" s="431">
        <v>1120</v>
      </c>
      <c r="B982" s="673">
        <v>3142</v>
      </c>
      <c r="C982" s="673">
        <v>5336</v>
      </c>
      <c r="D982" s="552"/>
      <c r="E982" s="672" t="s">
        <v>2054</v>
      </c>
      <c r="F982" s="851"/>
      <c r="G982" s="851">
        <v>233</v>
      </c>
      <c r="H982" s="851">
        <v>233</v>
      </c>
      <c r="I982" s="853">
        <f t="shared" si="113"/>
        <v>100</v>
      </c>
    </row>
    <row r="983" spans="1:20" ht="14.25" x14ac:dyDescent="0.2">
      <c r="A983" s="431"/>
      <c r="B983" s="750"/>
      <c r="C983" s="1393"/>
      <c r="D983" s="552" t="s">
        <v>1124</v>
      </c>
      <c r="E983" s="455" t="s">
        <v>792</v>
      </c>
      <c r="F983" s="833"/>
      <c r="G983" s="833">
        <v>233</v>
      </c>
      <c r="H983" s="833">
        <v>233</v>
      </c>
      <c r="I983" s="828">
        <f t="shared" si="113"/>
        <v>100</v>
      </c>
    </row>
    <row r="984" spans="1:20" ht="15" x14ac:dyDescent="0.25">
      <c r="A984" s="431">
        <v>1120</v>
      </c>
      <c r="B984" s="750">
        <v>3150</v>
      </c>
      <c r="C984" s="750">
        <v>5331</v>
      </c>
      <c r="D984" s="859"/>
      <c r="E984" s="672" t="s">
        <v>951</v>
      </c>
      <c r="F984" s="835">
        <v>395</v>
      </c>
      <c r="G984" s="835">
        <v>391</v>
      </c>
      <c r="H984" s="835">
        <v>391</v>
      </c>
      <c r="I984" s="836">
        <f t="shared" si="113"/>
        <v>100</v>
      </c>
    </row>
    <row r="985" spans="1:20" ht="14.25" x14ac:dyDescent="0.2">
      <c r="A985" s="431"/>
      <c r="B985" s="750"/>
      <c r="C985" s="750"/>
      <c r="D985" s="552" t="s">
        <v>570</v>
      </c>
      <c r="E985" s="455" t="s">
        <v>71</v>
      </c>
      <c r="F985" s="833">
        <v>410</v>
      </c>
      <c r="G985" s="833">
        <v>391</v>
      </c>
      <c r="H985" s="833">
        <v>391</v>
      </c>
      <c r="I985" s="828">
        <f t="shared" si="113"/>
        <v>100</v>
      </c>
    </row>
    <row r="986" spans="1:20" ht="15" x14ac:dyDescent="0.25">
      <c r="A986" s="431">
        <v>1120</v>
      </c>
      <c r="B986" s="673">
        <v>3150</v>
      </c>
      <c r="C986" s="673">
        <v>5336</v>
      </c>
      <c r="D986" s="552"/>
      <c r="E986" s="672" t="s">
        <v>2054</v>
      </c>
      <c r="F986" s="851"/>
      <c r="G986" s="851">
        <f>G987+G988+G989</f>
        <v>6347</v>
      </c>
      <c r="H986" s="851">
        <f>H987+H988+H989</f>
        <v>6347</v>
      </c>
      <c r="I986" s="853">
        <f t="shared" si="113"/>
        <v>100</v>
      </c>
    </row>
    <row r="987" spans="1:20" ht="14.25" x14ac:dyDescent="0.2">
      <c r="A987" s="431"/>
      <c r="B987" s="750"/>
      <c r="C987" s="1393"/>
      <c r="D987" s="552" t="s">
        <v>1124</v>
      </c>
      <c r="E987" s="455" t="s">
        <v>792</v>
      </c>
      <c r="F987" s="833"/>
      <c r="G987" s="833">
        <v>5941</v>
      </c>
      <c r="H987" s="833">
        <v>5941</v>
      </c>
      <c r="I987" s="828">
        <f t="shared" si="113"/>
        <v>100</v>
      </c>
    </row>
    <row r="988" spans="1:20" ht="14.25" x14ac:dyDescent="0.2">
      <c r="A988" s="431"/>
      <c r="B988" s="750"/>
      <c r="C988" s="1393"/>
      <c r="D988" s="1379" t="s">
        <v>695</v>
      </c>
      <c r="E988" s="1405" t="s">
        <v>1210</v>
      </c>
      <c r="F988" s="833"/>
      <c r="G988" s="833">
        <v>61</v>
      </c>
      <c r="H988" s="833">
        <v>61</v>
      </c>
      <c r="I988" s="828">
        <f t="shared" si="113"/>
        <v>100</v>
      </c>
    </row>
    <row r="989" spans="1:20" ht="15" thickBot="1" x14ac:dyDescent="0.25">
      <c r="A989" s="431"/>
      <c r="B989" s="750"/>
      <c r="C989" s="1393"/>
      <c r="D989" s="1379" t="s">
        <v>696</v>
      </c>
      <c r="E989" s="1405" t="s">
        <v>1210</v>
      </c>
      <c r="F989" s="833"/>
      <c r="G989" s="833">
        <v>345</v>
      </c>
      <c r="H989" s="833">
        <v>345</v>
      </c>
      <c r="I989" s="828">
        <f t="shared" si="113"/>
        <v>100</v>
      </c>
    </row>
    <row r="990" spans="1:20" ht="16.5" thickTop="1" thickBot="1" x14ac:dyDescent="0.3">
      <c r="A990" s="2672" t="s">
        <v>1105</v>
      </c>
      <c r="B990" s="2673"/>
      <c r="C990" s="2673"/>
      <c r="D990" s="2673"/>
      <c r="E990" s="2673"/>
      <c r="F990" s="824">
        <f>F965+F980+F984</f>
        <v>2885</v>
      </c>
      <c r="G990" s="824">
        <f>G965+G980+G984+G968+G986+G982</f>
        <v>25083</v>
      </c>
      <c r="H990" s="824">
        <f>H965+H980+H984+H968+H986+H982</f>
        <v>25083</v>
      </c>
      <c r="I990" s="825">
        <f t="shared" si="113"/>
        <v>100</v>
      </c>
      <c r="R990" s="382">
        <f>F990</f>
        <v>2885</v>
      </c>
      <c r="S990" s="382">
        <f>G990</f>
        <v>25083</v>
      </c>
      <c r="T990" s="382">
        <f>H990</f>
        <v>25083</v>
      </c>
    </row>
    <row r="991" spans="1:20" ht="13.5" thickTop="1" x14ac:dyDescent="0.2"/>
    <row r="994" spans="1:20" ht="13.5" thickBot="1" x14ac:dyDescent="0.25">
      <c r="A994" s="432" t="s">
        <v>337</v>
      </c>
      <c r="I994" s="1390" t="s">
        <v>161</v>
      </c>
    </row>
    <row r="995" spans="1:20" s="107" customFormat="1" thickTop="1" thickBot="1" x14ac:dyDescent="0.25">
      <c r="A995" s="631" t="s">
        <v>624</v>
      </c>
      <c r="B995" s="774" t="s">
        <v>162</v>
      </c>
      <c r="C995" s="632" t="s">
        <v>163</v>
      </c>
      <c r="D995" s="634" t="s">
        <v>705</v>
      </c>
      <c r="E995" s="634" t="s">
        <v>164</v>
      </c>
      <c r="F995" s="634" t="s">
        <v>165</v>
      </c>
      <c r="G995" s="634" t="s">
        <v>881</v>
      </c>
      <c r="H995" s="634" t="s">
        <v>882</v>
      </c>
      <c r="I995" s="818" t="s">
        <v>883</v>
      </c>
    </row>
    <row r="996" spans="1:20" s="383" customFormat="1" ht="13.5" thickTop="1" thickBot="1" x14ac:dyDescent="0.25">
      <c r="A996" s="566">
        <v>1</v>
      </c>
      <c r="B996" s="567">
        <v>2</v>
      </c>
      <c r="C996" s="567">
        <v>3</v>
      </c>
      <c r="D996" s="567">
        <v>4</v>
      </c>
      <c r="E996" s="567">
        <v>5</v>
      </c>
      <c r="F996" s="541">
        <v>6</v>
      </c>
      <c r="G996" s="541">
        <v>7</v>
      </c>
      <c r="H996" s="542">
        <v>8</v>
      </c>
      <c r="I996" s="636" t="s">
        <v>762</v>
      </c>
    </row>
    <row r="997" spans="1:20" ht="15.75" thickTop="1" x14ac:dyDescent="0.25">
      <c r="A997" s="1391">
        <v>1121</v>
      </c>
      <c r="B997" s="775">
        <v>3122</v>
      </c>
      <c r="C997" s="775">
        <v>5331</v>
      </c>
      <c r="D997" s="839"/>
      <c r="E997" s="860" t="s">
        <v>951</v>
      </c>
      <c r="F997" s="861">
        <f>F998+F999+F1000+F1001</f>
        <v>2636</v>
      </c>
      <c r="G997" s="861">
        <f>G998+G999+G1000+G1001</f>
        <v>2382</v>
      </c>
      <c r="H997" s="861">
        <f>H998+H999+H1000+H1001</f>
        <v>2382</v>
      </c>
      <c r="I997" s="826">
        <f t="shared" ref="I997:I1008" si="117">(H997/G997)*100</f>
        <v>100</v>
      </c>
    </row>
    <row r="998" spans="1:20" ht="14.25" x14ac:dyDescent="0.2">
      <c r="A998" s="431"/>
      <c r="B998" s="673"/>
      <c r="C998" s="673"/>
      <c r="D998" s="707" t="s">
        <v>575</v>
      </c>
      <c r="E998" s="1478" t="s">
        <v>793</v>
      </c>
      <c r="F998" s="827">
        <v>1104</v>
      </c>
      <c r="G998" s="827">
        <v>765</v>
      </c>
      <c r="H998" s="827">
        <v>765</v>
      </c>
      <c r="I998" s="823">
        <f t="shared" si="117"/>
        <v>100</v>
      </c>
    </row>
    <row r="999" spans="1:20" ht="14.25" x14ac:dyDescent="0.2">
      <c r="A999" s="431"/>
      <c r="B999" s="673"/>
      <c r="C999" s="673"/>
      <c r="D999" s="1059" t="s">
        <v>184</v>
      </c>
      <c r="E999" s="1161" t="s">
        <v>712</v>
      </c>
      <c r="F999" s="827"/>
      <c r="G999" s="827">
        <v>100</v>
      </c>
      <c r="H999" s="827">
        <v>100</v>
      </c>
      <c r="I999" s="823">
        <f t="shared" si="117"/>
        <v>100</v>
      </c>
    </row>
    <row r="1000" spans="1:20" ht="14.25" x14ac:dyDescent="0.2">
      <c r="A1000" s="431"/>
      <c r="B1000" s="673"/>
      <c r="C1000" s="673"/>
      <c r="D1000" s="552" t="s">
        <v>570</v>
      </c>
      <c r="E1000" s="455" t="s">
        <v>71</v>
      </c>
      <c r="F1000" s="827">
        <v>1532</v>
      </c>
      <c r="G1000" s="827">
        <v>1478</v>
      </c>
      <c r="H1000" s="827">
        <v>1478</v>
      </c>
      <c r="I1000" s="823">
        <f t="shared" si="117"/>
        <v>100</v>
      </c>
    </row>
    <row r="1001" spans="1:20" ht="14.25" x14ac:dyDescent="0.2">
      <c r="A1001" s="431"/>
      <c r="B1001" s="673"/>
      <c r="C1001" s="673"/>
      <c r="D1001" s="1059" t="s">
        <v>665</v>
      </c>
      <c r="E1001" s="1278" t="s">
        <v>1294</v>
      </c>
      <c r="F1001" s="1311"/>
      <c r="G1001" s="451">
        <v>39</v>
      </c>
      <c r="H1001" s="316">
        <v>39</v>
      </c>
      <c r="I1001" s="1074">
        <f t="shared" si="117"/>
        <v>100</v>
      </c>
    </row>
    <row r="1002" spans="1:20" ht="15" x14ac:dyDescent="0.25">
      <c r="A1002" s="431">
        <v>1121</v>
      </c>
      <c r="B1002" s="673">
        <v>3122</v>
      </c>
      <c r="C1002" s="673">
        <v>5336</v>
      </c>
      <c r="D1002" s="552"/>
      <c r="E1002" s="672" t="s">
        <v>2054</v>
      </c>
      <c r="F1002" s="851"/>
      <c r="G1002" s="851">
        <f>G1003+G1004+G1006+G1007</f>
        <v>14045</v>
      </c>
      <c r="H1002" s="851">
        <f>H1003+H1004+H1006+H1007</f>
        <v>14045</v>
      </c>
      <c r="I1002" s="853">
        <f t="shared" si="117"/>
        <v>100</v>
      </c>
    </row>
    <row r="1003" spans="1:20" ht="14.25" x14ac:dyDescent="0.2">
      <c r="A1003" s="431"/>
      <c r="B1003" s="673"/>
      <c r="C1003" s="673"/>
      <c r="D1003" s="1068" t="s">
        <v>1504</v>
      </c>
      <c r="E1003" s="2113" t="s">
        <v>1604</v>
      </c>
      <c r="F1003" s="827"/>
      <c r="G1003" s="827">
        <v>33</v>
      </c>
      <c r="H1003" s="827">
        <v>33</v>
      </c>
      <c r="I1003" s="823">
        <f t="shared" ref="I1003:I1004" si="118">(H1003/G1003)*100</f>
        <v>100</v>
      </c>
    </row>
    <row r="1004" spans="1:20" ht="14.25" x14ac:dyDescent="0.2">
      <c r="A1004" s="431"/>
      <c r="B1004" s="673"/>
      <c r="C1004" s="673"/>
      <c r="D1004" s="1068" t="s">
        <v>1911</v>
      </c>
      <c r="E1004" s="2671" t="s">
        <v>2051</v>
      </c>
      <c r="F1004" s="827"/>
      <c r="G1004" s="837">
        <v>14</v>
      </c>
      <c r="H1004" s="837">
        <v>14</v>
      </c>
      <c r="I1004" s="823">
        <f t="shared" si="118"/>
        <v>100</v>
      </c>
    </row>
    <row r="1005" spans="1:20" ht="15" x14ac:dyDescent="0.25">
      <c r="A1005" s="431"/>
      <c r="B1005" s="673"/>
      <c r="C1005" s="673"/>
      <c r="D1005" s="1068"/>
      <c r="E1005" s="2671"/>
      <c r="F1005" s="827"/>
      <c r="G1005" s="846"/>
      <c r="H1005" s="846"/>
      <c r="I1005" s="853"/>
    </row>
    <row r="1006" spans="1:20" ht="15" x14ac:dyDescent="0.2">
      <c r="A1006" s="431"/>
      <c r="B1006" s="673"/>
      <c r="C1006" s="673"/>
      <c r="D1006" s="1068" t="s">
        <v>1913</v>
      </c>
      <c r="E1006" s="2113" t="s">
        <v>2052</v>
      </c>
      <c r="F1006" s="2530"/>
      <c r="G1006" s="2531">
        <v>88</v>
      </c>
      <c r="H1006" s="2531">
        <v>88</v>
      </c>
      <c r="I1006" s="376">
        <f t="shared" ref="I1006" si="119">(H1006/G1006)*100</f>
        <v>100</v>
      </c>
    </row>
    <row r="1007" spans="1:20" ht="15" thickBot="1" x14ac:dyDescent="0.25">
      <c r="A1007" s="431"/>
      <c r="B1007" s="673"/>
      <c r="C1007" s="673"/>
      <c r="D1007" s="552" t="s">
        <v>1124</v>
      </c>
      <c r="E1007" s="455" t="s">
        <v>792</v>
      </c>
      <c r="F1007" s="827"/>
      <c r="G1007" s="827">
        <v>13910</v>
      </c>
      <c r="H1007" s="827">
        <v>13910</v>
      </c>
      <c r="I1007" s="823">
        <f t="shared" si="117"/>
        <v>100</v>
      </c>
    </row>
    <row r="1008" spans="1:20" ht="16.5" thickTop="1" thickBot="1" x14ac:dyDescent="0.3">
      <c r="A1008" s="2672" t="s">
        <v>1105</v>
      </c>
      <c r="B1008" s="2673"/>
      <c r="C1008" s="2673"/>
      <c r="D1008" s="2673"/>
      <c r="E1008" s="2673"/>
      <c r="F1008" s="824">
        <f>SUM(F997)</f>
        <v>2636</v>
      </c>
      <c r="G1008" s="824">
        <f>G997+G1002</f>
        <v>16427</v>
      </c>
      <c r="H1008" s="824">
        <f>H997+H1002</f>
        <v>16427</v>
      </c>
      <c r="I1008" s="825">
        <f t="shared" si="117"/>
        <v>100</v>
      </c>
      <c r="R1008" s="382">
        <f>F1008</f>
        <v>2636</v>
      </c>
      <c r="S1008" s="382">
        <f>G1008</f>
        <v>16427</v>
      </c>
      <c r="T1008" s="382">
        <f>H1008</f>
        <v>16427</v>
      </c>
    </row>
    <row r="1009" spans="1:9" ht="13.5" thickTop="1" x14ac:dyDescent="0.2"/>
    <row r="1012" spans="1:9" ht="13.5" thickBot="1" x14ac:dyDescent="0.25">
      <c r="A1012" s="432" t="s">
        <v>2063</v>
      </c>
      <c r="I1012" s="1390" t="s">
        <v>161</v>
      </c>
    </row>
    <row r="1013" spans="1:9" s="107" customFormat="1" thickTop="1" thickBot="1" x14ac:dyDescent="0.25">
      <c r="A1013" s="631" t="s">
        <v>624</v>
      </c>
      <c r="B1013" s="774" t="s">
        <v>162</v>
      </c>
      <c r="C1013" s="632" t="s">
        <v>163</v>
      </c>
      <c r="D1013" s="634" t="s">
        <v>705</v>
      </c>
      <c r="E1013" s="634" t="s">
        <v>164</v>
      </c>
      <c r="F1013" s="634" t="s">
        <v>165</v>
      </c>
      <c r="G1013" s="634" t="s">
        <v>881</v>
      </c>
      <c r="H1013" s="634" t="s">
        <v>882</v>
      </c>
      <c r="I1013" s="818" t="s">
        <v>883</v>
      </c>
    </row>
    <row r="1014" spans="1:9" s="383" customFormat="1" ht="14.25" customHeight="1" thickTop="1" thickBot="1" x14ac:dyDescent="0.25">
      <c r="A1014" s="566">
        <v>1</v>
      </c>
      <c r="B1014" s="567">
        <v>2</v>
      </c>
      <c r="C1014" s="567">
        <v>3</v>
      </c>
      <c r="D1014" s="567">
        <v>4</v>
      </c>
      <c r="E1014" s="567">
        <v>5</v>
      </c>
      <c r="F1014" s="541">
        <v>6</v>
      </c>
      <c r="G1014" s="541">
        <v>7</v>
      </c>
      <c r="H1014" s="542">
        <v>8</v>
      </c>
      <c r="I1014" s="636" t="s">
        <v>762</v>
      </c>
    </row>
    <row r="1015" spans="1:9" ht="15.75" thickTop="1" x14ac:dyDescent="0.25">
      <c r="A1015" s="1391">
        <v>1122</v>
      </c>
      <c r="B1015" s="775">
        <v>3122</v>
      </c>
      <c r="C1015" s="775">
        <v>5331</v>
      </c>
      <c r="D1015" s="839"/>
      <c r="E1015" s="860" t="s">
        <v>951</v>
      </c>
      <c r="F1015" s="861">
        <f>SUM(F1016:F1021)</f>
        <v>2149</v>
      </c>
      <c r="G1015" s="861">
        <f>G1016+G1017</f>
        <v>2136</v>
      </c>
      <c r="H1015" s="861">
        <f>H1016+H1017</f>
        <v>2136</v>
      </c>
      <c r="I1015" s="826">
        <f t="shared" ref="I1015:I1042" si="120">(H1015/G1015)*100</f>
        <v>100</v>
      </c>
    </row>
    <row r="1016" spans="1:9" ht="14.25" x14ac:dyDescent="0.2">
      <c r="A1016" s="431"/>
      <c r="B1016" s="673"/>
      <c r="C1016" s="673"/>
      <c r="D1016" s="707" t="s">
        <v>575</v>
      </c>
      <c r="E1016" s="1478" t="s">
        <v>793</v>
      </c>
      <c r="F1016" s="827">
        <v>839</v>
      </c>
      <c r="G1016" s="827">
        <v>839</v>
      </c>
      <c r="H1016" s="827">
        <v>839</v>
      </c>
      <c r="I1016" s="823">
        <f t="shared" si="120"/>
        <v>100</v>
      </c>
    </row>
    <row r="1017" spans="1:9" ht="14.25" x14ac:dyDescent="0.2">
      <c r="A1017" s="431"/>
      <c r="B1017" s="673"/>
      <c r="C1017" s="673"/>
      <c r="D1017" s="552" t="s">
        <v>570</v>
      </c>
      <c r="E1017" s="455" t="s">
        <v>71</v>
      </c>
      <c r="F1017" s="827">
        <v>1310</v>
      </c>
      <c r="G1017" s="827">
        <v>1297</v>
      </c>
      <c r="H1017" s="827">
        <v>1297</v>
      </c>
      <c r="I1017" s="823">
        <f t="shared" si="120"/>
        <v>100</v>
      </c>
    </row>
    <row r="1018" spans="1:9" ht="15" x14ac:dyDescent="0.25">
      <c r="A1018" s="431">
        <v>1122</v>
      </c>
      <c r="B1018" s="673">
        <v>3122</v>
      </c>
      <c r="C1018" s="673">
        <v>5336</v>
      </c>
      <c r="D1018" s="552"/>
      <c r="E1018" s="672" t="s">
        <v>2054</v>
      </c>
      <c r="F1018" s="851"/>
      <c r="G1018" s="851">
        <f>G1019+G1020+G1021</f>
        <v>11549</v>
      </c>
      <c r="H1018" s="851">
        <f>H1019+H1020+H1021</f>
        <v>11549</v>
      </c>
      <c r="I1018" s="853">
        <f t="shared" si="120"/>
        <v>100</v>
      </c>
    </row>
    <row r="1019" spans="1:9" ht="14.25" x14ac:dyDescent="0.2">
      <c r="A1019" s="431"/>
      <c r="B1019" s="673"/>
      <c r="C1019" s="673"/>
      <c r="D1019" s="1068" t="s">
        <v>1504</v>
      </c>
      <c r="E1019" s="2113" t="s">
        <v>1604</v>
      </c>
      <c r="F1019" s="827"/>
      <c r="G1019" s="827">
        <v>12</v>
      </c>
      <c r="H1019" s="827">
        <v>12</v>
      </c>
      <c r="I1019" s="823">
        <f t="shared" ref="I1019:I1020" si="121">(H1019/G1019)*100</f>
        <v>100</v>
      </c>
    </row>
    <row r="1020" spans="1:9" ht="14.25" x14ac:dyDescent="0.2">
      <c r="A1020" s="431"/>
      <c r="B1020" s="673"/>
      <c r="C1020" s="673"/>
      <c r="D1020" s="1068" t="s">
        <v>1905</v>
      </c>
      <c r="E1020" s="2529" t="s">
        <v>1827</v>
      </c>
      <c r="F1020" s="314"/>
      <c r="G1020" s="316">
        <v>405</v>
      </c>
      <c r="H1020" s="316">
        <v>405</v>
      </c>
      <c r="I1020" s="1074">
        <f t="shared" si="121"/>
        <v>100</v>
      </c>
    </row>
    <row r="1021" spans="1:9" ht="14.25" x14ac:dyDescent="0.2">
      <c r="A1021" s="431"/>
      <c r="B1021" s="673"/>
      <c r="C1021" s="673"/>
      <c r="D1021" s="552" t="s">
        <v>1124</v>
      </c>
      <c r="E1021" s="455" t="s">
        <v>792</v>
      </c>
      <c r="F1021" s="827"/>
      <c r="G1021" s="827">
        <v>11132</v>
      </c>
      <c r="H1021" s="827">
        <v>11132</v>
      </c>
      <c r="I1021" s="823">
        <f t="shared" si="120"/>
        <v>100</v>
      </c>
    </row>
    <row r="1022" spans="1:9" ht="15" x14ac:dyDescent="0.25">
      <c r="A1022" s="431">
        <v>1122</v>
      </c>
      <c r="B1022" s="750">
        <v>3123</v>
      </c>
      <c r="C1022" s="750">
        <v>5331</v>
      </c>
      <c r="D1022" s="2115"/>
      <c r="E1022" s="672" t="s">
        <v>951</v>
      </c>
      <c r="F1022" s="846">
        <f>F1023+F1024+F1025</f>
        <v>3914</v>
      </c>
      <c r="G1022" s="846">
        <f>G1023+G1024+G1025</f>
        <v>4168</v>
      </c>
      <c r="H1022" s="846">
        <f>H1023+H1024+H1025</f>
        <v>4168</v>
      </c>
      <c r="I1022" s="838">
        <f t="shared" si="120"/>
        <v>100</v>
      </c>
    </row>
    <row r="1023" spans="1:9" ht="14.25" x14ac:dyDescent="0.2">
      <c r="A1023" s="431"/>
      <c r="B1023" s="750"/>
      <c r="C1023" s="750"/>
      <c r="D1023" s="707" t="s">
        <v>575</v>
      </c>
      <c r="E1023" s="1478" t="s">
        <v>793</v>
      </c>
      <c r="F1023" s="833">
        <v>244</v>
      </c>
      <c r="G1023" s="837">
        <v>263</v>
      </c>
      <c r="H1023" s="837">
        <v>263</v>
      </c>
      <c r="I1023" s="376">
        <f t="shared" si="120"/>
        <v>100</v>
      </c>
    </row>
    <row r="1024" spans="1:9" ht="14.25" x14ac:dyDescent="0.2">
      <c r="A1024" s="431"/>
      <c r="B1024" s="750"/>
      <c r="C1024" s="750"/>
      <c r="D1024" s="552" t="s">
        <v>570</v>
      </c>
      <c r="E1024" s="455" t="s">
        <v>71</v>
      </c>
      <c r="F1024" s="833">
        <v>3670</v>
      </c>
      <c r="G1024" s="837">
        <v>3633</v>
      </c>
      <c r="H1024" s="837">
        <v>3633</v>
      </c>
      <c r="I1024" s="376">
        <f t="shared" si="120"/>
        <v>100</v>
      </c>
    </row>
    <row r="1025" spans="1:9" ht="14.25" x14ac:dyDescent="0.2">
      <c r="A1025" s="431"/>
      <c r="B1025" s="750"/>
      <c r="C1025" s="750"/>
      <c r="D1025" s="1059" t="s">
        <v>924</v>
      </c>
      <c r="E1025" s="1161" t="s">
        <v>925</v>
      </c>
      <c r="F1025" s="833"/>
      <c r="G1025" s="833">
        <v>272</v>
      </c>
      <c r="H1025" s="833">
        <v>272</v>
      </c>
      <c r="I1025" s="828">
        <f t="shared" si="120"/>
        <v>100</v>
      </c>
    </row>
    <row r="1026" spans="1:9" ht="15" x14ac:dyDescent="0.25">
      <c r="A1026" s="431">
        <v>1122</v>
      </c>
      <c r="B1026" s="750">
        <v>3123</v>
      </c>
      <c r="C1026" s="750">
        <v>5336</v>
      </c>
      <c r="D1026" s="2115"/>
      <c r="E1026" s="672" t="s">
        <v>2054</v>
      </c>
      <c r="F1026" s="833"/>
      <c r="G1026" s="846">
        <f>G1027+G1029+G1030</f>
        <v>13430</v>
      </c>
      <c r="H1026" s="846">
        <f>H1027+H1029+H1030</f>
        <v>13430</v>
      </c>
      <c r="I1026" s="853">
        <f t="shared" si="120"/>
        <v>100</v>
      </c>
    </row>
    <row r="1027" spans="1:9" ht="14.25" customHeight="1" x14ac:dyDescent="0.2">
      <c r="A1027" s="431"/>
      <c r="B1027" s="750"/>
      <c r="C1027" s="750"/>
      <c r="D1027" s="1068" t="s">
        <v>1911</v>
      </c>
      <c r="E1027" s="2671" t="s">
        <v>2051</v>
      </c>
      <c r="F1027" s="827"/>
      <c r="G1027" s="837">
        <v>40</v>
      </c>
      <c r="H1027" s="837">
        <v>40</v>
      </c>
      <c r="I1027" s="823">
        <f t="shared" ref="I1027" si="122">(H1027/G1027)*100</f>
        <v>100</v>
      </c>
    </row>
    <row r="1028" spans="1:9" ht="15" x14ac:dyDescent="0.25">
      <c r="A1028" s="431"/>
      <c r="B1028" s="750"/>
      <c r="C1028" s="750"/>
      <c r="D1028" s="1068"/>
      <c r="E1028" s="2671"/>
      <c r="F1028" s="827"/>
      <c r="G1028" s="846"/>
      <c r="H1028" s="846"/>
      <c r="I1028" s="853"/>
    </row>
    <row r="1029" spans="1:9" ht="15" x14ac:dyDescent="0.2">
      <c r="A1029" s="431"/>
      <c r="B1029" s="750"/>
      <c r="C1029" s="750"/>
      <c r="D1029" s="1068" t="s">
        <v>1913</v>
      </c>
      <c r="E1029" s="2113" t="s">
        <v>2052</v>
      </c>
      <c r="F1029" s="2530"/>
      <c r="G1029" s="2531">
        <v>161</v>
      </c>
      <c r="H1029" s="2531">
        <v>161</v>
      </c>
      <c r="I1029" s="376">
        <f t="shared" ref="I1029:I1030" si="123">(H1029/G1029)*100</f>
        <v>100</v>
      </c>
    </row>
    <row r="1030" spans="1:9" ht="14.25" x14ac:dyDescent="0.2">
      <c r="A1030" s="431"/>
      <c r="B1030" s="750"/>
      <c r="C1030" s="750"/>
      <c r="D1030" s="552" t="s">
        <v>1124</v>
      </c>
      <c r="E1030" s="455" t="s">
        <v>792</v>
      </c>
      <c r="F1030" s="833"/>
      <c r="G1030" s="833">
        <v>13229</v>
      </c>
      <c r="H1030" s="833">
        <v>13229</v>
      </c>
      <c r="I1030" s="828">
        <f t="shared" si="123"/>
        <v>100</v>
      </c>
    </row>
    <row r="1031" spans="1:9" ht="15" x14ac:dyDescent="0.25">
      <c r="A1031" s="431">
        <v>1122</v>
      </c>
      <c r="B1031" s="750">
        <v>3141</v>
      </c>
      <c r="C1031" s="750">
        <v>5336</v>
      </c>
      <c r="D1031" s="568"/>
      <c r="E1031" s="672" t="s">
        <v>2054</v>
      </c>
      <c r="F1031" s="846"/>
      <c r="G1031" s="846">
        <v>333</v>
      </c>
      <c r="H1031" s="846">
        <v>333</v>
      </c>
      <c r="I1031" s="838">
        <f t="shared" si="120"/>
        <v>100</v>
      </c>
    </row>
    <row r="1032" spans="1:9" ht="14.25" x14ac:dyDescent="0.2">
      <c r="A1032" s="431"/>
      <c r="B1032" s="750"/>
      <c r="C1032" s="750"/>
      <c r="D1032" s="552" t="s">
        <v>1124</v>
      </c>
      <c r="E1032" s="455" t="s">
        <v>792</v>
      </c>
      <c r="F1032" s="833"/>
      <c r="G1032" s="833">
        <v>333</v>
      </c>
      <c r="H1032" s="833">
        <v>333</v>
      </c>
      <c r="I1032" s="828">
        <f t="shared" si="120"/>
        <v>100</v>
      </c>
    </row>
    <row r="1033" spans="1:9" ht="15" x14ac:dyDescent="0.25">
      <c r="A1033" s="431">
        <v>1122</v>
      </c>
      <c r="B1033" s="750">
        <v>3142</v>
      </c>
      <c r="C1033" s="750">
        <v>5331</v>
      </c>
      <c r="D1033" s="859"/>
      <c r="E1033" s="672" t="s">
        <v>951</v>
      </c>
      <c r="F1033" s="835">
        <f>F1034+F1035</f>
        <v>991</v>
      </c>
      <c r="G1033" s="835">
        <f>G1034+G1035</f>
        <v>982</v>
      </c>
      <c r="H1033" s="835">
        <f>H1034+H1035</f>
        <v>982</v>
      </c>
      <c r="I1033" s="836">
        <f t="shared" si="120"/>
        <v>100</v>
      </c>
    </row>
    <row r="1034" spans="1:9" ht="14.25" x14ac:dyDescent="0.2">
      <c r="A1034" s="431"/>
      <c r="B1034" s="750"/>
      <c r="C1034" s="750"/>
      <c r="D1034" s="707" t="s">
        <v>575</v>
      </c>
      <c r="E1034" s="1478" t="s">
        <v>793</v>
      </c>
      <c r="F1034" s="833">
        <v>141</v>
      </c>
      <c r="G1034" s="833">
        <v>141</v>
      </c>
      <c r="H1034" s="833">
        <v>141</v>
      </c>
      <c r="I1034" s="828">
        <f t="shared" si="120"/>
        <v>100</v>
      </c>
    </row>
    <row r="1035" spans="1:9" ht="14.25" x14ac:dyDescent="0.2">
      <c r="A1035" s="431"/>
      <c r="B1035" s="750"/>
      <c r="C1035" s="750"/>
      <c r="D1035" s="552" t="s">
        <v>570</v>
      </c>
      <c r="E1035" s="455" t="s">
        <v>71</v>
      </c>
      <c r="F1035" s="833">
        <v>850</v>
      </c>
      <c r="G1035" s="833">
        <v>841</v>
      </c>
      <c r="H1035" s="833">
        <v>841</v>
      </c>
      <c r="I1035" s="828">
        <f t="shared" si="120"/>
        <v>100</v>
      </c>
    </row>
    <row r="1036" spans="1:9" ht="15" x14ac:dyDescent="0.25">
      <c r="A1036" s="431">
        <v>1122</v>
      </c>
      <c r="B1036" s="750">
        <v>3142</v>
      </c>
      <c r="C1036" s="750">
        <v>5336</v>
      </c>
      <c r="D1036" s="568"/>
      <c r="E1036" s="672" t="s">
        <v>2054</v>
      </c>
      <c r="F1036" s="846"/>
      <c r="G1036" s="846">
        <v>1393</v>
      </c>
      <c r="H1036" s="846">
        <v>1393</v>
      </c>
      <c r="I1036" s="838">
        <f t="shared" si="120"/>
        <v>100</v>
      </c>
    </row>
    <row r="1037" spans="1:9" ht="14.25" x14ac:dyDescent="0.2">
      <c r="A1037" s="431"/>
      <c r="B1037" s="750"/>
      <c r="C1037" s="750"/>
      <c r="D1037" s="552" t="s">
        <v>1124</v>
      </c>
      <c r="E1037" s="455" t="s">
        <v>792</v>
      </c>
      <c r="F1037" s="833"/>
      <c r="G1037" s="833">
        <v>1393</v>
      </c>
      <c r="H1037" s="833">
        <v>1393</v>
      </c>
      <c r="I1037" s="828">
        <f t="shared" si="120"/>
        <v>100</v>
      </c>
    </row>
    <row r="1038" spans="1:9" ht="15" x14ac:dyDescent="0.25">
      <c r="A1038" s="431">
        <v>1122</v>
      </c>
      <c r="B1038" s="750">
        <v>3147</v>
      </c>
      <c r="C1038" s="750">
        <v>5331</v>
      </c>
      <c r="D1038" s="859"/>
      <c r="E1038" s="792" t="s">
        <v>951</v>
      </c>
      <c r="F1038" s="835">
        <f>SUM(F1039:F1040)</f>
        <v>691</v>
      </c>
      <c r="G1038" s="835">
        <f>SUM(G1039:G1040)</f>
        <v>684</v>
      </c>
      <c r="H1038" s="835">
        <f>SUM(H1039:H1040)</f>
        <v>684</v>
      </c>
      <c r="I1038" s="836">
        <f t="shared" si="120"/>
        <v>100</v>
      </c>
    </row>
    <row r="1039" spans="1:9" ht="14.25" x14ac:dyDescent="0.2">
      <c r="A1039" s="431"/>
      <c r="B1039" s="750"/>
      <c r="C1039" s="750"/>
      <c r="D1039" s="707" t="s">
        <v>575</v>
      </c>
      <c r="E1039" s="1478" t="s">
        <v>793</v>
      </c>
      <c r="F1039" s="837">
        <v>21</v>
      </c>
      <c r="G1039" s="837">
        <v>21</v>
      </c>
      <c r="H1039" s="837">
        <v>21</v>
      </c>
      <c r="I1039" s="376">
        <f t="shared" si="120"/>
        <v>100</v>
      </c>
    </row>
    <row r="1040" spans="1:9" ht="14.25" x14ac:dyDescent="0.2">
      <c r="A1040" s="431"/>
      <c r="B1040" s="750"/>
      <c r="C1040" s="750"/>
      <c r="D1040" s="552" t="s">
        <v>570</v>
      </c>
      <c r="E1040" s="455" t="s">
        <v>71</v>
      </c>
      <c r="F1040" s="833">
        <v>670</v>
      </c>
      <c r="G1040" s="833">
        <v>663</v>
      </c>
      <c r="H1040" s="833">
        <v>663</v>
      </c>
      <c r="I1040" s="828">
        <f t="shared" si="120"/>
        <v>100</v>
      </c>
    </row>
    <row r="1041" spans="1:20" ht="15" x14ac:dyDescent="0.25">
      <c r="A1041" s="431">
        <v>1122</v>
      </c>
      <c r="B1041" s="750">
        <v>3147</v>
      </c>
      <c r="C1041" s="750">
        <v>5336</v>
      </c>
      <c r="D1041" s="552"/>
      <c r="E1041" s="672" t="s">
        <v>2054</v>
      </c>
      <c r="F1041" s="833"/>
      <c r="G1041" s="846">
        <v>1464</v>
      </c>
      <c r="H1041" s="846">
        <v>1464</v>
      </c>
      <c r="I1041" s="838">
        <f t="shared" si="120"/>
        <v>100</v>
      </c>
    </row>
    <row r="1042" spans="1:20" ht="18" customHeight="1" thickBot="1" x14ac:dyDescent="0.25">
      <c r="A1042" s="431"/>
      <c r="B1042" s="750"/>
      <c r="C1042" s="1393"/>
      <c r="D1042" s="552" t="s">
        <v>1124</v>
      </c>
      <c r="E1042" s="455" t="s">
        <v>792</v>
      </c>
      <c r="F1042" s="833"/>
      <c r="G1042" s="833">
        <v>1464</v>
      </c>
      <c r="H1042" s="833">
        <v>1464</v>
      </c>
      <c r="I1042" s="828">
        <f t="shared" si="120"/>
        <v>100</v>
      </c>
    </row>
    <row r="1043" spans="1:20" ht="16.5" thickTop="1" thickBot="1" x14ac:dyDescent="0.3">
      <c r="A1043" s="2672" t="s">
        <v>1105</v>
      </c>
      <c r="B1043" s="2673"/>
      <c r="C1043" s="2673"/>
      <c r="D1043" s="2673"/>
      <c r="E1043" s="2673"/>
      <c r="F1043" s="824">
        <f>SUM(F1038,F1033,F1015,F1031,F1022)</f>
        <v>7745</v>
      </c>
      <c r="G1043" s="824">
        <f>SUM(G1038,G1033,G1015,G1031,G1041,G1036,G1026,G1022,G1018)</f>
        <v>36139</v>
      </c>
      <c r="H1043" s="824">
        <f>SUM(H1038,H1033,H1015,H1031,H1041,H1036,H1026,H1022,H1018)</f>
        <v>36139</v>
      </c>
      <c r="I1043" s="825">
        <f>(H1043/G1043)*100</f>
        <v>100</v>
      </c>
      <c r="R1043" s="382">
        <f>F1043</f>
        <v>7745</v>
      </c>
      <c r="S1043" s="382">
        <f>G1043</f>
        <v>36139</v>
      </c>
      <c r="T1043" s="382">
        <f>H1043</f>
        <v>36139</v>
      </c>
    </row>
    <row r="1044" spans="1:20" ht="15" customHeight="1" thickTop="1" x14ac:dyDescent="0.2"/>
    <row r="1045" spans="1:20" ht="15" customHeight="1" x14ac:dyDescent="0.2"/>
    <row r="1046" spans="1:20" ht="15" customHeight="1" x14ac:dyDescent="0.2"/>
    <row r="1047" spans="1:20" ht="15" customHeight="1" x14ac:dyDescent="0.2"/>
    <row r="1048" spans="1:20" ht="15" customHeight="1" x14ac:dyDescent="0.2"/>
    <row r="1049" spans="1:20" ht="13.5" thickBot="1" x14ac:dyDescent="0.25">
      <c r="A1049" s="432" t="s">
        <v>338</v>
      </c>
      <c r="I1049" s="1390" t="s">
        <v>161</v>
      </c>
    </row>
    <row r="1050" spans="1:20" s="107" customFormat="1" ht="20.25" customHeight="1" thickTop="1" thickBot="1" x14ac:dyDescent="0.25">
      <c r="A1050" s="631" t="s">
        <v>624</v>
      </c>
      <c r="B1050" s="774" t="s">
        <v>162</v>
      </c>
      <c r="C1050" s="632" t="s">
        <v>163</v>
      </c>
      <c r="D1050" s="634" t="s">
        <v>705</v>
      </c>
      <c r="E1050" s="634" t="s">
        <v>164</v>
      </c>
      <c r="F1050" s="634" t="s">
        <v>165</v>
      </c>
      <c r="G1050" s="634" t="s">
        <v>881</v>
      </c>
      <c r="H1050" s="634" t="s">
        <v>882</v>
      </c>
      <c r="I1050" s="818" t="s">
        <v>883</v>
      </c>
    </row>
    <row r="1051" spans="1:20" s="383" customFormat="1" ht="13.5" thickTop="1" thickBot="1" x14ac:dyDescent="0.25">
      <c r="A1051" s="566">
        <v>1</v>
      </c>
      <c r="B1051" s="567">
        <v>2</v>
      </c>
      <c r="C1051" s="567">
        <v>3</v>
      </c>
      <c r="D1051" s="567">
        <v>4</v>
      </c>
      <c r="E1051" s="567">
        <v>5</v>
      </c>
      <c r="F1051" s="541">
        <v>6</v>
      </c>
      <c r="G1051" s="541">
        <v>7</v>
      </c>
      <c r="H1051" s="542">
        <v>8</v>
      </c>
      <c r="I1051" s="636" t="s">
        <v>762</v>
      </c>
    </row>
    <row r="1052" spans="1:20" ht="15.75" thickTop="1" x14ac:dyDescent="0.25">
      <c r="A1052" s="1391">
        <v>1123</v>
      </c>
      <c r="B1052" s="775">
        <v>3122</v>
      </c>
      <c r="C1052" s="775">
        <v>5331</v>
      </c>
      <c r="D1052" s="839"/>
      <c r="E1052" s="860" t="s">
        <v>951</v>
      </c>
      <c r="F1052" s="861">
        <f>F1053+F1054</f>
        <v>2026</v>
      </c>
      <c r="G1052" s="861">
        <f>G1053+G1054+G1055</f>
        <v>2313</v>
      </c>
      <c r="H1052" s="861">
        <f>H1053+H1054+H1055</f>
        <v>2313</v>
      </c>
      <c r="I1052" s="826">
        <f t="shared" ref="I1052:I1084" si="124">(H1052/G1052)*100</f>
        <v>100</v>
      </c>
    </row>
    <row r="1053" spans="1:20" ht="14.25" x14ac:dyDescent="0.2">
      <c r="A1053" s="431"/>
      <c r="B1053" s="673"/>
      <c r="C1053" s="673"/>
      <c r="D1053" s="707" t="s">
        <v>575</v>
      </c>
      <c r="E1053" s="1478" t="s">
        <v>793</v>
      </c>
      <c r="F1053" s="827">
        <v>411</v>
      </c>
      <c r="G1053" s="827">
        <v>411</v>
      </c>
      <c r="H1053" s="827">
        <v>411</v>
      </c>
      <c r="I1053" s="823">
        <f t="shared" si="124"/>
        <v>100</v>
      </c>
    </row>
    <row r="1054" spans="1:20" ht="14.25" x14ac:dyDescent="0.2">
      <c r="A1054" s="431"/>
      <c r="B1054" s="673"/>
      <c r="C1054" s="673"/>
      <c r="D1054" s="552" t="s">
        <v>570</v>
      </c>
      <c r="E1054" s="455" t="s">
        <v>71</v>
      </c>
      <c r="F1054" s="827">
        <v>1615</v>
      </c>
      <c r="G1054" s="827">
        <v>1599</v>
      </c>
      <c r="H1054" s="827">
        <v>1599</v>
      </c>
      <c r="I1054" s="823">
        <f t="shared" si="124"/>
        <v>100</v>
      </c>
    </row>
    <row r="1055" spans="1:20" ht="14.25" x14ac:dyDescent="0.2">
      <c r="A1055" s="431"/>
      <c r="B1055" s="750"/>
      <c r="C1055" s="750"/>
      <c r="D1055" s="1059" t="s">
        <v>1125</v>
      </c>
      <c r="E1055" s="1278" t="s">
        <v>1133</v>
      </c>
      <c r="F1055" s="1311"/>
      <c r="G1055" s="451">
        <v>303</v>
      </c>
      <c r="H1055" s="451">
        <v>303</v>
      </c>
      <c r="I1055" s="1074">
        <f t="shared" si="124"/>
        <v>100</v>
      </c>
    </row>
    <row r="1056" spans="1:20" ht="20.25" customHeight="1" x14ac:dyDescent="0.25">
      <c r="A1056" s="431">
        <v>1123</v>
      </c>
      <c r="B1056" s="750">
        <v>3122</v>
      </c>
      <c r="C1056" s="750">
        <v>5336</v>
      </c>
      <c r="D1056" s="552"/>
      <c r="E1056" s="672" t="s">
        <v>2054</v>
      </c>
      <c r="F1056" s="833"/>
      <c r="G1056" s="846">
        <f>G1057+G1058</f>
        <v>8938</v>
      </c>
      <c r="H1056" s="846">
        <f>H1057+H1058</f>
        <v>8938</v>
      </c>
      <c r="I1056" s="838">
        <f t="shared" si="124"/>
        <v>100</v>
      </c>
    </row>
    <row r="1057" spans="1:9" ht="13.5" customHeight="1" x14ac:dyDescent="0.2">
      <c r="A1057" s="431"/>
      <c r="B1057" s="750"/>
      <c r="C1057" s="750"/>
      <c r="D1057" s="1068" t="s">
        <v>1504</v>
      </c>
      <c r="E1057" s="2116" t="s">
        <v>1604</v>
      </c>
      <c r="F1057" s="827"/>
      <c r="G1057" s="827">
        <v>10</v>
      </c>
      <c r="H1057" s="827">
        <v>10</v>
      </c>
      <c r="I1057" s="823">
        <f t="shared" ref="I1057" si="125">(H1057/G1057)*100</f>
        <v>100</v>
      </c>
    </row>
    <row r="1058" spans="1:9" ht="14.25" x14ac:dyDescent="0.2">
      <c r="A1058" s="431"/>
      <c r="B1058" s="673"/>
      <c r="C1058" s="673"/>
      <c r="D1058" s="552" t="s">
        <v>1124</v>
      </c>
      <c r="E1058" s="455" t="s">
        <v>792</v>
      </c>
      <c r="F1058" s="827"/>
      <c r="G1058" s="827">
        <v>8928</v>
      </c>
      <c r="H1058" s="827">
        <v>8928</v>
      </c>
      <c r="I1058" s="823">
        <f t="shared" si="124"/>
        <v>100</v>
      </c>
    </row>
    <row r="1059" spans="1:9" ht="15" x14ac:dyDescent="0.25">
      <c r="A1059" s="431">
        <v>1123</v>
      </c>
      <c r="B1059" s="750">
        <v>3123</v>
      </c>
      <c r="C1059" s="1393">
        <v>5331</v>
      </c>
      <c r="D1059" s="842"/>
      <c r="E1059" s="672" t="s">
        <v>951</v>
      </c>
      <c r="F1059" s="835">
        <f>F1060+F1061</f>
        <v>2717</v>
      </c>
      <c r="G1059" s="835">
        <f>G1060+G1061+G1063+G1062</f>
        <v>3760</v>
      </c>
      <c r="H1059" s="835">
        <f>H1060+H1061+H1063+H1062</f>
        <v>3760</v>
      </c>
      <c r="I1059" s="836">
        <f t="shared" si="124"/>
        <v>100</v>
      </c>
    </row>
    <row r="1060" spans="1:9" ht="14.25" x14ac:dyDescent="0.2">
      <c r="A1060" s="431"/>
      <c r="B1060" s="750"/>
      <c r="C1060" s="1393"/>
      <c r="D1060" s="707" t="s">
        <v>575</v>
      </c>
      <c r="E1060" s="1478" t="s">
        <v>793</v>
      </c>
      <c r="F1060" s="837">
        <v>732</v>
      </c>
      <c r="G1060" s="833">
        <v>749</v>
      </c>
      <c r="H1060" s="833">
        <v>749</v>
      </c>
      <c r="I1060" s="828">
        <f t="shared" si="124"/>
        <v>100</v>
      </c>
    </row>
    <row r="1061" spans="1:9" ht="14.25" x14ac:dyDescent="0.2">
      <c r="A1061" s="431"/>
      <c r="B1061" s="750"/>
      <c r="C1061" s="1393"/>
      <c r="D1061" s="552" t="s">
        <v>570</v>
      </c>
      <c r="E1061" s="455" t="s">
        <v>71</v>
      </c>
      <c r="F1061" s="833">
        <v>1985</v>
      </c>
      <c r="G1061" s="833">
        <v>1952</v>
      </c>
      <c r="H1061" s="833">
        <v>1952</v>
      </c>
      <c r="I1061" s="828">
        <f t="shared" si="124"/>
        <v>100</v>
      </c>
    </row>
    <row r="1062" spans="1:9" ht="14.25" x14ac:dyDescent="0.2">
      <c r="A1062" s="431"/>
      <c r="B1062" s="750"/>
      <c r="C1062" s="1393"/>
      <c r="D1062" s="1403" t="s">
        <v>22</v>
      </c>
      <c r="E1062" s="1161" t="s">
        <v>1203</v>
      </c>
      <c r="F1062" s="1311"/>
      <c r="G1062" s="451">
        <v>1046</v>
      </c>
      <c r="H1062" s="316">
        <v>1046</v>
      </c>
      <c r="I1062" s="1074">
        <f t="shared" si="124"/>
        <v>100</v>
      </c>
    </row>
    <row r="1063" spans="1:9" ht="14.25" x14ac:dyDescent="0.2">
      <c r="A1063" s="431"/>
      <c r="B1063" s="750"/>
      <c r="C1063" s="1393"/>
      <c r="D1063" s="552" t="s">
        <v>665</v>
      </c>
      <c r="E1063" s="455" t="s">
        <v>74</v>
      </c>
      <c r="F1063" s="833"/>
      <c r="G1063" s="833">
        <v>13</v>
      </c>
      <c r="H1063" s="833">
        <v>13</v>
      </c>
      <c r="I1063" s="828">
        <v>27</v>
      </c>
    </row>
    <row r="1064" spans="1:9" ht="15" x14ac:dyDescent="0.25">
      <c r="A1064" s="431">
        <v>1123</v>
      </c>
      <c r="B1064" s="750">
        <v>3123</v>
      </c>
      <c r="C1064" s="750">
        <v>5336</v>
      </c>
      <c r="D1064" s="552"/>
      <c r="E1064" s="672" t="s">
        <v>2054</v>
      </c>
      <c r="F1064" s="833"/>
      <c r="G1064" s="846">
        <f>G1065+G1066+G1068+G1069</f>
        <v>9731</v>
      </c>
      <c r="H1064" s="846">
        <f>H1065+H1066+H1068+H1069</f>
        <v>9731</v>
      </c>
      <c r="I1064" s="838">
        <f>(H1064/G1064)*100</f>
        <v>100</v>
      </c>
    </row>
    <row r="1065" spans="1:9" ht="14.25" x14ac:dyDescent="0.2">
      <c r="A1065" s="431"/>
      <c r="B1065" s="750"/>
      <c r="C1065" s="750"/>
      <c r="D1065" s="1068" t="s">
        <v>1905</v>
      </c>
      <c r="E1065" s="2529" t="s">
        <v>1827</v>
      </c>
      <c r="F1065" s="314"/>
      <c r="G1065" s="316">
        <v>546</v>
      </c>
      <c r="H1065" s="316">
        <v>546</v>
      </c>
      <c r="I1065" s="1074">
        <f t="shared" ref="I1065:I1066" si="126">(H1065/G1065)*100</f>
        <v>100</v>
      </c>
    </row>
    <row r="1066" spans="1:9" ht="14.25" x14ac:dyDescent="0.2">
      <c r="A1066" s="431"/>
      <c r="B1066" s="750"/>
      <c r="C1066" s="750"/>
      <c r="D1066" s="1068" t="s">
        <v>1911</v>
      </c>
      <c r="E1066" s="2671" t="s">
        <v>2051</v>
      </c>
      <c r="F1066" s="827"/>
      <c r="G1066" s="837">
        <v>28</v>
      </c>
      <c r="H1066" s="837">
        <v>28</v>
      </c>
      <c r="I1066" s="823">
        <f t="shared" si="126"/>
        <v>100</v>
      </c>
    </row>
    <row r="1067" spans="1:9" ht="15" x14ac:dyDescent="0.25">
      <c r="A1067" s="431"/>
      <c r="B1067" s="750"/>
      <c r="C1067" s="750"/>
      <c r="D1067" s="1068"/>
      <c r="E1067" s="2671"/>
      <c r="F1067" s="827"/>
      <c r="G1067" s="846"/>
      <c r="H1067" s="846"/>
      <c r="I1067" s="853"/>
    </row>
    <row r="1068" spans="1:9" ht="15" x14ac:dyDescent="0.2">
      <c r="A1068" s="431"/>
      <c r="B1068" s="750"/>
      <c r="C1068" s="750"/>
      <c r="D1068" s="1068" t="s">
        <v>1913</v>
      </c>
      <c r="E1068" s="2113" t="s">
        <v>2052</v>
      </c>
      <c r="F1068" s="2530"/>
      <c r="G1068" s="2531">
        <v>174</v>
      </c>
      <c r="H1068" s="2531">
        <v>174</v>
      </c>
      <c r="I1068" s="376">
        <f t="shared" ref="I1068" si="127">(H1068/G1068)*100</f>
        <v>100</v>
      </c>
    </row>
    <row r="1069" spans="1:9" ht="14.25" x14ac:dyDescent="0.2">
      <c r="A1069" s="431"/>
      <c r="B1069" s="750"/>
      <c r="C1069" s="1393"/>
      <c r="D1069" s="552" t="s">
        <v>1124</v>
      </c>
      <c r="E1069" s="455" t="s">
        <v>792</v>
      </c>
      <c r="F1069" s="833"/>
      <c r="G1069" s="833">
        <v>8983</v>
      </c>
      <c r="H1069" s="833">
        <v>8983</v>
      </c>
      <c r="I1069" s="828">
        <f t="shared" si="124"/>
        <v>100</v>
      </c>
    </row>
    <row r="1070" spans="1:9" ht="18" customHeight="1" x14ac:dyDescent="0.25">
      <c r="A1070" s="431">
        <v>1123</v>
      </c>
      <c r="B1070" s="750">
        <v>3124</v>
      </c>
      <c r="C1070" s="1393">
        <v>5331</v>
      </c>
      <c r="D1070" s="842"/>
      <c r="E1070" s="672" t="s">
        <v>951</v>
      </c>
      <c r="F1070" s="835">
        <f>F1071+F1072</f>
        <v>782</v>
      </c>
      <c r="G1070" s="835">
        <f>G1071+G1072</f>
        <v>776</v>
      </c>
      <c r="H1070" s="835">
        <f>H1071+H1072</f>
        <v>776</v>
      </c>
      <c r="I1070" s="836">
        <f t="shared" si="124"/>
        <v>100</v>
      </c>
    </row>
    <row r="1071" spans="1:9" ht="14.25" x14ac:dyDescent="0.2">
      <c r="A1071" s="431"/>
      <c r="B1071" s="750"/>
      <c r="C1071" s="1393"/>
      <c r="D1071" s="707" t="s">
        <v>575</v>
      </c>
      <c r="E1071" s="1478" t="s">
        <v>793</v>
      </c>
      <c r="F1071" s="837">
        <v>182</v>
      </c>
      <c r="G1071" s="833">
        <v>182</v>
      </c>
      <c r="H1071" s="833">
        <v>182</v>
      </c>
      <c r="I1071" s="828">
        <f t="shared" si="124"/>
        <v>100</v>
      </c>
    </row>
    <row r="1072" spans="1:9" ht="14.25" x14ac:dyDescent="0.2">
      <c r="A1072" s="431"/>
      <c r="B1072" s="750"/>
      <c r="C1072" s="1393"/>
      <c r="D1072" s="552" t="s">
        <v>570</v>
      </c>
      <c r="E1072" s="455" t="s">
        <v>71</v>
      </c>
      <c r="F1072" s="833">
        <v>600</v>
      </c>
      <c r="G1072" s="833">
        <v>594</v>
      </c>
      <c r="H1072" s="833">
        <v>594</v>
      </c>
      <c r="I1072" s="828">
        <f t="shared" si="124"/>
        <v>100</v>
      </c>
    </row>
    <row r="1073" spans="1:23" ht="15" x14ac:dyDescent="0.25">
      <c r="A1073" s="431">
        <v>1123</v>
      </c>
      <c r="B1073" s="750">
        <v>3124</v>
      </c>
      <c r="C1073" s="750">
        <v>5336</v>
      </c>
      <c r="D1073" s="552"/>
      <c r="E1073" s="672" t="s">
        <v>2054</v>
      </c>
      <c r="F1073" s="833"/>
      <c r="G1073" s="846">
        <v>2954</v>
      </c>
      <c r="H1073" s="846">
        <v>2954</v>
      </c>
      <c r="I1073" s="838">
        <f t="shared" si="124"/>
        <v>100</v>
      </c>
    </row>
    <row r="1074" spans="1:23" ht="14.25" x14ac:dyDescent="0.2">
      <c r="A1074" s="431"/>
      <c r="B1074" s="750"/>
      <c r="C1074" s="1393"/>
      <c r="D1074" s="552" t="s">
        <v>1124</v>
      </c>
      <c r="E1074" s="455" t="s">
        <v>792</v>
      </c>
      <c r="F1074" s="833"/>
      <c r="G1074" s="833">
        <v>2954</v>
      </c>
      <c r="H1074" s="833">
        <v>2954</v>
      </c>
      <c r="I1074" s="828">
        <f t="shared" si="124"/>
        <v>100</v>
      </c>
    </row>
    <row r="1075" spans="1:23" ht="20.25" customHeight="1" x14ac:dyDescent="0.25">
      <c r="A1075" s="431">
        <v>1123</v>
      </c>
      <c r="B1075" s="750">
        <v>3142</v>
      </c>
      <c r="C1075" s="750">
        <v>5331</v>
      </c>
      <c r="D1075" s="859"/>
      <c r="E1075" s="672" t="s">
        <v>951</v>
      </c>
      <c r="F1075" s="835">
        <f>F1076+F1077</f>
        <v>1639</v>
      </c>
      <c r="G1075" s="835">
        <f>G1076+G1077</f>
        <v>1623</v>
      </c>
      <c r="H1075" s="835">
        <f>H1076+H1077</f>
        <v>1623</v>
      </c>
      <c r="I1075" s="836">
        <f t="shared" si="124"/>
        <v>100</v>
      </c>
    </row>
    <row r="1076" spans="1:23" ht="14.25" x14ac:dyDescent="0.2">
      <c r="A1076" s="431"/>
      <c r="B1076" s="750"/>
      <c r="C1076" s="750"/>
      <c r="D1076" s="791" t="s">
        <v>575</v>
      </c>
      <c r="E1076" s="1478" t="s">
        <v>793</v>
      </c>
      <c r="F1076" s="833">
        <v>62</v>
      </c>
      <c r="G1076" s="833">
        <v>62</v>
      </c>
      <c r="H1076" s="833">
        <v>62</v>
      </c>
      <c r="I1076" s="828">
        <f t="shared" si="124"/>
        <v>100</v>
      </c>
    </row>
    <row r="1077" spans="1:23" ht="14.25" x14ac:dyDescent="0.2">
      <c r="A1077" s="431"/>
      <c r="B1077" s="750"/>
      <c r="C1077" s="750"/>
      <c r="D1077" s="552" t="s">
        <v>570</v>
      </c>
      <c r="E1077" s="455" t="s">
        <v>71</v>
      </c>
      <c r="F1077" s="833">
        <v>1577</v>
      </c>
      <c r="G1077" s="833">
        <v>1561</v>
      </c>
      <c r="H1077" s="833">
        <v>1561</v>
      </c>
      <c r="I1077" s="828">
        <f t="shared" si="124"/>
        <v>100</v>
      </c>
    </row>
    <row r="1078" spans="1:23" ht="15" x14ac:dyDescent="0.25">
      <c r="A1078" s="431">
        <v>1123</v>
      </c>
      <c r="B1078" s="750">
        <v>3142</v>
      </c>
      <c r="C1078" s="750">
        <v>5336</v>
      </c>
      <c r="D1078" s="552"/>
      <c r="E1078" s="672" t="s">
        <v>2054</v>
      </c>
      <c r="F1078" s="833"/>
      <c r="G1078" s="846">
        <v>1397</v>
      </c>
      <c r="H1078" s="846">
        <v>1397</v>
      </c>
      <c r="I1078" s="838">
        <f t="shared" si="124"/>
        <v>100</v>
      </c>
    </row>
    <row r="1079" spans="1:23" ht="14.25" x14ac:dyDescent="0.2">
      <c r="A1079" s="431"/>
      <c r="B1079" s="750"/>
      <c r="C1079" s="1393"/>
      <c r="D1079" s="552" t="s">
        <v>1124</v>
      </c>
      <c r="E1079" s="455" t="s">
        <v>792</v>
      </c>
      <c r="F1079" s="833"/>
      <c r="G1079" s="833">
        <v>1397</v>
      </c>
      <c r="H1079" s="833">
        <v>1397</v>
      </c>
      <c r="I1079" s="828">
        <f t="shared" si="124"/>
        <v>100</v>
      </c>
    </row>
    <row r="1080" spans="1:23" ht="15" x14ac:dyDescent="0.25">
      <c r="A1080" s="431">
        <v>1123</v>
      </c>
      <c r="B1080" s="750">
        <v>3147</v>
      </c>
      <c r="C1080" s="750">
        <v>5331</v>
      </c>
      <c r="D1080" s="859"/>
      <c r="E1080" s="672" t="s">
        <v>951</v>
      </c>
      <c r="F1080" s="835">
        <f>F1081+F1082</f>
        <v>1005</v>
      </c>
      <c r="G1080" s="835">
        <f>G1081+G1082</f>
        <v>999</v>
      </c>
      <c r="H1080" s="835">
        <f>H1081+H1082</f>
        <v>999</v>
      </c>
      <c r="I1080" s="836">
        <f t="shared" si="124"/>
        <v>100</v>
      </c>
    </row>
    <row r="1081" spans="1:23" ht="14.25" x14ac:dyDescent="0.2">
      <c r="A1081" s="431"/>
      <c r="B1081" s="750"/>
      <c r="C1081" s="750"/>
      <c r="D1081" s="707" t="s">
        <v>575</v>
      </c>
      <c r="E1081" s="1478" t="s">
        <v>793</v>
      </c>
      <c r="F1081" s="833">
        <v>387</v>
      </c>
      <c r="G1081" s="833">
        <v>387</v>
      </c>
      <c r="H1081" s="833">
        <v>387</v>
      </c>
      <c r="I1081" s="828">
        <f t="shared" si="124"/>
        <v>100</v>
      </c>
    </row>
    <row r="1082" spans="1:23" ht="14.25" customHeight="1" x14ac:dyDescent="0.2">
      <c r="A1082" s="431"/>
      <c r="B1082" s="750"/>
      <c r="C1082" s="750"/>
      <c r="D1082" s="552" t="s">
        <v>570</v>
      </c>
      <c r="E1082" s="455" t="s">
        <v>71</v>
      </c>
      <c r="F1082" s="833">
        <v>618</v>
      </c>
      <c r="G1082" s="833">
        <v>612</v>
      </c>
      <c r="H1082" s="833">
        <v>612</v>
      </c>
      <c r="I1082" s="828">
        <f t="shared" si="124"/>
        <v>100</v>
      </c>
    </row>
    <row r="1083" spans="1:23" ht="15" x14ac:dyDescent="0.25">
      <c r="A1083" s="431">
        <v>1123</v>
      </c>
      <c r="B1083" s="750">
        <v>3147</v>
      </c>
      <c r="C1083" s="750">
        <v>5336</v>
      </c>
      <c r="D1083" s="552"/>
      <c r="E1083" s="672" t="s">
        <v>2054</v>
      </c>
      <c r="F1083" s="833"/>
      <c r="G1083" s="846">
        <v>3653</v>
      </c>
      <c r="H1083" s="846">
        <v>3653</v>
      </c>
      <c r="I1083" s="838">
        <f t="shared" si="124"/>
        <v>100</v>
      </c>
    </row>
    <row r="1084" spans="1:23" ht="15" thickBot="1" x14ac:dyDescent="0.25">
      <c r="A1084" s="431"/>
      <c r="B1084" s="750"/>
      <c r="C1084" s="1393"/>
      <c r="D1084" s="552" t="s">
        <v>1124</v>
      </c>
      <c r="E1084" s="455" t="s">
        <v>792</v>
      </c>
      <c r="F1084" s="833"/>
      <c r="G1084" s="833">
        <v>3653</v>
      </c>
      <c r="H1084" s="833">
        <v>3653</v>
      </c>
      <c r="I1084" s="828">
        <f t="shared" si="124"/>
        <v>100</v>
      </c>
    </row>
    <row r="1085" spans="1:23" ht="16.5" thickTop="1" thickBot="1" x14ac:dyDescent="0.3">
      <c r="A1085" s="2672" t="s">
        <v>1105</v>
      </c>
      <c r="B1085" s="2673"/>
      <c r="C1085" s="2673"/>
      <c r="D1085" s="2673"/>
      <c r="E1085" s="2673"/>
      <c r="F1085" s="824">
        <f>F1052+F1059+F1070+F1075+F1080</f>
        <v>8169</v>
      </c>
      <c r="G1085" s="824">
        <f>G1052+G1059+G1070+G1075+G1080+G1083+G1078+G1073+G1064+G1056</f>
        <v>36144</v>
      </c>
      <c r="H1085" s="824">
        <f>H1052+H1059+H1070+H1075+H1080+H1083+H1078+H1073+H1064+H1056</f>
        <v>36144</v>
      </c>
      <c r="I1085" s="825">
        <f>(H1085/G1085)*100</f>
        <v>100</v>
      </c>
      <c r="R1085" s="382">
        <f>F1085</f>
        <v>8169</v>
      </c>
      <c r="S1085" s="382">
        <f>G1085</f>
        <v>36144</v>
      </c>
      <c r="T1085" s="382">
        <f>H1085</f>
        <v>36144</v>
      </c>
    </row>
    <row r="1086" spans="1:23" ht="15.75" thickTop="1" x14ac:dyDescent="0.25">
      <c r="A1086" s="434">
        <v>1123</v>
      </c>
      <c r="B1086" s="673">
        <v>3123</v>
      </c>
      <c r="C1086" s="750">
        <v>6351</v>
      </c>
      <c r="D1086" s="859"/>
      <c r="E1086" s="672" t="s">
        <v>1172</v>
      </c>
      <c r="F1086" s="835"/>
      <c r="G1086" s="835">
        <v>200</v>
      </c>
      <c r="H1086" s="835">
        <v>200</v>
      </c>
      <c r="I1086" s="836">
        <f t="shared" ref="I1086:I1087" si="128">(H1086/G1086)*100</f>
        <v>100</v>
      </c>
      <c r="R1086" s="382"/>
      <c r="S1086" s="382"/>
      <c r="T1086" s="382"/>
    </row>
    <row r="1087" spans="1:23" ht="15" thickBot="1" x14ac:dyDescent="0.25">
      <c r="A1087" s="1500"/>
      <c r="B1087" s="674"/>
      <c r="C1087" s="1395"/>
      <c r="D1087" s="1403" t="s">
        <v>22</v>
      </c>
      <c r="E1087" s="1161" t="s">
        <v>1203</v>
      </c>
      <c r="F1087" s="892"/>
      <c r="G1087" s="892">
        <v>200</v>
      </c>
      <c r="H1087" s="892">
        <v>200</v>
      </c>
      <c r="I1087" s="872">
        <f t="shared" si="128"/>
        <v>100</v>
      </c>
      <c r="R1087" s="382"/>
      <c r="S1087" s="382"/>
      <c r="T1087" s="382"/>
    </row>
    <row r="1088" spans="1:23" ht="16.5" thickTop="1" thickBot="1" x14ac:dyDescent="0.3">
      <c r="A1088" s="2679" t="s">
        <v>1106</v>
      </c>
      <c r="B1088" s="2680"/>
      <c r="C1088" s="2680"/>
      <c r="D1088" s="2680"/>
      <c r="E1088" s="2681"/>
      <c r="F1088" s="824">
        <v>0</v>
      </c>
      <c r="G1088" s="824">
        <f>G1086</f>
        <v>200</v>
      </c>
      <c r="H1088" s="824">
        <f>SUM(H1086)</f>
        <v>200</v>
      </c>
      <c r="I1088" s="825">
        <f>(H1088/G1088)*100</f>
        <v>100</v>
      </c>
      <c r="U1088" s="382">
        <f>F1088</f>
        <v>0</v>
      </c>
      <c r="V1088" s="382">
        <f>G1088</f>
        <v>200</v>
      </c>
      <c r="W1088" s="382">
        <f>H1088</f>
        <v>200</v>
      </c>
    </row>
    <row r="1089" spans="1:18" ht="13.5" thickTop="1" x14ac:dyDescent="0.2">
      <c r="R1089" s="382"/>
    </row>
    <row r="1093" spans="1:18" ht="13.5" thickBot="1" x14ac:dyDescent="0.25">
      <c r="A1093" s="432" t="s">
        <v>1449</v>
      </c>
      <c r="I1093" s="1390" t="s">
        <v>161</v>
      </c>
    </row>
    <row r="1094" spans="1:18" s="107" customFormat="1" thickTop="1" thickBot="1" x14ac:dyDescent="0.25">
      <c r="A1094" s="631" t="s">
        <v>624</v>
      </c>
      <c r="B1094" s="774" t="s">
        <v>162</v>
      </c>
      <c r="C1094" s="632" t="s">
        <v>163</v>
      </c>
      <c r="D1094" s="634" t="s">
        <v>705</v>
      </c>
      <c r="E1094" s="634" t="s">
        <v>164</v>
      </c>
      <c r="F1094" s="634" t="s">
        <v>165</v>
      </c>
      <c r="G1094" s="634" t="s">
        <v>881</v>
      </c>
      <c r="H1094" s="634" t="s">
        <v>882</v>
      </c>
      <c r="I1094" s="818" t="s">
        <v>883</v>
      </c>
    </row>
    <row r="1095" spans="1:18" s="383" customFormat="1" ht="13.5" thickTop="1" thickBot="1" x14ac:dyDescent="0.25">
      <c r="A1095" s="566">
        <v>1</v>
      </c>
      <c r="B1095" s="567">
        <v>2</v>
      </c>
      <c r="C1095" s="567">
        <v>3</v>
      </c>
      <c r="D1095" s="567">
        <v>4</v>
      </c>
      <c r="E1095" s="567">
        <v>5</v>
      </c>
      <c r="F1095" s="541">
        <v>6</v>
      </c>
      <c r="G1095" s="541">
        <v>7</v>
      </c>
      <c r="H1095" s="542">
        <v>8</v>
      </c>
      <c r="I1095" s="636" t="s">
        <v>762</v>
      </c>
    </row>
    <row r="1096" spans="1:18" ht="15.75" thickTop="1" x14ac:dyDescent="0.25">
      <c r="A1096" s="1391">
        <v>1125</v>
      </c>
      <c r="B1096" s="775">
        <v>3122</v>
      </c>
      <c r="C1096" s="775">
        <v>5331</v>
      </c>
      <c r="D1096" s="839"/>
      <c r="E1096" s="860" t="s">
        <v>951</v>
      </c>
      <c r="F1096" s="861">
        <f>F1097+F1098</f>
        <v>2198</v>
      </c>
      <c r="G1096" s="861">
        <f>G1097+G1098</f>
        <v>2172</v>
      </c>
      <c r="H1096" s="861">
        <f>H1097+H1098</f>
        <v>2172</v>
      </c>
      <c r="I1096" s="826">
        <f t="shared" ref="I1096:I1111" si="129">(H1096/G1096)*100</f>
        <v>100</v>
      </c>
    </row>
    <row r="1097" spans="1:18" ht="14.25" x14ac:dyDescent="0.2">
      <c r="A1097" s="431"/>
      <c r="B1097" s="673"/>
      <c r="C1097" s="673"/>
      <c r="D1097" s="707" t="s">
        <v>575</v>
      </c>
      <c r="E1097" s="1478" t="s">
        <v>793</v>
      </c>
      <c r="F1097" s="827">
        <v>308</v>
      </c>
      <c r="G1097" s="827">
        <v>301</v>
      </c>
      <c r="H1097" s="827">
        <v>301</v>
      </c>
      <c r="I1097" s="823">
        <f t="shared" si="129"/>
        <v>100</v>
      </c>
    </row>
    <row r="1098" spans="1:18" ht="14.25" customHeight="1" x14ac:dyDescent="0.2">
      <c r="A1098" s="431"/>
      <c r="B1098" s="673"/>
      <c r="C1098" s="673"/>
      <c r="D1098" s="552" t="s">
        <v>570</v>
      </c>
      <c r="E1098" s="455" t="s">
        <v>71</v>
      </c>
      <c r="F1098" s="827">
        <v>1890</v>
      </c>
      <c r="G1098" s="827">
        <v>1871</v>
      </c>
      <c r="H1098" s="827">
        <v>1871</v>
      </c>
      <c r="I1098" s="823">
        <f t="shared" si="129"/>
        <v>100</v>
      </c>
    </row>
    <row r="1099" spans="1:18" ht="15" x14ac:dyDescent="0.25">
      <c r="A1099" s="431">
        <v>1125</v>
      </c>
      <c r="B1099" s="673">
        <v>3122</v>
      </c>
      <c r="C1099" s="673">
        <v>5336</v>
      </c>
      <c r="D1099" s="1068"/>
      <c r="E1099" s="672" t="s">
        <v>2054</v>
      </c>
      <c r="F1099" s="827"/>
      <c r="G1099" s="851">
        <f>G1100+G1102+G1103</f>
        <v>12655</v>
      </c>
      <c r="H1099" s="851">
        <f>H1100+H1102+H1103</f>
        <v>12655</v>
      </c>
      <c r="I1099" s="853">
        <f t="shared" si="129"/>
        <v>100</v>
      </c>
    </row>
    <row r="1100" spans="1:18" ht="14.25" x14ac:dyDescent="0.2">
      <c r="A1100" s="431"/>
      <c r="B1100" s="673"/>
      <c r="C1100" s="673"/>
      <c r="D1100" s="1068" t="s">
        <v>1911</v>
      </c>
      <c r="E1100" s="2671" t="s">
        <v>2051</v>
      </c>
      <c r="F1100" s="827"/>
      <c r="G1100" s="837">
        <v>16</v>
      </c>
      <c r="H1100" s="837">
        <v>16</v>
      </c>
      <c r="I1100" s="823">
        <f t="shared" si="129"/>
        <v>100</v>
      </c>
    </row>
    <row r="1101" spans="1:18" ht="15" x14ac:dyDescent="0.25">
      <c r="A1101" s="431"/>
      <c r="B1101" s="673"/>
      <c r="C1101" s="673"/>
      <c r="D1101" s="1068"/>
      <c r="E1101" s="2671"/>
      <c r="F1101" s="827"/>
      <c r="G1101" s="846"/>
      <c r="H1101" s="846"/>
      <c r="I1101" s="853"/>
    </row>
    <row r="1102" spans="1:18" ht="15" x14ac:dyDescent="0.2">
      <c r="A1102" s="431"/>
      <c r="B1102" s="673"/>
      <c r="C1102" s="673"/>
      <c r="D1102" s="1068" t="s">
        <v>1913</v>
      </c>
      <c r="E1102" s="2113" t="s">
        <v>2052</v>
      </c>
      <c r="F1102" s="2530"/>
      <c r="G1102" s="2531">
        <v>92</v>
      </c>
      <c r="H1102" s="2531">
        <v>92</v>
      </c>
      <c r="I1102" s="376">
        <f t="shared" ref="I1102" si="130">(H1102/G1102)*100</f>
        <v>100</v>
      </c>
    </row>
    <row r="1103" spans="1:18" ht="14.25" x14ac:dyDescent="0.2">
      <c r="A1103" s="431"/>
      <c r="B1103" s="673"/>
      <c r="C1103" s="673"/>
      <c r="D1103" s="552" t="s">
        <v>1124</v>
      </c>
      <c r="E1103" s="455" t="s">
        <v>792</v>
      </c>
      <c r="F1103" s="827"/>
      <c r="G1103" s="827">
        <v>12547</v>
      </c>
      <c r="H1103" s="827">
        <v>12547</v>
      </c>
      <c r="I1103" s="823">
        <f t="shared" si="129"/>
        <v>100</v>
      </c>
    </row>
    <row r="1104" spans="1:18" ht="15" x14ac:dyDescent="0.25">
      <c r="A1104" s="431">
        <v>1125</v>
      </c>
      <c r="B1104" s="750">
        <v>3142</v>
      </c>
      <c r="C1104" s="1393">
        <v>5336</v>
      </c>
      <c r="D1104" s="842"/>
      <c r="E1104" s="672" t="s">
        <v>2054</v>
      </c>
      <c r="F1104" s="835"/>
      <c r="G1104" s="835">
        <v>1216</v>
      </c>
      <c r="H1104" s="835">
        <v>1216</v>
      </c>
      <c r="I1104" s="836">
        <f t="shared" si="129"/>
        <v>100</v>
      </c>
    </row>
    <row r="1105" spans="1:20" ht="20.25" customHeight="1" x14ac:dyDescent="0.2">
      <c r="A1105" s="431"/>
      <c r="B1105" s="750"/>
      <c r="C1105" s="1393"/>
      <c r="D1105" s="552" t="s">
        <v>1124</v>
      </c>
      <c r="E1105" s="455" t="s">
        <v>792</v>
      </c>
      <c r="F1105" s="833"/>
      <c r="G1105" s="833">
        <v>1216</v>
      </c>
      <c r="H1105" s="833">
        <v>1216</v>
      </c>
      <c r="I1105" s="828">
        <f t="shared" si="129"/>
        <v>100</v>
      </c>
    </row>
    <row r="1106" spans="1:20" ht="15" x14ac:dyDescent="0.25">
      <c r="A1106" s="431">
        <v>1125</v>
      </c>
      <c r="B1106" s="750">
        <v>3147</v>
      </c>
      <c r="C1106" s="1393">
        <v>5331</v>
      </c>
      <c r="D1106" s="842"/>
      <c r="E1106" s="672" t="s">
        <v>951</v>
      </c>
      <c r="F1106" s="835">
        <f>F1107+F1108</f>
        <v>1795</v>
      </c>
      <c r="G1106" s="835">
        <f>G1107+G1108</f>
        <v>1731</v>
      </c>
      <c r="H1106" s="835">
        <f>H1107+H1108</f>
        <v>1731</v>
      </c>
      <c r="I1106" s="836">
        <f t="shared" si="129"/>
        <v>100</v>
      </c>
    </row>
    <row r="1107" spans="1:20" ht="14.25" x14ac:dyDescent="0.2">
      <c r="A1107" s="431"/>
      <c r="B1107" s="750"/>
      <c r="C1107" s="1393"/>
      <c r="D1107" s="707" t="s">
        <v>575</v>
      </c>
      <c r="E1107" s="1478" t="s">
        <v>793</v>
      </c>
      <c r="F1107" s="833">
        <v>447</v>
      </c>
      <c r="G1107" s="833">
        <v>396</v>
      </c>
      <c r="H1107" s="833">
        <v>396</v>
      </c>
      <c r="I1107" s="828">
        <f t="shared" si="129"/>
        <v>100</v>
      </c>
    </row>
    <row r="1108" spans="1:20" ht="14.25" x14ac:dyDescent="0.2">
      <c r="A1108" s="431"/>
      <c r="B1108" s="750"/>
      <c r="C1108" s="1393"/>
      <c r="D1108" s="552" t="s">
        <v>570</v>
      </c>
      <c r="E1108" s="455" t="s">
        <v>71</v>
      </c>
      <c r="F1108" s="833">
        <v>1348</v>
      </c>
      <c r="G1108" s="833">
        <v>1335</v>
      </c>
      <c r="H1108" s="833">
        <v>1335</v>
      </c>
      <c r="I1108" s="828">
        <f t="shared" si="129"/>
        <v>100</v>
      </c>
    </row>
    <row r="1109" spans="1:20" ht="15" x14ac:dyDescent="0.25">
      <c r="A1109" s="431">
        <v>1125</v>
      </c>
      <c r="B1109" s="750">
        <v>3147</v>
      </c>
      <c r="C1109" s="1393">
        <v>5336</v>
      </c>
      <c r="D1109" s="552"/>
      <c r="E1109" s="672" t="s">
        <v>2054</v>
      </c>
      <c r="F1109" s="833"/>
      <c r="G1109" s="846">
        <v>1986</v>
      </c>
      <c r="H1109" s="846">
        <v>1986</v>
      </c>
      <c r="I1109" s="838">
        <f t="shared" si="129"/>
        <v>100</v>
      </c>
    </row>
    <row r="1110" spans="1:20" ht="15" thickBot="1" x14ac:dyDescent="0.25">
      <c r="A1110" s="431"/>
      <c r="B1110" s="750"/>
      <c r="C1110" s="1393"/>
      <c r="D1110" s="552" t="s">
        <v>1124</v>
      </c>
      <c r="E1110" s="455" t="s">
        <v>792</v>
      </c>
      <c r="F1110" s="833"/>
      <c r="G1110" s="833">
        <v>1986</v>
      </c>
      <c r="H1110" s="833">
        <v>1986</v>
      </c>
      <c r="I1110" s="828">
        <f t="shared" si="129"/>
        <v>100</v>
      </c>
    </row>
    <row r="1111" spans="1:20" ht="16.5" thickTop="1" thickBot="1" x14ac:dyDescent="0.3">
      <c r="A1111" s="2672" t="s">
        <v>1105</v>
      </c>
      <c r="B1111" s="2673"/>
      <c r="C1111" s="2673"/>
      <c r="D1111" s="2673"/>
      <c r="E1111" s="2673"/>
      <c r="F1111" s="824">
        <f>F1096+F1099+F1104+F1106+F1109</f>
        <v>3993</v>
      </c>
      <c r="G1111" s="824">
        <f>G1096+G1099+G1104+G1106+G1109</f>
        <v>19760</v>
      </c>
      <c r="H1111" s="824">
        <f>H1096+H1099+H1104+H1106+H1109</f>
        <v>19760</v>
      </c>
      <c r="I1111" s="825">
        <f t="shared" si="129"/>
        <v>100</v>
      </c>
      <c r="R1111" s="382">
        <f>F1111</f>
        <v>3993</v>
      </c>
      <c r="S1111" s="382">
        <f>G1111</f>
        <v>19760</v>
      </c>
      <c r="T1111" s="382">
        <f>H1111</f>
        <v>19760</v>
      </c>
    </row>
    <row r="1112" spans="1:20" ht="13.5" thickTop="1" x14ac:dyDescent="0.2"/>
    <row r="1120" spans="1:20" ht="13.5" thickBot="1" x14ac:dyDescent="0.25">
      <c r="A1120" s="432" t="s">
        <v>1207</v>
      </c>
      <c r="I1120" s="1390" t="s">
        <v>161</v>
      </c>
    </row>
    <row r="1121" spans="1:9" s="107" customFormat="1" thickTop="1" thickBot="1" x14ac:dyDescent="0.25">
      <c r="A1121" s="631" t="s">
        <v>624</v>
      </c>
      <c r="B1121" s="774" t="s">
        <v>162</v>
      </c>
      <c r="C1121" s="632" t="s">
        <v>163</v>
      </c>
      <c r="D1121" s="634" t="s">
        <v>705</v>
      </c>
      <c r="E1121" s="634" t="s">
        <v>164</v>
      </c>
      <c r="F1121" s="634" t="s">
        <v>165</v>
      </c>
      <c r="G1121" s="634" t="s">
        <v>881</v>
      </c>
      <c r="H1121" s="634" t="s">
        <v>882</v>
      </c>
      <c r="I1121" s="818" t="s">
        <v>883</v>
      </c>
    </row>
    <row r="1122" spans="1:9" s="383" customFormat="1" ht="13.5" thickTop="1" thickBot="1" x14ac:dyDescent="0.25">
      <c r="A1122" s="566">
        <v>1</v>
      </c>
      <c r="B1122" s="567">
        <v>2</v>
      </c>
      <c r="C1122" s="567">
        <v>3</v>
      </c>
      <c r="D1122" s="567">
        <v>4</v>
      </c>
      <c r="E1122" s="567">
        <v>5</v>
      </c>
      <c r="F1122" s="541">
        <v>6</v>
      </c>
      <c r="G1122" s="541">
        <v>7</v>
      </c>
      <c r="H1122" s="542">
        <v>8</v>
      </c>
      <c r="I1122" s="636" t="s">
        <v>762</v>
      </c>
    </row>
    <row r="1123" spans="1:9" ht="15.75" thickTop="1" x14ac:dyDescent="0.25">
      <c r="A1123" s="1391">
        <v>1126</v>
      </c>
      <c r="B1123" s="775">
        <v>3122</v>
      </c>
      <c r="C1123" s="775">
        <v>5331</v>
      </c>
      <c r="D1123" s="839"/>
      <c r="E1123" s="860" t="s">
        <v>951</v>
      </c>
      <c r="F1123" s="861">
        <f>F1124+F1125</f>
        <v>2812</v>
      </c>
      <c r="G1123" s="861">
        <f>G1124+G1125+G1126</f>
        <v>3394</v>
      </c>
      <c r="H1123" s="861">
        <f>H1124+H1125+H1126</f>
        <v>3394</v>
      </c>
      <c r="I1123" s="826">
        <f t="shared" ref="I1123:I1146" si="131">(H1123/G1123)*100</f>
        <v>100</v>
      </c>
    </row>
    <row r="1124" spans="1:9" ht="14.25" x14ac:dyDescent="0.2">
      <c r="A1124" s="431"/>
      <c r="B1124" s="673"/>
      <c r="C1124" s="673"/>
      <c r="D1124" s="707" t="s">
        <v>575</v>
      </c>
      <c r="E1124" s="1478" t="s">
        <v>793</v>
      </c>
      <c r="F1124" s="827">
        <v>48</v>
      </c>
      <c r="G1124" s="827">
        <v>58</v>
      </c>
      <c r="H1124" s="827">
        <v>58</v>
      </c>
      <c r="I1124" s="823">
        <f t="shared" si="131"/>
        <v>100</v>
      </c>
    </row>
    <row r="1125" spans="1:9" ht="14.25" x14ac:dyDescent="0.2">
      <c r="A1125" s="431"/>
      <c r="B1125" s="673"/>
      <c r="C1125" s="673"/>
      <c r="D1125" s="552" t="s">
        <v>570</v>
      </c>
      <c r="E1125" s="455" t="s">
        <v>71</v>
      </c>
      <c r="F1125" s="827">
        <v>2764</v>
      </c>
      <c r="G1125" s="827">
        <v>2736</v>
      </c>
      <c r="H1125" s="827">
        <v>2736</v>
      </c>
      <c r="I1125" s="823">
        <f t="shared" si="131"/>
        <v>100</v>
      </c>
    </row>
    <row r="1126" spans="1:9" ht="14.25" x14ac:dyDescent="0.2">
      <c r="A1126" s="431"/>
      <c r="B1126" s="673"/>
      <c r="C1126" s="673"/>
      <c r="D1126" s="1403" t="s">
        <v>22</v>
      </c>
      <c r="E1126" s="1161" t="s">
        <v>1203</v>
      </c>
      <c r="F1126" s="1311"/>
      <c r="G1126" s="451">
        <v>600</v>
      </c>
      <c r="H1126" s="316">
        <v>600</v>
      </c>
      <c r="I1126" s="1074">
        <f t="shared" si="131"/>
        <v>100</v>
      </c>
    </row>
    <row r="1127" spans="1:9" ht="15" x14ac:dyDescent="0.25">
      <c r="A1127" s="431">
        <v>1126</v>
      </c>
      <c r="B1127" s="673">
        <v>3122</v>
      </c>
      <c r="C1127" s="673">
        <v>5336</v>
      </c>
      <c r="D1127" s="2543"/>
      <c r="E1127" s="672" t="s">
        <v>2054</v>
      </c>
      <c r="F1127" s="827"/>
      <c r="G1127" s="851">
        <f>G1128+G1131+G1133+G1134</f>
        <v>10704</v>
      </c>
      <c r="H1127" s="851">
        <f>H1128+H1131+H1133+H1134</f>
        <v>10704</v>
      </c>
      <c r="I1127" s="2193" t="e">
        <f>I1133+I1134+#REF!</f>
        <v>#REF!</v>
      </c>
    </row>
    <row r="1128" spans="1:9" ht="14.25" x14ac:dyDescent="0.2">
      <c r="A1128" s="431"/>
      <c r="B1128" s="673"/>
      <c r="C1128" s="673"/>
      <c r="D1128" s="2660" t="s">
        <v>1429</v>
      </c>
      <c r="E1128" s="2670" t="s">
        <v>1448</v>
      </c>
      <c r="F1128" s="827"/>
      <c r="G1128" s="827">
        <v>72</v>
      </c>
      <c r="H1128" s="827">
        <v>72</v>
      </c>
      <c r="I1128" s="823">
        <f t="shared" ref="I1128" si="132">(H1128/G1128)*100</f>
        <v>100</v>
      </c>
    </row>
    <row r="1129" spans="1:9" ht="14.25" x14ac:dyDescent="0.2">
      <c r="A1129" s="431"/>
      <c r="B1129" s="673"/>
      <c r="C1129" s="673"/>
      <c r="D1129" s="2661"/>
      <c r="E1129" s="2661"/>
      <c r="F1129" s="827"/>
      <c r="G1129" s="827"/>
      <c r="H1129" s="827"/>
      <c r="I1129" s="823"/>
    </row>
    <row r="1130" spans="1:9" ht="14.25" x14ac:dyDescent="0.2">
      <c r="A1130" s="431"/>
      <c r="B1130" s="673"/>
      <c r="C1130" s="673"/>
      <c r="D1130" s="2661"/>
      <c r="E1130" s="2661"/>
      <c r="F1130" s="827"/>
      <c r="G1130" s="827"/>
      <c r="H1130" s="827"/>
      <c r="I1130" s="823"/>
    </row>
    <row r="1131" spans="1:9" ht="14.25" x14ac:dyDescent="0.2">
      <c r="A1131" s="431"/>
      <c r="B1131" s="673"/>
      <c r="C1131" s="673"/>
      <c r="D1131" s="1068" t="s">
        <v>1911</v>
      </c>
      <c r="E1131" s="2671" t="s">
        <v>2051</v>
      </c>
      <c r="F1131" s="827"/>
      <c r="G1131" s="837">
        <v>21</v>
      </c>
      <c r="H1131" s="837">
        <v>21</v>
      </c>
      <c r="I1131" s="823">
        <f t="shared" ref="I1131" si="133">(H1131/G1131)*100</f>
        <v>100</v>
      </c>
    </row>
    <row r="1132" spans="1:9" ht="15" x14ac:dyDescent="0.25">
      <c r="A1132" s="431"/>
      <c r="B1132" s="673"/>
      <c r="C1132" s="673"/>
      <c r="D1132" s="1068"/>
      <c r="E1132" s="2671"/>
      <c r="F1132" s="827"/>
      <c r="G1132" s="846"/>
      <c r="H1132" s="846"/>
      <c r="I1132" s="853"/>
    </row>
    <row r="1133" spans="1:9" ht="18" customHeight="1" x14ac:dyDescent="0.2">
      <c r="A1133" s="431"/>
      <c r="B1133" s="673"/>
      <c r="C1133" s="673"/>
      <c r="D1133" s="1068" t="s">
        <v>1913</v>
      </c>
      <c r="E1133" s="2113" t="s">
        <v>2052</v>
      </c>
      <c r="F1133" s="2530"/>
      <c r="G1133" s="2531">
        <v>120</v>
      </c>
      <c r="H1133" s="2531">
        <v>120</v>
      </c>
      <c r="I1133" s="376">
        <f t="shared" ref="I1133" si="134">(H1133/G1133)*100</f>
        <v>100</v>
      </c>
    </row>
    <row r="1134" spans="1:9" ht="17.25" customHeight="1" x14ac:dyDescent="0.2">
      <c r="A1134" s="431"/>
      <c r="B1134" s="750"/>
      <c r="C1134" s="750"/>
      <c r="D1134" s="552" t="s">
        <v>1124</v>
      </c>
      <c r="E1134" s="455" t="s">
        <v>792</v>
      </c>
      <c r="F1134" s="833"/>
      <c r="G1134" s="833">
        <v>10491</v>
      </c>
      <c r="H1134" s="833">
        <v>10491</v>
      </c>
      <c r="I1134" s="823">
        <f t="shared" si="131"/>
        <v>100</v>
      </c>
    </row>
    <row r="1135" spans="1:9" ht="15" x14ac:dyDescent="0.25">
      <c r="A1135" s="431">
        <v>1126</v>
      </c>
      <c r="B1135" s="750">
        <v>3123</v>
      </c>
      <c r="C1135" s="750">
        <v>5331</v>
      </c>
      <c r="D1135" s="859"/>
      <c r="E1135" s="672" t="s">
        <v>951</v>
      </c>
      <c r="F1135" s="835">
        <f>SUM(F1136:F1137)</f>
        <v>1770</v>
      </c>
      <c r="G1135" s="835">
        <f>G1136+G1137+G1138</f>
        <v>2140</v>
      </c>
      <c r="H1135" s="835">
        <f>H1136+H1137+H1138</f>
        <v>2140</v>
      </c>
      <c r="I1135" s="836">
        <f t="shared" si="131"/>
        <v>100</v>
      </c>
    </row>
    <row r="1136" spans="1:9" ht="14.25" x14ac:dyDescent="0.2">
      <c r="A1136" s="431"/>
      <c r="B1136" s="750"/>
      <c r="C1136" s="750"/>
      <c r="D1136" s="707" t="s">
        <v>575</v>
      </c>
      <c r="E1136" s="1478" t="s">
        <v>793</v>
      </c>
      <c r="F1136" s="833">
        <v>74</v>
      </c>
      <c r="G1136" s="833">
        <v>74</v>
      </c>
      <c r="H1136" s="833">
        <v>74</v>
      </c>
      <c r="I1136" s="828">
        <f t="shared" si="131"/>
        <v>100</v>
      </c>
    </row>
    <row r="1137" spans="1:20" ht="15" customHeight="1" x14ac:dyDescent="0.2">
      <c r="A1137" s="431"/>
      <c r="B1137" s="750"/>
      <c r="C1137" s="750"/>
      <c r="D1137" s="552" t="s">
        <v>570</v>
      </c>
      <c r="E1137" s="455" t="s">
        <v>71</v>
      </c>
      <c r="F1137" s="833">
        <v>1696</v>
      </c>
      <c r="G1137" s="833">
        <v>1679</v>
      </c>
      <c r="H1137" s="833">
        <v>1679</v>
      </c>
      <c r="I1137" s="828">
        <f t="shared" si="131"/>
        <v>100</v>
      </c>
    </row>
    <row r="1138" spans="1:20" ht="15" customHeight="1" x14ac:dyDescent="0.2">
      <c r="A1138" s="431"/>
      <c r="B1138" s="750"/>
      <c r="C1138" s="750"/>
      <c r="D1138" s="1069" t="s">
        <v>924</v>
      </c>
      <c r="E1138" s="1161" t="s">
        <v>925</v>
      </c>
      <c r="F1138" s="833"/>
      <c r="G1138" s="833">
        <v>387</v>
      </c>
      <c r="H1138" s="833">
        <v>387</v>
      </c>
      <c r="I1138" s="828">
        <f t="shared" si="131"/>
        <v>100</v>
      </c>
    </row>
    <row r="1139" spans="1:20" ht="15" x14ac:dyDescent="0.25">
      <c r="A1139" s="431">
        <v>1126</v>
      </c>
      <c r="B1139" s="750">
        <v>3123</v>
      </c>
      <c r="C1139" s="750">
        <v>5336</v>
      </c>
      <c r="D1139" s="2541"/>
      <c r="E1139" s="672" t="s">
        <v>2054</v>
      </c>
      <c r="F1139" s="833"/>
      <c r="G1139" s="846">
        <f>G1140+G1141</f>
        <v>9274</v>
      </c>
      <c r="H1139" s="846">
        <f>H1140+H1141</f>
        <v>9274</v>
      </c>
      <c r="I1139" s="838">
        <f t="shared" si="131"/>
        <v>100</v>
      </c>
    </row>
    <row r="1140" spans="1:20" ht="14.25" x14ac:dyDescent="0.2">
      <c r="A1140" s="431"/>
      <c r="B1140" s="750"/>
      <c r="C1140" s="750"/>
      <c r="D1140" s="1068" t="s">
        <v>1905</v>
      </c>
      <c r="E1140" s="2529" t="s">
        <v>1827</v>
      </c>
      <c r="F1140" s="314"/>
      <c r="G1140" s="316">
        <v>1193</v>
      </c>
      <c r="H1140" s="316">
        <v>1193</v>
      </c>
      <c r="I1140" s="1074">
        <f t="shared" si="131"/>
        <v>100</v>
      </c>
    </row>
    <row r="1141" spans="1:20" ht="15.75" customHeight="1" x14ac:dyDescent="0.2">
      <c r="A1141" s="431"/>
      <c r="B1141" s="750"/>
      <c r="C1141" s="750"/>
      <c r="D1141" s="552" t="s">
        <v>1124</v>
      </c>
      <c r="E1141" s="455" t="s">
        <v>792</v>
      </c>
      <c r="F1141" s="833"/>
      <c r="G1141" s="833">
        <v>8081</v>
      </c>
      <c r="H1141" s="833">
        <v>8081</v>
      </c>
      <c r="I1141" s="828">
        <f t="shared" si="131"/>
        <v>100</v>
      </c>
    </row>
    <row r="1142" spans="1:20" ht="15.75" customHeight="1" x14ac:dyDescent="0.25">
      <c r="A1142" s="431">
        <v>1126</v>
      </c>
      <c r="B1142" s="750">
        <v>3142</v>
      </c>
      <c r="C1142" s="750">
        <v>5331</v>
      </c>
      <c r="D1142" s="568"/>
      <c r="E1142" s="672" t="s">
        <v>951</v>
      </c>
      <c r="F1142" s="846">
        <v>110</v>
      </c>
      <c r="G1142" s="846">
        <v>109</v>
      </c>
      <c r="H1142" s="846">
        <v>109</v>
      </c>
      <c r="I1142" s="838">
        <f t="shared" si="131"/>
        <v>100</v>
      </c>
    </row>
    <row r="1143" spans="1:20" ht="15.75" customHeight="1" x14ac:dyDescent="0.2">
      <c r="A1143" s="431"/>
      <c r="B1143" s="750"/>
      <c r="C1143" s="750"/>
      <c r="D1143" s="552" t="s">
        <v>570</v>
      </c>
      <c r="E1143" s="455" t="s">
        <v>71</v>
      </c>
      <c r="F1143" s="833">
        <v>110</v>
      </c>
      <c r="G1143" s="833">
        <v>109</v>
      </c>
      <c r="H1143" s="833">
        <v>109</v>
      </c>
      <c r="I1143" s="828">
        <f t="shared" ref="I1143" si="135">(H1143/G1143)*100</f>
        <v>100</v>
      </c>
    </row>
    <row r="1144" spans="1:20" ht="15" x14ac:dyDescent="0.25">
      <c r="A1144" s="431">
        <v>1126</v>
      </c>
      <c r="B1144" s="750">
        <v>3293</v>
      </c>
      <c r="C1144" s="750">
        <v>5336</v>
      </c>
      <c r="D1144" s="2541"/>
      <c r="E1144" s="672" t="s">
        <v>2054</v>
      </c>
      <c r="F1144" s="835"/>
      <c r="G1144" s="835">
        <v>5</v>
      </c>
      <c r="H1144" s="835">
        <v>5</v>
      </c>
      <c r="I1144" s="836">
        <f t="shared" si="131"/>
        <v>100</v>
      </c>
    </row>
    <row r="1145" spans="1:20" ht="15" thickBot="1" x14ac:dyDescent="0.25">
      <c r="A1145" s="431"/>
      <c r="B1145" s="750"/>
      <c r="C1145" s="1393"/>
      <c r="D1145" s="1325" t="s">
        <v>1127</v>
      </c>
      <c r="E1145" s="1289" t="s">
        <v>1603</v>
      </c>
      <c r="F1145" s="833"/>
      <c r="G1145" s="833">
        <v>5</v>
      </c>
      <c r="H1145" s="833">
        <v>5</v>
      </c>
      <c r="I1145" s="828">
        <f t="shared" si="131"/>
        <v>100</v>
      </c>
    </row>
    <row r="1146" spans="1:20" ht="16.5" thickTop="1" thickBot="1" x14ac:dyDescent="0.3">
      <c r="A1146" s="2672" t="s">
        <v>1105</v>
      </c>
      <c r="B1146" s="2673"/>
      <c r="C1146" s="2673"/>
      <c r="D1146" s="2673"/>
      <c r="E1146" s="2673"/>
      <c r="F1146" s="824">
        <f>F1123+F1135+F1144+F1139+F1127+F1142</f>
        <v>4692</v>
      </c>
      <c r="G1146" s="824">
        <f>G1123+G1135+G1144+G1139+G1127+G1142</f>
        <v>25626</v>
      </c>
      <c r="H1146" s="824">
        <f>H1123+H1135+H1144+H1139+H1127+H1142</f>
        <v>25626</v>
      </c>
      <c r="I1146" s="825">
        <f t="shared" si="131"/>
        <v>100</v>
      </c>
      <c r="R1146" s="382">
        <f>F1146</f>
        <v>4692</v>
      </c>
      <c r="S1146" s="382">
        <f>G1146</f>
        <v>25626</v>
      </c>
      <c r="T1146" s="382">
        <f>H1146</f>
        <v>25626</v>
      </c>
    </row>
    <row r="1147" spans="1:20" ht="13.5" thickTop="1" x14ac:dyDescent="0.2"/>
    <row r="1149" spans="1:20" ht="13.5" thickBot="1" x14ac:dyDescent="0.25">
      <c r="A1149" s="432" t="s">
        <v>257</v>
      </c>
      <c r="I1149" s="1390" t="s">
        <v>161</v>
      </c>
    </row>
    <row r="1150" spans="1:20" s="107" customFormat="1" thickTop="1" thickBot="1" x14ac:dyDescent="0.25">
      <c r="A1150" s="631" t="s">
        <v>624</v>
      </c>
      <c r="B1150" s="774" t="s">
        <v>162</v>
      </c>
      <c r="C1150" s="632" t="s">
        <v>163</v>
      </c>
      <c r="D1150" s="634" t="s">
        <v>705</v>
      </c>
      <c r="E1150" s="634" t="s">
        <v>164</v>
      </c>
      <c r="F1150" s="634" t="s">
        <v>165</v>
      </c>
      <c r="G1150" s="634" t="s">
        <v>881</v>
      </c>
      <c r="H1150" s="634" t="s">
        <v>882</v>
      </c>
      <c r="I1150" s="818" t="s">
        <v>883</v>
      </c>
    </row>
    <row r="1151" spans="1:20" s="383" customFormat="1" ht="13.5" thickTop="1" thickBot="1" x14ac:dyDescent="0.25">
      <c r="A1151" s="566">
        <v>1</v>
      </c>
      <c r="B1151" s="567">
        <v>2</v>
      </c>
      <c r="C1151" s="567">
        <v>3</v>
      </c>
      <c r="D1151" s="567">
        <v>4</v>
      </c>
      <c r="E1151" s="567">
        <v>5</v>
      </c>
      <c r="F1151" s="541">
        <v>6</v>
      </c>
      <c r="G1151" s="541">
        <v>7</v>
      </c>
      <c r="H1151" s="542">
        <v>8</v>
      </c>
      <c r="I1151" s="636" t="s">
        <v>762</v>
      </c>
    </row>
    <row r="1152" spans="1:20" ht="15.75" thickTop="1" x14ac:dyDescent="0.25">
      <c r="A1152" s="1391">
        <v>1127</v>
      </c>
      <c r="B1152" s="775">
        <v>3122</v>
      </c>
      <c r="C1152" s="775">
        <v>5331</v>
      </c>
      <c r="D1152" s="839"/>
      <c r="E1152" s="860" t="s">
        <v>951</v>
      </c>
      <c r="F1152" s="861">
        <f>F1153+F1154</f>
        <v>2659</v>
      </c>
      <c r="G1152" s="861">
        <f>G1153+G1154</f>
        <v>2695</v>
      </c>
      <c r="H1152" s="861">
        <f>H1153+H1154</f>
        <v>2695</v>
      </c>
      <c r="I1152" s="826">
        <f>(H1152/G1152)*100</f>
        <v>100</v>
      </c>
    </row>
    <row r="1153" spans="1:9" ht="14.25" x14ac:dyDescent="0.2">
      <c r="A1153" s="431"/>
      <c r="B1153" s="673"/>
      <c r="C1153" s="673"/>
      <c r="D1153" s="791" t="s">
        <v>575</v>
      </c>
      <c r="E1153" s="1478" t="s">
        <v>793</v>
      </c>
      <c r="F1153" s="827">
        <v>792</v>
      </c>
      <c r="G1153" s="827">
        <v>847</v>
      </c>
      <c r="H1153" s="827">
        <v>847</v>
      </c>
      <c r="I1153" s="823">
        <f>(H1153/G1153)*100</f>
        <v>100</v>
      </c>
    </row>
    <row r="1154" spans="1:9" ht="14.25" x14ac:dyDescent="0.2">
      <c r="A1154" s="431"/>
      <c r="B1154" s="673"/>
      <c r="C1154" s="673"/>
      <c r="D1154" s="552" t="s">
        <v>570</v>
      </c>
      <c r="E1154" s="455" t="s">
        <v>71</v>
      </c>
      <c r="F1154" s="827">
        <v>1867</v>
      </c>
      <c r="G1154" s="827">
        <v>1848</v>
      </c>
      <c r="H1154" s="827">
        <v>1848</v>
      </c>
      <c r="I1154" s="823">
        <v>100</v>
      </c>
    </row>
    <row r="1155" spans="1:9" ht="15" x14ac:dyDescent="0.25">
      <c r="A1155" s="431">
        <v>1127</v>
      </c>
      <c r="B1155" s="750">
        <v>3122</v>
      </c>
      <c r="C1155" s="750">
        <v>5336</v>
      </c>
      <c r="D1155" s="2541"/>
      <c r="E1155" s="672" t="s">
        <v>2054</v>
      </c>
      <c r="F1155" s="833"/>
      <c r="G1155" s="846">
        <f>G1156+G1157+G1158</f>
        <v>14540</v>
      </c>
      <c r="H1155" s="846">
        <f>H1156+H1157+H1158</f>
        <v>14540</v>
      </c>
      <c r="I1155" s="853">
        <v>100</v>
      </c>
    </row>
    <row r="1156" spans="1:9" ht="14.25" x14ac:dyDescent="0.2">
      <c r="A1156" s="431"/>
      <c r="B1156" s="750"/>
      <c r="C1156" s="1393"/>
      <c r="D1156" s="552" t="s">
        <v>1124</v>
      </c>
      <c r="E1156" s="455" t="s">
        <v>792</v>
      </c>
      <c r="F1156" s="833"/>
      <c r="G1156" s="833">
        <v>7024</v>
      </c>
      <c r="H1156" s="833">
        <v>7024</v>
      </c>
      <c r="I1156" s="828">
        <f>(H1156/G1156)*100</f>
        <v>100</v>
      </c>
    </row>
    <row r="1157" spans="1:9" s="383" customFormat="1" ht="14.25" x14ac:dyDescent="0.2">
      <c r="A1157" s="431"/>
      <c r="B1157" s="673"/>
      <c r="C1157" s="673"/>
      <c r="D1157" s="1404" t="s">
        <v>695</v>
      </c>
      <c r="E1157" s="1405" t="s">
        <v>1212</v>
      </c>
      <c r="F1157" s="833"/>
      <c r="G1157" s="833">
        <v>1127</v>
      </c>
      <c r="H1157" s="833">
        <v>1127</v>
      </c>
      <c r="I1157" s="828">
        <f>(H1157/G1157)*100</f>
        <v>100</v>
      </c>
    </row>
    <row r="1158" spans="1:9" s="383" customFormat="1" ht="14.25" x14ac:dyDescent="0.2">
      <c r="A1158" s="866"/>
      <c r="B1158" s="867"/>
      <c r="C1158" s="867"/>
      <c r="D1158" s="1404" t="s">
        <v>696</v>
      </c>
      <c r="E1158" s="1405" t="s">
        <v>1212</v>
      </c>
      <c r="F1158" s="833"/>
      <c r="G1158" s="833">
        <v>6389</v>
      </c>
      <c r="H1158" s="833">
        <v>6389</v>
      </c>
      <c r="I1158" s="828">
        <f>(H1158/G1158)*100</f>
        <v>100</v>
      </c>
    </row>
    <row r="1159" spans="1:9" ht="15" x14ac:dyDescent="0.25">
      <c r="A1159" s="431">
        <v>1127</v>
      </c>
      <c r="B1159" s="750">
        <v>3123</v>
      </c>
      <c r="C1159" s="1393">
        <v>5331</v>
      </c>
      <c r="D1159" s="842"/>
      <c r="E1159" s="672" t="s">
        <v>951</v>
      </c>
      <c r="F1159" s="835">
        <f>F1160+F1161+F1162+F1163</f>
        <v>5930</v>
      </c>
      <c r="G1159" s="835">
        <f>G1160+G1161+G1162+G1163</f>
        <v>6156</v>
      </c>
      <c r="H1159" s="835">
        <f>H1160+H1161+H1162+H1163</f>
        <v>6156</v>
      </c>
      <c r="I1159" s="836">
        <f t="shared" ref="I1159:I1185" si="136">(H1159/G1159)*100</f>
        <v>100</v>
      </c>
    </row>
    <row r="1160" spans="1:9" ht="14.25" x14ac:dyDescent="0.2">
      <c r="A1160" s="431"/>
      <c r="B1160" s="750"/>
      <c r="C1160" s="1393"/>
      <c r="D1160" s="791" t="s">
        <v>575</v>
      </c>
      <c r="E1160" s="1478" t="s">
        <v>793</v>
      </c>
      <c r="F1160" s="833">
        <v>896</v>
      </c>
      <c r="G1160" s="833">
        <v>834</v>
      </c>
      <c r="H1160" s="833">
        <v>834</v>
      </c>
      <c r="I1160" s="828">
        <f t="shared" si="136"/>
        <v>100</v>
      </c>
    </row>
    <row r="1161" spans="1:9" ht="14.25" x14ac:dyDescent="0.2">
      <c r="A1161" s="431"/>
      <c r="B1161" s="750"/>
      <c r="C1161" s="1393"/>
      <c r="D1161" s="552" t="s">
        <v>570</v>
      </c>
      <c r="E1161" s="455" t="s">
        <v>71</v>
      </c>
      <c r="F1161" s="833">
        <v>5034</v>
      </c>
      <c r="G1161" s="833">
        <v>4949</v>
      </c>
      <c r="H1161" s="833">
        <v>4949</v>
      </c>
      <c r="I1161" s="828">
        <f t="shared" si="136"/>
        <v>100</v>
      </c>
    </row>
    <row r="1162" spans="1:9" ht="14.25" x14ac:dyDescent="0.2">
      <c r="A1162" s="431"/>
      <c r="B1162" s="750"/>
      <c r="C1162" s="1393"/>
      <c r="D1162" s="552" t="s">
        <v>665</v>
      </c>
      <c r="E1162" s="455" t="s">
        <v>74</v>
      </c>
      <c r="F1162" s="833"/>
      <c r="G1162" s="833">
        <v>35</v>
      </c>
      <c r="H1162" s="833">
        <v>35</v>
      </c>
      <c r="I1162" s="828">
        <f t="shared" si="136"/>
        <v>100</v>
      </c>
    </row>
    <row r="1163" spans="1:9" ht="14.25" x14ac:dyDescent="0.2">
      <c r="A1163" s="431"/>
      <c r="B1163" s="750"/>
      <c r="C1163" s="1393"/>
      <c r="D1163" s="1059" t="s">
        <v>924</v>
      </c>
      <c r="E1163" s="1161" t="s">
        <v>925</v>
      </c>
      <c r="F1163" s="833"/>
      <c r="G1163" s="833">
        <v>338</v>
      </c>
      <c r="H1163" s="833">
        <v>338</v>
      </c>
      <c r="I1163" s="828">
        <f t="shared" si="136"/>
        <v>100</v>
      </c>
    </row>
    <row r="1164" spans="1:9" ht="15" x14ac:dyDescent="0.25">
      <c r="A1164" s="431">
        <v>1127</v>
      </c>
      <c r="B1164" s="750">
        <v>3123</v>
      </c>
      <c r="C1164" s="1393">
        <v>5336</v>
      </c>
      <c r="D1164" s="1069"/>
      <c r="E1164" s="672" t="s">
        <v>2054</v>
      </c>
      <c r="F1164" s="833"/>
      <c r="G1164" s="846">
        <f>G1165+G1166+G1168+G1169</f>
        <v>20505</v>
      </c>
      <c r="H1164" s="846">
        <f>H1165+H1166+H1168+H1169</f>
        <v>20505</v>
      </c>
      <c r="I1164" s="838">
        <f t="shared" si="136"/>
        <v>100</v>
      </c>
    </row>
    <row r="1165" spans="1:9" ht="14.25" x14ac:dyDescent="0.2">
      <c r="A1165" s="431"/>
      <c r="B1165" s="750"/>
      <c r="C1165" s="1393"/>
      <c r="D1165" s="1068" t="s">
        <v>1905</v>
      </c>
      <c r="E1165" s="2529" t="s">
        <v>1827</v>
      </c>
      <c r="F1165" s="314"/>
      <c r="G1165" s="316">
        <v>720</v>
      </c>
      <c r="H1165" s="316">
        <v>720</v>
      </c>
      <c r="I1165" s="1074">
        <f t="shared" si="136"/>
        <v>100</v>
      </c>
    </row>
    <row r="1166" spans="1:9" ht="14.25" x14ac:dyDescent="0.2">
      <c r="A1166" s="431"/>
      <c r="B1166" s="750"/>
      <c r="C1166" s="1393"/>
      <c r="D1166" s="1068" t="s">
        <v>1911</v>
      </c>
      <c r="E1166" s="2671" t="s">
        <v>2051</v>
      </c>
      <c r="F1166" s="827"/>
      <c r="G1166" s="837">
        <v>51</v>
      </c>
      <c r="H1166" s="837">
        <v>51</v>
      </c>
      <c r="I1166" s="823">
        <f t="shared" si="136"/>
        <v>100</v>
      </c>
    </row>
    <row r="1167" spans="1:9" ht="15" x14ac:dyDescent="0.25">
      <c r="A1167" s="431"/>
      <c r="B1167" s="750"/>
      <c r="C1167" s="1393"/>
      <c r="D1167" s="1068"/>
      <c r="E1167" s="2671"/>
      <c r="F1167" s="827"/>
      <c r="G1167" s="846"/>
      <c r="H1167" s="846"/>
      <c r="I1167" s="853"/>
    </row>
    <row r="1168" spans="1:9" ht="15" x14ac:dyDescent="0.2">
      <c r="A1168" s="431"/>
      <c r="B1168" s="750"/>
      <c r="C1168" s="1393"/>
      <c r="D1168" s="1068" t="s">
        <v>1913</v>
      </c>
      <c r="E1168" s="2113" t="s">
        <v>2052</v>
      </c>
      <c r="F1168" s="2530"/>
      <c r="G1168" s="2531">
        <v>178</v>
      </c>
      <c r="H1168" s="2531">
        <v>178</v>
      </c>
      <c r="I1168" s="376">
        <f t="shared" ref="I1168" si="137">(H1168/G1168)*100</f>
        <v>100</v>
      </c>
    </row>
    <row r="1169" spans="1:9" ht="14.25" x14ac:dyDescent="0.2">
      <c r="A1169" s="431"/>
      <c r="B1169" s="750"/>
      <c r="C1169" s="1393"/>
      <c r="D1169" s="552" t="s">
        <v>1124</v>
      </c>
      <c r="E1169" s="455" t="s">
        <v>792</v>
      </c>
      <c r="F1169" s="833"/>
      <c r="G1169" s="833">
        <v>19556</v>
      </c>
      <c r="H1169" s="833">
        <v>19556</v>
      </c>
      <c r="I1169" s="828">
        <f t="shared" si="136"/>
        <v>100</v>
      </c>
    </row>
    <row r="1170" spans="1:9" ht="15" x14ac:dyDescent="0.25">
      <c r="A1170" s="431">
        <v>1127</v>
      </c>
      <c r="B1170" s="750">
        <v>3124</v>
      </c>
      <c r="C1170" s="1393">
        <v>5331</v>
      </c>
      <c r="D1170" s="842"/>
      <c r="E1170" s="672" t="s">
        <v>951</v>
      </c>
      <c r="F1170" s="835">
        <f>SUM(F1171:F1173)</f>
        <v>52</v>
      </c>
      <c r="G1170" s="835">
        <v>51</v>
      </c>
      <c r="H1170" s="835">
        <v>51</v>
      </c>
      <c r="I1170" s="836">
        <f t="shared" si="136"/>
        <v>100</v>
      </c>
    </row>
    <row r="1171" spans="1:9" ht="14.25" x14ac:dyDescent="0.2">
      <c r="A1171" s="431"/>
      <c r="B1171" s="750"/>
      <c r="C1171" s="1393"/>
      <c r="D1171" s="552" t="s">
        <v>570</v>
      </c>
      <c r="E1171" s="455" t="s">
        <v>71</v>
      </c>
      <c r="F1171" s="833">
        <v>52</v>
      </c>
      <c r="G1171" s="833">
        <v>51</v>
      </c>
      <c r="H1171" s="833">
        <v>51</v>
      </c>
      <c r="I1171" s="828">
        <f t="shared" si="136"/>
        <v>100</v>
      </c>
    </row>
    <row r="1172" spans="1:9" ht="15" x14ac:dyDescent="0.25">
      <c r="A1172" s="431">
        <v>1127</v>
      </c>
      <c r="B1172" s="750">
        <v>3124</v>
      </c>
      <c r="C1172" s="1393">
        <v>5336</v>
      </c>
      <c r="D1172" s="552"/>
      <c r="E1172" s="672" t="s">
        <v>2054</v>
      </c>
      <c r="F1172" s="833"/>
      <c r="G1172" s="846">
        <v>2046</v>
      </c>
      <c r="H1172" s="846">
        <v>2046</v>
      </c>
      <c r="I1172" s="838">
        <f t="shared" si="136"/>
        <v>100</v>
      </c>
    </row>
    <row r="1173" spans="1:9" ht="14.25" x14ac:dyDescent="0.2">
      <c r="A1173" s="431"/>
      <c r="B1173" s="750"/>
      <c r="C1173" s="1393"/>
      <c r="D1173" s="552" t="s">
        <v>1124</v>
      </c>
      <c r="E1173" s="455" t="s">
        <v>792</v>
      </c>
      <c r="F1173" s="833"/>
      <c r="G1173" s="833">
        <v>2046</v>
      </c>
      <c r="H1173" s="833">
        <v>2046</v>
      </c>
      <c r="I1173" s="828">
        <f t="shared" si="136"/>
        <v>100</v>
      </c>
    </row>
    <row r="1174" spans="1:9" ht="15" x14ac:dyDescent="0.25">
      <c r="A1174" s="431">
        <v>1127</v>
      </c>
      <c r="B1174" s="750">
        <v>3141</v>
      </c>
      <c r="C1174" s="1393">
        <v>5336</v>
      </c>
      <c r="D1174" s="568"/>
      <c r="E1174" s="672" t="s">
        <v>2054</v>
      </c>
      <c r="F1174" s="846"/>
      <c r="G1174" s="846">
        <v>420</v>
      </c>
      <c r="H1174" s="846">
        <v>420</v>
      </c>
      <c r="I1174" s="836">
        <f t="shared" si="136"/>
        <v>100</v>
      </c>
    </row>
    <row r="1175" spans="1:9" ht="14.25" x14ac:dyDescent="0.2">
      <c r="A1175" s="431"/>
      <c r="B1175" s="750"/>
      <c r="C1175" s="1393"/>
      <c r="D1175" s="552" t="s">
        <v>1124</v>
      </c>
      <c r="E1175" s="455" t="s">
        <v>792</v>
      </c>
      <c r="F1175" s="833"/>
      <c r="G1175" s="833">
        <v>420</v>
      </c>
      <c r="H1175" s="833">
        <v>420</v>
      </c>
      <c r="I1175" s="828">
        <f t="shared" si="136"/>
        <v>100</v>
      </c>
    </row>
    <row r="1176" spans="1:9" ht="15" x14ac:dyDescent="0.25">
      <c r="A1176" s="431">
        <v>1127</v>
      </c>
      <c r="B1176" s="750">
        <v>3142</v>
      </c>
      <c r="C1176" s="750">
        <v>5331</v>
      </c>
      <c r="D1176" s="859"/>
      <c r="E1176" s="672" t="s">
        <v>951</v>
      </c>
      <c r="F1176" s="835">
        <f>F1177+F1178</f>
        <v>880</v>
      </c>
      <c r="G1176" s="835">
        <f>G1177+G1178</f>
        <v>840</v>
      </c>
      <c r="H1176" s="835">
        <f>H1177+H1178</f>
        <v>840</v>
      </c>
      <c r="I1176" s="836">
        <f t="shared" si="136"/>
        <v>100</v>
      </c>
    </row>
    <row r="1177" spans="1:9" ht="14.25" x14ac:dyDescent="0.2">
      <c r="A1177" s="431"/>
      <c r="B1177" s="750"/>
      <c r="C1177" s="750"/>
      <c r="D1177" s="791" t="s">
        <v>575</v>
      </c>
      <c r="E1177" s="1478" t="s">
        <v>793</v>
      </c>
      <c r="F1177" s="833">
        <v>128</v>
      </c>
      <c r="G1177" s="833">
        <v>96</v>
      </c>
      <c r="H1177" s="833">
        <v>96</v>
      </c>
      <c r="I1177" s="828">
        <f t="shared" si="136"/>
        <v>100</v>
      </c>
    </row>
    <row r="1178" spans="1:9" ht="14.25" x14ac:dyDescent="0.2">
      <c r="A1178" s="431"/>
      <c r="B1178" s="750"/>
      <c r="C1178" s="750"/>
      <c r="D1178" s="552" t="s">
        <v>570</v>
      </c>
      <c r="E1178" s="455" t="s">
        <v>71</v>
      </c>
      <c r="F1178" s="833">
        <v>752</v>
      </c>
      <c r="G1178" s="833">
        <v>744</v>
      </c>
      <c r="H1178" s="833">
        <v>744</v>
      </c>
      <c r="I1178" s="828">
        <f t="shared" si="136"/>
        <v>100</v>
      </c>
    </row>
    <row r="1179" spans="1:9" ht="15" x14ac:dyDescent="0.25">
      <c r="A1179" s="431">
        <v>1127</v>
      </c>
      <c r="B1179" s="750">
        <v>3142</v>
      </c>
      <c r="C1179" s="750">
        <v>5336</v>
      </c>
      <c r="D1179" s="552"/>
      <c r="E1179" s="672" t="s">
        <v>2054</v>
      </c>
      <c r="F1179" s="833"/>
      <c r="G1179" s="846">
        <v>1705</v>
      </c>
      <c r="H1179" s="846">
        <v>1705</v>
      </c>
      <c r="I1179" s="838">
        <f t="shared" si="136"/>
        <v>100</v>
      </c>
    </row>
    <row r="1180" spans="1:9" ht="14.25" x14ac:dyDescent="0.2">
      <c r="A1180" s="431"/>
      <c r="B1180" s="750"/>
      <c r="C1180" s="1393"/>
      <c r="D1180" s="552" t="s">
        <v>1124</v>
      </c>
      <c r="E1180" s="455" t="s">
        <v>792</v>
      </c>
      <c r="F1180" s="833"/>
      <c r="G1180" s="833">
        <v>1705</v>
      </c>
      <c r="H1180" s="833">
        <v>1705</v>
      </c>
      <c r="I1180" s="828">
        <f t="shared" si="136"/>
        <v>100</v>
      </c>
    </row>
    <row r="1181" spans="1:9" ht="15" x14ac:dyDescent="0.25">
      <c r="A1181" s="431">
        <v>1127</v>
      </c>
      <c r="B1181" s="750">
        <v>3147</v>
      </c>
      <c r="C1181" s="750">
        <v>5331</v>
      </c>
      <c r="D1181" s="859"/>
      <c r="E1181" s="672" t="s">
        <v>951</v>
      </c>
      <c r="F1181" s="835">
        <f>F1182+F1183</f>
        <v>716</v>
      </c>
      <c r="G1181" s="835">
        <f>G1182+G1183</f>
        <v>836</v>
      </c>
      <c r="H1181" s="835">
        <f>H1182+H1183</f>
        <v>836</v>
      </c>
      <c r="I1181" s="838">
        <f t="shared" si="136"/>
        <v>100</v>
      </c>
    </row>
    <row r="1182" spans="1:9" ht="14.25" x14ac:dyDescent="0.2">
      <c r="A1182" s="431"/>
      <c r="B1182" s="750"/>
      <c r="C1182" s="750"/>
      <c r="D1182" s="791" t="s">
        <v>575</v>
      </c>
      <c r="E1182" s="1478" t="s">
        <v>793</v>
      </c>
      <c r="F1182" s="833">
        <v>161</v>
      </c>
      <c r="G1182" s="833">
        <v>287</v>
      </c>
      <c r="H1182" s="833">
        <v>287</v>
      </c>
      <c r="I1182" s="1515">
        <f t="shared" si="136"/>
        <v>100</v>
      </c>
    </row>
    <row r="1183" spans="1:9" ht="14.25" x14ac:dyDescent="0.2">
      <c r="A1183" s="1516"/>
      <c r="B1183" s="750"/>
      <c r="C1183" s="750"/>
      <c r="D1183" s="552" t="s">
        <v>570</v>
      </c>
      <c r="E1183" s="455" t="s">
        <v>71</v>
      </c>
      <c r="F1183" s="833">
        <v>555</v>
      </c>
      <c r="G1183" s="833">
        <v>549</v>
      </c>
      <c r="H1183" s="833">
        <v>549</v>
      </c>
      <c r="I1183" s="1515">
        <f t="shared" si="136"/>
        <v>100</v>
      </c>
    </row>
    <row r="1184" spans="1:9" ht="15" x14ac:dyDescent="0.25">
      <c r="A1184" s="1516">
        <v>1127</v>
      </c>
      <c r="B1184" s="750">
        <v>3147</v>
      </c>
      <c r="C1184" s="750">
        <v>5336</v>
      </c>
      <c r="D1184" s="568"/>
      <c r="E1184" s="672" t="s">
        <v>2054</v>
      </c>
      <c r="F1184" s="833"/>
      <c r="G1184" s="846">
        <v>3323</v>
      </c>
      <c r="H1184" s="846">
        <v>3323</v>
      </c>
      <c r="I1184" s="1517">
        <f t="shared" si="136"/>
        <v>100</v>
      </c>
    </row>
    <row r="1185" spans="1:20" ht="14.25" customHeight="1" thickBot="1" x14ac:dyDescent="0.25">
      <c r="A1185" s="1516"/>
      <c r="B1185" s="750"/>
      <c r="C1185" s="1393"/>
      <c r="D1185" s="568" t="s">
        <v>1124</v>
      </c>
      <c r="E1185" s="868" t="s">
        <v>792</v>
      </c>
      <c r="F1185" s="833"/>
      <c r="G1185" s="833">
        <v>3323</v>
      </c>
      <c r="H1185" s="833">
        <v>3323</v>
      </c>
      <c r="I1185" s="1515">
        <f t="shared" si="136"/>
        <v>100</v>
      </c>
    </row>
    <row r="1186" spans="1:20" ht="16.5" thickTop="1" thickBot="1" x14ac:dyDescent="0.3">
      <c r="A1186" s="2693" t="s">
        <v>1105</v>
      </c>
      <c r="B1186" s="2673"/>
      <c r="C1186" s="2673"/>
      <c r="D1186" s="2673"/>
      <c r="E1186" s="2673"/>
      <c r="F1186" s="824">
        <f>F1152+F1159+F1170+F1176+F1181+F1172+F1174+F1179+F1184+F1164+F1155</f>
        <v>10237</v>
      </c>
      <c r="G1186" s="824">
        <f>G1152+G1159+G1170+G1176+G1181+G1172+G1174+G1179+G1184+G1164+G1155</f>
        <v>53117</v>
      </c>
      <c r="H1186" s="824">
        <f>H1152+H1159+H1170+H1176+H1181+H1172+H1174+H1179+H1184+H1164+H1155</f>
        <v>53117</v>
      </c>
      <c r="I1186" s="898">
        <f>(H1186/G1186)*100</f>
        <v>100</v>
      </c>
      <c r="R1186" s="382">
        <f>F1186</f>
        <v>10237</v>
      </c>
      <c r="S1186" s="382">
        <f>G1186</f>
        <v>53117</v>
      </c>
      <c r="T1186" s="382">
        <f>H1186</f>
        <v>53117</v>
      </c>
    </row>
    <row r="1187" spans="1:20" ht="15.75" thickTop="1" x14ac:dyDescent="0.25">
      <c r="A1187" s="368"/>
      <c r="B1187" s="368"/>
      <c r="C1187" s="368"/>
      <c r="D1187" s="368"/>
      <c r="E1187" s="368"/>
      <c r="F1187" s="183"/>
      <c r="G1187" s="183"/>
      <c r="H1187" s="183"/>
      <c r="I1187" s="214"/>
      <c r="R1187" s="382"/>
      <c r="S1187" s="382"/>
      <c r="T1187" s="382"/>
    </row>
    <row r="1188" spans="1:20" ht="15" x14ac:dyDescent="0.25">
      <c r="A1188" s="368"/>
      <c r="B1188" s="368"/>
      <c r="C1188" s="368"/>
      <c r="D1188" s="368"/>
      <c r="E1188" s="368"/>
      <c r="F1188" s="183"/>
      <c r="G1188" s="183"/>
      <c r="H1188" s="183"/>
      <c r="I1188" s="214"/>
      <c r="R1188" s="382"/>
      <c r="S1188" s="382"/>
      <c r="T1188" s="382"/>
    </row>
    <row r="1189" spans="1:20" ht="15" x14ac:dyDescent="0.25">
      <c r="A1189" s="368"/>
      <c r="B1189" s="368"/>
      <c r="C1189" s="368"/>
      <c r="D1189" s="368"/>
      <c r="E1189" s="368"/>
      <c r="F1189" s="183"/>
      <c r="G1189" s="183"/>
      <c r="H1189" s="183"/>
      <c r="I1189" s="214"/>
      <c r="R1189" s="382"/>
      <c r="S1189" s="382"/>
      <c r="T1189" s="382"/>
    </row>
    <row r="1190" spans="1:20" ht="15" x14ac:dyDescent="0.25">
      <c r="A1190" s="368"/>
      <c r="B1190" s="368"/>
      <c r="C1190" s="368"/>
      <c r="D1190" s="368"/>
      <c r="E1190" s="368"/>
      <c r="F1190" s="183"/>
      <c r="G1190" s="183"/>
      <c r="H1190" s="183"/>
      <c r="I1190" s="214"/>
      <c r="R1190" s="382"/>
      <c r="S1190" s="382"/>
      <c r="T1190" s="382"/>
    </row>
    <row r="1191" spans="1:20" ht="13.5" thickBot="1" x14ac:dyDescent="0.25">
      <c r="A1191" s="432" t="s">
        <v>1211</v>
      </c>
      <c r="I1191" s="1390" t="s">
        <v>161</v>
      </c>
    </row>
    <row r="1192" spans="1:20" s="107" customFormat="1" thickTop="1" thickBot="1" x14ac:dyDescent="0.25">
      <c r="A1192" s="631" t="s">
        <v>624</v>
      </c>
      <c r="B1192" s="774" t="s">
        <v>162</v>
      </c>
      <c r="C1192" s="632" t="s">
        <v>163</v>
      </c>
      <c r="D1192" s="634" t="s">
        <v>705</v>
      </c>
      <c r="E1192" s="634" t="s">
        <v>164</v>
      </c>
      <c r="F1192" s="634" t="s">
        <v>165</v>
      </c>
      <c r="G1192" s="634" t="s">
        <v>881</v>
      </c>
      <c r="H1192" s="634" t="s">
        <v>882</v>
      </c>
      <c r="I1192" s="818" t="s">
        <v>883</v>
      </c>
    </row>
    <row r="1193" spans="1:20" s="383" customFormat="1" ht="13.5" thickTop="1" thickBot="1" x14ac:dyDescent="0.25">
      <c r="A1193" s="566">
        <v>1</v>
      </c>
      <c r="B1193" s="567">
        <v>2</v>
      </c>
      <c r="C1193" s="567">
        <v>3</v>
      </c>
      <c r="D1193" s="567">
        <v>4</v>
      </c>
      <c r="E1193" s="567">
        <v>5</v>
      </c>
      <c r="F1193" s="541">
        <v>6</v>
      </c>
      <c r="G1193" s="541">
        <v>7</v>
      </c>
      <c r="H1193" s="542">
        <v>8</v>
      </c>
      <c r="I1193" s="636" t="s">
        <v>762</v>
      </c>
    </row>
    <row r="1194" spans="1:20" ht="20.25" customHeight="1" thickTop="1" x14ac:dyDescent="0.25">
      <c r="A1194" s="1391">
        <v>1128</v>
      </c>
      <c r="B1194" s="775">
        <v>3122</v>
      </c>
      <c r="C1194" s="775">
        <v>5331</v>
      </c>
      <c r="D1194" s="839"/>
      <c r="E1194" s="860" t="s">
        <v>951</v>
      </c>
      <c r="F1194" s="861">
        <f>F1195+F1196</f>
        <v>2716</v>
      </c>
      <c r="G1194" s="861">
        <f>G1195+G1196</f>
        <v>2720</v>
      </c>
      <c r="H1194" s="861">
        <f>H1195+H1196</f>
        <v>2720</v>
      </c>
      <c r="I1194" s="826">
        <f t="shared" ref="I1194:I1222" si="138">(H1194/G1194)*100</f>
        <v>100</v>
      </c>
    </row>
    <row r="1195" spans="1:20" ht="14.25" x14ac:dyDescent="0.2">
      <c r="A1195" s="431"/>
      <c r="B1195" s="673"/>
      <c r="C1195" s="673"/>
      <c r="D1195" s="707" t="s">
        <v>575</v>
      </c>
      <c r="E1195" s="1478" t="s">
        <v>793</v>
      </c>
      <c r="F1195" s="827">
        <v>623</v>
      </c>
      <c r="G1195" s="827">
        <v>648</v>
      </c>
      <c r="H1195" s="827">
        <v>648</v>
      </c>
      <c r="I1195" s="823">
        <f t="shared" si="138"/>
        <v>100</v>
      </c>
    </row>
    <row r="1196" spans="1:20" ht="14.25" x14ac:dyDescent="0.2">
      <c r="A1196" s="431"/>
      <c r="B1196" s="673"/>
      <c r="C1196" s="673"/>
      <c r="D1196" s="552" t="s">
        <v>570</v>
      </c>
      <c r="E1196" s="455" t="s">
        <v>71</v>
      </c>
      <c r="F1196" s="827">
        <v>2093</v>
      </c>
      <c r="G1196" s="827">
        <v>2072</v>
      </c>
      <c r="H1196" s="827">
        <v>2072</v>
      </c>
      <c r="I1196" s="823">
        <f t="shared" si="138"/>
        <v>100</v>
      </c>
    </row>
    <row r="1197" spans="1:20" ht="15" x14ac:dyDescent="0.25">
      <c r="A1197" s="431">
        <v>1128</v>
      </c>
      <c r="B1197" s="673">
        <v>3122</v>
      </c>
      <c r="C1197" s="673">
        <v>5336</v>
      </c>
      <c r="D1197" s="2541"/>
      <c r="E1197" s="672" t="s">
        <v>2054</v>
      </c>
      <c r="F1197" s="827"/>
      <c r="G1197" s="851">
        <f>G1198+G1199+G1200+G1202+G1203</f>
        <v>16498</v>
      </c>
      <c r="H1197" s="851">
        <f>H1198+H1199+H1200+H1202+H1203</f>
        <v>16498</v>
      </c>
      <c r="I1197" s="853">
        <f t="shared" si="138"/>
        <v>100</v>
      </c>
    </row>
    <row r="1198" spans="1:20" ht="14.25" x14ac:dyDescent="0.2">
      <c r="A1198" s="431"/>
      <c r="B1198" s="673"/>
      <c r="C1198" s="673"/>
      <c r="D1198" s="1068" t="s">
        <v>1504</v>
      </c>
      <c r="E1198" s="1795" t="s">
        <v>1604</v>
      </c>
      <c r="F1198" s="314"/>
      <c r="G1198" s="316">
        <v>30</v>
      </c>
      <c r="H1198" s="316">
        <v>30</v>
      </c>
      <c r="I1198" s="1074">
        <f t="shared" si="138"/>
        <v>100</v>
      </c>
    </row>
    <row r="1199" spans="1:20" ht="14.25" x14ac:dyDescent="0.2">
      <c r="A1199" s="431"/>
      <c r="B1199" s="673"/>
      <c r="C1199" s="673"/>
      <c r="D1199" s="1068" t="s">
        <v>1905</v>
      </c>
      <c r="E1199" s="2529" t="s">
        <v>1827</v>
      </c>
      <c r="F1199" s="314"/>
      <c r="G1199" s="316">
        <v>966</v>
      </c>
      <c r="H1199" s="316">
        <v>966</v>
      </c>
      <c r="I1199" s="1074">
        <f t="shared" si="138"/>
        <v>100</v>
      </c>
    </row>
    <row r="1200" spans="1:20" ht="14.25" x14ac:dyDescent="0.2">
      <c r="A1200" s="431"/>
      <c r="B1200" s="673"/>
      <c r="C1200" s="673"/>
      <c r="D1200" s="1068" t="s">
        <v>1911</v>
      </c>
      <c r="E1200" s="2671" t="s">
        <v>2051</v>
      </c>
      <c r="F1200" s="827"/>
      <c r="G1200" s="837">
        <v>31</v>
      </c>
      <c r="H1200" s="837">
        <v>31</v>
      </c>
      <c r="I1200" s="823">
        <f t="shared" si="138"/>
        <v>100</v>
      </c>
    </row>
    <row r="1201" spans="1:9" ht="15" x14ac:dyDescent="0.25">
      <c r="A1201" s="431"/>
      <c r="B1201" s="673"/>
      <c r="C1201" s="673"/>
      <c r="D1201" s="1068"/>
      <c r="E1201" s="2671"/>
      <c r="F1201" s="827"/>
      <c r="G1201" s="846"/>
      <c r="H1201" s="846"/>
      <c r="I1201" s="853"/>
    </row>
    <row r="1202" spans="1:9" ht="15" x14ac:dyDescent="0.2">
      <c r="A1202" s="431"/>
      <c r="B1202" s="673"/>
      <c r="C1202" s="673"/>
      <c r="D1202" s="1068" t="s">
        <v>1913</v>
      </c>
      <c r="E1202" s="2113" t="s">
        <v>2052</v>
      </c>
      <c r="F1202" s="2530"/>
      <c r="G1202" s="2531">
        <v>155</v>
      </c>
      <c r="H1202" s="2531">
        <v>155</v>
      </c>
      <c r="I1202" s="376">
        <f t="shared" ref="I1202" si="139">(H1202/G1202)*100</f>
        <v>100</v>
      </c>
    </row>
    <row r="1203" spans="1:9" ht="14.25" x14ac:dyDescent="0.2">
      <c r="A1203" s="431"/>
      <c r="B1203" s="673"/>
      <c r="C1203" s="673"/>
      <c r="D1203" s="552" t="s">
        <v>1124</v>
      </c>
      <c r="E1203" s="455" t="s">
        <v>792</v>
      </c>
      <c r="F1203" s="827"/>
      <c r="G1203" s="827">
        <v>15316</v>
      </c>
      <c r="H1203" s="827">
        <v>15316</v>
      </c>
      <c r="I1203" s="823">
        <f t="shared" si="138"/>
        <v>100</v>
      </c>
    </row>
    <row r="1204" spans="1:9" ht="15" x14ac:dyDescent="0.25">
      <c r="A1204" s="431">
        <v>1128</v>
      </c>
      <c r="B1204" s="750">
        <v>3123</v>
      </c>
      <c r="C1204" s="750">
        <v>5331</v>
      </c>
      <c r="D1204" s="859"/>
      <c r="E1204" s="672" t="s">
        <v>951</v>
      </c>
      <c r="F1204" s="835">
        <f>SUM(F1205:F1209)</f>
        <v>1903</v>
      </c>
      <c r="G1204" s="835">
        <f>G1205+G1206+G1207</f>
        <v>2381</v>
      </c>
      <c r="H1204" s="835">
        <f>H1205+H1206+H1207</f>
        <v>2381</v>
      </c>
      <c r="I1204" s="836">
        <f t="shared" si="138"/>
        <v>100</v>
      </c>
    </row>
    <row r="1205" spans="1:9" ht="14.25" x14ac:dyDescent="0.2">
      <c r="A1205" s="431"/>
      <c r="B1205" s="750"/>
      <c r="C1205" s="750"/>
      <c r="D1205" s="707" t="s">
        <v>575</v>
      </c>
      <c r="E1205" s="1478" t="s">
        <v>793</v>
      </c>
      <c r="F1205" s="833">
        <v>303</v>
      </c>
      <c r="G1205" s="833">
        <v>384</v>
      </c>
      <c r="H1205" s="833">
        <v>384</v>
      </c>
      <c r="I1205" s="828">
        <f t="shared" si="138"/>
        <v>100</v>
      </c>
    </row>
    <row r="1206" spans="1:9" ht="16.5" customHeight="1" x14ac:dyDescent="0.2">
      <c r="A1206" s="431"/>
      <c r="B1206" s="750"/>
      <c r="C1206" s="750"/>
      <c r="D1206" s="552" t="s">
        <v>570</v>
      </c>
      <c r="E1206" s="455" t="s">
        <v>71</v>
      </c>
      <c r="F1206" s="833">
        <v>1600</v>
      </c>
      <c r="G1206" s="833">
        <v>1584</v>
      </c>
      <c r="H1206" s="833">
        <v>1584</v>
      </c>
      <c r="I1206" s="828">
        <f t="shared" si="138"/>
        <v>100</v>
      </c>
    </row>
    <row r="1207" spans="1:9" ht="14.25" x14ac:dyDescent="0.2">
      <c r="A1207" s="431"/>
      <c r="B1207" s="750"/>
      <c r="C1207" s="750"/>
      <c r="D1207" s="1069" t="s">
        <v>924</v>
      </c>
      <c r="E1207" s="1161" t="s">
        <v>925</v>
      </c>
      <c r="F1207" s="833"/>
      <c r="G1207" s="833">
        <v>413</v>
      </c>
      <c r="H1207" s="833">
        <v>413</v>
      </c>
      <c r="I1207" s="828">
        <f t="shared" si="138"/>
        <v>100</v>
      </c>
    </row>
    <row r="1208" spans="1:9" ht="15" x14ac:dyDescent="0.25">
      <c r="A1208" s="431">
        <v>1128</v>
      </c>
      <c r="B1208" s="750">
        <v>3123</v>
      </c>
      <c r="C1208" s="750">
        <v>5336</v>
      </c>
      <c r="D1208" s="2541"/>
      <c r="E1208" s="672" t="s">
        <v>2054</v>
      </c>
      <c r="F1208" s="833"/>
      <c r="G1208" s="846">
        <v>12265</v>
      </c>
      <c r="H1208" s="846">
        <v>12265</v>
      </c>
      <c r="I1208" s="838">
        <f t="shared" si="138"/>
        <v>100</v>
      </c>
    </row>
    <row r="1209" spans="1:9" ht="14.25" x14ac:dyDescent="0.2">
      <c r="A1209" s="431"/>
      <c r="B1209" s="750"/>
      <c r="C1209" s="750"/>
      <c r="D1209" s="552" t="s">
        <v>1124</v>
      </c>
      <c r="E1209" s="455" t="s">
        <v>792</v>
      </c>
      <c r="F1209" s="833"/>
      <c r="G1209" s="833">
        <v>12265</v>
      </c>
      <c r="H1209" s="833">
        <v>12265</v>
      </c>
      <c r="I1209" s="828">
        <f t="shared" si="138"/>
        <v>100</v>
      </c>
    </row>
    <row r="1210" spans="1:9" ht="15" x14ac:dyDescent="0.25">
      <c r="A1210" s="431">
        <v>1128</v>
      </c>
      <c r="B1210" s="673">
        <v>3142</v>
      </c>
      <c r="C1210" s="673">
        <v>5331</v>
      </c>
      <c r="D1210" s="819"/>
      <c r="E1210" s="792" t="s">
        <v>951</v>
      </c>
      <c r="F1210" s="820">
        <f>F1211+F1212</f>
        <v>685</v>
      </c>
      <c r="G1210" s="820">
        <f>G1211+G1212</f>
        <v>453</v>
      </c>
      <c r="H1210" s="820">
        <f>H1211+H1212</f>
        <v>453</v>
      </c>
      <c r="I1210" s="836">
        <f t="shared" si="138"/>
        <v>100</v>
      </c>
    </row>
    <row r="1211" spans="1:9" ht="14.25" x14ac:dyDescent="0.2">
      <c r="A1211" s="431"/>
      <c r="B1211" s="750"/>
      <c r="C1211" s="750"/>
      <c r="D1211" s="707" t="s">
        <v>575</v>
      </c>
      <c r="E1211" s="1478" t="s">
        <v>793</v>
      </c>
      <c r="F1211" s="833">
        <v>85</v>
      </c>
      <c r="G1211" s="833">
        <v>57</v>
      </c>
      <c r="H1211" s="833">
        <v>57</v>
      </c>
      <c r="I1211" s="828">
        <f t="shared" si="138"/>
        <v>100</v>
      </c>
    </row>
    <row r="1212" spans="1:9" ht="14.25" x14ac:dyDescent="0.2">
      <c r="A1212" s="431"/>
      <c r="B1212" s="750"/>
      <c r="C1212" s="750"/>
      <c r="D1212" s="552" t="s">
        <v>570</v>
      </c>
      <c r="E1212" s="455" t="s">
        <v>71</v>
      </c>
      <c r="F1212" s="833">
        <v>600</v>
      </c>
      <c r="G1212" s="833">
        <v>396</v>
      </c>
      <c r="H1212" s="833">
        <v>396</v>
      </c>
      <c r="I1212" s="828">
        <f t="shared" si="138"/>
        <v>100</v>
      </c>
    </row>
    <row r="1213" spans="1:9" ht="15" x14ac:dyDescent="0.25">
      <c r="A1213" s="431">
        <v>1128</v>
      </c>
      <c r="B1213" s="750">
        <v>3142</v>
      </c>
      <c r="C1213" s="750">
        <v>5336</v>
      </c>
      <c r="D1213" s="552"/>
      <c r="E1213" s="672" t="s">
        <v>2054</v>
      </c>
      <c r="F1213" s="833"/>
      <c r="G1213" s="846">
        <v>1034</v>
      </c>
      <c r="H1213" s="846">
        <v>1034</v>
      </c>
      <c r="I1213" s="838">
        <f t="shared" si="138"/>
        <v>100</v>
      </c>
    </row>
    <row r="1214" spans="1:9" ht="14.25" x14ac:dyDescent="0.2">
      <c r="A1214" s="431"/>
      <c r="B1214" s="750"/>
      <c r="C1214" s="1393"/>
      <c r="D1214" s="552" t="s">
        <v>1124</v>
      </c>
      <c r="E1214" s="455" t="s">
        <v>792</v>
      </c>
      <c r="F1214" s="833"/>
      <c r="G1214" s="833">
        <v>1034</v>
      </c>
      <c r="H1214" s="833">
        <v>1034</v>
      </c>
      <c r="I1214" s="828">
        <f t="shared" si="138"/>
        <v>100</v>
      </c>
    </row>
    <row r="1215" spans="1:9" ht="15" x14ac:dyDescent="0.25">
      <c r="A1215" s="431">
        <v>1128</v>
      </c>
      <c r="B1215" s="750">
        <v>3147</v>
      </c>
      <c r="C1215" s="750">
        <v>5331</v>
      </c>
      <c r="D1215" s="859"/>
      <c r="E1215" s="672" t="s">
        <v>951</v>
      </c>
      <c r="F1215" s="835">
        <f>F1216+F1217</f>
        <v>547</v>
      </c>
      <c r="G1215" s="835">
        <f>G1216+G1217</f>
        <v>543</v>
      </c>
      <c r="H1215" s="835">
        <f>H1216+H1217</f>
        <v>543</v>
      </c>
      <c r="I1215" s="836">
        <f t="shared" si="138"/>
        <v>100</v>
      </c>
    </row>
    <row r="1216" spans="1:9" ht="14.25" x14ac:dyDescent="0.2">
      <c r="A1216" s="431"/>
      <c r="B1216" s="750"/>
      <c r="C1216" s="750"/>
      <c r="D1216" s="707" t="s">
        <v>575</v>
      </c>
      <c r="E1216" s="1478" t="s">
        <v>793</v>
      </c>
      <c r="F1216" s="833">
        <v>147</v>
      </c>
      <c r="G1216" s="833">
        <v>147</v>
      </c>
      <c r="H1216" s="833">
        <v>147</v>
      </c>
      <c r="I1216" s="828">
        <f t="shared" si="138"/>
        <v>100</v>
      </c>
    </row>
    <row r="1217" spans="1:20" ht="14.25" x14ac:dyDescent="0.2">
      <c r="A1217" s="431"/>
      <c r="B1217" s="750"/>
      <c r="C1217" s="750"/>
      <c r="D1217" s="552" t="s">
        <v>570</v>
      </c>
      <c r="E1217" s="455" t="s">
        <v>71</v>
      </c>
      <c r="F1217" s="833">
        <v>400</v>
      </c>
      <c r="G1217" s="833">
        <v>396</v>
      </c>
      <c r="H1217" s="833">
        <v>396</v>
      </c>
      <c r="I1217" s="828">
        <f t="shared" si="138"/>
        <v>100</v>
      </c>
    </row>
    <row r="1218" spans="1:20" ht="15" x14ac:dyDescent="0.25">
      <c r="A1218" s="431">
        <v>1128</v>
      </c>
      <c r="B1218" s="750">
        <v>3147</v>
      </c>
      <c r="C1218" s="750">
        <v>5336</v>
      </c>
      <c r="D1218" s="552"/>
      <c r="E1218" s="672" t="s">
        <v>2054</v>
      </c>
      <c r="F1218" s="833"/>
      <c r="G1218" s="846">
        <v>4020</v>
      </c>
      <c r="H1218" s="846">
        <v>4020</v>
      </c>
      <c r="I1218" s="838">
        <f t="shared" si="138"/>
        <v>100</v>
      </c>
    </row>
    <row r="1219" spans="1:20" ht="14.25" x14ac:dyDescent="0.2">
      <c r="A1219" s="431"/>
      <c r="B1219" s="750"/>
      <c r="C1219" s="1393"/>
      <c r="D1219" s="552" t="s">
        <v>1124</v>
      </c>
      <c r="E1219" s="455" t="s">
        <v>792</v>
      </c>
      <c r="F1219" s="833"/>
      <c r="G1219" s="833">
        <v>4020</v>
      </c>
      <c r="H1219" s="833">
        <v>4020</v>
      </c>
      <c r="I1219" s="828">
        <f t="shared" si="138"/>
        <v>100</v>
      </c>
    </row>
    <row r="1220" spans="1:20" ht="15" x14ac:dyDescent="0.25">
      <c r="A1220" s="431">
        <v>1128</v>
      </c>
      <c r="B1220" s="750">
        <v>3293</v>
      </c>
      <c r="C1220" s="750">
        <v>5336</v>
      </c>
      <c r="D1220" s="552"/>
      <c r="E1220" s="672" t="s">
        <v>2054</v>
      </c>
      <c r="F1220" s="833"/>
      <c r="G1220" s="846">
        <v>16</v>
      </c>
      <c r="H1220" s="846">
        <v>16</v>
      </c>
      <c r="I1220" s="838">
        <f t="shared" si="138"/>
        <v>100</v>
      </c>
    </row>
    <row r="1221" spans="1:20" ht="15" thickBot="1" x14ac:dyDescent="0.25">
      <c r="A1221" s="431"/>
      <c r="B1221" s="750"/>
      <c r="C1221" s="1393"/>
      <c r="D1221" s="1325" t="s">
        <v>1127</v>
      </c>
      <c r="E1221" s="1289" t="s">
        <v>1603</v>
      </c>
      <c r="F1221" s="833"/>
      <c r="G1221" s="833">
        <v>16</v>
      </c>
      <c r="H1221" s="833">
        <v>16</v>
      </c>
      <c r="I1221" s="828">
        <f t="shared" si="138"/>
        <v>100</v>
      </c>
    </row>
    <row r="1222" spans="1:20" ht="16.5" thickTop="1" thickBot="1" x14ac:dyDescent="0.3">
      <c r="A1222" s="2672" t="s">
        <v>1105</v>
      </c>
      <c r="B1222" s="2673"/>
      <c r="C1222" s="2673"/>
      <c r="D1222" s="2673"/>
      <c r="E1222" s="2673"/>
      <c r="F1222" s="824">
        <f>F1194+F1197+F1204+F1208+F1210+F1213+F1215+F1218</f>
        <v>5851</v>
      </c>
      <c r="G1222" s="824">
        <f>G1194+G1197+G1204+G1208+G1210+G1213+G1215+G1218+G1220</f>
        <v>39930</v>
      </c>
      <c r="H1222" s="824">
        <f>H1194+H1197+H1204+H1208+H1210+H1213+H1215+H1218+H1220</f>
        <v>39930</v>
      </c>
      <c r="I1222" s="825">
        <f t="shared" si="138"/>
        <v>100</v>
      </c>
      <c r="R1222" s="382">
        <f>F1222</f>
        <v>5851</v>
      </c>
      <c r="S1222" s="382">
        <f>G1222</f>
        <v>39930</v>
      </c>
      <c r="T1222" s="382">
        <f>H1222</f>
        <v>39930</v>
      </c>
    </row>
    <row r="1223" spans="1:20" ht="13.5" thickTop="1" x14ac:dyDescent="0.2"/>
    <row r="1226" spans="1:20" ht="13.5" thickBot="1" x14ac:dyDescent="0.25">
      <c r="A1226" s="432" t="s">
        <v>406</v>
      </c>
      <c r="I1226" s="1390" t="s">
        <v>161</v>
      </c>
    </row>
    <row r="1227" spans="1:20" s="107" customFormat="1" thickTop="1" thickBot="1" x14ac:dyDescent="0.25">
      <c r="A1227" s="631" t="s">
        <v>624</v>
      </c>
      <c r="B1227" s="774" t="s">
        <v>162</v>
      </c>
      <c r="C1227" s="632" t="s">
        <v>163</v>
      </c>
      <c r="D1227" s="634" t="s">
        <v>705</v>
      </c>
      <c r="E1227" s="634" t="s">
        <v>164</v>
      </c>
      <c r="F1227" s="634" t="s">
        <v>165</v>
      </c>
      <c r="G1227" s="634" t="s">
        <v>881</v>
      </c>
      <c r="H1227" s="634" t="s">
        <v>882</v>
      </c>
      <c r="I1227" s="818" t="s">
        <v>883</v>
      </c>
    </row>
    <row r="1228" spans="1:20" s="383" customFormat="1" ht="13.5" thickTop="1" thickBot="1" x14ac:dyDescent="0.25">
      <c r="A1228" s="566">
        <v>1</v>
      </c>
      <c r="B1228" s="567">
        <v>2</v>
      </c>
      <c r="C1228" s="567">
        <v>3</v>
      </c>
      <c r="D1228" s="567">
        <v>4</v>
      </c>
      <c r="E1228" s="567">
        <v>5</v>
      </c>
      <c r="F1228" s="541">
        <v>6</v>
      </c>
      <c r="G1228" s="541">
        <v>7</v>
      </c>
      <c r="H1228" s="542">
        <v>8</v>
      </c>
      <c r="I1228" s="636" t="s">
        <v>762</v>
      </c>
    </row>
    <row r="1229" spans="1:20" ht="15.75" thickTop="1" x14ac:dyDescent="0.25">
      <c r="A1229" s="1391">
        <v>1129</v>
      </c>
      <c r="B1229" s="775">
        <v>3122</v>
      </c>
      <c r="C1229" s="775">
        <v>5331</v>
      </c>
      <c r="D1229" s="839"/>
      <c r="E1229" s="860" t="s">
        <v>951</v>
      </c>
      <c r="F1229" s="861">
        <f>F1230+F1231</f>
        <v>2799</v>
      </c>
      <c r="G1229" s="861">
        <f>G1230+G1231</f>
        <v>2775</v>
      </c>
      <c r="H1229" s="861">
        <f>H1230+H1231</f>
        <v>2775</v>
      </c>
      <c r="I1229" s="826">
        <f t="shared" ref="I1229:I1239" si="140">(H1229/G1229)*100</f>
        <v>100</v>
      </c>
    </row>
    <row r="1230" spans="1:20" ht="14.25" x14ac:dyDescent="0.2">
      <c r="A1230" s="431"/>
      <c r="B1230" s="673"/>
      <c r="C1230" s="673"/>
      <c r="D1230" s="707" t="s">
        <v>575</v>
      </c>
      <c r="E1230" s="1478" t="s">
        <v>793</v>
      </c>
      <c r="F1230" s="827">
        <v>400</v>
      </c>
      <c r="G1230" s="827">
        <v>400</v>
      </c>
      <c r="H1230" s="827">
        <v>400</v>
      </c>
      <c r="I1230" s="823">
        <f t="shared" si="140"/>
        <v>100</v>
      </c>
    </row>
    <row r="1231" spans="1:20" ht="14.25" x14ac:dyDescent="0.2">
      <c r="A1231" s="431"/>
      <c r="B1231" s="673"/>
      <c r="C1231" s="673"/>
      <c r="D1231" s="552" t="s">
        <v>570</v>
      </c>
      <c r="E1231" s="455" t="s">
        <v>71</v>
      </c>
      <c r="F1231" s="827">
        <v>2399</v>
      </c>
      <c r="G1231" s="827">
        <v>2375</v>
      </c>
      <c r="H1231" s="827">
        <v>2375</v>
      </c>
      <c r="I1231" s="823">
        <f t="shared" si="140"/>
        <v>100</v>
      </c>
      <c r="J1231" s="381" t="s">
        <v>378</v>
      </c>
    </row>
    <row r="1232" spans="1:20" ht="15" x14ac:dyDescent="0.25">
      <c r="A1232" s="431">
        <v>1129</v>
      </c>
      <c r="B1232" s="673">
        <v>3122</v>
      </c>
      <c r="C1232" s="673">
        <v>5336</v>
      </c>
      <c r="D1232" s="2541"/>
      <c r="E1232" s="672" t="s">
        <v>2054</v>
      </c>
      <c r="F1232" s="827"/>
      <c r="G1232" s="846">
        <f>G1233+G1234+G1236+G1237</f>
        <v>10255</v>
      </c>
      <c r="H1232" s="846">
        <f>H1233+H1234+H1236+H1237</f>
        <v>10255</v>
      </c>
      <c r="I1232" s="853">
        <f t="shared" si="140"/>
        <v>100</v>
      </c>
    </row>
    <row r="1233" spans="1:20" ht="14.25" x14ac:dyDescent="0.2">
      <c r="A1233" s="431"/>
      <c r="B1233" s="673"/>
      <c r="C1233" s="673"/>
      <c r="D1233" s="1068" t="s">
        <v>1504</v>
      </c>
      <c r="E1233" s="1795" t="s">
        <v>1604</v>
      </c>
      <c r="F1233" s="314"/>
      <c r="G1233" s="316">
        <v>10</v>
      </c>
      <c r="H1233" s="316">
        <v>10</v>
      </c>
      <c r="I1233" s="1074">
        <f t="shared" si="140"/>
        <v>100</v>
      </c>
    </row>
    <row r="1234" spans="1:20" ht="14.25" x14ac:dyDescent="0.2">
      <c r="A1234" s="431"/>
      <c r="B1234" s="673"/>
      <c r="C1234" s="673"/>
      <c r="D1234" s="1068" t="s">
        <v>1911</v>
      </c>
      <c r="E1234" s="2671" t="s">
        <v>2051</v>
      </c>
      <c r="F1234" s="827"/>
      <c r="G1234" s="837">
        <v>11</v>
      </c>
      <c r="H1234" s="837">
        <v>11</v>
      </c>
      <c r="I1234" s="823">
        <f t="shared" si="140"/>
        <v>100</v>
      </c>
    </row>
    <row r="1235" spans="1:20" ht="15" x14ac:dyDescent="0.25">
      <c r="A1235" s="431"/>
      <c r="B1235" s="673"/>
      <c r="C1235" s="673"/>
      <c r="D1235" s="1068"/>
      <c r="E1235" s="2671"/>
      <c r="F1235" s="827"/>
      <c r="G1235" s="846"/>
      <c r="H1235" s="846"/>
      <c r="I1235" s="853"/>
    </row>
    <row r="1236" spans="1:20" ht="15" x14ac:dyDescent="0.2">
      <c r="A1236" s="431"/>
      <c r="B1236" s="673"/>
      <c r="C1236" s="673"/>
      <c r="D1236" s="1068" t="s">
        <v>1913</v>
      </c>
      <c r="E1236" s="2113" t="s">
        <v>2052</v>
      </c>
      <c r="F1236" s="2530"/>
      <c r="G1236" s="2531">
        <v>72</v>
      </c>
      <c r="H1236" s="2531">
        <v>72</v>
      </c>
      <c r="I1236" s="376">
        <f t="shared" ref="I1236" si="141">(H1236/G1236)*100</f>
        <v>100</v>
      </c>
    </row>
    <row r="1237" spans="1:20" ht="14.25" x14ac:dyDescent="0.2">
      <c r="A1237" s="431"/>
      <c r="B1237" s="673"/>
      <c r="C1237" s="673"/>
      <c r="D1237" s="552" t="s">
        <v>1124</v>
      </c>
      <c r="E1237" s="455" t="s">
        <v>792</v>
      </c>
      <c r="F1237" s="827"/>
      <c r="G1237" s="833">
        <v>10162</v>
      </c>
      <c r="H1237" s="827">
        <v>10162</v>
      </c>
      <c r="I1237" s="823">
        <f t="shared" si="140"/>
        <v>100</v>
      </c>
    </row>
    <row r="1238" spans="1:20" ht="15" x14ac:dyDescent="0.25">
      <c r="A1238" s="431">
        <v>1129</v>
      </c>
      <c r="B1238" s="750">
        <v>3142</v>
      </c>
      <c r="C1238" s="750">
        <v>5336</v>
      </c>
      <c r="D1238" s="859"/>
      <c r="E1238" s="672" t="s">
        <v>2054</v>
      </c>
      <c r="F1238" s="835"/>
      <c r="G1238" s="835">
        <v>80</v>
      </c>
      <c r="H1238" s="835">
        <v>80</v>
      </c>
      <c r="I1238" s="836">
        <f t="shared" si="140"/>
        <v>100</v>
      </c>
    </row>
    <row r="1239" spans="1:20" ht="15" thickBot="1" x14ac:dyDescent="0.25">
      <c r="A1239" s="431"/>
      <c r="B1239" s="750"/>
      <c r="C1239" s="1393"/>
      <c r="D1239" s="552" t="s">
        <v>1124</v>
      </c>
      <c r="E1239" s="455" t="s">
        <v>792</v>
      </c>
      <c r="F1239" s="833"/>
      <c r="G1239" s="833">
        <v>80</v>
      </c>
      <c r="H1239" s="833">
        <v>80</v>
      </c>
      <c r="I1239" s="828">
        <f t="shared" si="140"/>
        <v>100</v>
      </c>
    </row>
    <row r="1240" spans="1:20" ht="16.5" thickTop="1" thickBot="1" x14ac:dyDescent="0.3">
      <c r="A1240" s="2672" t="s">
        <v>1105</v>
      </c>
      <c r="B1240" s="2673"/>
      <c r="C1240" s="2673"/>
      <c r="D1240" s="2673"/>
      <c r="E1240" s="2673"/>
      <c r="F1240" s="824">
        <f>F1229</f>
        <v>2799</v>
      </c>
      <c r="G1240" s="824">
        <f>G1229+G1232+G1238</f>
        <v>13110</v>
      </c>
      <c r="H1240" s="824">
        <f>H1229+H1232+H1238</f>
        <v>13110</v>
      </c>
      <c r="I1240" s="825">
        <f>(H1240/G1240)*100</f>
        <v>100</v>
      </c>
      <c r="R1240" s="382">
        <f>F1240</f>
        <v>2799</v>
      </c>
      <c r="S1240" s="382">
        <f>G1240</f>
        <v>13110</v>
      </c>
      <c r="T1240" s="382">
        <f>H1240</f>
        <v>13110</v>
      </c>
    </row>
    <row r="1241" spans="1:20" ht="13.5" thickTop="1" x14ac:dyDescent="0.2"/>
    <row r="1244" spans="1:20" ht="13.5" thickBot="1" x14ac:dyDescent="0.25">
      <c r="A1244" s="432" t="s">
        <v>474</v>
      </c>
      <c r="I1244" s="1390" t="s">
        <v>161</v>
      </c>
    </row>
    <row r="1245" spans="1:20" s="107" customFormat="1" thickTop="1" thickBot="1" x14ac:dyDescent="0.25">
      <c r="A1245" s="631" t="s">
        <v>624</v>
      </c>
      <c r="B1245" s="774" t="s">
        <v>162</v>
      </c>
      <c r="C1245" s="632" t="s">
        <v>163</v>
      </c>
      <c r="D1245" s="634" t="s">
        <v>705</v>
      </c>
      <c r="E1245" s="634" t="s">
        <v>164</v>
      </c>
      <c r="F1245" s="634" t="s">
        <v>165</v>
      </c>
      <c r="G1245" s="634" t="s">
        <v>881</v>
      </c>
      <c r="H1245" s="634" t="s">
        <v>882</v>
      </c>
      <c r="I1245" s="818" t="s">
        <v>883</v>
      </c>
    </row>
    <row r="1246" spans="1:20" s="383" customFormat="1" ht="13.5" thickTop="1" thickBot="1" x14ac:dyDescent="0.25">
      <c r="A1246" s="566">
        <v>1</v>
      </c>
      <c r="B1246" s="567">
        <v>2</v>
      </c>
      <c r="C1246" s="567">
        <v>3</v>
      </c>
      <c r="D1246" s="567">
        <v>4</v>
      </c>
      <c r="E1246" s="567">
        <v>5</v>
      </c>
      <c r="F1246" s="541">
        <v>6</v>
      </c>
      <c r="G1246" s="541">
        <v>7</v>
      </c>
      <c r="H1246" s="542">
        <v>8</v>
      </c>
      <c r="I1246" s="636" t="s">
        <v>762</v>
      </c>
    </row>
    <row r="1247" spans="1:20" ht="15.75" thickTop="1" x14ac:dyDescent="0.25">
      <c r="A1247" s="1391">
        <v>1130</v>
      </c>
      <c r="B1247" s="775">
        <v>3122</v>
      </c>
      <c r="C1247" s="775">
        <v>5331</v>
      </c>
      <c r="D1247" s="839"/>
      <c r="E1247" s="860" t="s">
        <v>951</v>
      </c>
      <c r="F1247" s="861">
        <f>F1248+F1249</f>
        <v>2565</v>
      </c>
      <c r="G1247" s="861">
        <f>G1248+G1249</f>
        <v>2666</v>
      </c>
      <c r="H1247" s="861">
        <f>H1248+H1249</f>
        <v>2666</v>
      </c>
      <c r="I1247" s="826">
        <f t="shared" ref="I1247:I1256" si="142">(H1247/G1247)*100</f>
        <v>100</v>
      </c>
    </row>
    <row r="1248" spans="1:20" ht="14.25" x14ac:dyDescent="0.2">
      <c r="A1248" s="431"/>
      <c r="B1248" s="673"/>
      <c r="C1248" s="673"/>
      <c r="D1248" s="707" t="s">
        <v>575</v>
      </c>
      <c r="E1248" s="1478" t="s">
        <v>793</v>
      </c>
      <c r="F1248" s="827">
        <v>716</v>
      </c>
      <c r="G1248" s="827">
        <v>835</v>
      </c>
      <c r="H1248" s="827">
        <v>835</v>
      </c>
      <c r="I1248" s="823">
        <f t="shared" si="142"/>
        <v>100</v>
      </c>
    </row>
    <row r="1249" spans="1:20" ht="14.25" x14ac:dyDescent="0.2">
      <c r="A1249" s="431"/>
      <c r="B1249" s="673"/>
      <c r="C1249" s="673"/>
      <c r="D1249" s="552" t="s">
        <v>570</v>
      </c>
      <c r="E1249" s="455" t="s">
        <v>71</v>
      </c>
      <c r="F1249" s="827">
        <v>1849</v>
      </c>
      <c r="G1249" s="827">
        <v>1831</v>
      </c>
      <c r="H1249" s="827">
        <v>1831</v>
      </c>
      <c r="I1249" s="823">
        <f t="shared" si="142"/>
        <v>100</v>
      </c>
    </row>
    <row r="1250" spans="1:20" ht="15" x14ac:dyDescent="0.25">
      <c r="A1250" s="431">
        <v>1130</v>
      </c>
      <c r="B1250" s="673">
        <v>3122</v>
      </c>
      <c r="C1250" s="673">
        <v>5336</v>
      </c>
      <c r="D1250" s="2541"/>
      <c r="E1250" s="672" t="s">
        <v>2054</v>
      </c>
      <c r="F1250" s="827"/>
      <c r="G1250" s="820">
        <f>G1251+G1253+G1254</f>
        <v>15944</v>
      </c>
      <c r="H1250" s="820">
        <f>H1251+H1253+H1254</f>
        <v>15944</v>
      </c>
      <c r="I1250" s="821">
        <f t="shared" si="142"/>
        <v>100</v>
      </c>
      <c r="J1250" s="432"/>
      <c r="K1250" s="432"/>
      <c r="L1250" s="432"/>
      <c r="M1250" s="432"/>
      <c r="N1250" s="432"/>
      <c r="O1250" s="432"/>
      <c r="P1250" s="432"/>
    </row>
    <row r="1251" spans="1:20" ht="14.25" customHeight="1" x14ac:dyDescent="0.2">
      <c r="A1251" s="431"/>
      <c r="B1251" s="673"/>
      <c r="C1251" s="673"/>
      <c r="D1251" s="1068" t="s">
        <v>1911</v>
      </c>
      <c r="E1251" s="2671" t="s">
        <v>2051</v>
      </c>
      <c r="F1251" s="827"/>
      <c r="G1251" s="837">
        <v>19</v>
      </c>
      <c r="H1251" s="837">
        <v>19</v>
      </c>
      <c r="I1251" s="823">
        <f t="shared" si="142"/>
        <v>100</v>
      </c>
      <c r="J1251" s="432"/>
      <c r="K1251" s="432"/>
      <c r="L1251" s="432"/>
      <c r="M1251" s="432"/>
      <c r="N1251" s="432"/>
      <c r="O1251" s="432"/>
      <c r="P1251" s="432"/>
    </row>
    <row r="1252" spans="1:20" ht="15" x14ac:dyDescent="0.25">
      <c r="A1252" s="431"/>
      <c r="B1252" s="673"/>
      <c r="C1252" s="673"/>
      <c r="D1252" s="1068"/>
      <c r="E1252" s="2671"/>
      <c r="F1252" s="827"/>
      <c r="G1252" s="846"/>
      <c r="H1252" s="846"/>
      <c r="I1252" s="853"/>
      <c r="J1252" s="432"/>
      <c r="K1252" s="432"/>
      <c r="L1252" s="432"/>
      <c r="M1252" s="432"/>
      <c r="N1252" s="432"/>
      <c r="O1252" s="432"/>
      <c r="P1252" s="432"/>
    </row>
    <row r="1253" spans="1:20" ht="15" x14ac:dyDescent="0.2">
      <c r="A1253" s="431"/>
      <c r="B1253" s="673"/>
      <c r="C1253" s="673"/>
      <c r="D1253" s="1068" t="s">
        <v>1913</v>
      </c>
      <c r="E1253" s="2113" t="s">
        <v>2052</v>
      </c>
      <c r="F1253" s="2530"/>
      <c r="G1253" s="2531">
        <v>110</v>
      </c>
      <c r="H1253" s="2531">
        <v>110</v>
      </c>
      <c r="I1253" s="376">
        <f t="shared" ref="I1253" si="143">(H1253/G1253)*100</f>
        <v>100</v>
      </c>
      <c r="J1253" s="432"/>
      <c r="K1253" s="432"/>
      <c r="L1253" s="432"/>
      <c r="M1253" s="432"/>
      <c r="N1253" s="432"/>
      <c r="O1253" s="432"/>
      <c r="P1253" s="432"/>
    </row>
    <row r="1254" spans="1:20" ht="14.25" x14ac:dyDescent="0.2">
      <c r="A1254" s="431"/>
      <c r="B1254" s="673"/>
      <c r="C1254" s="1392"/>
      <c r="D1254" s="552" t="s">
        <v>1124</v>
      </c>
      <c r="E1254" s="455" t="s">
        <v>792</v>
      </c>
      <c r="F1254" s="827"/>
      <c r="G1254" s="827">
        <v>15815</v>
      </c>
      <c r="H1254" s="827">
        <v>15815</v>
      </c>
      <c r="I1254" s="823">
        <f t="shared" si="142"/>
        <v>100</v>
      </c>
    </row>
    <row r="1255" spans="1:20" ht="15" x14ac:dyDescent="0.25">
      <c r="A1255" s="431">
        <v>1130</v>
      </c>
      <c r="B1255" s="750">
        <v>3142</v>
      </c>
      <c r="C1255" s="750">
        <v>5331</v>
      </c>
      <c r="D1255" s="859"/>
      <c r="E1255" s="672" t="s">
        <v>951</v>
      </c>
      <c r="F1255" s="835">
        <v>260</v>
      </c>
      <c r="G1255" s="835">
        <v>257</v>
      </c>
      <c r="H1255" s="835">
        <v>257</v>
      </c>
      <c r="I1255" s="836">
        <f t="shared" si="142"/>
        <v>100</v>
      </c>
    </row>
    <row r="1256" spans="1:20" ht="12" customHeight="1" thickBot="1" x14ac:dyDescent="0.25">
      <c r="A1256" s="431"/>
      <c r="B1256" s="750"/>
      <c r="C1256" s="750"/>
      <c r="D1256" s="552" t="s">
        <v>570</v>
      </c>
      <c r="E1256" s="455" t="s">
        <v>71</v>
      </c>
      <c r="F1256" s="833">
        <v>260</v>
      </c>
      <c r="G1256" s="833">
        <v>257</v>
      </c>
      <c r="H1256" s="833">
        <v>257</v>
      </c>
      <c r="I1256" s="828">
        <f t="shared" si="142"/>
        <v>100</v>
      </c>
    </row>
    <row r="1257" spans="1:20" ht="16.5" thickTop="1" thickBot="1" x14ac:dyDescent="0.3">
      <c r="A1257" s="2672" t="s">
        <v>1105</v>
      </c>
      <c r="B1257" s="2673"/>
      <c r="C1257" s="2673"/>
      <c r="D1257" s="2673"/>
      <c r="E1257" s="2673"/>
      <c r="F1257" s="824">
        <f>SUM(F1255,F1247)</f>
        <v>2825</v>
      </c>
      <c r="G1257" s="824">
        <f>G1247+G1250+G1255</f>
        <v>18867</v>
      </c>
      <c r="H1257" s="824">
        <f>H1247+H1250+H1255</f>
        <v>18867</v>
      </c>
      <c r="I1257" s="825">
        <f>(H1257/G1257)*100</f>
        <v>100</v>
      </c>
      <c r="R1257" s="382">
        <f>F1257</f>
        <v>2825</v>
      </c>
      <c r="S1257" s="382">
        <f>G1257</f>
        <v>18867</v>
      </c>
      <c r="T1257" s="382">
        <f>H1257</f>
        <v>18867</v>
      </c>
    </row>
    <row r="1258" spans="1:20" ht="13.5" thickTop="1" x14ac:dyDescent="0.2"/>
    <row r="1264" spans="1:20" ht="13.5" thickBot="1" x14ac:dyDescent="0.25">
      <c r="A1264" s="432" t="s">
        <v>1208</v>
      </c>
      <c r="I1264" s="1390" t="s">
        <v>161</v>
      </c>
    </row>
    <row r="1265" spans="1:9" s="107" customFormat="1" thickTop="1" thickBot="1" x14ac:dyDescent="0.25">
      <c r="A1265" s="631" t="s">
        <v>624</v>
      </c>
      <c r="B1265" s="774" t="s">
        <v>162</v>
      </c>
      <c r="C1265" s="632" t="s">
        <v>163</v>
      </c>
      <c r="D1265" s="634" t="s">
        <v>705</v>
      </c>
      <c r="E1265" s="634" t="s">
        <v>164</v>
      </c>
      <c r="F1265" s="634" t="s">
        <v>165</v>
      </c>
      <c r="G1265" s="634" t="s">
        <v>881</v>
      </c>
      <c r="H1265" s="634" t="s">
        <v>882</v>
      </c>
      <c r="I1265" s="818" t="s">
        <v>883</v>
      </c>
    </row>
    <row r="1266" spans="1:9" s="383" customFormat="1" ht="13.5" thickTop="1" thickBot="1" x14ac:dyDescent="0.25">
      <c r="A1266" s="566">
        <v>1</v>
      </c>
      <c r="B1266" s="567">
        <v>2</v>
      </c>
      <c r="C1266" s="567">
        <v>3</v>
      </c>
      <c r="D1266" s="567">
        <v>4</v>
      </c>
      <c r="E1266" s="567">
        <v>5</v>
      </c>
      <c r="F1266" s="541">
        <v>6</v>
      </c>
      <c r="G1266" s="541">
        <v>7</v>
      </c>
      <c r="H1266" s="542">
        <v>8</v>
      </c>
      <c r="I1266" s="636" t="s">
        <v>762</v>
      </c>
    </row>
    <row r="1267" spans="1:9" ht="15.75" thickTop="1" x14ac:dyDescent="0.25">
      <c r="A1267" s="1391">
        <v>1131</v>
      </c>
      <c r="B1267" s="775">
        <v>3122</v>
      </c>
      <c r="C1267" s="775">
        <v>5336</v>
      </c>
      <c r="D1267" s="839"/>
      <c r="E1267" s="672" t="s">
        <v>2054</v>
      </c>
      <c r="F1267" s="861"/>
      <c r="G1267" s="861">
        <f>G1268+G1270</f>
        <v>7274</v>
      </c>
      <c r="H1267" s="861">
        <f>H1268+H1270</f>
        <v>7274</v>
      </c>
      <c r="I1267" s="826">
        <f t="shared" ref="I1267:I1282" si="144">(H1267/G1267)*100</f>
        <v>100</v>
      </c>
    </row>
    <row r="1268" spans="1:9" ht="14.25" x14ac:dyDescent="0.2">
      <c r="A1268" s="431"/>
      <c r="B1268" s="673"/>
      <c r="C1268" s="673"/>
      <c r="D1268" s="1068" t="s">
        <v>1911</v>
      </c>
      <c r="E1268" s="2671" t="s">
        <v>2051</v>
      </c>
      <c r="F1268" s="827"/>
      <c r="G1268" s="837">
        <v>12</v>
      </c>
      <c r="H1268" s="837">
        <v>12</v>
      </c>
      <c r="I1268" s="823">
        <f t="shared" si="144"/>
        <v>100</v>
      </c>
    </row>
    <row r="1269" spans="1:9" ht="15" x14ac:dyDescent="0.25">
      <c r="A1269" s="431"/>
      <c r="B1269" s="673"/>
      <c r="C1269" s="673"/>
      <c r="D1269" s="1068"/>
      <c r="E1269" s="2671"/>
      <c r="F1269" s="827"/>
      <c r="G1269" s="846"/>
      <c r="H1269" s="846"/>
      <c r="I1269" s="853"/>
    </row>
    <row r="1270" spans="1:9" ht="14.25" x14ac:dyDescent="0.2">
      <c r="A1270" s="431"/>
      <c r="B1270" s="673"/>
      <c r="C1270" s="1392"/>
      <c r="D1270" s="552" t="s">
        <v>1124</v>
      </c>
      <c r="E1270" s="455" t="s">
        <v>792</v>
      </c>
      <c r="F1270" s="827"/>
      <c r="G1270" s="827">
        <v>7262</v>
      </c>
      <c r="H1270" s="827">
        <v>7262</v>
      </c>
      <c r="I1270" s="823">
        <f t="shared" si="144"/>
        <v>100</v>
      </c>
    </row>
    <row r="1271" spans="1:9" ht="15" x14ac:dyDescent="0.25">
      <c r="A1271" s="434">
        <v>1131</v>
      </c>
      <c r="B1271" s="673">
        <v>3123</v>
      </c>
      <c r="C1271" s="750">
        <v>5331</v>
      </c>
      <c r="D1271" s="859"/>
      <c r="E1271" s="672" t="s">
        <v>951</v>
      </c>
      <c r="F1271" s="835">
        <f>F1272+F1273</f>
        <v>5779</v>
      </c>
      <c r="G1271" s="835">
        <f>G1272+G1273</f>
        <v>5810</v>
      </c>
      <c r="H1271" s="835">
        <f>H1272+H1273</f>
        <v>5810</v>
      </c>
      <c r="I1271" s="836">
        <f t="shared" si="144"/>
        <v>100</v>
      </c>
    </row>
    <row r="1272" spans="1:9" ht="14.25" x14ac:dyDescent="0.2">
      <c r="A1272" s="434"/>
      <c r="B1272" s="673"/>
      <c r="C1272" s="750"/>
      <c r="D1272" s="791" t="s">
        <v>575</v>
      </c>
      <c r="E1272" s="1478" t="s">
        <v>793</v>
      </c>
      <c r="F1272" s="833">
        <v>1094</v>
      </c>
      <c r="G1272" s="833">
        <v>1172</v>
      </c>
      <c r="H1272" s="833">
        <v>1172</v>
      </c>
      <c r="I1272" s="828">
        <f t="shared" si="144"/>
        <v>100</v>
      </c>
    </row>
    <row r="1273" spans="1:9" ht="14.25" x14ac:dyDescent="0.2">
      <c r="A1273" s="434"/>
      <c r="B1273" s="673"/>
      <c r="C1273" s="750"/>
      <c r="D1273" s="552" t="s">
        <v>570</v>
      </c>
      <c r="E1273" s="455" t="s">
        <v>71</v>
      </c>
      <c r="F1273" s="833">
        <v>4685</v>
      </c>
      <c r="G1273" s="833">
        <v>4638</v>
      </c>
      <c r="H1273" s="833">
        <v>4638</v>
      </c>
      <c r="I1273" s="828">
        <f t="shared" si="144"/>
        <v>100</v>
      </c>
    </row>
    <row r="1274" spans="1:9" ht="15" x14ac:dyDescent="0.25">
      <c r="A1274" s="434">
        <v>1131</v>
      </c>
      <c r="B1274" s="673">
        <v>3123</v>
      </c>
      <c r="C1274" s="750">
        <v>5336</v>
      </c>
      <c r="D1274" s="2541"/>
      <c r="E1274" s="672" t="s">
        <v>2054</v>
      </c>
      <c r="F1274" s="833"/>
      <c r="G1274" s="846">
        <f>G1275+G1277+G1278+G1279</f>
        <v>16950</v>
      </c>
      <c r="H1274" s="846">
        <f>H1275+H1277+H1278+H1279</f>
        <v>16950</v>
      </c>
      <c r="I1274" s="838">
        <f t="shared" si="144"/>
        <v>100</v>
      </c>
    </row>
    <row r="1275" spans="1:9" ht="14.25" customHeight="1" x14ac:dyDescent="0.2">
      <c r="A1275" s="431"/>
      <c r="B1275" s="750"/>
      <c r="C1275" s="750"/>
      <c r="D1275" s="1068" t="s">
        <v>1911</v>
      </c>
      <c r="E1275" s="2671" t="s">
        <v>2051</v>
      </c>
      <c r="F1275" s="827"/>
      <c r="G1275" s="837">
        <v>29</v>
      </c>
      <c r="H1275" s="837">
        <v>29</v>
      </c>
      <c r="I1275" s="823">
        <v>29</v>
      </c>
    </row>
    <row r="1276" spans="1:9" ht="15" x14ac:dyDescent="0.25">
      <c r="A1276" s="431"/>
      <c r="B1276" s="750"/>
      <c r="C1276" s="750"/>
      <c r="D1276" s="1068"/>
      <c r="E1276" s="2671"/>
      <c r="F1276" s="827"/>
      <c r="G1276" s="846"/>
      <c r="H1276" s="846"/>
      <c r="I1276" s="853"/>
    </row>
    <row r="1277" spans="1:9" ht="15" x14ac:dyDescent="0.2">
      <c r="A1277" s="431"/>
      <c r="B1277" s="750"/>
      <c r="C1277" s="750"/>
      <c r="D1277" s="1068" t="s">
        <v>1913</v>
      </c>
      <c r="E1277" s="2113" t="s">
        <v>2052</v>
      </c>
      <c r="F1277" s="2530"/>
      <c r="G1277" s="2531">
        <v>147</v>
      </c>
      <c r="H1277" s="2531">
        <v>147</v>
      </c>
      <c r="I1277" s="376">
        <f t="shared" ref="I1277:I1278" si="145">(H1277/G1277)*100</f>
        <v>100</v>
      </c>
    </row>
    <row r="1278" spans="1:9" ht="14.25" x14ac:dyDescent="0.2">
      <c r="A1278" s="431"/>
      <c r="B1278" s="750"/>
      <c r="C1278" s="750"/>
      <c r="D1278" s="1325" t="s">
        <v>1671</v>
      </c>
      <c r="E1278" s="2544" t="s">
        <v>1827</v>
      </c>
      <c r="F1278" s="314"/>
      <c r="G1278" s="316">
        <v>5</v>
      </c>
      <c r="H1278" s="316">
        <v>5</v>
      </c>
      <c r="I1278" s="1074">
        <f t="shared" si="145"/>
        <v>100</v>
      </c>
    </row>
    <row r="1279" spans="1:9" ht="14.25" x14ac:dyDescent="0.2">
      <c r="A1279" s="431"/>
      <c r="B1279" s="750"/>
      <c r="C1279" s="1393"/>
      <c r="D1279" s="568" t="s">
        <v>1124</v>
      </c>
      <c r="E1279" s="868" t="s">
        <v>792</v>
      </c>
      <c r="F1279" s="833"/>
      <c r="G1279" s="833">
        <v>16769</v>
      </c>
      <c r="H1279" s="833">
        <v>16769</v>
      </c>
      <c r="I1279" s="828">
        <f t="shared" si="144"/>
        <v>100</v>
      </c>
    </row>
    <row r="1280" spans="1:9" ht="15" x14ac:dyDescent="0.25">
      <c r="A1280" s="434">
        <v>1131</v>
      </c>
      <c r="B1280" s="673">
        <v>3142</v>
      </c>
      <c r="C1280" s="750">
        <v>5336</v>
      </c>
      <c r="D1280" s="859"/>
      <c r="E1280" s="672" t="s">
        <v>2054</v>
      </c>
      <c r="F1280" s="835"/>
      <c r="G1280" s="835">
        <v>728</v>
      </c>
      <c r="H1280" s="835">
        <v>728</v>
      </c>
      <c r="I1280" s="836">
        <f t="shared" si="144"/>
        <v>100</v>
      </c>
    </row>
    <row r="1281" spans="1:23" ht="15" thickBot="1" x14ac:dyDescent="0.25">
      <c r="A1281" s="434"/>
      <c r="B1281" s="673"/>
      <c r="C1281" s="1393"/>
      <c r="D1281" s="552" t="s">
        <v>1124</v>
      </c>
      <c r="E1281" s="455" t="s">
        <v>792</v>
      </c>
      <c r="F1281" s="833"/>
      <c r="G1281" s="833">
        <v>728</v>
      </c>
      <c r="H1281" s="833">
        <v>728</v>
      </c>
      <c r="I1281" s="828">
        <f t="shared" si="144"/>
        <v>100</v>
      </c>
    </row>
    <row r="1282" spans="1:23" ht="16.5" thickTop="1" thickBot="1" x14ac:dyDescent="0.3">
      <c r="A1282" s="2672" t="s">
        <v>1105</v>
      </c>
      <c r="B1282" s="2673"/>
      <c r="C1282" s="2673"/>
      <c r="D1282" s="2673"/>
      <c r="E1282" s="2673"/>
      <c r="F1282" s="824">
        <f>F1271</f>
        <v>5779</v>
      </c>
      <c r="G1282" s="824">
        <f>G1267+G1271+G1274+G1280</f>
        <v>30762</v>
      </c>
      <c r="H1282" s="824">
        <f>H1267+H1271+H1274+H1280</f>
        <v>30762</v>
      </c>
      <c r="I1282" s="825">
        <f t="shared" si="144"/>
        <v>100</v>
      </c>
      <c r="R1282" s="382">
        <f>F1282</f>
        <v>5779</v>
      </c>
      <c r="S1282" s="382">
        <f>G1282</f>
        <v>30762</v>
      </c>
      <c r="T1282" s="382">
        <f>H1282</f>
        <v>30762</v>
      </c>
    </row>
    <row r="1283" spans="1:23" ht="15.75" thickTop="1" x14ac:dyDescent="0.25">
      <c r="A1283" s="368"/>
      <c r="B1283" s="368"/>
      <c r="C1283" s="368"/>
      <c r="D1283" s="368"/>
      <c r="E1283" s="368"/>
      <c r="F1283" s="181"/>
      <c r="G1283" s="181"/>
      <c r="H1283" s="181"/>
      <c r="I1283" s="210"/>
      <c r="J1283" s="382"/>
      <c r="K1283" s="382"/>
      <c r="L1283" s="382"/>
      <c r="U1283" s="382"/>
      <c r="V1283" s="382"/>
      <c r="W1283" s="382"/>
    </row>
    <row r="1284" spans="1:23" ht="15" x14ac:dyDescent="0.25">
      <c r="A1284" s="368"/>
      <c r="B1284" s="368"/>
      <c r="C1284" s="368"/>
      <c r="D1284" s="368"/>
      <c r="E1284" s="368"/>
      <c r="F1284" s="181"/>
      <c r="G1284" s="181"/>
      <c r="H1284" s="181"/>
      <c r="I1284" s="210"/>
      <c r="J1284" s="382"/>
      <c r="K1284" s="382"/>
      <c r="L1284" s="382"/>
      <c r="U1284" s="382"/>
      <c r="V1284" s="382"/>
      <c r="W1284" s="382"/>
    </row>
    <row r="1285" spans="1:23" ht="15.75" customHeight="1" thickBot="1" x14ac:dyDescent="0.25">
      <c r="A1285" s="432" t="s">
        <v>52</v>
      </c>
      <c r="I1285" s="1390" t="s">
        <v>161</v>
      </c>
    </row>
    <row r="1286" spans="1:23" s="107" customFormat="1" ht="15.75" customHeight="1" thickTop="1" thickBot="1" x14ac:dyDescent="0.25">
      <c r="A1286" s="631" t="s">
        <v>624</v>
      </c>
      <c r="B1286" s="774" t="s">
        <v>162</v>
      </c>
      <c r="C1286" s="632" t="s">
        <v>163</v>
      </c>
      <c r="D1286" s="634" t="s">
        <v>705</v>
      </c>
      <c r="E1286" s="634" t="s">
        <v>164</v>
      </c>
      <c r="F1286" s="634" t="s">
        <v>165</v>
      </c>
      <c r="G1286" s="634" t="s">
        <v>881</v>
      </c>
      <c r="H1286" s="634" t="s">
        <v>882</v>
      </c>
      <c r="I1286" s="818" t="s">
        <v>883</v>
      </c>
    </row>
    <row r="1287" spans="1:23" s="383" customFormat="1" ht="14.25" customHeight="1" thickTop="1" thickBot="1" x14ac:dyDescent="0.25">
      <c r="A1287" s="566">
        <v>1</v>
      </c>
      <c r="B1287" s="567">
        <v>2</v>
      </c>
      <c r="C1287" s="567">
        <v>3</v>
      </c>
      <c r="D1287" s="567">
        <v>4</v>
      </c>
      <c r="E1287" s="567">
        <v>5</v>
      </c>
      <c r="F1287" s="541">
        <v>6</v>
      </c>
      <c r="G1287" s="541">
        <v>7</v>
      </c>
      <c r="H1287" s="542">
        <v>8</v>
      </c>
      <c r="I1287" s="636" t="s">
        <v>762</v>
      </c>
    </row>
    <row r="1288" spans="1:23" ht="15.75" thickTop="1" x14ac:dyDescent="0.25">
      <c r="A1288" s="431">
        <v>1132</v>
      </c>
      <c r="B1288" s="673">
        <v>3122</v>
      </c>
      <c r="C1288" s="673">
        <v>5331</v>
      </c>
      <c r="D1288" s="819"/>
      <c r="E1288" s="792" t="s">
        <v>951</v>
      </c>
      <c r="F1288" s="820">
        <f>F1289+F1290</f>
        <v>3026</v>
      </c>
      <c r="G1288" s="820">
        <f>G1289+G1290</f>
        <v>3006</v>
      </c>
      <c r="H1288" s="820">
        <f>H1289+H1290</f>
        <v>3006</v>
      </c>
      <c r="I1288" s="821">
        <v>100</v>
      </c>
    </row>
    <row r="1289" spans="1:23" ht="17.25" customHeight="1" x14ac:dyDescent="0.2">
      <c r="A1289" s="431"/>
      <c r="B1289" s="673"/>
      <c r="C1289" s="673"/>
      <c r="D1289" s="707" t="s">
        <v>575</v>
      </c>
      <c r="E1289" s="1478" t="s">
        <v>793</v>
      </c>
      <c r="F1289" s="827">
        <v>408</v>
      </c>
      <c r="G1289" s="827">
        <v>414</v>
      </c>
      <c r="H1289" s="827">
        <v>414</v>
      </c>
      <c r="I1289" s="823">
        <f t="shared" ref="I1289:I1311" si="146">(H1289/G1289)*100</f>
        <v>100</v>
      </c>
    </row>
    <row r="1290" spans="1:23" ht="14.25" x14ac:dyDescent="0.2">
      <c r="A1290" s="431"/>
      <c r="B1290" s="673"/>
      <c r="C1290" s="673"/>
      <c r="D1290" s="552" t="s">
        <v>570</v>
      </c>
      <c r="E1290" s="455" t="s">
        <v>71</v>
      </c>
      <c r="F1290" s="827">
        <v>2618</v>
      </c>
      <c r="G1290" s="827">
        <v>2592</v>
      </c>
      <c r="H1290" s="827">
        <v>2592</v>
      </c>
      <c r="I1290" s="823">
        <f t="shared" si="146"/>
        <v>100</v>
      </c>
    </row>
    <row r="1291" spans="1:23" ht="15" x14ac:dyDescent="0.25">
      <c r="A1291" s="431">
        <v>1132</v>
      </c>
      <c r="B1291" s="750">
        <v>3122</v>
      </c>
      <c r="C1291" s="750">
        <v>5336</v>
      </c>
      <c r="D1291" s="2543"/>
      <c r="E1291" s="672" t="s">
        <v>2054</v>
      </c>
      <c r="F1291" s="833"/>
      <c r="G1291" s="846">
        <f>G1292+G1294+G1296+G1299+G1300+G1302+G1303</f>
        <v>17565</v>
      </c>
      <c r="H1291" s="846">
        <f>H1292+H1294+H1296+H1299+H1300+H1302+H1303</f>
        <v>17565</v>
      </c>
      <c r="I1291" s="853">
        <f t="shared" si="146"/>
        <v>100</v>
      </c>
    </row>
    <row r="1292" spans="1:23" ht="14.25" customHeight="1" x14ac:dyDescent="0.2">
      <c r="A1292" s="431"/>
      <c r="B1292" s="750"/>
      <c r="C1292" s="750"/>
      <c r="D1292" s="552" t="s">
        <v>1919</v>
      </c>
      <c r="E1292" s="2676" t="s">
        <v>2064</v>
      </c>
      <c r="F1292" s="314"/>
      <c r="G1292" s="316">
        <v>87</v>
      </c>
      <c r="H1292" s="316">
        <v>87</v>
      </c>
      <c r="I1292" s="1074">
        <f t="shared" si="146"/>
        <v>100</v>
      </c>
    </row>
    <row r="1293" spans="1:23" ht="15" x14ac:dyDescent="0.25">
      <c r="A1293" s="431"/>
      <c r="B1293" s="750"/>
      <c r="C1293" s="750"/>
      <c r="D1293" s="552"/>
      <c r="E1293" s="2677"/>
      <c r="F1293" s="314"/>
      <c r="G1293" s="315"/>
      <c r="H1293" s="315"/>
      <c r="I1293" s="1073"/>
    </row>
    <row r="1294" spans="1:23" ht="14.25" customHeight="1" x14ac:dyDescent="0.2">
      <c r="A1294" s="431"/>
      <c r="B1294" s="750"/>
      <c r="C1294" s="750"/>
      <c r="D1294" s="552" t="s">
        <v>1921</v>
      </c>
      <c r="E1294" s="2676" t="s">
        <v>2065</v>
      </c>
      <c r="F1294" s="314"/>
      <c r="G1294" s="316">
        <v>5</v>
      </c>
      <c r="H1294" s="316">
        <v>5</v>
      </c>
      <c r="I1294" s="1074">
        <f t="shared" ref="I1294" si="147">(H1294/G1294)*100</f>
        <v>100</v>
      </c>
    </row>
    <row r="1295" spans="1:23" ht="15" x14ac:dyDescent="0.25">
      <c r="A1295" s="431"/>
      <c r="B1295" s="750"/>
      <c r="C1295" s="750"/>
      <c r="D1295" s="552"/>
      <c r="E1295" s="2677"/>
      <c r="F1295" s="314"/>
      <c r="G1295" s="315"/>
      <c r="H1295" s="315"/>
      <c r="I1295" s="1073"/>
    </row>
    <row r="1296" spans="1:23" ht="14.25" customHeight="1" x14ac:dyDescent="0.2">
      <c r="A1296" s="431"/>
      <c r="B1296" s="750"/>
      <c r="C1296" s="750"/>
      <c r="D1296" s="2660" t="s">
        <v>1429</v>
      </c>
      <c r="E1296" s="2674" t="s">
        <v>1448</v>
      </c>
      <c r="F1296" s="833"/>
      <c r="G1296" s="833">
        <v>41</v>
      </c>
      <c r="H1296" s="833">
        <v>41</v>
      </c>
      <c r="I1296" s="823">
        <f t="shared" ref="I1296" si="148">(H1296/G1296)*100</f>
        <v>100</v>
      </c>
    </row>
    <row r="1297" spans="1:9" ht="14.25" x14ac:dyDescent="0.2">
      <c r="A1297" s="431"/>
      <c r="B1297" s="750"/>
      <c r="C1297" s="750"/>
      <c r="D1297" s="2661"/>
      <c r="E1297" s="2675"/>
      <c r="F1297" s="833"/>
      <c r="G1297" s="833"/>
      <c r="H1297" s="833"/>
      <c r="I1297" s="823"/>
    </row>
    <row r="1298" spans="1:9" ht="14.25" x14ac:dyDescent="0.2">
      <c r="A1298" s="431"/>
      <c r="B1298" s="750"/>
      <c r="C1298" s="750"/>
      <c r="D1298" s="2661"/>
      <c r="E1298" s="2675"/>
      <c r="F1298" s="833"/>
      <c r="G1298" s="833"/>
      <c r="H1298" s="833"/>
      <c r="I1298" s="823"/>
    </row>
    <row r="1299" spans="1:9" ht="14.25" x14ac:dyDescent="0.2">
      <c r="A1299" s="431"/>
      <c r="B1299" s="750"/>
      <c r="C1299" s="750"/>
      <c r="D1299" s="1068" t="s">
        <v>1504</v>
      </c>
      <c r="E1299" s="2116" t="s">
        <v>1604</v>
      </c>
      <c r="F1299" s="833"/>
      <c r="G1299" s="833">
        <v>20</v>
      </c>
      <c r="H1299" s="833">
        <v>20</v>
      </c>
      <c r="I1299" s="823">
        <f t="shared" ref="I1299" si="149">(H1299/G1299)*100</f>
        <v>100</v>
      </c>
    </row>
    <row r="1300" spans="1:9" ht="14.25" x14ac:dyDescent="0.2">
      <c r="A1300" s="431"/>
      <c r="B1300" s="750"/>
      <c r="C1300" s="750"/>
      <c r="D1300" s="1068" t="s">
        <v>1911</v>
      </c>
      <c r="E1300" s="2671" t="s">
        <v>2051</v>
      </c>
      <c r="F1300" s="827"/>
      <c r="G1300" s="837">
        <v>22</v>
      </c>
      <c r="H1300" s="837">
        <v>22</v>
      </c>
      <c r="I1300" s="823">
        <v>29</v>
      </c>
    </row>
    <row r="1301" spans="1:9" ht="15" x14ac:dyDescent="0.25">
      <c r="A1301" s="431"/>
      <c r="B1301" s="750"/>
      <c r="C1301" s="750"/>
      <c r="D1301" s="1068"/>
      <c r="E1301" s="2671"/>
      <c r="F1301" s="827"/>
      <c r="G1301" s="846"/>
      <c r="H1301" s="846"/>
      <c r="I1301" s="853"/>
    </row>
    <row r="1302" spans="1:9" ht="15" x14ac:dyDescent="0.2">
      <c r="A1302" s="431"/>
      <c r="B1302" s="750"/>
      <c r="C1302" s="750"/>
      <c r="D1302" s="1068" t="s">
        <v>1913</v>
      </c>
      <c r="E1302" s="2113" t="s">
        <v>2052</v>
      </c>
      <c r="F1302" s="2530"/>
      <c r="G1302" s="2531">
        <v>132</v>
      </c>
      <c r="H1302" s="2531">
        <v>132</v>
      </c>
      <c r="I1302" s="376">
        <f t="shared" ref="I1302" si="150">(H1302/G1302)*100</f>
        <v>100</v>
      </c>
    </row>
    <row r="1303" spans="1:9" ht="14.25" x14ac:dyDescent="0.2">
      <c r="A1303" s="431"/>
      <c r="B1303" s="750"/>
      <c r="C1303" s="750"/>
      <c r="D1303" s="552" t="s">
        <v>1124</v>
      </c>
      <c r="E1303" s="455" t="s">
        <v>792</v>
      </c>
      <c r="F1303" s="833"/>
      <c r="G1303" s="833">
        <v>17258</v>
      </c>
      <c r="H1303" s="833">
        <v>17258</v>
      </c>
      <c r="I1303" s="823">
        <f t="shared" si="146"/>
        <v>100</v>
      </c>
    </row>
    <row r="1304" spans="1:9" ht="15" x14ac:dyDescent="0.25">
      <c r="A1304" s="431">
        <v>1132</v>
      </c>
      <c r="B1304" s="750">
        <v>3125</v>
      </c>
      <c r="C1304" s="750">
        <v>5331</v>
      </c>
      <c r="D1304" s="859"/>
      <c r="E1304" s="672" t="s">
        <v>951</v>
      </c>
      <c r="F1304" s="846">
        <f>F1305+F1306</f>
        <v>252</v>
      </c>
      <c r="G1304" s="846">
        <f>G1305+G1306</f>
        <v>251</v>
      </c>
      <c r="H1304" s="846">
        <f>H1305+H1306</f>
        <v>251</v>
      </c>
      <c r="I1304" s="853">
        <f t="shared" si="146"/>
        <v>100</v>
      </c>
    </row>
    <row r="1305" spans="1:9" ht="14.25" x14ac:dyDescent="0.2">
      <c r="A1305" s="431"/>
      <c r="B1305" s="750"/>
      <c r="C1305" s="750"/>
      <c r="D1305" s="791" t="s">
        <v>575</v>
      </c>
      <c r="E1305" s="1478" t="s">
        <v>793</v>
      </c>
      <c r="F1305" s="833">
        <v>114</v>
      </c>
      <c r="G1305" s="833">
        <v>114</v>
      </c>
      <c r="H1305" s="833">
        <v>114</v>
      </c>
      <c r="I1305" s="823">
        <f t="shared" si="146"/>
        <v>100</v>
      </c>
    </row>
    <row r="1306" spans="1:9" ht="14.25" x14ac:dyDescent="0.2">
      <c r="A1306" s="431"/>
      <c r="B1306" s="750"/>
      <c r="C1306" s="750"/>
      <c r="D1306" s="552" t="s">
        <v>570</v>
      </c>
      <c r="E1306" s="455" t="s">
        <v>71</v>
      </c>
      <c r="F1306" s="833">
        <v>138</v>
      </c>
      <c r="G1306" s="833">
        <v>137</v>
      </c>
      <c r="H1306" s="833">
        <v>137</v>
      </c>
      <c r="I1306" s="823">
        <f t="shared" si="146"/>
        <v>100</v>
      </c>
    </row>
    <row r="1307" spans="1:9" ht="15" x14ac:dyDescent="0.25">
      <c r="A1307" s="431">
        <v>1132</v>
      </c>
      <c r="B1307" s="750">
        <v>3142</v>
      </c>
      <c r="C1307" s="750">
        <v>5331</v>
      </c>
      <c r="D1307" s="859"/>
      <c r="E1307" s="672" t="s">
        <v>951</v>
      </c>
      <c r="F1307" s="835">
        <f>F1308+F1309</f>
        <v>995</v>
      </c>
      <c r="G1307" s="835">
        <f>G1308+G1309</f>
        <v>1013</v>
      </c>
      <c r="H1307" s="835">
        <f>H1308+H1309</f>
        <v>1013</v>
      </c>
      <c r="I1307" s="836">
        <f t="shared" si="146"/>
        <v>100</v>
      </c>
    </row>
    <row r="1308" spans="1:9" ht="14.25" x14ac:dyDescent="0.2">
      <c r="A1308" s="431"/>
      <c r="B1308" s="750"/>
      <c r="C1308" s="750"/>
      <c r="D1308" s="707" t="s">
        <v>575</v>
      </c>
      <c r="E1308" s="1478" t="s">
        <v>793</v>
      </c>
      <c r="F1308" s="833">
        <v>372</v>
      </c>
      <c r="G1308" s="833">
        <v>396</v>
      </c>
      <c r="H1308" s="833">
        <v>396</v>
      </c>
      <c r="I1308" s="828">
        <f t="shared" si="146"/>
        <v>100</v>
      </c>
    </row>
    <row r="1309" spans="1:9" ht="14.25" x14ac:dyDescent="0.2">
      <c r="A1309" s="431"/>
      <c r="B1309" s="750"/>
      <c r="C1309" s="750"/>
      <c r="D1309" s="552" t="s">
        <v>570</v>
      </c>
      <c r="E1309" s="455" t="s">
        <v>71</v>
      </c>
      <c r="F1309" s="833">
        <v>623</v>
      </c>
      <c r="G1309" s="833">
        <v>617</v>
      </c>
      <c r="H1309" s="833">
        <v>617</v>
      </c>
      <c r="I1309" s="828">
        <f t="shared" si="146"/>
        <v>100</v>
      </c>
    </row>
    <row r="1310" spans="1:9" ht="15" x14ac:dyDescent="0.25">
      <c r="A1310" s="431">
        <v>1132</v>
      </c>
      <c r="B1310" s="750">
        <v>3142</v>
      </c>
      <c r="C1310" s="750">
        <v>5336</v>
      </c>
      <c r="D1310" s="552"/>
      <c r="E1310" s="672" t="s">
        <v>2054</v>
      </c>
      <c r="F1310" s="833"/>
      <c r="G1310" s="846">
        <v>1743</v>
      </c>
      <c r="H1310" s="846">
        <v>1743</v>
      </c>
      <c r="I1310" s="838">
        <f t="shared" si="146"/>
        <v>100</v>
      </c>
    </row>
    <row r="1311" spans="1:9" ht="14.25" x14ac:dyDescent="0.2">
      <c r="A1311" s="431"/>
      <c r="B1311" s="750"/>
      <c r="C1311" s="1393"/>
      <c r="D1311" s="552" t="s">
        <v>1124</v>
      </c>
      <c r="E1311" s="455" t="s">
        <v>792</v>
      </c>
      <c r="F1311" s="833"/>
      <c r="G1311" s="833">
        <v>1743</v>
      </c>
      <c r="H1311" s="833">
        <v>1743</v>
      </c>
      <c r="I1311" s="828">
        <f t="shared" si="146"/>
        <v>100</v>
      </c>
    </row>
    <row r="1312" spans="1:9" ht="15" x14ac:dyDescent="0.25">
      <c r="A1312" s="431">
        <v>1132</v>
      </c>
      <c r="B1312" s="750">
        <v>3147</v>
      </c>
      <c r="C1312" s="1393">
        <v>5331</v>
      </c>
      <c r="D1312" s="842"/>
      <c r="E1312" s="672" t="s">
        <v>951</v>
      </c>
      <c r="F1312" s="835">
        <f>F1313+F1314</f>
        <v>627</v>
      </c>
      <c r="G1312" s="835">
        <f>G1313+G1314</f>
        <v>615</v>
      </c>
      <c r="H1312" s="835">
        <f>H1313+H1314</f>
        <v>615</v>
      </c>
      <c r="I1312" s="836">
        <v>100</v>
      </c>
    </row>
    <row r="1313" spans="1:20" ht="14.25" x14ac:dyDescent="0.2">
      <c r="A1313" s="431"/>
      <c r="B1313" s="750"/>
      <c r="C1313" s="1393"/>
      <c r="D1313" s="707" t="s">
        <v>575</v>
      </c>
      <c r="E1313" s="1478" t="s">
        <v>793</v>
      </c>
      <c r="F1313" s="833">
        <v>221</v>
      </c>
      <c r="G1313" s="833">
        <v>213</v>
      </c>
      <c r="H1313" s="833">
        <v>213</v>
      </c>
      <c r="I1313" s="828">
        <v>100</v>
      </c>
    </row>
    <row r="1314" spans="1:20" ht="14.25" x14ac:dyDescent="0.2">
      <c r="A1314" s="431"/>
      <c r="B1314" s="750"/>
      <c r="C1314" s="1393"/>
      <c r="D1314" s="552" t="s">
        <v>570</v>
      </c>
      <c r="E1314" s="455" t="s">
        <v>71</v>
      </c>
      <c r="F1314" s="833">
        <v>406</v>
      </c>
      <c r="G1314" s="833">
        <v>402</v>
      </c>
      <c r="H1314" s="833">
        <v>402</v>
      </c>
      <c r="I1314" s="828">
        <v>100</v>
      </c>
    </row>
    <row r="1315" spans="1:20" ht="15" x14ac:dyDescent="0.25">
      <c r="A1315" s="431">
        <v>1132</v>
      </c>
      <c r="B1315" s="750">
        <v>3147</v>
      </c>
      <c r="C1315" s="1393">
        <v>5336</v>
      </c>
      <c r="D1315" s="552"/>
      <c r="E1315" s="672" t="s">
        <v>2054</v>
      </c>
      <c r="F1315" s="833"/>
      <c r="G1315" s="846">
        <v>5522</v>
      </c>
      <c r="H1315" s="846">
        <v>5522</v>
      </c>
      <c r="I1315" s="838">
        <v>100</v>
      </c>
    </row>
    <row r="1316" spans="1:20" ht="18" customHeight="1" x14ac:dyDescent="0.2">
      <c r="A1316" s="431"/>
      <c r="B1316" s="750"/>
      <c r="C1316" s="1393"/>
      <c r="D1316" s="552" t="s">
        <v>1124</v>
      </c>
      <c r="E1316" s="455" t="s">
        <v>792</v>
      </c>
      <c r="F1316" s="833"/>
      <c r="G1316" s="833">
        <v>5522</v>
      </c>
      <c r="H1316" s="833">
        <v>5522</v>
      </c>
      <c r="I1316" s="828">
        <v>100</v>
      </c>
    </row>
    <row r="1317" spans="1:20" ht="15" customHeight="1" x14ac:dyDescent="0.25">
      <c r="A1317" s="431">
        <v>1132</v>
      </c>
      <c r="B1317" s="750">
        <v>3299</v>
      </c>
      <c r="C1317" s="1393">
        <v>5331</v>
      </c>
      <c r="D1317" s="568"/>
      <c r="E1317" s="672" t="s">
        <v>951</v>
      </c>
      <c r="F1317" s="833"/>
      <c r="G1317" s="846">
        <v>15</v>
      </c>
      <c r="H1317" s="846">
        <v>15</v>
      </c>
      <c r="I1317" s="838">
        <v>100</v>
      </c>
    </row>
    <row r="1318" spans="1:20" ht="15" customHeight="1" x14ac:dyDescent="0.2">
      <c r="A1318" s="431"/>
      <c r="B1318" s="750"/>
      <c r="C1318" s="1393"/>
      <c r="D1318" s="1059" t="s">
        <v>1122</v>
      </c>
      <c r="E1318" s="117" t="s">
        <v>24</v>
      </c>
      <c r="F1318" s="833"/>
      <c r="G1318" s="833">
        <v>15</v>
      </c>
      <c r="H1318" s="833">
        <v>15</v>
      </c>
      <c r="I1318" s="828">
        <v>100</v>
      </c>
    </row>
    <row r="1319" spans="1:20" ht="15" x14ac:dyDescent="0.25">
      <c r="A1319" s="431">
        <v>1132</v>
      </c>
      <c r="B1319" s="673">
        <v>3792</v>
      </c>
      <c r="C1319" s="1392">
        <v>5331</v>
      </c>
      <c r="D1319" s="568"/>
      <c r="E1319" s="672" t="s">
        <v>951</v>
      </c>
      <c r="F1319" s="820"/>
      <c r="G1319" s="820">
        <v>16</v>
      </c>
      <c r="H1319" s="820">
        <v>16</v>
      </c>
      <c r="I1319" s="821">
        <v>100</v>
      </c>
    </row>
    <row r="1320" spans="1:20" ht="15.75" thickBot="1" x14ac:dyDescent="0.3">
      <c r="A1320" s="431"/>
      <c r="B1320" s="673"/>
      <c r="C1320" s="1392"/>
      <c r="D1320" s="568" t="s">
        <v>1319</v>
      </c>
      <c r="E1320" s="459" t="s">
        <v>1116</v>
      </c>
      <c r="F1320" s="820"/>
      <c r="G1320" s="356">
        <v>16</v>
      </c>
      <c r="H1320" s="356">
        <v>16</v>
      </c>
      <c r="I1320" s="828">
        <v>100</v>
      </c>
    </row>
    <row r="1321" spans="1:20" ht="18" customHeight="1" thickTop="1" thickBot="1" x14ac:dyDescent="0.3">
      <c r="A1321" s="2672" t="s">
        <v>1105</v>
      </c>
      <c r="B1321" s="2673"/>
      <c r="C1321" s="2673"/>
      <c r="D1321" s="2673"/>
      <c r="E1321" s="2673"/>
      <c r="F1321" s="824">
        <f>F1288+F1291+F1304+F1307+F1310+F1312+F1315+F1319</f>
        <v>4900</v>
      </c>
      <c r="G1321" s="824">
        <f>G1288+G1291+G1304+G1307+G1310+G1312+G1315+G1319+G1317</f>
        <v>29746</v>
      </c>
      <c r="H1321" s="824">
        <f>H1288+H1291+H1304+H1307+H1310+H1312+H1315+H1319+H1317</f>
        <v>29746</v>
      </c>
      <c r="I1321" s="825">
        <f>(H1321/G1321)*100</f>
        <v>100</v>
      </c>
      <c r="R1321" s="382">
        <f>F1321</f>
        <v>4900</v>
      </c>
      <c r="S1321" s="382">
        <f>G1321</f>
        <v>29746</v>
      </c>
      <c r="T1321" s="382">
        <f>H1321</f>
        <v>29746</v>
      </c>
    </row>
    <row r="1322" spans="1:20" ht="15.75" thickTop="1" x14ac:dyDescent="0.25">
      <c r="A1322" s="368"/>
      <c r="B1322" s="368"/>
      <c r="C1322" s="368"/>
      <c r="D1322" s="368"/>
      <c r="E1322" s="368"/>
      <c r="F1322" s="181"/>
      <c r="G1322" s="181"/>
      <c r="H1322" s="181"/>
      <c r="I1322" s="210"/>
      <c r="R1322" s="382"/>
      <c r="S1322" s="382"/>
      <c r="T1322" s="382"/>
    </row>
    <row r="1323" spans="1:20" ht="15" x14ac:dyDescent="0.25">
      <c r="A1323" s="368"/>
      <c r="B1323" s="368"/>
      <c r="C1323" s="368"/>
      <c r="D1323" s="368"/>
      <c r="E1323" s="368"/>
      <c r="F1323" s="181"/>
      <c r="G1323" s="181"/>
      <c r="H1323" s="181"/>
      <c r="I1323" s="210"/>
      <c r="R1323" s="382"/>
      <c r="S1323" s="382"/>
      <c r="T1323" s="382"/>
    </row>
    <row r="1324" spans="1:20" x14ac:dyDescent="0.2">
      <c r="A1324" s="1397"/>
      <c r="B1324" s="746"/>
      <c r="C1324" s="1397"/>
      <c r="D1324" s="899"/>
      <c r="E1324" s="1397"/>
    </row>
    <row r="1325" spans="1:20" ht="13.5" thickBot="1" x14ac:dyDescent="0.25">
      <c r="A1325" s="432" t="s">
        <v>220</v>
      </c>
      <c r="I1325" s="1390" t="s">
        <v>161</v>
      </c>
    </row>
    <row r="1326" spans="1:20" s="107" customFormat="1" thickTop="1" thickBot="1" x14ac:dyDescent="0.25">
      <c r="A1326" s="631" t="s">
        <v>624</v>
      </c>
      <c r="B1326" s="774" t="s">
        <v>162</v>
      </c>
      <c r="C1326" s="632" t="s">
        <v>163</v>
      </c>
      <c r="D1326" s="634" t="s">
        <v>705</v>
      </c>
      <c r="E1326" s="634" t="s">
        <v>164</v>
      </c>
      <c r="F1326" s="634" t="s">
        <v>165</v>
      </c>
      <c r="G1326" s="634" t="s">
        <v>881</v>
      </c>
      <c r="H1326" s="634" t="s">
        <v>882</v>
      </c>
      <c r="I1326" s="818" t="s">
        <v>883</v>
      </c>
    </row>
    <row r="1327" spans="1:20" s="383" customFormat="1" ht="13.5" thickTop="1" thickBot="1" x14ac:dyDescent="0.25">
      <c r="A1327" s="566">
        <v>1</v>
      </c>
      <c r="B1327" s="567">
        <v>2</v>
      </c>
      <c r="C1327" s="567">
        <v>3</v>
      </c>
      <c r="D1327" s="567">
        <v>4</v>
      </c>
      <c r="E1327" s="567">
        <v>5</v>
      </c>
      <c r="F1327" s="541">
        <v>6</v>
      </c>
      <c r="G1327" s="541">
        <v>7</v>
      </c>
      <c r="H1327" s="542">
        <v>8</v>
      </c>
      <c r="I1327" s="636" t="s">
        <v>762</v>
      </c>
    </row>
    <row r="1328" spans="1:20" ht="15.75" thickTop="1" x14ac:dyDescent="0.25">
      <c r="A1328" s="1391">
        <v>1133</v>
      </c>
      <c r="B1328" s="775">
        <v>3121</v>
      </c>
      <c r="C1328" s="775">
        <v>5331</v>
      </c>
      <c r="D1328" s="839"/>
      <c r="E1328" s="860" t="s">
        <v>951</v>
      </c>
      <c r="F1328" s="861">
        <f>F1329+F1330</f>
        <v>1909</v>
      </c>
      <c r="G1328" s="861">
        <f>G1329+G1330</f>
        <v>1987</v>
      </c>
      <c r="H1328" s="861">
        <f>H1329+H1330</f>
        <v>1987</v>
      </c>
      <c r="I1328" s="826">
        <f t="shared" ref="I1328:I1360" si="151">(H1328/G1328)*100</f>
        <v>100</v>
      </c>
    </row>
    <row r="1329" spans="1:9" ht="14.25" x14ac:dyDescent="0.2">
      <c r="A1329" s="431"/>
      <c r="B1329" s="673"/>
      <c r="C1329" s="673"/>
      <c r="D1329" s="707" t="s">
        <v>575</v>
      </c>
      <c r="E1329" s="1478" t="s">
        <v>793</v>
      </c>
      <c r="F1329" s="827">
        <v>9</v>
      </c>
      <c r="G1329" s="827">
        <v>106</v>
      </c>
      <c r="H1329" s="827">
        <v>106</v>
      </c>
      <c r="I1329" s="823">
        <f t="shared" si="151"/>
        <v>100</v>
      </c>
    </row>
    <row r="1330" spans="1:9" ht="14.25" x14ac:dyDescent="0.2">
      <c r="A1330" s="431"/>
      <c r="B1330" s="673"/>
      <c r="C1330" s="673"/>
      <c r="D1330" s="552" t="s">
        <v>570</v>
      </c>
      <c r="E1330" s="455" t="s">
        <v>71</v>
      </c>
      <c r="F1330" s="827">
        <v>1900</v>
      </c>
      <c r="G1330" s="827">
        <v>1881</v>
      </c>
      <c r="H1330" s="827">
        <v>1881</v>
      </c>
      <c r="I1330" s="823">
        <f t="shared" si="151"/>
        <v>100</v>
      </c>
    </row>
    <row r="1331" spans="1:9" ht="14.25" customHeight="1" x14ac:dyDescent="0.25">
      <c r="A1331" s="431">
        <v>1133</v>
      </c>
      <c r="B1331" s="673">
        <v>3121</v>
      </c>
      <c r="C1331" s="673">
        <v>5336</v>
      </c>
      <c r="D1331" s="552"/>
      <c r="E1331" s="672" t="s">
        <v>2054</v>
      </c>
      <c r="F1331" s="827"/>
      <c r="G1331" s="851">
        <f>G1332+G1333+G1334</f>
        <v>14087</v>
      </c>
      <c r="H1331" s="851">
        <f>H1332+H1333+H1334</f>
        <v>14087</v>
      </c>
      <c r="I1331" s="853">
        <f t="shared" si="151"/>
        <v>100</v>
      </c>
    </row>
    <row r="1332" spans="1:9" ht="14.25" customHeight="1" x14ac:dyDescent="0.2">
      <c r="A1332" s="431"/>
      <c r="B1332" s="673"/>
      <c r="C1332" s="673"/>
      <c r="D1332" s="1068" t="s">
        <v>1504</v>
      </c>
      <c r="E1332" s="2116" t="s">
        <v>1604</v>
      </c>
      <c r="F1332" s="827"/>
      <c r="G1332" s="827">
        <v>8</v>
      </c>
      <c r="H1332" s="827">
        <v>8</v>
      </c>
      <c r="I1332" s="823">
        <f t="shared" ref="I1332:I1333" si="152">(H1332/G1332)*100</f>
        <v>100</v>
      </c>
    </row>
    <row r="1333" spans="1:9" ht="14.25" customHeight="1" x14ac:dyDescent="0.2">
      <c r="A1333" s="431"/>
      <c r="B1333" s="673"/>
      <c r="C1333" s="673"/>
      <c r="D1333" s="1068" t="s">
        <v>1903</v>
      </c>
      <c r="E1333" s="2546" t="s">
        <v>2032</v>
      </c>
      <c r="F1333" s="314"/>
      <c r="G1333" s="316">
        <v>7</v>
      </c>
      <c r="H1333" s="316">
        <v>7</v>
      </c>
      <c r="I1333" s="1074">
        <f t="shared" si="152"/>
        <v>100</v>
      </c>
    </row>
    <row r="1334" spans="1:9" ht="15" thickBot="1" x14ac:dyDescent="0.25">
      <c r="A1334" s="1394"/>
      <c r="B1334" s="674"/>
      <c r="C1334" s="674"/>
      <c r="D1334" s="718" t="s">
        <v>1124</v>
      </c>
      <c r="E1334" s="456" t="s">
        <v>792</v>
      </c>
      <c r="F1334" s="871"/>
      <c r="G1334" s="871">
        <v>14072</v>
      </c>
      <c r="H1334" s="871">
        <v>14072</v>
      </c>
      <c r="I1334" s="855">
        <f t="shared" si="151"/>
        <v>100</v>
      </c>
    </row>
    <row r="1335" spans="1:9" ht="14.25" thickTop="1" thickBot="1" x14ac:dyDescent="0.25">
      <c r="A1335" s="432"/>
      <c r="I1335" s="1390" t="s">
        <v>161</v>
      </c>
    </row>
    <row r="1336" spans="1:9" s="107" customFormat="1" thickTop="1" thickBot="1" x14ac:dyDescent="0.25">
      <c r="A1336" s="631" t="s">
        <v>624</v>
      </c>
      <c r="B1336" s="774" t="s">
        <v>162</v>
      </c>
      <c r="C1336" s="632" t="s">
        <v>163</v>
      </c>
      <c r="D1336" s="634" t="s">
        <v>705</v>
      </c>
      <c r="E1336" s="634" t="s">
        <v>164</v>
      </c>
      <c r="F1336" s="634" t="s">
        <v>165</v>
      </c>
      <c r="G1336" s="634" t="s">
        <v>881</v>
      </c>
      <c r="H1336" s="634" t="s">
        <v>882</v>
      </c>
      <c r="I1336" s="818" t="s">
        <v>883</v>
      </c>
    </row>
    <row r="1337" spans="1:9" s="383" customFormat="1" ht="13.5" thickTop="1" thickBot="1" x14ac:dyDescent="0.25">
      <c r="A1337" s="566">
        <v>1</v>
      </c>
      <c r="B1337" s="567">
        <v>2</v>
      </c>
      <c r="C1337" s="567">
        <v>3</v>
      </c>
      <c r="D1337" s="567">
        <v>4</v>
      </c>
      <c r="E1337" s="567">
        <v>5</v>
      </c>
      <c r="F1337" s="541">
        <v>6</v>
      </c>
      <c r="G1337" s="541">
        <v>7</v>
      </c>
      <c r="H1337" s="542">
        <v>8</v>
      </c>
      <c r="I1337" s="636" t="s">
        <v>762</v>
      </c>
    </row>
    <row r="1338" spans="1:9" ht="15.75" thickTop="1" x14ac:dyDescent="0.25">
      <c r="A1338" s="431">
        <v>1133</v>
      </c>
      <c r="B1338" s="750">
        <v>3122</v>
      </c>
      <c r="C1338" s="750">
        <v>5331</v>
      </c>
      <c r="D1338" s="859"/>
      <c r="E1338" s="672" t="s">
        <v>951</v>
      </c>
      <c r="F1338" s="835">
        <f>F1339+F1340</f>
        <v>2651</v>
      </c>
      <c r="G1338" s="835">
        <f>G1339+G1340</f>
        <v>2631</v>
      </c>
      <c r="H1338" s="835">
        <f>H1339+H1340</f>
        <v>2631</v>
      </c>
      <c r="I1338" s="836">
        <f t="shared" si="151"/>
        <v>100</v>
      </c>
    </row>
    <row r="1339" spans="1:9" ht="14.25" x14ac:dyDescent="0.2">
      <c r="A1339" s="431"/>
      <c r="B1339" s="750"/>
      <c r="C1339" s="750"/>
      <c r="D1339" s="707" t="s">
        <v>575</v>
      </c>
      <c r="E1339" s="1478" t="s">
        <v>793</v>
      </c>
      <c r="F1339" s="833">
        <v>627</v>
      </c>
      <c r="G1339" s="833">
        <v>627</v>
      </c>
      <c r="H1339" s="833">
        <v>627</v>
      </c>
      <c r="I1339" s="828">
        <f t="shared" si="151"/>
        <v>100</v>
      </c>
    </row>
    <row r="1340" spans="1:9" ht="14.25" x14ac:dyDescent="0.2">
      <c r="A1340" s="431"/>
      <c r="B1340" s="750"/>
      <c r="C1340" s="750"/>
      <c r="D1340" s="552" t="s">
        <v>570</v>
      </c>
      <c r="E1340" s="455" t="s">
        <v>71</v>
      </c>
      <c r="F1340" s="833">
        <v>2024</v>
      </c>
      <c r="G1340" s="833">
        <v>2004</v>
      </c>
      <c r="H1340" s="833">
        <v>2004</v>
      </c>
      <c r="I1340" s="828">
        <f t="shared" si="151"/>
        <v>100</v>
      </c>
    </row>
    <row r="1341" spans="1:9" ht="15" x14ac:dyDescent="0.25">
      <c r="A1341" s="431">
        <v>1133</v>
      </c>
      <c r="B1341" s="750">
        <v>3122</v>
      </c>
      <c r="C1341" s="750">
        <v>5336</v>
      </c>
      <c r="D1341" s="2543"/>
      <c r="E1341" s="672" t="s">
        <v>2054</v>
      </c>
      <c r="F1341" s="833"/>
      <c r="G1341" s="846">
        <f>G1342+G1345+G1347+G1348+G1349+G1350</f>
        <v>24214</v>
      </c>
      <c r="H1341" s="846">
        <f>H1342+H1345+H1347+H1348+H1349+H1350</f>
        <v>24214</v>
      </c>
      <c r="I1341" s="838">
        <f t="shared" si="151"/>
        <v>100</v>
      </c>
    </row>
    <row r="1342" spans="1:9" ht="14.25" x14ac:dyDescent="0.2">
      <c r="A1342" s="431"/>
      <c r="B1342" s="750"/>
      <c r="C1342" s="750"/>
      <c r="D1342" s="2660" t="s">
        <v>1429</v>
      </c>
      <c r="E1342" s="2674" t="s">
        <v>1448</v>
      </c>
      <c r="F1342" s="833"/>
      <c r="G1342" s="833">
        <v>64</v>
      </c>
      <c r="H1342" s="833">
        <v>64</v>
      </c>
      <c r="I1342" s="828">
        <f t="shared" ref="I1342" si="153">(H1342/G1342)*100</f>
        <v>100</v>
      </c>
    </row>
    <row r="1343" spans="1:9" ht="14.25" x14ac:dyDescent="0.2">
      <c r="A1343" s="431"/>
      <c r="B1343" s="750"/>
      <c r="C1343" s="750"/>
      <c r="D1343" s="2661"/>
      <c r="E1343" s="2675"/>
      <c r="F1343" s="833"/>
      <c r="G1343" s="833"/>
      <c r="H1343" s="833"/>
      <c r="I1343" s="828"/>
    </row>
    <row r="1344" spans="1:9" ht="14.25" x14ac:dyDescent="0.2">
      <c r="A1344" s="431"/>
      <c r="B1344" s="750"/>
      <c r="C1344" s="750"/>
      <c r="D1344" s="2661"/>
      <c r="E1344" s="2675"/>
      <c r="F1344" s="833"/>
      <c r="G1344" s="833"/>
      <c r="H1344" s="833"/>
      <c r="I1344" s="828"/>
    </row>
    <row r="1345" spans="1:20" ht="14.25" x14ac:dyDescent="0.2">
      <c r="A1345" s="431"/>
      <c r="B1345" s="750"/>
      <c r="C1345" s="750"/>
      <c r="D1345" s="1068" t="s">
        <v>1911</v>
      </c>
      <c r="E1345" s="2671" t="s">
        <v>2051</v>
      </c>
      <c r="F1345" s="827"/>
      <c r="G1345" s="837">
        <v>44</v>
      </c>
      <c r="H1345" s="837">
        <v>44</v>
      </c>
      <c r="I1345" s="823">
        <v>29</v>
      </c>
    </row>
    <row r="1346" spans="1:20" ht="15" x14ac:dyDescent="0.25">
      <c r="A1346" s="431"/>
      <c r="B1346" s="750"/>
      <c r="C1346" s="750"/>
      <c r="D1346" s="1068"/>
      <c r="E1346" s="2671"/>
      <c r="F1346" s="827"/>
      <c r="G1346" s="846"/>
      <c r="H1346" s="846"/>
      <c r="I1346" s="853"/>
    </row>
    <row r="1347" spans="1:20" ht="15" x14ac:dyDescent="0.2">
      <c r="A1347" s="431"/>
      <c r="B1347" s="750"/>
      <c r="C1347" s="750"/>
      <c r="D1347" s="1068" t="s">
        <v>1913</v>
      </c>
      <c r="E1347" s="2113" t="s">
        <v>2052</v>
      </c>
      <c r="F1347" s="2530"/>
      <c r="G1347" s="2531">
        <v>179</v>
      </c>
      <c r="H1347" s="2531">
        <v>179</v>
      </c>
      <c r="I1347" s="376">
        <f t="shared" ref="I1347" si="154">(H1347/G1347)*100</f>
        <v>100</v>
      </c>
    </row>
    <row r="1348" spans="1:20" ht="18" customHeight="1" x14ac:dyDescent="0.2">
      <c r="A1348" s="431"/>
      <c r="B1348" s="750"/>
      <c r="C1348" s="1393"/>
      <c r="D1348" s="552" t="s">
        <v>1124</v>
      </c>
      <c r="E1348" s="455" t="s">
        <v>792</v>
      </c>
      <c r="F1348" s="833"/>
      <c r="G1348" s="833">
        <v>22344</v>
      </c>
      <c r="H1348" s="833">
        <v>22344</v>
      </c>
      <c r="I1348" s="828">
        <f t="shared" si="151"/>
        <v>100</v>
      </c>
    </row>
    <row r="1349" spans="1:20" ht="18" customHeight="1" x14ac:dyDescent="0.2">
      <c r="A1349" s="431"/>
      <c r="B1349" s="750"/>
      <c r="C1349" s="1393"/>
      <c r="D1349" s="2534" t="s">
        <v>695</v>
      </c>
      <c r="E1349" s="2535" t="s">
        <v>1212</v>
      </c>
      <c r="F1349" s="2536"/>
      <c r="G1349" s="2536">
        <v>237</v>
      </c>
      <c r="H1349" s="2536">
        <v>237</v>
      </c>
      <c r="I1349" s="2537">
        <f>(H1349/G1349)*100</f>
        <v>100</v>
      </c>
    </row>
    <row r="1350" spans="1:20" ht="18" customHeight="1" x14ac:dyDescent="0.2">
      <c r="A1350" s="431"/>
      <c r="B1350" s="750"/>
      <c r="C1350" s="1393"/>
      <c r="D1350" s="2534" t="s">
        <v>696</v>
      </c>
      <c r="E1350" s="2535" t="s">
        <v>1212</v>
      </c>
      <c r="F1350" s="2536"/>
      <c r="G1350" s="2536">
        <v>1346</v>
      </c>
      <c r="H1350" s="2536">
        <v>1346</v>
      </c>
      <c r="I1350" s="2537">
        <f>(H1350/G1350)*100</f>
        <v>100</v>
      </c>
    </row>
    <row r="1351" spans="1:20" ht="15" x14ac:dyDescent="0.25">
      <c r="A1351" s="431">
        <v>1133</v>
      </c>
      <c r="B1351" s="750">
        <v>3141</v>
      </c>
      <c r="C1351" s="1393">
        <v>5336</v>
      </c>
      <c r="D1351" s="552"/>
      <c r="E1351" s="672" t="s">
        <v>2054</v>
      </c>
      <c r="F1351" s="846"/>
      <c r="G1351" s="846">
        <v>84</v>
      </c>
      <c r="H1351" s="846">
        <v>84</v>
      </c>
      <c r="I1351" s="838">
        <f t="shared" si="151"/>
        <v>100</v>
      </c>
    </row>
    <row r="1352" spans="1:20" ht="14.25" x14ac:dyDescent="0.2">
      <c r="A1352" s="431"/>
      <c r="B1352" s="750"/>
      <c r="C1352" s="1393"/>
      <c r="D1352" s="552" t="s">
        <v>1124</v>
      </c>
      <c r="E1352" s="455" t="s">
        <v>792</v>
      </c>
      <c r="F1352" s="833"/>
      <c r="G1352" s="833">
        <v>84</v>
      </c>
      <c r="H1352" s="833">
        <v>84</v>
      </c>
      <c r="I1352" s="828">
        <f t="shared" si="151"/>
        <v>100</v>
      </c>
    </row>
    <row r="1353" spans="1:20" ht="15" x14ac:dyDescent="0.25">
      <c r="A1353" s="431">
        <v>1133</v>
      </c>
      <c r="B1353" s="750">
        <v>3142</v>
      </c>
      <c r="C1353" s="1393">
        <v>5331</v>
      </c>
      <c r="D1353" s="552"/>
      <c r="E1353" s="672" t="s">
        <v>951</v>
      </c>
      <c r="F1353" s="835">
        <f>F1354+F1355</f>
        <v>333</v>
      </c>
      <c r="G1353" s="835">
        <f>G1354+G1355</f>
        <v>330</v>
      </c>
      <c r="H1353" s="835">
        <f>H1354+H1355</f>
        <v>330</v>
      </c>
      <c r="I1353" s="836">
        <f t="shared" si="151"/>
        <v>100</v>
      </c>
    </row>
    <row r="1354" spans="1:20" ht="14.25" x14ac:dyDescent="0.2">
      <c r="A1354" s="431"/>
      <c r="B1354" s="750"/>
      <c r="C1354" s="1393"/>
      <c r="D1354" s="707" t="s">
        <v>575</v>
      </c>
      <c r="E1354" s="1478" t="s">
        <v>793</v>
      </c>
      <c r="F1354" s="833">
        <v>48</v>
      </c>
      <c r="G1354" s="833">
        <v>48</v>
      </c>
      <c r="H1354" s="833">
        <v>48</v>
      </c>
      <c r="I1354" s="828">
        <f t="shared" si="151"/>
        <v>100</v>
      </c>
    </row>
    <row r="1355" spans="1:20" ht="14.25" x14ac:dyDescent="0.2">
      <c r="A1355" s="431"/>
      <c r="B1355" s="750"/>
      <c r="C1355" s="1393"/>
      <c r="D1355" s="552" t="s">
        <v>570</v>
      </c>
      <c r="E1355" s="455" t="s">
        <v>71</v>
      </c>
      <c r="F1355" s="833">
        <v>285</v>
      </c>
      <c r="G1355" s="833">
        <v>282</v>
      </c>
      <c r="H1355" s="833">
        <v>282</v>
      </c>
      <c r="I1355" s="828">
        <f t="shared" si="151"/>
        <v>100</v>
      </c>
    </row>
    <row r="1356" spans="1:20" ht="15" x14ac:dyDescent="0.25">
      <c r="A1356" s="431">
        <v>1133</v>
      </c>
      <c r="B1356" s="750">
        <v>3142</v>
      </c>
      <c r="C1356" s="1393">
        <v>5336</v>
      </c>
      <c r="D1356" s="552"/>
      <c r="E1356" s="672" t="s">
        <v>2054</v>
      </c>
      <c r="F1356" s="833"/>
      <c r="G1356" s="846">
        <v>304</v>
      </c>
      <c r="H1356" s="846">
        <v>304</v>
      </c>
      <c r="I1356" s="838">
        <f t="shared" si="151"/>
        <v>100</v>
      </c>
    </row>
    <row r="1357" spans="1:20" ht="14.25" x14ac:dyDescent="0.2">
      <c r="A1357" s="431"/>
      <c r="B1357" s="750"/>
      <c r="C1357" s="1393"/>
      <c r="D1357" s="552" t="s">
        <v>1124</v>
      </c>
      <c r="E1357" s="455" t="s">
        <v>792</v>
      </c>
      <c r="F1357" s="833"/>
      <c r="G1357" s="833">
        <v>304</v>
      </c>
      <c r="H1357" s="833">
        <v>304</v>
      </c>
      <c r="I1357" s="828">
        <f t="shared" si="151"/>
        <v>100</v>
      </c>
    </row>
    <row r="1358" spans="1:20" ht="15" x14ac:dyDescent="0.25">
      <c r="A1358" s="431">
        <v>1133</v>
      </c>
      <c r="B1358" s="750">
        <v>3293</v>
      </c>
      <c r="C1358" s="1393">
        <v>5331</v>
      </c>
      <c r="D1358" s="552"/>
      <c r="E1358" s="672" t="s">
        <v>951</v>
      </c>
      <c r="F1358" s="833"/>
      <c r="G1358" s="846">
        <v>1</v>
      </c>
      <c r="H1358" s="846">
        <v>1</v>
      </c>
      <c r="I1358" s="838">
        <f t="shared" si="151"/>
        <v>100</v>
      </c>
    </row>
    <row r="1359" spans="1:20" ht="15" thickBot="1" x14ac:dyDescent="0.25">
      <c r="A1359" s="431"/>
      <c r="B1359" s="750"/>
      <c r="C1359" s="1393"/>
      <c r="D1359" s="1325" t="s">
        <v>1127</v>
      </c>
      <c r="E1359" s="1289" t="s">
        <v>1603</v>
      </c>
      <c r="F1359" s="833"/>
      <c r="G1359" s="833">
        <v>1</v>
      </c>
      <c r="H1359" s="833">
        <v>1</v>
      </c>
      <c r="I1359" s="828">
        <f t="shared" si="151"/>
        <v>100</v>
      </c>
    </row>
    <row r="1360" spans="1:20" ht="16.5" thickTop="1" thickBot="1" x14ac:dyDescent="0.3">
      <c r="A1360" s="2672" t="s">
        <v>1105</v>
      </c>
      <c r="B1360" s="2673"/>
      <c r="C1360" s="2673"/>
      <c r="D1360" s="2673"/>
      <c r="E1360" s="2673"/>
      <c r="F1360" s="824">
        <f>F1328+F1331+F1338+F1341+F1351+F1353+F1356+F1358</f>
        <v>4893</v>
      </c>
      <c r="G1360" s="824">
        <f>G1328+G1331+G1338+G1341+G1351+G1353+G1356+G1358</f>
        <v>43638</v>
      </c>
      <c r="H1360" s="824">
        <f>H1328+H1331+H1338+H1341+H1351+H1353+H1356+H1358</f>
        <v>43638</v>
      </c>
      <c r="I1360" s="825">
        <f t="shared" si="151"/>
        <v>100</v>
      </c>
      <c r="R1360" s="382">
        <f>F1360</f>
        <v>4893</v>
      </c>
      <c r="S1360" s="382">
        <f>G1360</f>
        <v>43638</v>
      </c>
      <c r="T1360" s="382">
        <f>H1360</f>
        <v>43638</v>
      </c>
    </row>
    <row r="1361" spans="1:23" ht="15.75" thickTop="1" x14ac:dyDescent="0.25">
      <c r="A1361" s="368"/>
      <c r="B1361" s="368"/>
      <c r="C1361" s="368"/>
      <c r="D1361" s="368"/>
      <c r="E1361" s="368"/>
      <c r="F1361" s="181"/>
      <c r="G1361" s="181"/>
      <c r="H1361" s="181"/>
      <c r="I1361" s="210"/>
      <c r="R1361" s="382"/>
      <c r="S1361" s="382"/>
      <c r="T1361" s="382"/>
    </row>
    <row r="1362" spans="1:23" ht="15" x14ac:dyDescent="0.25">
      <c r="A1362" s="368"/>
      <c r="B1362" s="368"/>
      <c r="C1362" s="368"/>
      <c r="D1362" s="368"/>
      <c r="E1362" s="368"/>
      <c r="F1362" s="183"/>
      <c r="G1362" s="183"/>
      <c r="H1362" s="183"/>
      <c r="I1362" s="214"/>
      <c r="J1362" s="382"/>
      <c r="K1362" s="382"/>
      <c r="L1362" s="382"/>
      <c r="R1362" s="382"/>
      <c r="S1362" s="382"/>
      <c r="T1362" s="382"/>
      <c r="U1362" s="382"/>
      <c r="V1362" s="382"/>
      <c r="W1362" s="382"/>
    </row>
    <row r="1363" spans="1:23" ht="13.5" thickBot="1" x14ac:dyDescent="0.25">
      <c r="A1363" s="432" t="s">
        <v>880</v>
      </c>
      <c r="I1363" s="1390" t="s">
        <v>161</v>
      </c>
    </row>
    <row r="1364" spans="1:23" s="107" customFormat="1" thickTop="1" thickBot="1" x14ac:dyDescent="0.25">
      <c r="A1364" s="631" t="s">
        <v>624</v>
      </c>
      <c r="B1364" s="774" t="s">
        <v>162</v>
      </c>
      <c r="C1364" s="632" t="s">
        <v>163</v>
      </c>
      <c r="D1364" s="634" t="s">
        <v>705</v>
      </c>
      <c r="E1364" s="634" t="s">
        <v>164</v>
      </c>
      <c r="F1364" s="634" t="s">
        <v>165</v>
      </c>
      <c r="G1364" s="634" t="s">
        <v>881</v>
      </c>
      <c r="H1364" s="634" t="s">
        <v>882</v>
      </c>
      <c r="I1364" s="818" t="s">
        <v>883</v>
      </c>
    </row>
    <row r="1365" spans="1:23" s="383" customFormat="1" ht="13.5" thickTop="1" thickBot="1" x14ac:dyDescent="0.25">
      <c r="A1365" s="566">
        <v>1</v>
      </c>
      <c r="B1365" s="567">
        <v>2</v>
      </c>
      <c r="C1365" s="567">
        <v>3</v>
      </c>
      <c r="D1365" s="567">
        <v>4</v>
      </c>
      <c r="E1365" s="567">
        <v>5</v>
      </c>
      <c r="F1365" s="541">
        <v>6</v>
      </c>
      <c r="G1365" s="541">
        <v>7</v>
      </c>
      <c r="H1365" s="542">
        <v>8</v>
      </c>
      <c r="I1365" s="636" t="s">
        <v>762</v>
      </c>
    </row>
    <row r="1366" spans="1:23" ht="15.75" thickTop="1" x14ac:dyDescent="0.25">
      <c r="A1366" s="1391">
        <v>1134</v>
      </c>
      <c r="B1366" s="775">
        <v>3122</v>
      </c>
      <c r="C1366" s="775">
        <v>5331</v>
      </c>
      <c r="D1366" s="839"/>
      <c r="E1366" s="860" t="s">
        <v>951</v>
      </c>
      <c r="F1366" s="861">
        <f>F1367+F1368</f>
        <v>5799</v>
      </c>
      <c r="G1366" s="861">
        <f>G1367+G1368+G1369</f>
        <v>5839</v>
      </c>
      <c r="H1366" s="861">
        <f>H1367+H1368+H1369</f>
        <v>5839</v>
      </c>
      <c r="I1366" s="826">
        <f t="shared" ref="I1366:I1387" si="155">(H1366/G1366)*100</f>
        <v>100</v>
      </c>
    </row>
    <row r="1367" spans="1:23" ht="14.25" x14ac:dyDescent="0.2">
      <c r="A1367" s="431"/>
      <c r="B1367" s="673"/>
      <c r="C1367" s="673"/>
      <c r="D1367" s="707" t="s">
        <v>575</v>
      </c>
      <c r="E1367" s="1478" t="s">
        <v>793</v>
      </c>
      <c r="F1367" s="827">
        <v>1000</v>
      </c>
      <c r="G1367" s="827">
        <v>1064</v>
      </c>
      <c r="H1367" s="827">
        <v>1064</v>
      </c>
      <c r="I1367" s="823">
        <f t="shared" si="155"/>
        <v>100</v>
      </c>
    </row>
    <row r="1368" spans="1:23" ht="14.25" x14ac:dyDescent="0.2">
      <c r="A1368" s="431"/>
      <c r="B1368" s="673"/>
      <c r="C1368" s="673"/>
      <c r="D1368" s="552" t="s">
        <v>570</v>
      </c>
      <c r="E1368" s="455" t="s">
        <v>71</v>
      </c>
      <c r="F1368" s="827">
        <v>4799</v>
      </c>
      <c r="G1368" s="827">
        <v>4765</v>
      </c>
      <c r="H1368" s="827">
        <v>4765</v>
      </c>
      <c r="I1368" s="823">
        <f t="shared" si="155"/>
        <v>100</v>
      </c>
    </row>
    <row r="1369" spans="1:23" ht="14.25" x14ac:dyDescent="0.2">
      <c r="A1369" s="431"/>
      <c r="B1369" s="673"/>
      <c r="C1369" s="673"/>
      <c r="D1369" s="1059" t="s">
        <v>665</v>
      </c>
      <c r="E1369" s="1278" t="s">
        <v>1294</v>
      </c>
      <c r="F1369" s="1311"/>
      <c r="G1369" s="451">
        <v>10</v>
      </c>
      <c r="H1369" s="316">
        <v>10</v>
      </c>
      <c r="I1369" s="1074">
        <f t="shared" si="155"/>
        <v>100</v>
      </c>
    </row>
    <row r="1370" spans="1:23" ht="15" x14ac:dyDescent="0.25">
      <c r="A1370" s="431">
        <v>1134</v>
      </c>
      <c r="B1370" s="673">
        <v>3122</v>
      </c>
      <c r="C1370" s="673">
        <v>5336</v>
      </c>
      <c r="D1370" s="552"/>
      <c r="E1370" s="672" t="s">
        <v>2054</v>
      </c>
      <c r="F1370" s="827"/>
      <c r="G1370" s="851">
        <f>G1371+G1373+G1374</f>
        <v>9083</v>
      </c>
      <c r="H1370" s="851">
        <f>H1371+H1373+H1374</f>
        <v>9083</v>
      </c>
      <c r="I1370" s="853">
        <f t="shared" si="155"/>
        <v>100</v>
      </c>
    </row>
    <row r="1371" spans="1:23" ht="14.25" customHeight="1" x14ac:dyDescent="0.2">
      <c r="A1371" s="431"/>
      <c r="B1371" s="673"/>
      <c r="C1371" s="673"/>
      <c r="D1371" s="1068" t="s">
        <v>1911</v>
      </c>
      <c r="E1371" s="2671" t="s">
        <v>2051</v>
      </c>
      <c r="F1371" s="827"/>
      <c r="G1371" s="837">
        <v>19</v>
      </c>
      <c r="H1371" s="837">
        <v>19</v>
      </c>
      <c r="I1371" s="823">
        <v>29</v>
      </c>
    </row>
    <row r="1372" spans="1:23" ht="15" x14ac:dyDescent="0.25">
      <c r="A1372" s="431"/>
      <c r="B1372" s="673"/>
      <c r="C1372" s="673"/>
      <c r="D1372" s="1068"/>
      <c r="E1372" s="2671"/>
      <c r="F1372" s="827"/>
      <c r="G1372" s="846"/>
      <c r="H1372" s="846"/>
      <c r="I1372" s="853"/>
    </row>
    <row r="1373" spans="1:23" ht="15" x14ac:dyDescent="0.2">
      <c r="A1373" s="431"/>
      <c r="B1373" s="673"/>
      <c r="C1373" s="673"/>
      <c r="D1373" s="1068" t="s">
        <v>1913</v>
      </c>
      <c r="E1373" s="2113" t="s">
        <v>2052</v>
      </c>
      <c r="F1373" s="2530"/>
      <c r="G1373" s="2531">
        <v>108</v>
      </c>
      <c r="H1373" s="2531">
        <v>108</v>
      </c>
      <c r="I1373" s="376">
        <f t="shared" ref="I1373" si="156">(H1373/G1373)*100</f>
        <v>100</v>
      </c>
    </row>
    <row r="1374" spans="1:23" ht="14.25" x14ac:dyDescent="0.2">
      <c r="A1374" s="431"/>
      <c r="B1374" s="673"/>
      <c r="C1374" s="673"/>
      <c r="D1374" s="552" t="s">
        <v>1124</v>
      </c>
      <c r="E1374" s="455" t="s">
        <v>792</v>
      </c>
      <c r="F1374" s="827"/>
      <c r="G1374" s="827">
        <v>8956</v>
      </c>
      <c r="H1374" s="827">
        <v>8956</v>
      </c>
      <c r="I1374" s="823">
        <f t="shared" si="155"/>
        <v>100</v>
      </c>
    </row>
    <row r="1375" spans="1:23" ht="18" customHeight="1" x14ac:dyDescent="0.25">
      <c r="A1375" s="431">
        <v>1134</v>
      </c>
      <c r="B1375" s="750">
        <v>3123</v>
      </c>
      <c r="C1375" s="750">
        <v>5331</v>
      </c>
      <c r="D1375" s="842"/>
      <c r="E1375" s="672" t="s">
        <v>951</v>
      </c>
      <c r="F1375" s="835">
        <f>F1376+F1377</f>
        <v>1613</v>
      </c>
      <c r="G1375" s="835">
        <f>G1376+G1377</f>
        <v>1606</v>
      </c>
      <c r="H1375" s="835">
        <f>H1376+H1377</f>
        <v>1606</v>
      </c>
      <c r="I1375" s="836">
        <f t="shared" si="155"/>
        <v>100</v>
      </c>
    </row>
    <row r="1376" spans="1:23" ht="14.25" x14ac:dyDescent="0.2">
      <c r="A1376" s="431"/>
      <c r="B1376" s="750"/>
      <c r="C1376" s="750"/>
      <c r="D1376" s="707" t="s">
        <v>575</v>
      </c>
      <c r="E1376" s="1478" t="s">
        <v>793</v>
      </c>
      <c r="F1376" s="833">
        <v>113</v>
      </c>
      <c r="G1376" s="833">
        <v>113</v>
      </c>
      <c r="H1376" s="833">
        <v>113</v>
      </c>
      <c r="I1376" s="828">
        <f t="shared" si="155"/>
        <v>100</v>
      </c>
    </row>
    <row r="1377" spans="1:20" ht="20.25" customHeight="1" x14ac:dyDescent="0.2">
      <c r="A1377" s="431"/>
      <c r="B1377" s="750"/>
      <c r="C1377" s="750"/>
      <c r="D1377" s="552" t="s">
        <v>570</v>
      </c>
      <c r="E1377" s="455" t="s">
        <v>71</v>
      </c>
      <c r="F1377" s="833">
        <v>1500</v>
      </c>
      <c r="G1377" s="833">
        <v>1493</v>
      </c>
      <c r="H1377" s="833">
        <v>1493</v>
      </c>
      <c r="I1377" s="828">
        <f t="shared" si="155"/>
        <v>100</v>
      </c>
    </row>
    <row r="1378" spans="1:20" ht="15" x14ac:dyDescent="0.25">
      <c r="A1378" s="431">
        <v>1134</v>
      </c>
      <c r="B1378" s="750">
        <v>3123</v>
      </c>
      <c r="C1378" s="750">
        <v>5336</v>
      </c>
      <c r="D1378" s="552"/>
      <c r="E1378" s="672" t="s">
        <v>2054</v>
      </c>
      <c r="F1378" s="833"/>
      <c r="G1378" s="846">
        <v>5209</v>
      </c>
      <c r="H1378" s="846">
        <v>5209</v>
      </c>
      <c r="I1378" s="838">
        <f t="shared" si="155"/>
        <v>100</v>
      </c>
    </row>
    <row r="1379" spans="1:20" ht="14.25" x14ac:dyDescent="0.2">
      <c r="A1379" s="431"/>
      <c r="B1379" s="750"/>
      <c r="C1379" s="750"/>
      <c r="D1379" s="552" t="s">
        <v>1124</v>
      </c>
      <c r="E1379" s="455" t="s">
        <v>792</v>
      </c>
      <c r="F1379" s="833"/>
      <c r="G1379" s="833">
        <v>5209</v>
      </c>
      <c r="H1379" s="833">
        <v>5209</v>
      </c>
      <c r="I1379" s="828">
        <f t="shared" si="155"/>
        <v>100</v>
      </c>
    </row>
    <row r="1380" spans="1:20" ht="15" x14ac:dyDescent="0.25">
      <c r="A1380" s="431">
        <v>1134</v>
      </c>
      <c r="B1380" s="750">
        <v>3142</v>
      </c>
      <c r="C1380" s="750">
        <v>5331</v>
      </c>
      <c r="D1380" s="859"/>
      <c r="E1380" s="672" t="s">
        <v>951</v>
      </c>
      <c r="F1380" s="835">
        <v>500</v>
      </c>
      <c r="G1380" s="835">
        <v>497</v>
      </c>
      <c r="H1380" s="835">
        <v>497</v>
      </c>
      <c r="I1380" s="836">
        <f t="shared" si="155"/>
        <v>100</v>
      </c>
    </row>
    <row r="1381" spans="1:20" ht="14.25" x14ac:dyDescent="0.2">
      <c r="A1381" s="431"/>
      <c r="B1381" s="750"/>
      <c r="C1381" s="750"/>
      <c r="D1381" s="552" t="s">
        <v>570</v>
      </c>
      <c r="E1381" s="455" t="s">
        <v>71</v>
      </c>
      <c r="F1381" s="833">
        <v>500</v>
      </c>
      <c r="G1381" s="833">
        <v>497</v>
      </c>
      <c r="H1381" s="833">
        <v>497</v>
      </c>
      <c r="I1381" s="828">
        <f t="shared" si="155"/>
        <v>100</v>
      </c>
    </row>
    <row r="1382" spans="1:20" ht="15" x14ac:dyDescent="0.25">
      <c r="A1382" s="431">
        <v>1134</v>
      </c>
      <c r="B1382" s="750">
        <v>3142</v>
      </c>
      <c r="C1382" s="750">
        <v>5336</v>
      </c>
      <c r="D1382" s="552"/>
      <c r="E1382" s="672" t="s">
        <v>2054</v>
      </c>
      <c r="F1382" s="833"/>
      <c r="G1382" s="846">
        <v>525</v>
      </c>
      <c r="H1382" s="846">
        <v>525</v>
      </c>
      <c r="I1382" s="838">
        <f t="shared" si="155"/>
        <v>100</v>
      </c>
    </row>
    <row r="1383" spans="1:20" ht="14.25" x14ac:dyDescent="0.2">
      <c r="A1383" s="431"/>
      <c r="B1383" s="750"/>
      <c r="C1383" s="1393"/>
      <c r="D1383" s="552" t="s">
        <v>1124</v>
      </c>
      <c r="E1383" s="455" t="s">
        <v>792</v>
      </c>
      <c r="F1383" s="833"/>
      <c r="G1383" s="833">
        <v>525</v>
      </c>
      <c r="H1383" s="833">
        <v>525</v>
      </c>
      <c r="I1383" s="828">
        <f t="shared" si="155"/>
        <v>100</v>
      </c>
    </row>
    <row r="1384" spans="1:20" ht="15" x14ac:dyDescent="0.25">
      <c r="A1384" s="431">
        <v>1134</v>
      </c>
      <c r="B1384" s="750">
        <v>3147</v>
      </c>
      <c r="C1384" s="1393">
        <v>5331</v>
      </c>
      <c r="D1384" s="842"/>
      <c r="E1384" s="672" t="s">
        <v>951</v>
      </c>
      <c r="F1384" s="835">
        <v>500</v>
      </c>
      <c r="G1384" s="835">
        <v>497</v>
      </c>
      <c r="H1384" s="835">
        <v>497</v>
      </c>
      <c r="I1384" s="828">
        <f t="shared" si="155"/>
        <v>100</v>
      </c>
    </row>
    <row r="1385" spans="1:20" ht="18" customHeight="1" x14ac:dyDescent="0.2">
      <c r="A1385" s="431"/>
      <c r="B1385" s="750"/>
      <c r="C1385" s="1393"/>
      <c r="D1385" s="552" t="s">
        <v>570</v>
      </c>
      <c r="E1385" s="455" t="s">
        <v>71</v>
      </c>
      <c r="F1385" s="833">
        <v>500</v>
      </c>
      <c r="G1385" s="833">
        <v>497</v>
      </c>
      <c r="H1385" s="833">
        <v>497</v>
      </c>
      <c r="I1385" s="828">
        <f t="shared" si="155"/>
        <v>100</v>
      </c>
    </row>
    <row r="1386" spans="1:20" ht="15" x14ac:dyDescent="0.25">
      <c r="A1386" s="431">
        <v>1134</v>
      </c>
      <c r="B1386" s="750">
        <v>3147</v>
      </c>
      <c r="C1386" s="1393">
        <v>5336</v>
      </c>
      <c r="D1386" s="552"/>
      <c r="E1386" s="672" t="s">
        <v>2054</v>
      </c>
      <c r="F1386" s="833"/>
      <c r="G1386" s="846">
        <v>1380</v>
      </c>
      <c r="H1386" s="846">
        <v>1380</v>
      </c>
      <c r="I1386" s="838">
        <f t="shared" si="155"/>
        <v>100</v>
      </c>
    </row>
    <row r="1387" spans="1:20" ht="15" thickBot="1" x14ac:dyDescent="0.25">
      <c r="A1387" s="1394"/>
      <c r="B1387" s="891"/>
      <c r="C1387" s="1395"/>
      <c r="D1387" s="718" t="s">
        <v>1124</v>
      </c>
      <c r="E1387" s="456" t="s">
        <v>792</v>
      </c>
      <c r="F1387" s="892"/>
      <c r="G1387" s="892">
        <v>1380</v>
      </c>
      <c r="H1387" s="892">
        <v>1380</v>
      </c>
      <c r="I1387" s="872">
        <f t="shared" si="155"/>
        <v>100</v>
      </c>
    </row>
    <row r="1388" spans="1:20" ht="16.5" thickTop="1" thickBot="1" x14ac:dyDescent="0.3">
      <c r="A1388" s="2672" t="s">
        <v>1105</v>
      </c>
      <c r="B1388" s="2673"/>
      <c r="C1388" s="2673"/>
      <c r="D1388" s="2673"/>
      <c r="E1388" s="2673"/>
      <c r="F1388" s="824">
        <f>F1366+F1370+F1375+F1378+F1380+F1382+F1384+F1386</f>
        <v>8412</v>
      </c>
      <c r="G1388" s="824">
        <f>G1366+G1370+G1375+G1378+G1380+G1382+G1384+G1386</f>
        <v>24636</v>
      </c>
      <c r="H1388" s="824">
        <f>H1366+H1370+H1375+H1378+H1380+H1382+H1384+H1386</f>
        <v>24636</v>
      </c>
      <c r="I1388" s="825">
        <f>(H1388/G1388)*100</f>
        <v>100</v>
      </c>
      <c r="R1388" s="382">
        <f>F1388</f>
        <v>8412</v>
      </c>
      <c r="S1388" s="382">
        <f>G1388</f>
        <v>24636</v>
      </c>
      <c r="T1388" s="382">
        <f>H1388</f>
        <v>24636</v>
      </c>
    </row>
    <row r="1389" spans="1:20" ht="13.5" thickTop="1" x14ac:dyDescent="0.2"/>
    <row r="1391" spans="1:20" ht="13.5" thickBot="1" x14ac:dyDescent="0.25">
      <c r="A1391" s="432" t="s">
        <v>1256</v>
      </c>
      <c r="I1391" s="1390" t="s">
        <v>161</v>
      </c>
    </row>
    <row r="1392" spans="1:20" s="107" customFormat="1" thickTop="1" thickBot="1" x14ac:dyDescent="0.25">
      <c r="A1392" s="631" t="s">
        <v>624</v>
      </c>
      <c r="B1392" s="774" t="s">
        <v>162</v>
      </c>
      <c r="C1392" s="632" t="s">
        <v>163</v>
      </c>
      <c r="D1392" s="634" t="s">
        <v>705</v>
      </c>
      <c r="E1392" s="634" t="s">
        <v>164</v>
      </c>
      <c r="F1392" s="634" t="s">
        <v>165</v>
      </c>
      <c r="G1392" s="634" t="s">
        <v>881</v>
      </c>
      <c r="H1392" s="634" t="s">
        <v>882</v>
      </c>
      <c r="I1392" s="818" t="s">
        <v>883</v>
      </c>
    </row>
    <row r="1393" spans="1:9" s="383" customFormat="1" ht="13.5" thickTop="1" thickBot="1" x14ac:dyDescent="0.25">
      <c r="A1393" s="566">
        <v>1</v>
      </c>
      <c r="B1393" s="567">
        <v>2</v>
      </c>
      <c r="C1393" s="567">
        <v>3</v>
      </c>
      <c r="D1393" s="567">
        <v>4</v>
      </c>
      <c r="E1393" s="567">
        <v>5</v>
      </c>
      <c r="F1393" s="541">
        <v>6</v>
      </c>
      <c r="G1393" s="541">
        <v>7</v>
      </c>
      <c r="H1393" s="542">
        <v>8</v>
      </c>
      <c r="I1393" s="636" t="s">
        <v>762</v>
      </c>
    </row>
    <row r="1394" spans="1:9" ht="15.75" thickTop="1" x14ac:dyDescent="0.25">
      <c r="A1394" s="1391">
        <v>1135</v>
      </c>
      <c r="B1394" s="775">
        <v>3122</v>
      </c>
      <c r="C1394" s="775">
        <v>5331</v>
      </c>
      <c r="D1394" s="839"/>
      <c r="E1394" s="860" t="s">
        <v>951</v>
      </c>
      <c r="F1394" s="861">
        <f>F1395+F1396+F1397</f>
        <v>6295</v>
      </c>
      <c r="G1394" s="861">
        <f>G1395+G1396+G1397</f>
        <v>6219</v>
      </c>
      <c r="H1394" s="861">
        <f>H1395+H1396+H1397</f>
        <v>6219</v>
      </c>
      <c r="I1394" s="826">
        <f t="shared" ref="I1394:I1424" si="157">(H1394/G1394)*100</f>
        <v>100</v>
      </c>
    </row>
    <row r="1395" spans="1:9" ht="14.25" x14ac:dyDescent="0.2">
      <c r="A1395" s="431"/>
      <c r="B1395" s="673"/>
      <c r="C1395" s="673"/>
      <c r="D1395" s="707" t="s">
        <v>575</v>
      </c>
      <c r="E1395" s="1478" t="s">
        <v>793</v>
      </c>
      <c r="F1395" s="827">
        <v>3295</v>
      </c>
      <c r="G1395" s="827">
        <v>3245</v>
      </c>
      <c r="H1395" s="827">
        <v>3245</v>
      </c>
      <c r="I1395" s="823">
        <f t="shared" si="157"/>
        <v>100</v>
      </c>
    </row>
    <row r="1396" spans="1:9" ht="14.25" x14ac:dyDescent="0.2">
      <c r="A1396" s="431"/>
      <c r="B1396" s="673"/>
      <c r="C1396" s="673"/>
      <c r="D1396" s="1059" t="s">
        <v>352</v>
      </c>
      <c r="E1396" s="1161" t="s">
        <v>891</v>
      </c>
      <c r="F1396" s="1311"/>
      <c r="G1396" s="451">
        <v>4</v>
      </c>
      <c r="H1396" s="451">
        <v>4</v>
      </c>
      <c r="I1396" s="1074">
        <f t="shared" si="157"/>
        <v>100</v>
      </c>
    </row>
    <row r="1397" spans="1:9" ht="14.25" x14ac:dyDescent="0.2">
      <c r="A1397" s="431"/>
      <c r="B1397" s="673"/>
      <c r="C1397" s="673"/>
      <c r="D1397" s="552" t="s">
        <v>570</v>
      </c>
      <c r="E1397" s="455" t="s">
        <v>71</v>
      </c>
      <c r="F1397" s="827">
        <v>3000</v>
      </c>
      <c r="G1397" s="827">
        <v>2970</v>
      </c>
      <c r="H1397" s="827">
        <v>2970</v>
      </c>
      <c r="I1397" s="823">
        <f t="shared" si="157"/>
        <v>100</v>
      </c>
    </row>
    <row r="1398" spans="1:9" ht="15" x14ac:dyDescent="0.25">
      <c r="A1398" s="431">
        <v>1135</v>
      </c>
      <c r="B1398" s="673">
        <v>3122</v>
      </c>
      <c r="C1398" s="673">
        <v>5336</v>
      </c>
      <c r="D1398" s="2543"/>
      <c r="E1398" s="672" t="s">
        <v>2054</v>
      </c>
      <c r="F1398" s="827"/>
      <c r="G1398" s="851">
        <f>G1399+G1402+G1403+G1408+G1410+G1411</f>
        <v>32734</v>
      </c>
      <c r="H1398" s="851">
        <f>H1399+H1402+H1403+H1408+H1410+H1411</f>
        <v>32734</v>
      </c>
      <c r="I1398" s="853">
        <f t="shared" si="157"/>
        <v>100</v>
      </c>
    </row>
    <row r="1399" spans="1:9" ht="14.25" x14ac:dyDescent="0.2">
      <c r="A1399" s="431"/>
      <c r="B1399" s="673"/>
      <c r="C1399" s="673"/>
      <c r="D1399" s="2660" t="s">
        <v>1429</v>
      </c>
      <c r="E1399" s="2670" t="s">
        <v>1448</v>
      </c>
      <c r="F1399" s="827"/>
      <c r="G1399" s="827">
        <v>63</v>
      </c>
      <c r="H1399" s="827">
        <v>63</v>
      </c>
      <c r="I1399" s="823">
        <f t="shared" ref="I1399" si="158">(H1399/G1399)*100</f>
        <v>100</v>
      </c>
    </row>
    <row r="1400" spans="1:9" ht="14.25" x14ac:dyDescent="0.2">
      <c r="A1400" s="431"/>
      <c r="B1400" s="673"/>
      <c r="C1400" s="673"/>
      <c r="D1400" s="2661"/>
      <c r="E1400" s="2661"/>
      <c r="F1400" s="827"/>
      <c r="G1400" s="827"/>
      <c r="H1400" s="827"/>
      <c r="I1400" s="823"/>
    </row>
    <row r="1401" spans="1:9" ht="14.25" x14ac:dyDescent="0.2">
      <c r="A1401" s="431"/>
      <c r="B1401" s="673"/>
      <c r="C1401" s="673"/>
      <c r="D1401" s="2661"/>
      <c r="E1401" s="2661"/>
      <c r="F1401" s="827"/>
      <c r="G1401" s="827"/>
      <c r="H1401" s="827"/>
      <c r="I1401" s="823"/>
    </row>
    <row r="1402" spans="1:9" ht="14.25" x14ac:dyDescent="0.2">
      <c r="A1402" s="431"/>
      <c r="B1402" s="673"/>
      <c r="C1402" s="673"/>
      <c r="D1402" s="1068" t="s">
        <v>1504</v>
      </c>
      <c r="E1402" s="2116" t="s">
        <v>1604</v>
      </c>
      <c r="F1402" s="827"/>
      <c r="G1402" s="356">
        <v>67</v>
      </c>
      <c r="H1402" s="356">
        <v>67</v>
      </c>
      <c r="I1402" s="823">
        <f t="shared" ref="I1402:I1403" si="159">(H1402/G1402)*100</f>
        <v>100</v>
      </c>
    </row>
    <row r="1403" spans="1:9" ht="15" thickBot="1" x14ac:dyDescent="0.25">
      <c r="A1403" s="1394"/>
      <c r="B1403" s="674"/>
      <c r="C1403" s="674"/>
      <c r="D1403" s="1187" t="s">
        <v>1905</v>
      </c>
      <c r="E1403" s="2539" t="s">
        <v>1827</v>
      </c>
      <c r="F1403" s="440"/>
      <c r="G1403" s="441">
        <v>59</v>
      </c>
      <c r="H1403" s="441">
        <v>59</v>
      </c>
      <c r="I1403" s="1096">
        <f t="shared" si="159"/>
        <v>100</v>
      </c>
    </row>
    <row r="1404" spans="1:9" ht="15" thickTop="1" x14ac:dyDescent="0.2">
      <c r="A1404" s="1397"/>
      <c r="B1404" s="746"/>
      <c r="C1404" s="746"/>
      <c r="D1404" s="1325"/>
      <c r="E1404" s="2538"/>
      <c r="F1404" s="314"/>
      <c r="G1404" s="314"/>
      <c r="H1404" s="314"/>
      <c r="I1404" s="2194"/>
    </row>
    <row r="1405" spans="1:9" ht="13.5" thickBot="1" x14ac:dyDescent="0.25">
      <c r="A1405" s="432"/>
      <c r="I1405" s="1390" t="s">
        <v>161</v>
      </c>
    </row>
    <row r="1406" spans="1:9" s="107" customFormat="1" thickTop="1" thickBot="1" x14ac:dyDescent="0.25">
      <c r="A1406" s="631" t="s">
        <v>624</v>
      </c>
      <c r="B1406" s="774" t="s">
        <v>162</v>
      </c>
      <c r="C1406" s="632" t="s">
        <v>163</v>
      </c>
      <c r="D1406" s="634" t="s">
        <v>705</v>
      </c>
      <c r="E1406" s="634" t="s">
        <v>164</v>
      </c>
      <c r="F1406" s="634" t="s">
        <v>165</v>
      </c>
      <c r="G1406" s="634" t="s">
        <v>881</v>
      </c>
      <c r="H1406" s="634" t="s">
        <v>882</v>
      </c>
      <c r="I1406" s="818" t="s">
        <v>883</v>
      </c>
    </row>
    <row r="1407" spans="1:9" s="383" customFormat="1" ht="13.5" thickTop="1" thickBot="1" x14ac:dyDescent="0.25">
      <c r="A1407" s="566">
        <v>1</v>
      </c>
      <c r="B1407" s="567">
        <v>2</v>
      </c>
      <c r="C1407" s="567">
        <v>3</v>
      </c>
      <c r="D1407" s="567">
        <v>4</v>
      </c>
      <c r="E1407" s="567">
        <v>5</v>
      </c>
      <c r="F1407" s="541">
        <v>6</v>
      </c>
      <c r="G1407" s="541">
        <v>7</v>
      </c>
      <c r="H1407" s="542">
        <v>8</v>
      </c>
      <c r="I1407" s="636" t="s">
        <v>762</v>
      </c>
    </row>
    <row r="1408" spans="1:9" ht="14.25" customHeight="1" thickTop="1" x14ac:dyDescent="0.2">
      <c r="A1408" s="431"/>
      <c r="B1408" s="673"/>
      <c r="C1408" s="673"/>
      <c r="D1408" s="1068" t="s">
        <v>1911</v>
      </c>
      <c r="E1408" s="2671" t="s">
        <v>2051</v>
      </c>
      <c r="F1408" s="827"/>
      <c r="G1408" s="837">
        <v>39</v>
      </c>
      <c r="H1408" s="837">
        <v>39</v>
      </c>
      <c r="I1408" s="823">
        <v>29</v>
      </c>
    </row>
    <row r="1409" spans="1:20" ht="15" x14ac:dyDescent="0.25">
      <c r="A1409" s="431"/>
      <c r="B1409" s="673"/>
      <c r="C1409" s="673"/>
      <c r="D1409" s="1068"/>
      <c r="E1409" s="2671"/>
      <c r="F1409" s="827"/>
      <c r="G1409" s="846"/>
      <c r="H1409" s="846"/>
      <c r="I1409" s="853"/>
    </row>
    <row r="1410" spans="1:20" ht="15" x14ac:dyDescent="0.2">
      <c r="A1410" s="431"/>
      <c r="B1410" s="673"/>
      <c r="C1410" s="673"/>
      <c r="D1410" s="1068" t="s">
        <v>1913</v>
      </c>
      <c r="E1410" s="2113" t="s">
        <v>2052</v>
      </c>
      <c r="F1410" s="2530"/>
      <c r="G1410" s="2531">
        <v>228</v>
      </c>
      <c r="H1410" s="2531">
        <v>228</v>
      </c>
      <c r="I1410" s="376">
        <f t="shared" ref="I1410" si="160">(H1410/G1410)*100</f>
        <v>100</v>
      </c>
    </row>
    <row r="1411" spans="1:20" ht="14.25" x14ac:dyDescent="0.2">
      <c r="A1411" s="431"/>
      <c r="B1411" s="673"/>
      <c r="C1411" s="673"/>
      <c r="D1411" s="552" t="s">
        <v>1124</v>
      </c>
      <c r="E1411" s="455" t="s">
        <v>792</v>
      </c>
      <c r="F1411" s="827"/>
      <c r="G1411" s="827">
        <v>32278</v>
      </c>
      <c r="H1411" s="827">
        <v>32278</v>
      </c>
      <c r="I1411" s="823">
        <f t="shared" si="157"/>
        <v>100</v>
      </c>
    </row>
    <row r="1412" spans="1:20" ht="15" x14ac:dyDescent="0.25">
      <c r="A1412" s="431">
        <v>1135</v>
      </c>
      <c r="B1412" s="750">
        <v>3142</v>
      </c>
      <c r="C1412" s="1393">
        <v>5331</v>
      </c>
      <c r="D1412" s="842"/>
      <c r="E1412" s="672" t="s">
        <v>951</v>
      </c>
      <c r="F1412" s="835">
        <v>993</v>
      </c>
      <c r="G1412" s="835">
        <v>983</v>
      </c>
      <c r="H1412" s="835">
        <v>983</v>
      </c>
      <c r="I1412" s="836">
        <f t="shared" si="157"/>
        <v>100</v>
      </c>
    </row>
    <row r="1413" spans="1:20" ht="14.25" x14ac:dyDescent="0.2">
      <c r="A1413" s="431"/>
      <c r="B1413" s="750"/>
      <c r="C1413" s="1393"/>
      <c r="D1413" s="552" t="s">
        <v>570</v>
      </c>
      <c r="E1413" s="455" t="s">
        <v>71</v>
      </c>
      <c r="F1413" s="833">
        <v>993</v>
      </c>
      <c r="G1413" s="833">
        <v>983</v>
      </c>
      <c r="H1413" s="833">
        <v>983</v>
      </c>
      <c r="I1413" s="828">
        <v>100</v>
      </c>
    </row>
    <row r="1414" spans="1:20" ht="15" x14ac:dyDescent="0.25">
      <c r="A1414" s="431">
        <v>1135</v>
      </c>
      <c r="B1414" s="750">
        <v>3142</v>
      </c>
      <c r="C1414" s="1393">
        <v>5336</v>
      </c>
      <c r="D1414" s="552"/>
      <c r="E1414" s="672" t="s">
        <v>2054</v>
      </c>
      <c r="F1414" s="833"/>
      <c r="G1414" s="846">
        <v>940</v>
      </c>
      <c r="H1414" s="846">
        <v>940</v>
      </c>
      <c r="I1414" s="836">
        <f t="shared" si="157"/>
        <v>100</v>
      </c>
    </row>
    <row r="1415" spans="1:20" ht="14.25" x14ac:dyDescent="0.2">
      <c r="A1415" s="431"/>
      <c r="B1415" s="750"/>
      <c r="C1415" s="1393"/>
      <c r="D1415" s="552" t="s">
        <v>1124</v>
      </c>
      <c r="E1415" s="455" t="s">
        <v>792</v>
      </c>
      <c r="F1415" s="833"/>
      <c r="G1415" s="833">
        <v>940</v>
      </c>
      <c r="H1415" s="833">
        <v>940</v>
      </c>
      <c r="I1415" s="828">
        <f t="shared" si="157"/>
        <v>100</v>
      </c>
    </row>
    <row r="1416" spans="1:20" ht="15" x14ac:dyDescent="0.25">
      <c r="A1416" s="431">
        <v>1135</v>
      </c>
      <c r="B1416" s="750">
        <v>3147</v>
      </c>
      <c r="C1416" s="1393">
        <v>5331</v>
      </c>
      <c r="D1416" s="842"/>
      <c r="E1416" s="672" t="s">
        <v>951</v>
      </c>
      <c r="F1416" s="835">
        <v>1328</v>
      </c>
      <c r="G1416" s="835">
        <v>1315</v>
      </c>
      <c r="H1416" s="835">
        <v>1315</v>
      </c>
      <c r="I1416" s="838">
        <f t="shared" si="157"/>
        <v>100</v>
      </c>
    </row>
    <row r="1417" spans="1:20" ht="14.25" x14ac:dyDescent="0.2">
      <c r="A1417" s="431"/>
      <c r="B1417" s="750"/>
      <c r="C1417" s="1393"/>
      <c r="D1417" s="552" t="s">
        <v>570</v>
      </c>
      <c r="E1417" s="455" t="s">
        <v>71</v>
      </c>
      <c r="F1417" s="837">
        <v>1328</v>
      </c>
      <c r="G1417" s="833">
        <v>1315</v>
      </c>
      <c r="H1417" s="833">
        <v>1315</v>
      </c>
      <c r="I1417" s="828">
        <f t="shared" si="157"/>
        <v>100</v>
      </c>
    </row>
    <row r="1418" spans="1:20" ht="15" customHeight="1" x14ac:dyDescent="0.25">
      <c r="A1418" s="431">
        <v>1135</v>
      </c>
      <c r="B1418" s="750">
        <v>3147</v>
      </c>
      <c r="C1418" s="1393">
        <v>5336</v>
      </c>
      <c r="D1418" s="552"/>
      <c r="E1418" s="672" t="s">
        <v>2054</v>
      </c>
      <c r="F1418" s="837"/>
      <c r="G1418" s="846">
        <v>3297</v>
      </c>
      <c r="H1418" s="846">
        <v>3297</v>
      </c>
      <c r="I1418" s="838">
        <f t="shared" si="157"/>
        <v>100</v>
      </c>
    </row>
    <row r="1419" spans="1:20" ht="13.5" customHeight="1" x14ac:dyDescent="0.2">
      <c r="A1419" s="431"/>
      <c r="B1419" s="750"/>
      <c r="C1419" s="1393"/>
      <c r="D1419" s="552" t="s">
        <v>1124</v>
      </c>
      <c r="E1419" s="455" t="s">
        <v>792</v>
      </c>
      <c r="F1419" s="833"/>
      <c r="G1419" s="833">
        <v>3297</v>
      </c>
      <c r="H1419" s="833">
        <v>3297</v>
      </c>
      <c r="I1419" s="828">
        <f t="shared" si="157"/>
        <v>100</v>
      </c>
    </row>
    <row r="1420" spans="1:20" ht="15" x14ac:dyDescent="0.25">
      <c r="A1420" s="431">
        <v>1135</v>
      </c>
      <c r="B1420" s="750">
        <v>3150</v>
      </c>
      <c r="C1420" s="750">
        <v>5331</v>
      </c>
      <c r="D1420" s="859"/>
      <c r="E1420" s="672" t="s">
        <v>951</v>
      </c>
      <c r="F1420" s="835">
        <v>596</v>
      </c>
      <c r="G1420" s="835">
        <v>590</v>
      </c>
      <c r="H1420" s="835">
        <v>590</v>
      </c>
      <c r="I1420" s="836">
        <f t="shared" si="157"/>
        <v>100</v>
      </c>
    </row>
    <row r="1421" spans="1:20" ht="14.25" x14ac:dyDescent="0.2">
      <c r="A1421" s="431"/>
      <c r="B1421" s="750"/>
      <c r="C1421" s="750"/>
      <c r="D1421" s="552" t="s">
        <v>570</v>
      </c>
      <c r="E1421" s="455" t="s">
        <v>71</v>
      </c>
      <c r="F1421" s="833">
        <v>596</v>
      </c>
      <c r="G1421" s="833">
        <v>590</v>
      </c>
      <c r="H1421" s="833">
        <v>590</v>
      </c>
      <c r="I1421" s="828">
        <f t="shared" si="157"/>
        <v>100</v>
      </c>
    </row>
    <row r="1422" spans="1:20" ht="15" x14ac:dyDescent="0.25">
      <c r="A1422" s="431">
        <v>1135</v>
      </c>
      <c r="B1422" s="750">
        <v>3150</v>
      </c>
      <c r="C1422" s="750">
        <v>5336</v>
      </c>
      <c r="D1422" s="552"/>
      <c r="E1422" s="672" t="s">
        <v>2054</v>
      </c>
      <c r="F1422" s="833"/>
      <c r="G1422" s="846">
        <v>5664</v>
      </c>
      <c r="H1422" s="846">
        <v>5664</v>
      </c>
      <c r="I1422" s="838">
        <f t="shared" si="157"/>
        <v>100</v>
      </c>
    </row>
    <row r="1423" spans="1:20" ht="15" thickBot="1" x14ac:dyDescent="0.25">
      <c r="A1423" s="431"/>
      <c r="B1423" s="750"/>
      <c r="C1423" s="1393"/>
      <c r="D1423" s="552" t="s">
        <v>1124</v>
      </c>
      <c r="E1423" s="455" t="s">
        <v>792</v>
      </c>
      <c r="F1423" s="833"/>
      <c r="G1423" s="833">
        <v>5664</v>
      </c>
      <c r="H1423" s="833">
        <v>5664</v>
      </c>
      <c r="I1423" s="828">
        <f t="shared" si="157"/>
        <v>100</v>
      </c>
    </row>
    <row r="1424" spans="1:20" ht="16.5" thickTop="1" thickBot="1" x14ac:dyDescent="0.3">
      <c r="A1424" s="2672" t="s">
        <v>1105</v>
      </c>
      <c r="B1424" s="2673"/>
      <c r="C1424" s="2673"/>
      <c r="D1424" s="2673"/>
      <c r="E1424" s="2673"/>
      <c r="F1424" s="824">
        <f>F1394+F1412+F1414+F1416+F1418+F1420+F1422+F1398</f>
        <v>9212</v>
      </c>
      <c r="G1424" s="824">
        <f>G1394+G1398+G1412+G1414+G1416+G1418+G1420+G1422</f>
        <v>51742</v>
      </c>
      <c r="H1424" s="824">
        <f>H1394+H1398+H1412+H1414+H1416+H1418+H1420+H1422</f>
        <v>51742</v>
      </c>
      <c r="I1424" s="825">
        <f t="shared" si="157"/>
        <v>100</v>
      </c>
      <c r="R1424" s="382">
        <f>F1424</f>
        <v>9212</v>
      </c>
      <c r="S1424" s="382">
        <f>G1424</f>
        <v>51742</v>
      </c>
      <c r="T1424" s="382">
        <f>H1424</f>
        <v>51742</v>
      </c>
    </row>
    <row r="1425" spans="1:23" ht="15.75" thickTop="1" x14ac:dyDescent="0.25">
      <c r="A1425" s="368"/>
      <c r="B1425" s="368"/>
      <c r="C1425" s="368"/>
      <c r="D1425" s="368"/>
      <c r="E1425" s="368"/>
      <c r="F1425" s="183"/>
      <c r="G1425" s="183"/>
      <c r="H1425" s="183"/>
      <c r="I1425" s="214"/>
      <c r="J1425" s="382"/>
      <c r="K1425" s="382"/>
      <c r="L1425" s="382"/>
      <c r="R1425" s="382"/>
      <c r="S1425" s="382"/>
      <c r="T1425" s="382"/>
      <c r="U1425" s="382"/>
      <c r="V1425" s="382"/>
      <c r="W1425" s="382"/>
    </row>
    <row r="1426" spans="1:23" ht="15" x14ac:dyDescent="0.25">
      <c r="A1426" s="368"/>
      <c r="B1426" s="368"/>
      <c r="C1426" s="368"/>
      <c r="D1426" s="368"/>
      <c r="E1426" s="368"/>
      <c r="F1426" s="183"/>
      <c r="G1426" s="183"/>
      <c r="H1426" s="183"/>
      <c r="I1426" s="214"/>
      <c r="J1426" s="382"/>
      <c r="K1426" s="382"/>
      <c r="L1426" s="382"/>
      <c r="R1426" s="382"/>
      <c r="S1426" s="382"/>
      <c r="T1426" s="382"/>
      <c r="U1426" s="382"/>
      <c r="V1426" s="382"/>
      <c r="W1426" s="382"/>
    </row>
    <row r="1427" spans="1:23" ht="15" x14ac:dyDescent="0.25">
      <c r="A1427" s="368"/>
      <c r="B1427" s="368"/>
      <c r="C1427" s="368"/>
      <c r="D1427" s="368"/>
      <c r="E1427" s="368"/>
      <c r="F1427" s="183"/>
      <c r="G1427" s="183"/>
      <c r="H1427" s="183"/>
      <c r="I1427" s="214"/>
      <c r="J1427" s="382"/>
      <c r="K1427" s="382"/>
      <c r="L1427" s="382"/>
      <c r="R1427" s="382"/>
      <c r="S1427" s="382"/>
      <c r="T1427" s="382"/>
      <c r="U1427" s="382"/>
      <c r="V1427" s="382"/>
      <c r="W1427" s="382"/>
    </row>
    <row r="1428" spans="1:23" ht="13.5" thickBot="1" x14ac:dyDescent="0.25">
      <c r="A1428" s="432" t="s">
        <v>527</v>
      </c>
      <c r="I1428" s="1390" t="s">
        <v>161</v>
      </c>
    </row>
    <row r="1429" spans="1:23" s="107" customFormat="1" thickTop="1" thickBot="1" x14ac:dyDescent="0.25">
      <c r="A1429" s="631" t="s">
        <v>624</v>
      </c>
      <c r="B1429" s="774" t="s">
        <v>162</v>
      </c>
      <c r="C1429" s="632" t="s">
        <v>163</v>
      </c>
      <c r="D1429" s="634" t="s">
        <v>705</v>
      </c>
      <c r="E1429" s="634" t="s">
        <v>164</v>
      </c>
      <c r="F1429" s="634" t="s">
        <v>165</v>
      </c>
      <c r="G1429" s="634" t="s">
        <v>881</v>
      </c>
      <c r="H1429" s="634" t="s">
        <v>882</v>
      </c>
      <c r="I1429" s="818" t="s">
        <v>883</v>
      </c>
    </row>
    <row r="1430" spans="1:23" s="383" customFormat="1" ht="13.5" thickTop="1" thickBot="1" x14ac:dyDescent="0.25">
      <c r="A1430" s="566">
        <v>1</v>
      </c>
      <c r="B1430" s="567">
        <v>2</v>
      </c>
      <c r="C1430" s="567">
        <v>3</v>
      </c>
      <c r="D1430" s="567">
        <v>4</v>
      </c>
      <c r="E1430" s="567">
        <v>5</v>
      </c>
      <c r="F1430" s="541">
        <v>6</v>
      </c>
      <c r="G1430" s="541">
        <v>7</v>
      </c>
      <c r="H1430" s="542">
        <v>8</v>
      </c>
      <c r="I1430" s="636" t="s">
        <v>762</v>
      </c>
    </row>
    <row r="1431" spans="1:23" ht="15.75" thickTop="1" x14ac:dyDescent="0.25">
      <c r="A1431" s="1391">
        <v>1136</v>
      </c>
      <c r="B1431" s="775">
        <v>3122</v>
      </c>
      <c r="C1431" s="775">
        <v>5331</v>
      </c>
      <c r="D1431" s="839"/>
      <c r="E1431" s="860" t="s">
        <v>951</v>
      </c>
      <c r="F1431" s="861">
        <f>F1432+F1433</f>
        <v>2769</v>
      </c>
      <c r="G1431" s="861">
        <f>G1432+G1433</f>
        <v>2835</v>
      </c>
      <c r="H1431" s="861">
        <f>H1432+H1433</f>
        <v>2835</v>
      </c>
      <c r="I1431" s="826">
        <f t="shared" ref="I1431:I1457" si="161">(H1431/G1431)*100</f>
        <v>100</v>
      </c>
    </row>
    <row r="1432" spans="1:23" ht="14.25" x14ac:dyDescent="0.2">
      <c r="A1432" s="431"/>
      <c r="B1432" s="673"/>
      <c r="C1432" s="673"/>
      <c r="D1432" s="707" t="s">
        <v>575</v>
      </c>
      <c r="E1432" s="1478" t="s">
        <v>793</v>
      </c>
      <c r="F1432" s="827">
        <v>1169</v>
      </c>
      <c r="G1432" s="827">
        <v>1251</v>
      </c>
      <c r="H1432" s="827">
        <v>1251</v>
      </c>
      <c r="I1432" s="823">
        <f t="shared" si="161"/>
        <v>100</v>
      </c>
    </row>
    <row r="1433" spans="1:23" ht="14.25" x14ac:dyDescent="0.2">
      <c r="A1433" s="431"/>
      <c r="B1433" s="673"/>
      <c r="C1433" s="1392"/>
      <c r="D1433" s="552" t="s">
        <v>570</v>
      </c>
      <c r="E1433" s="455" t="s">
        <v>71</v>
      </c>
      <c r="F1433" s="827">
        <v>1600</v>
      </c>
      <c r="G1433" s="827">
        <v>1584</v>
      </c>
      <c r="H1433" s="827">
        <v>1584</v>
      </c>
      <c r="I1433" s="823">
        <f t="shared" si="161"/>
        <v>100</v>
      </c>
    </row>
    <row r="1434" spans="1:23" ht="15" x14ac:dyDescent="0.25">
      <c r="A1434" s="431">
        <v>1136</v>
      </c>
      <c r="B1434" s="750">
        <v>3122</v>
      </c>
      <c r="C1434" s="1393">
        <v>5336</v>
      </c>
      <c r="D1434" s="2541"/>
      <c r="E1434" s="672" t="s">
        <v>2054</v>
      </c>
      <c r="F1434" s="833"/>
      <c r="G1434" s="846">
        <v>3408</v>
      </c>
      <c r="H1434" s="846">
        <v>3408</v>
      </c>
      <c r="I1434" s="853">
        <f t="shared" si="161"/>
        <v>100</v>
      </c>
    </row>
    <row r="1435" spans="1:23" ht="14.25" x14ac:dyDescent="0.2">
      <c r="A1435" s="431"/>
      <c r="B1435" s="750"/>
      <c r="C1435" s="1393"/>
      <c r="D1435" s="552" t="s">
        <v>1124</v>
      </c>
      <c r="E1435" s="455" t="s">
        <v>792</v>
      </c>
      <c r="F1435" s="833"/>
      <c r="G1435" s="833">
        <v>3408</v>
      </c>
      <c r="H1435" s="833">
        <v>3408</v>
      </c>
      <c r="I1435" s="828">
        <f t="shared" si="161"/>
        <v>100</v>
      </c>
    </row>
    <row r="1436" spans="1:23" ht="18" customHeight="1" x14ac:dyDescent="0.25">
      <c r="A1436" s="431">
        <v>1136</v>
      </c>
      <c r="B1436" s="750">
        <v>3123</v>
      </c>
      <c r="C1436" s="750">
        <v>5331</v>
      </c>
      <c r="D1436" s="859"/>
      <c r="E1436" s="672" t="s">
        <v>951</v>
      </c>
      <c r="F1436" s="835">
        <v>3030</v>
      </c>
      <c r="G1436" s="835">
        <v>3000</v>
      </c>
      <c r="H1436" s="835">
        <v>3000</v>
      </c>
      <c r="I1436" s="836">
        <f t="shared" si="161"/>
        <v>100</v>
      </c>
    </row>
    <row r="1437" spans="1:23" ht="14.25" x14ac:dyDescent="0.2">
      <c r="A1437" s="431"/>
      <c r="B1437" s="750"/>
      <c r="C1437" s="750"/>
      <c r="D1437" s="552" t="s">
        <v>570</v>
      </c>
      <c r="E1437" s="455" t="s">
        <v>71</v>
      </c>
      <c r="F1437" s="833">
        <v>3030</v>
      </c>
      <c r="G1437" s="833">
        <v>3000</v>
      </c>
      <c r="H1437" s="833">
        <v>3000</v>
      </c>
      <c r="I1437" s="828">
        <f t="shared" si="161"/>
        <v>100</v>
      </c>
    </row>
    <row r="1438" spans="1:23" ht="15" x14ac:dyDescent="0.25">
      <c r="A1438" s="431">
        <v>1136</v>
      </c>
      <c r="B1438" s="750">
        <v>3123</v>
      </c>
      <c r="C1438" s="750">
        <v>5336</v>
      </c>
      <c r="D1438" s="552"/>
      <c r="E1438" s="672" t="s">
        <v>2054</v>
      </c>
      <c r="F1438" s="833"/>
      <c r="G1438" s="846">
        <f>G1439+G1440+G1441+G1443+G1444</f>
        <v>15876</v>
      </c>
      <c r="H1438" s="846">
        <f>H1439+H1440+H1441+H1443+H1444</f>
        <v>15876</v>
      </c>
      <c r="I1438" s="838">
        <f t="shared" si="161"/>
        <v>100</v>
      </c>
    </row>
    <row r="1439" spans="1:23" ht="14.25" x14ac:dyDescent="0.2">
      <c r="A1439" s="431"/>
      <c r="B1439" s="750"/>
      <c r="C1439" s="750"/>
      <c r="D1439" s="1068" t="s">
        <v>1504</v>
      </c>
      <c r="E1439" s="2116" t="s">
        <v>1604</v>
      </c>
      <c r="F1439" s="833"/>
      <c r="G1439" s="833">
        <v>10</v>
      </c>
      <c r="H1439" s="833">
        <v>10</v>
      </c>
      <c r="I1439" s="828">
        <f t="shared" ref="I1439:I1440" si="162">(H1439/G1439)*100</f>
        <v>100</v>
      </c>
    </row>
    <row r="1440" spans="1:23" ht="14.25" x14ac:dyDescent="0.2">
      <c r="A1440" s="431"/>
      <c r="B1440" s="750"/>
      <c r="C1440" s="750"/>
      <c r="D1440" s="1068" t="s">
        <v>1905</v>
      </c>
      <c r="E1440" s="2529" t="s">
        <v>1827</v>
      </c>
      <c r="F1440" s="314"/>
      <c r="G1440" s="316">
        <v>376</v>
      </c>
      <c r="H1440" s="316">
        <v>376</v>
      </c>
      <c r="I1440" s="1074">
        <f t="shared" si="162"/>
        <v>100</v>
      </c>
    </row>
    <row r="1441" spans="1:9" ht="14.25" x14ac:dyDescent="0.2">
      <c r="A1441" s="431"/>
      <c r="B1441" s="750"/>
      <c r="C1441" s="750"/>
      <c r="D1441" s="1068" t="s">
        <v>1911</v>
      </c>
      <c r="E1441" s="2671" t="s">
        <v>2051</v>
      </c>
      <c r="F1441" s="827"/>
      <c r="G1441" s="837">
        <v>24</v>
      </c>
      <c r="H1441" s="837">
        <v>24</v>
      </c>
      <c r="I1441" s="823">
        <v>29</v>
      </c>
    </row>
    <row r="1442" spans="1:9" ht="15" x14ac:dyDescent="0.25">
      <c r="A1442" s="431"/>
      <c r="B1442" s="750"/>
      <c r="C1442" s="750"/>
      <c r="D1442" s="1068"/>
      <c r="E1442" s="2671"/>
      <c r="F1442" s="827"/>
      <c r="G1442" s="846"/>
      <c r="H1442" s="846"/>
      <c r="I1442" s="853"/>
    </row>
    <row r="1443" spans="1:9" ht="15" x14ac:dyDescent="0.2">
      <c r="A1443" s="431"/>
      <c r="B1443" s="750"/>
      <c r="C1443" s="750"/>
      <c r="D1443" s="1068" t="s">
        <v>1913</v>
      </c>
      <c r="E1443" s="2113" t="s">
        <v>2052</v>
      </c>
      <c r="F1443" s="2530"/>
      <c r="G1443" s="2531">
        <v>125</v>
      </c>
      <c r="H1443" s="2531">
        <v>125</v>
      </c>
      <c r="I1443" s="376">
        <f t="shared" ref="I1443" si="163">(H1443/G1443)*100</f>
        <v>100</v>
      </c>
    </row>
    <row r="1444" spans="1:9" ht="14.25" x14ac:dyDescent="0.2">
      <c r="A1444" s="431"/>
      <c r="B1444" s="750"/>
      <c r="C1444" s="750"/>
      <c r="D1444" s="552" t="s">
        <v>1124</v>
      </c>
      <c r="E1444" s="455" t="s">
        <v>792</v>
      </c>
      <c r="F1444" s="833"/>
      <c r="G1444" s="833">
        <v>15341</v>
      </c>
      <c r="H1444" s="833">
        <v>15341</v>
      </c>
      <c r="I1444" s="828">
        <f t="shared" si="161"/>
        <v>100</v>
      </c>
    </row>
    <row r="1445" spans="1:9" ht="15" x14ac:dyDescent="0.25">
      <c r="A1445" s="431">
        <v>1136</v>
      </c>
      <c r="B1445" s="750">
        <v>3142</v>
      </c>
      <c r="C1445" s="750">
        <v>5331</v>
      </c>
      <c r="D1445" s="859"/>
      <c r="E1445" s="672" t="s">
        <v>951</v>
      </c>
      <c r="F1445" s="846">
        <v>370</v>
      </c>
      <c r="G1445" s="846">
        <v>366</v>
      </c>
      <c r="H1445" s="846">
        <v>366</v>
      </c>
      <c r="I1445" s="836">
        <f t="shared" si="161"/>
        <v>100</v>
      </c>
    </row>
    <row r="1446" spans="1:9" ht="14.25" x14ac:dyDescent="0.2">
      <c r="A1446" s="431"/>
      <c r="B1446" s="750"/>
      <c r="C1446" s="750"/>
      <c r="D1446" s="552" t="s">
        <v>570</v>
      </c>
      <c r="E1446" s="455" t="s">
        <v>71</v>
      </c>
      <c r="F1446" s="833">
        <v>370</v>
      </c>
      <c r="G1446" s="833">
        <v>366</v>
      </c>
      <c r="H1446" s="833">
        <v>366</v>
      </c>
      <c r="I1446" s="828">
        <f t="shared" si="161"/>
        <v>100</v>
      </c>
    </row>
    <row r="1447" spans="1:9" ht="15" x14ac:dyDescent="0.25">
      <c r="A1447" s="431">
        <v>1136</v>
      </c>
      <c r="B1447" s="750">
        <v>3142</v>
      </c>
      <c r="C1447" s="750">
        <v>5336</v>
      </c>
      <c r="D1447" s="552"/>
      <c r="E1447" s="672" t="s">
        <v>2054</v>
      </c>
      <c r="F1447" s="833"/>
      <c r="G1447" s="846">
        <v>121</v>
      </c>
      <c r="H1447" s="846">
        <v>121</v>
      </c>
      <c r="I1447" s="838">
        <f t="shared" si="161"/>
        <v>100</v>
      </c>
    </row>
    <row r="1448" spans="1:9" ht="17.25" customHeight="1" x14ac:dyDescent="0.2">
      <c r="A1448" s="431"/>
      <c r="B1448" s="750"/>
      <c r="C1448" s="750"/>
      <c r="D1448" s="552" t="s">
        <v>1124</v>
      </c>
      <c r="E1448" s="455" t="s">
        <v>792</v>
      </c>
      <c r="F1448" s="833"/>
      <c r="G1448" s="833">
        <v>121</v>
      </c>
      <c r="H1448" s="833">
        <v>121</v>
      </c>
      <c r="I1448" s="828">
        <f t="shared" si="161"/>
        <v>100</v>
      </c>
    </row>
    <row r="1449" spans="1:9" ht="15" x14ac:dyDescent="0.25">
      <c r="A1449" s="431">
        <v>1136</v>
      </c>
      <c r="B1449" s="750">
        <v>3147</v>
      </c>
      <c r="C1449" s="750">
        <v>5331</v>
      </c>
      <c r="D1449" s="859"/>
      <c r="E1449" s="672" t="s">
        <v>951</v>
      </c>
      <c r="F1449" s="835">
        <v>770</v>
      </c>
      <c r="G1449" s="835">
        <v>762</v>
      </c>
      <c r="H1449" s="835">
        <v>762</v>
      </c>
      <c r="I1449" s="836">
        <f t="shared" si="161"/>
        <v>100</v>
      </c>
    </row>
    <row r="1450" spans="1:9" ht="14.25" x14ac:dyDescent="0.2">
      <c r="A1450" s="431"/>
      <c r="B1450" s="750"/>
      <c r="C1450" s="1393"/>
      <c r="D1450" s="552" t="s">
        <v>570</v>
      </c>
      <c r="E1450" s="455" t="s">
        <v>71</v>
      </c>
      <c r="F1450" s="833">
        <v>770</v>
      </c>
      <c r="G1450" s="833">
        <v>762</v>
      </c>
      <c r="H1450" s="833">
        <v>762</v>
      </c>
      <c r="I1450" s="828">
        <f t="shared" si="161"/>
        <v>100</v>
      </c>
    </row>
    <row r="1451" spans="1:9" ht="15" x14ac:dyDescent="0.25">
      <c r="A1451" s="431">
        <v>1136</v>
      </c>
      <c r="B1451" s="750">
        <v>3147</v>
      </c>
      <c r="C1451" s="1393">
        <v>5336</v>
      </c>
      <c r="D1451" s="552"/>
      <c r="E1451" s="672" t="s">
        <v>2054</v>
      </c>
      <c r="F1451" s="833"/>
      <c r="G1451" s="846">
        <v>2030</v>
      </c>
      <c r="H1451" s="846">
        <v>2030</v>
      </c>
      <c r="I1451" s="838">
        <f t="shared" si="161"/>
        <v>100</v>
      </c>
    </row>
    <row r="1452" spans="1:9" ht="14.25" x14ac:dyDescent="0.2">
      <c r="A1452" s="431"/>
      <c r="B1452" s="750"/>
      <c r="C1452" s="1393"/>
      <c r="D1452" s="552" t="s">
        <v>1124</v>
      </c>
      <c r="E1452" s="455" t="s">
        <v>792</v>
      </c>
      <c r="F1452" s="833"/>
      <c r="G1452" s="833">
        <v>2030</v>
      </c>
      <c r="H1452" s="833">
        <v>2030</v>
      </c>
      <c r="I1452" s="828">
        <f t="shared" si="161"/>
        <v>100</v>
      </c>
    </row>
    <row r="1453" spans="1:9" ht="15" x14ac:dyDescent="0.25">
      <c r="A1453" s="431">
        <v>1136</v>
      </c>
      <c r="B1453" s="750">
        <v>3150</v>
      </c>
      <c r="C1453" s="750">
        <v>5331</v>
      </c>
      <c r="D1453" s="859"/>
      <c r="E1453" s="672" t="s">
        <v>951</v>
      </c>
      <c r="F1453" s="835">
        <v>320</v>
      </c>
      <c r="G1453" s="835">
        <v>317</v>
      </c>
      <c r="H1453" s="835">
        <v>317</v>
      </c>
      <c r="I1453" s="836">
        <f t="shared" si="161"/>
        <v>100</v>
      </c>
    </row>
    <row r="1454" spans="1:9" ht="14.25" x14ac:dyDescent="0.2">
      <c r="A1454" s="431"/>
      <c r="B1454" s="750"/>
      <c r="C1454" s="750"/>
      <c r="D1454" s="552" t="s">
        <v>570</v>
      </c>
      <c r="E1454" s="455" t="s">
        <v>71</v>
      </c>
      <c r="F1454" s="833">
        <v>320</v>
      </c>
      <c r="G1454" s="833">
        <v>317</v>
      </c>
      <c r="H1454" s="833">
        <v>317</v>
      </c>
      <c r="I1454" s="828">
        <f t="shared" si="161"/>
        <v>100</v>
      </c>
    </row>
    <row r="1455" spans="1:9" ht="15" x14ac:dyDescent="0.25">
      <c r="A1455" s="431">
        <v>1136</v>
      </c>
      <c r="B1455" s="750">
        <v>3150</v>
      </c>
      <c r="C1455" s="750">
        <v>5336</v>
      </c>
      <c r="D1455" s="552"/>
      <c r="E1455" s="672" t="s">
        <v>2054</v>
      </c>
      <c r="F1455" s="833"/>
      <c r="G1455" s="846">
        <v>2073</v>
      </c>
      <c r="H1455" s="846">
        <v>2073</v>
      </c>
      <c r="I1455" s="838">
        <f t="shared" si="161"/>
        <v>100</v>
      </c>
    </row>
    <row r="1456" spans="1:9" ht="15" thickBot="1" x14ac:dyDescent="0.25">
      <c r="A1456" s="431"/>
      <c r="B1456" s="750"/>
      <c r="C1456" s="1393"/>
      <c r="D1456" s="552" t="s">
        <v>1124</v>
      </c>
      <c r="E1456" s="455" t="s">
        <v>792</v>
      </c>
      <c r="F1456" s="833"/>
      <c r="G1456" s="833">
        <v>2073</v>
      </c>
      <c r="H1456" s="833">
        <v>2073</v>
      </c>
      <c r="I1456" s="828">
        <f t="shared" si="161"/>
        <v>100</v>
      </c>
    </row>
    <row r="1457" spans="1:20" ht="16.5" thickTop="1" thickBot="1" x14ac:dyDescent="0.3">
      <c r="A1457" s="2672" t="s">
        <v>1105</v>
      </c>
      <c r="B1457" s="2673"/>
      <c r="C1457" s="2673"/>
      <c r="D1457" s="2673"/>
      <c r="E1457" s="2673"/>
      <c r="F1457" s="824">
        <f>F1431+F1434+F1436+F1438+F1445+F1447+F1449+F1451+F1453+F1455</f>
        <v>7259</v>
      </c>
      <c r="G1457" s="824">
        <f>G1431+G1434+G1436+G1438+G1445+G1447+G1449+G1451+G1453+G1455</f>
        <v>30788</v>
      </c>
      <c r="H1457" s="824">
        <f>H1431+H1434+H1436+H1438+H1445+H1447+H1449+H1451+H1453+H1455</f>
        <v>30788</v>
      </c>
      <c r="I1457" s="825">
        <f t="shared" si="161"/>
        <v>100</v>
      </c>
      <c r="R1457" s="382">
        <f>F1457</f>
        <v>7259</v>
      </c>
      <c r="S1457" s="382">
        <f>G1457</f>
        <v>30788</v>
      </c>
      <c r="T1457" s="382">
        <f>H1457</f>
        <v>30788</v>
      </c>
    </row>
    <row r="1458" spans="1:20" ht="15.75" thickTop="1" x14ac:dyDescent="0.25">
      <c r="A1458" s="368"/>
      <c r="B1458" s="368"/>
      <c r="C1458" s="368"/>
      <c r="D1458" s="368"/>
      <c r="E1458" s="368"/>
      <c r="F1458" s="181"/>
      <c r="G1458" s="181"/>
      <c r="H1458" s="181"/>
      <c r="I1458" s="210"/>
      <c r="R1458" s="382"/>
      <c r="S1458" s="382"/>
      <c r="T1458" s="382"/>
    </row>
    <row r="1459" spans="1:20" ht="15" x14ac:dyDescent="0.25">
      <c r="A1459" s="368"/>
      <c r="B1459" s="368"/>
      <c r="C1459" s="368"/>
      <c r="D1459" s="368"/>
      <c r="E1459" s="368"/>
      <c r="F1459" s="181"/>
      <c r="G1459" s="181"/>
      <c r="H1459" s="181"/>
      <c r="I1459" s="210"/>
      <c r="R1459" s="382"/>
      <c r="S1459" s="382"/>
      <c r="T1459" s="382"/>
    </row>
    <row r="1460" spans="1:20" ht="15" x14ac:dyDescent="0.25">
      <c r="A1460" s="368"/>
      <c r="B1460" s="368"/>
      <c r="C1460" s="368"/>
      <c r="D1460" s="368"/>
      <c r="E1460" s="368"/>
      <c r="F1460" s="181"/>
      <c r="G1460" s="181"/>
      <c r="H1460" s="181"/>
      <c r="I1460" s="210"/>
      <c r="R1460" s="382"/>
      <c r="S1460" s="382"/>
      <c r="T1460" s="382"/>
    </row>
    <row r="1461" spans="1:20" ht="13.5" thickBot="1" x14ac:dyDescent="0.25">
      <c r="A1461" s="432" t="s">
        <v>517</v>
      </c>
      <c r="I1461" s="1390" t="s">
        <v>161</v>
      </c>
    </row>
    <row r="1462" spans="1:20" s="107" customFormat="1" thickTop="1" thickBot="1" x14ac:dyDescent="0.25">
      <c r="A1462" s="631" t="s">
        <v>624</v>
      </c>
      <c r="B1462" s="774" t="s">
        <v>162</v>
      </c>
      <c r="C1462" s="632" t="s">
        <v>163</v>
      </c>
      <c r="D1462" s="634" t="s">
        <v>705</v>
      </c>
      <c r="E1462" s="634" t="s">
        <v>164</v>
      </c>
      <c r="F1462" s="634" t="s">
        <v>165</v>
      </c>
      <c r="G1462" s="634" t="s">
        <v>881</v>
      </c>
      <c r="H1462" s="634" t="s">
        <v>882</v>
      </c>
      <c r="I1462" s="818" t="s">
        <v>883</v>
      </c>
    </row>
    <row r="1463" spans="1:20" s="383" customFormat="1" ht="13.5" thickTop="1" thickBot="1" x14ac:dyDescent="0.25">
      <c r="A1463" s="566">
        <v>1</v>
      </c>
      <c r="B1463" s="567">
        <v>2</v>
      </c>
      <c r="C1463" s="567">
        <v>3</v>
      </c>
      <c r="D1463" s="567">
        <v>4</v>
      </c>
      <c r="E1463" s="567">
        <v>5</v>
      </c>
      <c r="F1463" s="541">
        <v>6</v>
      </c>
      <c r="G1463" s="541">
        <v>7</v>
      </c>
      <c r="H1463" s="542">
        <v>8</v>
      </c>
      <c r="I1463" s="636" t="s">
        <v>762</v>
      </c>
    </row>
    <row r="1464" spans="1:20" ht="15.75" thickTop="1" x14ac:dyDescent="0.25">
      <c r="A1464" s="1391">
        <v>1137</v>
      </c>
      <c r="B1464" s="775">
        <v>3122</v>
      </c>
      <c r="C1464" s="775">
        <v>5331</v>
      </c>
      <c r="D1464" s="839"/>
      <c r="E1464" s="860" t="s">
        <v>951</v>
      </c>
      <c r="F1464" s="861">
        <f>F1465+F1466</f>
        <v>1893</v>
      </c>
      <c r="G1464" s="861">
        <f>G1465+G1466</f>
        <v>1920</v>
      </c>
      <c r="H1464" s="861">
        <f>H1465+H1466</f>
        <v>1920</v>
      </c>
      <c r="I1464" s="826">
        <f t="shared" ref="I1464:I1474" si="164">(H1464/G1464)*100</f>
        <v>100</v>
      </c>
    </row>
    <row r="1465" spans="1:20" ht="14.25" x14ac:dyDescent="0.2">
      <c r="A1465" s="431"/>
      <c r="B1465" s="673"/>
      <c r="C1465" s="673"/>
      <c r="D1465" s="707" t="s">
        <v>575</v>
      </c>
      <c r="E1465" s="1478" t="s">
        <v>793</v>
      </c>
      <c r="F1465" s="827">
        <v>313</v>
      </c>
      <c r="G1465" s="827">
        <v>356</v>
      </c>
      <c r="H1465" s="827">
        <v>356</v>
      </c>
      <c r="I1465" s="823">
        <f t="shared" si="164"/>
        <v>100</v>
      </c>
    </row>
    <row r="1466" spans="1:20" ht="14.25" x14ac:dyDescent="0.2">
      <c r="A1466" s="431"/>
      <c r="B1466" s="673"/>
      <c r="C1466" s="673"/>
      <c r="D1466" s="552" t="s">
        <v>570</v>
      </c>
      <c r="E1466" s="455" t="s">
        <v>71</v>
      </c>
      <c r="F1466" s="827">
        <v>1580</v>
      </c>
      <c r="G1466" s="827">
        <v>1564</v>
      </c>
      <c r="H1466" s="827">
        <v>1564</v>
      </c>
      <c r="I1466" s="823">
        <f t="shared" si="164"/>
        <v>100</v>
      </c>
    </row>
    <row r="1467" spans="1:20" ht="15" x14ac:dyDescent="0.25">
      <c r="A1467" s="431">
        <v>1137</v>
      </c>
      <c r="B1467" s="750">
        <v>3122</v>
      </c>
      <c r="C1467" s="750">
        <v>5336</v>
      </c>
      <c r="D1467" s="2541"/>
      <c r="E1467" s="672" t="s">
        <v>2054</v>
      </c>
      <c r="F1467" s="833"/>
      <c r="G1467" s="846">
        <f>G1468+G1470+G1471</f>
        <v>8185</v>
      </c>
      <c r="H1467" s="846">
        <f>H1468+H1470+H1471</f>
        <v>8185</v>
      </c>
      <c r="I1467" s="838">
        <f t="shared" si="164"/>
        <v>100</v>
      </c>
    </row>
    <row r="1468" spans="1:20" ht="14.25" x14ac:dyDescent="0.2">
      <c r="A1468" s="431"/>
      <c r="B1468" s="750"/>
      <c r="C1468" s="750"/>
      <c r="D1468" s="1068" t="s">
        <v>1911</v>
      </c>
      <c r="E1468" s="2671" t="s">
        <v>2051</v>
      </c>
      <c r="F1468" s="827"/>
      <c r="G1468" s="837">
        <v>10</v>
      </c>
      <c r="H1468" s="837">
        <v>10</v>
      </c>
      <c r="I1468" s="823">
        <v>29</v>
      </c>
    </row>
    <row r="1469" spans="1:20" ht="15" x14ac:dyDescent="0.25">
      <c r="A1469" s="431"/>
      <c r="B1469" s="750"/>
      <c r="C1469" s="750"/>
      <c r="D1469" s="1068"/>
      <c r="E1469" s="2671"/>
      <c r="F1469" s="827"/>
      <c r="G1469" s="846"/>
      <c r="H1469" s="846"/>
      <c r="I1469" s="853"/>
    </row>
    <row r="1470" spans="1:20" ht="15" x14ac:dyDescent="0.2">
      <c r="A1470" s="431"/>
      <c r="B1470" s="750"/>
      <c r="C1470" s="750"/>
      <c r="D1470" s="1068" t="s">
        <v>1913</v>
      </c>
      <c r="E1470" s="2113" t="s">
        <v>2052</v>
      </c>
      <c r="F1470" s="2530"/>
      <c r="G1470" s="2531">
        <v>57</v>
      </c>
      <c r="H1470" s="2531">
        <v>57</v>
      </c>
      <c r="I1470" s="376">
        <f t="shared" ref="I1470" si="165">(H1470/G1470)*100</f>
        <v>100</v>
      </c>
    </row>
    <row r="1471" spans="1:20" ht="14.25" x14ac:dyDescent="0.2">
      <c r="A1471" s="431"/>
      <c r="B1471" s="750"/>
      <c r="C1471" s="1393"/>
      <c r="D1471" s="552" t="s">
        <v>1124</v>
      </c>
      <c r="E1471" s="455" t="s">
        <v>792</v>
      </c>
      <c r="F1471" s="833"/>
      <c r="G1471" s="833">
        <v>8118</v>
      </c>
      <c r="H1471" s="833">
        <v>8118</v>
      </c>
      <c r="I1471" s="828">
        <f t="shared" si="164"/>
        <v>100</v>
      </c>
    </row>
    <row r="1472" spans="1:20" ht="15" x14ac:dyDescent="0.25">
      <c r="A1472" s="431">
        <v>1137</v>
      </c>
      <c r="B1472" s="750">
        <v>3293</v>
      </c>
      <c r="C1472" s="1393">
        <v>5336</v>
      </c>
      <c r="D1472" s="552"/>
      <c r="E1472" s="672" t="s">
        <v>2054</v>
      </c>
      <c r="F1472" s="833"/>
      <c r="G1472" s="846">
        <v>4</v>
      </c>
      <c r="H1472" s="846">
        <v>4</v>
      </c>
      <c r="I1472" s="838">
        <f t="shared" si="164"/>
        <v>100</v>
      </c>
    </row>
    <row r="1473" spans="1:20" ht="15" thickBot="1" x14ac:dyDescent="0.25">
      <c r="A1473" s="431"/>
      <c r="B1473" s="750"/>
      <c r="C1473" s="1393"/>
      <c r="D1473" s="1325" t="s">
        <v>1127</v>
      </c>
      <c r="E1473" s="1289" t="s">
        <v>1603</v>
      </c>
      <c r="F1473" s="833"/>
      <c r="G1473" s="833">
        <v>4</v>
      </c>
      <c r="H1473" s="833">
        <v>4</v>
      </c>
      <c r="I1473" s="828">
        <f t="shared" ref="I1473" si="166">(H1473/G1473)*100</f>
        <v>100</v>
      </c>
    </row>
    <row r="1474" spans="1:20" ht="16.5" thickTop="1" thickBot="1" x14ac:dyDescent="0.3">
      <c r="A1474" s="2672" t="s">
        <v>1105</v>
      </c>
      <c r="B1474" s="2673"/>
      <c r="C1474" s="2673"/>
      <c r="D1474" s="2673"/>
      <c r="E1474" s="2673"/>
      <c r="F1474" s="824">
        <f>F1464+F1467</f>
        <v>1893</v>
      </c>
      <c r="G1474" s="824">
        <f>G1464+G1467+G1472</f>
        <v>10109</v>
      </c>
      <c r="H1474" s="824">
        <f>H1464+H1467+H1472</f>
        <v>10109</v>
      </c>
      <c r="I1474" s="825">
        <f t="shared" si="164"/>
        <v>100</v>
      </c>
      <c r="R1474" s="382">
        <f>F1474</f>
        <v>1893</v>
      </c>
      <c r="S1474" s="382">
        <f>G1474</f>
        <v>10109</v>
      </c>
      <c r="T1474" s="382">
        <f>H1474</f>
        <v>10109</v>
      </c>
    </row>
    <row r="1475" spans="1:20" ht="13.5" thickTop="1" x14ac:dyDescent="0.2"/>
    <row r="1476" spans="1:20" ht="13.5" thickBot="1" x14ac:dyDescent="0.25">
      <c r="A1476" s="432" t="s">
        <v>518</v>
      </c>
      <c r="I1476" s="1390" t="s">
        <v>161</v>
      </c>
    </row>
    <row r="1477" spans="1:20" s="107" customFormat="1" thickTop="1" thickBot="1" x14ac:dyDescent="0.25">
      <c r="A1477" s="631" t="s">
        <v>624</v>
      </c>
      <c r="B1477" s="774" t="s">
        <v>162</v>
      </c>
      <c r="C1477" s="632" t="s">
        <v>163</v>
      </c>
      <c r="D1477" s="634" t="s">
        <v>705</v>
      </c>
      <c r="E1477" s="634" t="s">
        <v>164</v>
      </c>
      <c r="F1477" s="634" t="s">
        <v>165</v>
      </c>
      <c r="G1477" s="634" t="s">
        <v>881</v>
      </c>
      <c r="H1477" s="634" t="s">
        <v>882</v>
      </c>
      <c r="I1477" s="818" t="s">
        <v>883</v>
      </c>
    </row>
    <row r="1478" spans="1:20" s="383" customFormat="1" ht="13.5" thickTop="1" thickBot="1" x14ac:dyDescent="0.25">
      <c r="A1478" s="566">
        <v>1</v>
      </c>
      <c r="B1478" s="567">
        <v>2</v>
      </c>
      <c r="C1478" s="567">
        <v>3</v>
      </c>
      <c r="D1478" s="567">
        <v>4</v>
      </c>
      <c r="E1478" s="567">
        <v>5</v>
      </c>
      <c r="F1478" s="541">
        <v>6</v>
      </c>
      <c r="G1478" s="541">
        <v>7</v>
      </c>
      <c r="H1478" s="542">
        <v>8</v>
      </c>
      <c r="I1478" s="636" t="s">
        <v>762</v>
      </c>
    </row>
    <row r="1479" spans="1:20" ht="20.25" customHeight="1" thickTop="1" x14ac:dyDescent="0.25">
      <c r="A1479" s="1391">
        <v>1138</v>
      </c>
      <c r="B1479" s="775">
        <v>3122</v>
      </c>
      <c r="C1479" s="775">
        <v>5331</v>
      </c>
      <c r="D1479" s="839"/>
      <c r="E1479" s="860" t="s">
        <v>951</v>
      </c>
      <c r="F1479" s="861">
        <f>F1480+F1482+F1481</f>
        <v>2058</v>
      </c>
      <c r="G1479" s="861">
        <f>G1480+G1481+G1482</f>
        <v>2066</v>
      </c>
      <c r="H1479" s="861">
        <f>H1480+H1481+H1482</f>
        <v>2066</v>
      </c>
      <c r="I1479" s="826">
        <f t="shared" ref="I1479:I1503" si="167">(H1479/G1479)*100</f>
        <v>100</v>
      </c>
    </row>
    <row r="1480" spans="1:20" ht="14.25" x14ac:dyDescent="0.2">
      <c r="A1480" s="431"/>
      <c r="B1480" s="673"/>
      <c r="C1480" s="673"/>
      <c r="D1480" s="707" t="s">
        <v>575</v>
      </c>
      <c r="E1480" s="1478" t="s">
        <v>793</v>
      </c>
      <c r="F1480" s="827">
        <v>358</v>
      </c>
      <c r="G1480" s="827">
        <v>379</v>
      </c>
      <c r="H1480" s="827">
        <v>379</v>
      </c>
      <c r="I1480" s="823">
        <f t="shared" si="167"/>
        <v>100</v>
      </c>
    </row>
    <row r="1481" spans="1:20" ht="14.25" x14ac:dyDescent="0.2">
      <c r="A1481" s="431"/>
      <c r="B1481" s="673"/>
      <c r="C1481" s="673"/>
      <c r="D1481" s="1059" t="s">
        <v>352</v>
      </c>
      <c r="E1481" s="1161" t="s">
        <v>891</v>
      </c>
      <c r="F1481" s="827"/>
      <c r="G1481" s="827">
        <v>4</v>
      </c>
      <c r="H1481" s="827">
        <v>4</v>
      </c>
      <c r="I1481" s="823">
        <f t="shared" si="167"/>
        <v>100</v>
      </c>
    </row>
    <row r="1482" spans="1:20" ht="14.25" x14ac:dyDescent="0.2">
      <c r="A1482" s="431"/>
      <c r="B1482" s="673"/>
      <c r="C1482" s="673"/>
      <c r="D1482" s="552" t="s">
        <v>570</v>
      </c>
      <c r="E1482" s="455" t="s">
        <v>71</v>
      </c>
      <c r="F1482" s="827">
        <v>1700</v>
      </c>
      <c r="G1482" s="827">
        <v>1683</v>
      </c>
      <c r="H1482" s="827">
        <v>1683</v>
      </c>
      <c r="I1482" s="823">
        <f t="shared" si="167"/>
        <v>100</v>
      </c>
    </row>
    <row r="1483" spans="1:20" ht="15" x14ac:dyDescent="0.25">
      <c r="A1483" s="431">
        <v>1138</v>
      </c>
      <c r="B1483" s="673">
        <v>3122</v>
      </c>
      <c r="C1483" s="673">
        <v>5336</v>
      </c>
      <c r="D1483" s="2541"/>
      <c r="E1483" s="672" t="s">
        <v>2054</v>
      </c>
      <c r="F1483" s="827"/>
      <c r="G1483" s="851">
        <f>G1484+G1486+G1487</f>
        <v>14860</v>
      </c>
      <c r="H1483" s="851">
        <f>H1484+H1486+H1487</f>
        <v>14860</v>
      </c>
      <c r="I1483" s="853">
        <f t="shared" si="167"/>
        <v>100</v>
      </c>
    </row>
    <row r="1484" spans="1:20" ht="14.25" customHeight="1" x14ac:dyDescent="0.2">
      <c r="A1484" s="431"/>
      <c r="B1484" s="673"/>
      <c r="C1484" s="673"/>
      <c r="D1484" s="1068" t="s">
        <v>1911</v>
      </c>
      <c r="E1484" s="2671" t="s">
        <v>2051</v>
      </c>
      <c r="F1484" s="827"/>
      <c r="G1484" s="837">
        <v>20</v>
      </c>
      <c r="H1484" s="837">
        <v>20</v>
      </c>
      <c r="I1484" s="823">
        <v>29</v>
      </c>
    </row>
    <row r="1485" spans="1:20" ht="15" x14ac:dyDescent="0.25">
      <c r="A1485" s="431"/>
      <c r="B1485" s="673"/>
      <c r="C1485" s="673"/>
      <c r="D1485" s="1068"/>
      <c r="E1485" s="2671"/>
      <c r="F1485" s="827"/>
      <c r="G1485" s="846"/>
      <c r="H1485" s="846"/>
      <c r="I1485" s="853"/>
    </row>
    <row r="1486" spans="1:20" ht="15" x14ac:dyDescent="0.2">
      <c r="A1486" s="431"/>
      <c r="B1486" s="673"/>
      <c r="C1486" s="673"/>
      <c r="D1486" s="1068" t="s">
        <v>1913</v>
      </c>
      <c r="E1486" s="2113" t="s">
        <v>2052</v>
      </c>
      <c r="F1486" s="2530"/>
      <c r="G1486" s="2531">
        <v>124</v>
      </c>
      <c r="H1486" s="2531">
        <v>124</v>
      </c>
      <c r="I1486" s="376">
        <f t="shared" ref="I1486" si="168">(H1486/G1486)*100</f>
        <v>100</v>
      </c>
    </row>
    <row r="1487" spans="1:20" ht="14.25" x14ac:dyDescent="0.2">
      <c r="A1487" s="431"/>
      <c r="B1487" s="673"/>
      <c r="C1487" s="1392"/>
      <c r="D1487" s="552" t="s">
        <v>1124</v>
      </c>
      <c r="E1487" s="455" t="s">
        <v>792</v>
      </c>
      <c r="F1487" s="827"/>
      <c r="G1487" s="827">
        <v>14716</v>
      </c>
      <c r="H1487" s="827">
        <v>14716</v>
      </c>
      <c r="I1487" s="823">
        <f t="shared" si="167"/>
        <v>100</v>
      </c>
    </row>
    <row r="1488" spans="1:20" ht="13.5" customHeight="1" x14ac:dyDescent="0.25">
      <c r="A1488" s="431">
        <v>1138</v>
      </c>
      <c r="B1488" s="750">
        <v>3141</v>
      </c>
      <c r="C1488" s="1393">
        <v>5336</v>
      </c>
      <c r="D1488" s="568"/>
      <c r="E1488" s="672" t="s">
        <v>2054</v>
      </c>
      <c r="F1488" s="846"/>
      <c r="G1488" s="846">
        <v>413</v>
      </c>
      <c r="H1488" s="846">
        <v>413</v>
      </c>
      <c r="I1488" s="853">
        <f t="shared" si="167"/>
        <v>100</v>
      </c>
    </row>
    <row r="1489" spans="1:20" ht="13.5" customHeight="1" x14ac:dyDescent="0.2">
      <c r="A1489" s="431"/>
      <c r="B1489" s="750"/>
      <c r="C1489" s="1393"/>
      <c r="D1489" s="552" t="s">
        <v>1124</v>
      </c>
      <c r="E1489" s="455" t="s">
        <v>792</v>
      </c>
      <c r="F1489" s="833"/>
      <c r="G1489" s="833">
        <v>413</v>
      </c>
      <c r="H1489" s="833">
        <v>413</v>
      </c>
      <c r="I1489" s="823">
        <f t="shared" si="167"/>
        <v>100</v>
      </c>
    </row>
    <row r="1490" spans="1:20" ht="18" customHeight="1" x14ac:dyDescent="0.25">
      <c r="A1490" s="431">
        <v>1138</v>
      </c>
      <c r="B1490" s="750">
        <v>3142</v>
      </c>
      <c r="C1490" s="750">
        <v>5331</v>
      </c>
      <c r="D1490" s="859"/>
      <c r="E1490" s="672" t="s">
        <v>951</v>
      </c>
      <c r="F1490" s="835">
        <f>F1491+F1492</f>
        <v>828</v>
      </c>
      <c r="G1490" s="835">
        <f>G1491+G1492</f>
        <v>822</v>
      </c>
      <c r="H1490" s="835">
        <f>H1491+H1492</f>
        <v>822</v>
      </c>
      <c r="I1490" s="836">
        <f t="shared" si="167"/>
        <v>100</v>
      </c>
    </row>
    <row r="1491" spans="1:20" ht="18" customHeight="1" x14ac:dyDescent="0.2">
      <c r="A1491" s="431"/>
      <c r="B1491" s="673"/>
      <c r="C1491" s="673"/>
      <c r="D1491" s="707" t="s">
        <v>575</v>
      </c>
      <c r="E1491" s="1478" t="s">
        <v>793</v>
      </c>
      <c r="F1491" s="827">
        <v>328</v>
      </c>
      <c r="G1491" s="827">
        <v>327</v>
      </c>
      <c r="H1491" s="827">
        <v>327</v>
      </c>
      <c r="I1491" s="823">
        <f t="shared" si="167"/>
        <v>100</v>
      </c>
    </row>
    <row r="1492" spans="1:20" ht="14.25" customHeight="1" x14ac:dyDescent="0.2">
      <c r="A1492" s="431"/>
      <c r="B1492" s="673"/>
      <c r="C1492" s="673"/>
      <c r="D1492" s="552" t="s">
        <v>570</v>
      </c>
      <c r="E1492" s="455" t="s">
        <v>71</v>
      </c>
      <c r="F1492" s="827">
        <v>500</v>
      </c>
      <c r="G1492" s="827">
        <v>495</v>
      </c>
      <c r="H1492" s="827">
        <v>495</v>
      </c>
      <c r="I1492" s="823">
        <f t="shared" si="167"/>
        <v>100</v>
      </c>
    </row>
    <row r="1493" spans="1:20" ht="15.75" customHeight="1" x14ac:dyDescent="0.25">
      <c r="A1493" s="431">
        <v>1138</v>
      </c>
      <c r="B1493" s="673">
        <v>3142</v>
      </c>
      <c r="C1493" s="673">
        <v>5336</v>
      </c>
      <c r="D1493" s="552"/>
      <c r="E1493" s="672" t="s">
        <v>2054</v>
      </c>
      <c r="F1493" s="827"/>
      <c r="G1493" s="851">
        <v>799</v>
      </c>
      <c r="H1493" s="851">
        <v>799</v>
      </c>
      <c r="I1493" s="853">
        <f t="shared" si="167"/>
        <v>100</v>
      </c>
    </row>
    <row r="1494" spans="1:20" ht="14.25" x14ac:dyDescent="0.2">
      <c r="A1494" s="431"/>
      <c r="B1494" s="673"/>
      <c r="C1494" s="1392"/>
      <c r="D1494" s="552" t="s">
        <v>1124</v>
      </c>
      <c r="E1494" s="455" t="s">
        <v>792</v>
      </c>
      <c r="F1494" s="827"/>
      <c r="G1494" s="827">
        <v>799</v>
      </c>
      <c r="H1494" s="827">
        <v>799</v>
      </c>
      <c r="I1494" s="823">
        <f t="shared" si="167"/>
        <v>100</v>
      </c>
    </row>
    <row r="1495" spans="1:20" ht="20.25" customHeight="1" x14ac:dyDescent="0.25">
      <c r="A1495" s="431">
        <v>1138</v>
      </c>
      <c r="B1495" s="673">
        <v>3147</v>
      </c>
      <c r="C1495" s="673">
        <v>5331</v>
      </c>
      <c r="D1495" s="819"/>
      <c r="E1495" s="792" t="s">
        <v>951</v>
      </c>
      <c r="F1495" s="820">
        <f>F1496+F1497</f>
        <v>891</v>
      </c>
      <c r="G1495" s="820">
        <f>G1496+G1497</f>
        <v>884</v>
      </c>
      <c r="H1495" s="820">
        <f>H1496+H1497</f>
        <v>884</v>
      </c>
      <c r="I1495" s="821">
        <f t="shared" si="167"/>
        <v>100</v>
      </c>
    </row>
    <row r="1496" spans="1:20" ht="14.25" x14ac:dyDescent="0.2">
      <c r="A1496" s="431"/>
      <c r="B1496" s="673"/>
      <c r="C1496" s="673"/>
      <c r="D1496" s="707" t="s">
        <v>575</v>
      </c>
      <c r="E1496" s="1478" t="s">
        <v>793</v>
      </c>
      <c r="F1496" s="827">
        <v>157</v>
      </c>
      <c r="G1496" s="827">
        <v>157</v>
      </c>
      <c r="H1496" s="827">
        <v>157</v>
      </c>
      <c r="I1496" s="823">
        <f t="shared" si="167"/>
        <v>100</v>
      </c>
    </row>
    <row r="1497" spans="1:20" ht="14.25" x14ac:dyDescent="0.2">
      <c r="A1497" s="431"/>
      <c r="B1497" s="673"/>
      <c r="C1497" s="673"/>
      <c r="D1497" s="552" t="s">
        <v>570</v>
      </c>
      <c r="E1497" s="455" t="s">
        <v>71</v>
      </c>
      <c r="F1497" s="827">
        <v>734</v>
      </c>
      <c r="G1497" s="827">
        <v>727</v>
      </c>
      <c r="H1497" s="827">
        <v>727</v>
      </c>
      <c r="I1497" s="823">
        <f t="shared" si="167"/>
        <v>100</v>
      </c>
    </row>
    <row r="1498" spans="1:20" ht="15" x14ac:dyDescent="0.25">
      <c r="A1498" s="431">
        <v>1138</v>
      </c>
      <c r="B1498" s="673">
        <v>3147</v>
      </c>
      <c r="C1498" s="673">
        <v>5336</v>
      </c>
      <c r="D1498" s="552"/>
      <c r="E1498" s="672" t="s">
        <v>2054</v>
      </c>
      <c r="F1498" s="827"/>
      <c r="G1498" s="851">
        <v>2217</v>
      </c>
      <c r="H1498" s="851">
        <v>2217</v>
      </c>
      <c r="I1498" s="853">
        <f t="shared" si="167"/>
        <v>100</v>
      </c>
    </row>
    <row r="1499" spans="1:20" ht="14.25" x14ac:dyDescent="0.2">
      <c r="A1499" s="431"/>
      <c r="B1499" s="673"/>
      <c r="C1499" s="1392"/>
      <c r="D1499" s="552" t="s">
        <v>1124</v>
      </c>
      <c r="E1499" s="455" t="s">
        <v>792</v>
      </c>
      <c r="F1499" s="827"/>
      <c r="G1499" s="827">
        <v>2217</v>
      </c>
      <c r="H1499" s="827">
        <v>2217</v>
      </c>
      <c r="I1499" s="823">
        <f t="shared" si="167"/>
        <v>100</v>
      </c>
    </row>
    <row r="1500" spans="1:20" ht="15" x14ac:dyDescent="0.25">
      <c r="A1500" s="431">
        <v>1138</v>
      </c>
      <c r="B1500" s="673">
        <v>3299</v>
      </c>
      <c r="C1500" s="1392">
        <v>5331</v>
      </c>
      <c r="D1500" s="552"/>
      <c r="E1500" s="792" t="s">
        <v>951</v>
      </c>
      <c r="F1500" s="827"/>
      <c r="G1500" s="851">
        <v>15</v>
      </c>
      <c r="H1500" s="851">
        <v>15</v>
      </c>
      <c r="I1500" s="853">
        <f t="shared" si="167"/>
        <v>100</v>
      </c>
    </row>
    <row r="1501" spans="1:20" ht="14.25" x14ac:dyDescent="0.2">
      <c r="A1501" s="431"/>
      <c r="B1501" s="673"/>
      <c r="C1501" s="1392"/>
      <c r="D1501" s="1059" t="s">
        <v>490</v>
      </c>
      <c r="E1501" s="1161" t="s">
        <v>1241</v>
      </c>
      <c r="F1501" s="833"/>
      <c r="G1501" s="833">
        <v>15</v>
      </c>
      <c r="H1501" s="833">
        <v>15</v>
      </c>
      <c r="I1501" s="828">
        <f t="shared" ref="I1501" si="169">(H1501/G1501)*100</f>
        <v>100</v>
      </c>
    </row>
    <row r="1502" spans="1:20" ht="15" x14ac:dyDescent="0.25">
      <c r="A1502" s="431">
        <v>1138</v>
      </c>
      <c r="B1502" s="673">
        <v>3792</v>
      </c>
      <c r="C1502" s="1392">
        <v>5331</v>
      </c>
      <c r="D1502" s="552"/>
      <c r="E1502" s="792" t="s">
        <v>951</v>
      </c>
      <c r="F1502" s="827"/>
      <c r="G1502" s="851">
        <v>13</v>
      </c>
      <c r="H1502" s="851">
        <v>13</v>
      </c>
      <c r="I1502" s="853">
        <f t="shared" si="167"/>
        <v>100</v>
      </c>
    </row>
    <row r="1503" spans="1:20" ht="15" thickBot="1" x14ac:dyDescent="0.25">
      <c r="A1503" s="431"/>
      <c r="B1503" s="673"/>
      <c r="C1503" s="1392"/>
      <c r="D1503" s="1059" t="s">
        <v>1319</v>
      </c>
      <c r="E1503" s="117" t="s">
        <v>369</v>
      </c>
      <c r="F1503" s="827"/>
      <c r="G1503" s="827">
        <v>13</v>
      </c>
      <c r="H1503" s="827">
        <v>13</v>
      </c>
      <c r="I1503" s="823">
        <f t="shared" si="167"/>
        <v>100</v>
      </c>
    </row>
    <row r="1504" spans="1:20" ht="16.5" thickTop="1" thickBot="1" x14ac:dyDescent="0.3">
      <c r="A1504" s="2672" t="s">
        <v>1105</v>
      </c>
      <c r="B1504" s="2673"/>
      <c r="C1504" s="2673"/>
      <c r="D1504" s="2673"/>
      <c r="E1504" s="2673"/>
      <c r="F1504" s="824">
        <f>F1479+F1483+F1488+F1490+F1493+F1495+F1498</f>
        <v>3777</v>
      </c>
      <c r="G1504" s="824">
        <f>G1479+G1483+G1488+G1490+G1493+G1495+G1498+G1500+G1502</f>
        <v>22089</v>
      </c>
      <c r="H1504" s="824">
        <f>H1479+H1483+H1488+H1490+H1493+H1495+H1498+H1500+H1502</f>
        <v>22089</v>
      </c>
      <c r="I1504" s="825">
        <f>(H1504/G1504)*100</f>
        <v>100</v>
      </c>
      <c r="R1504" s="382">
        <f>F1504</f>
        <v>3777</v>
      </c>
      <c r="S1504" s="382">
        <f>G1504</f>
        <v>22089</v>
      </c>
      <c r="T1504" s="382">
        <f>H1504</f>
        <v>22089</v>
      </c>
    </row>
    <row r="1505" spans="1:16" ht="13.5" customHeight="1" thickTop="1" x14ac:dyDescent="0.2"/>
    <row r="1506" spans="1:16" ht="13.5" customHeight="1" x14ac:dyDescent="0.2"/>
    <row r="1507" spans="1:16" ht="13.5" customHeight="1" x14ac:dyDescent="0.2"/>
    <row r="1508" spans="1:16" ht="18" customHeight="1" thickBot="1" x14ac:dyDescent="0.25">
      <c r="A1508" s="432" t="s">
        <v>2066</v>
      </c>
      <c r="I1508" s="1390" t="s">
        <v>161</v>
      </c>
    </row>
    <row r="1509" spans="1:16" s="107" customFormat="1" ht="18" customHeight="1" thickTop="1" thickBot="1" x14ac:dyDescent="0.25">
      <c r="A1509" s="631" t="s">
        <v>624</v>
      </c>
      <c r="B1509" s="774" t="s">
        <v>162</v>
      </c>
      <c r="C1509" s="632" t="s">
        <v>163</v>
      </c>
      <c r="D1509" s="634" t="s">
        <v>705</v>
      </c>
      <c r="E1509" s="634" t="s">
        <v>164</v>
      </c>
      <c r="F1509" s="634" t="s">
        <v>165</v>
      </c>
      <c r="G1509" s="634" t="s">
        <v>881</v>
      </c>
      <c r="H1509" s="634" t="s">
        <v>882</v>
      </c>
      <c r="I1509" s="818" t="s">
        <v>883</v>
      </c>
    </row>
    <row r="1510" spans="1:16" s="383" customFormat="1" ht="9.75" customHeight="1" thickTop="1" thickBot="1" x14ac:dyDescent="0.25">
      <c r="A1510" s="566">
        <v>1</v>
      </c>
      <c r="B1510" s="567">
        <v>2</v>
      </c>
      <c r="C1510" s="567">
        <v>3</v>
      </c>
      <c r="D1510" s="567">
        <v>4</v>
      </c>
      <c r="E1510" s="567">
        <v>5</v>
      </c>
      <c r="F1510" s="541">
        <v>6</v>
      </c>
      <c r="G1510" s="541">
        <v>7</v>
      </c>
      <c r="H1510" s="542">
        <v>8</v>
      </c>
      <c r="I1510" s="636" t="s">
        <v>762</v>
      </c>
    </row>
    <row r="1511" spans="1:16" ht="17.25" customHeight="1" thickTop="1" x14ac:dyDescent="0.25">
      <c r="A1511" s="1391">
        <v>1140</v>
      </c>
      <c r="B1511" s="775">
        <v>3122</v>
      </c>
      <c r="C1511" s="775">
        <v>5336</v>
      </c>
      <c r="D1511" s="839"/>
      <c r="E1511" s="672" t="s">
        <v>2054</v>
      </c>
      <c r="F1511" s="861"/>
      <c r="G1511" s="861">
        <f>G1512+G1513</f>
        <v>8727</v>
      </c>
      <c r="H1511" s="861">
        <f>H1512+H1513</f>
        <v>8727</v>
      </c>
      <c r="I1511" s="826">
        <f t="shared" ref="I1511:I1529" si="170">(H1511/G1511)*100</f>
        <v>100</v>
      </c>
    </row>
    <row r="1512" spans="1:16" ht="17.25" customHeight="1" x14ac:dyDescent="0.2">
      <c r="A1512" s="431"/>
      <c r="B1512" s="673"/>
      <c r="C1512" s="673"/>
      <c r="D1512" s="1068" t="s">
        <v>1905</v>
      </c>
      <c r="E1512" s="2529" t="s">
        <v>1827</v>
      </c>
      <c r="F1512" s="314"/>
      <c r="G1512" s="316">
        <v>763</v>
      </c>
      <c r="H1512" s="316">
        <v>763</v>
      </c>
      <c r="I1512" s="1074">
        <f t="shared" si="170"/>
        <v>100</v>
      </c>
    </row>
    <row r="1513" spans="1:16" ht="15" customHeight="1" x14ac:dyDescent="0.2">
      <c r="A1513" s="431"/>
      <c r="B1513" s="673"/>
      <c r="C1513" s="1392"/>
      <c r="D1513" s="552" t="s">
        <v>1124</v>
      </c>
      <c r="E1513" s="455" t="s">
        <v>792</v>
      </c>
      <c r="F1513" s="827"/>
      <c r="G1513" s="827">
        <v>7964</v>
      </c>
      <c r="H1513" s="827">
        <v>7964</v>
      </c>
      <c r="I1513" s="823">
        <f t="shared" si="170"/>
        <v>100</v>
      </c>
    </row>
    <row r="1514" spans="1:16" ht="15" x14ac:dyDescent="0.25">
      <c r="A1514" s="431">
        <v>1140</v>
      </c>
      <c r="B1514" s="750">
        <v>3123</v>
      </c>
      <c r="C1514" s="750">
        <v>5331</v>
      </c>
      <c r="D1514" s="859"/>
      <c r="E1514" s="672" t="s">
        <v>951</v>
      </c>
      <c r="F1514" s="835">
        <f>F1515+F1516+F1518</f>
        <v>8609</v>
      </c>
      <c r="G1514" s="835">
        <f>G1515+G1516+G1517+G1518</f>
        <v>12239</v>
      </c>
      <c r="H1514" s="835">
        <f>H1515+H1516+H1517+H1518</f>
        <v>12239</v>
      </c>
      <c r="I1514" s="836">
        <f t="shared" si="170"/>
        <v>100</v>
      </c>
    </row>
    <row r="1515" spans="1:16" ht="20.25" customHeight="1" x14ac:dyDescent="0.2">
      <c r="A1515" s="431"/>
      <c r="B1515" s="750"/>
      <c r="C1515" s="750"/>
      <c r="D1515" s="707" t="s">
        <v>575</v>
      </c>
      <c r="E1515" s="1478" t="s">
        <v>793</v>
      </c>
      <c r="F1515" s="833">
        <v>1617</v>
      </c>
      <c r="G1515" s="833">
        <v>2177</v>
      </c>
      <c r="H1515" s="833">
        <v>2177</v>
      </c>
      <c r="I1515" s="828">
        <f t="shared" si="170"/>
        <v>100</v>
      </c>
    </row>
    <row r="1516" spans="1:16" ht="14.25" x14ac:dyDescent="0.2">
      <c r="A1516" s="431"/>
      <c r="B1516" s="750"/>
      <c r="C1516" s="750"/>
      <c r="D1516" s="552" t="s">
        <v>570</v>
      </c>
      <c r="E1516" s="455" t="s">
        <v>71</v>
      </c>
      <c r="F1516" s="833">
        <v>6992</v>
      </c>
      <c r="G1516" s="833">
        <v>8370</v>
      </c>
      <c r="H1516" s="833">
        <v>8370</v>
      </c>
      <c r="I1516" s="828">
        <f t="shared" si="170"/>
        <v>100</v>
      </c>
    </row>
    <row r="1517" spans="1:16" ht="14.25" x14ac:dyDescent="0.2">
      <c r="A1517" s="431"/>
      <c r="B1517" s="750"/>
      <c r="C1517" s="750"/>
      <c r="D1517" s="1059" t="s">
        <v>1125</v>
      </c>
      <c r="E1517" s="1278" t="s">
        <v>1133</v>
      </c>
      <c r="F1517" s="1311"/>
      <c r="G1517" s="451">
        <v>294</v>
      </c>
      <c r="H1517" s="451">
        <v>294</v>
      </c>
      <c r="I1517" s="1074">
        <f t="shared" si="170"/>
        <v>100</v>
      </c>
    </row>
    <row r="1518" spans="1:16" ht="14.25" x14ac:dyDescent="0.2">
      <c r="A1518" s="431"/>
      <c r="B1518" s="750"/>
      <c r="C1518" s="750"/>
      <c r="D1518" s="1069" t="s">
        <v>924</v>
      </c>
      <c r="E1518" s="1161" t="s">
        <v>925</v>
      </c>
      <c r="F1518" s="833"/>
      <c r="G1518" s="833">
        <v>1398</v>
      </c>
      <c r="H1518" s="833">
        <v>1398</v>
      </c>
      <c r="I1518" s="828">
        <f t="shared" si="170"/>
        <v>100</v>
      </c>
    </row>
    <row r="1519" spans="1:16" ht="15" x14ac:dyDescent="0.25">
      <c r="A1519" s="431">
        <v>1140</v>
      </c>
      <c r="B1519" s="750">
        <v>3123</v>
      </c>
      <c r="C1519" s="750">
        <v>5336</v>
      </c>
      <c r="D1519" s="1069"/>
      <c r="E1519" s="672" t="s">
        <v>2054</v>
      </c>
      <c r="F1519" s="833"/>
      <c r="G1519" s="835">
        <f>G1520+G1522+G1523</f>
        <v>30494</v>
      </c>
      <c r="H1519" s="835">
        <f>H1520+H1522+H1523</f>
        <v>30494</v>
      </c>
      <c r="I1519" s="836">
        <f t="shared" si="170"/>
        <v>100</v>
      </c>
      <c r="J1519" s="432"/>
      <c r="K1519" s="432"/>
      <c r="L1519" s="432"/>
      <c r="M1519" s="432"/>
      <c r="N1519" s="432"/>
      <c r="O1519" s="432"/>
      <c r="P1519" s="432"/>
    </row>
    <row r="1520" spans="1:16" ht="14.25" x14ac:dyDescent="0.2">
      <c r="A1520" s="431"/>
      <c r="B1520" s="750"/>
      <c r="C1520" s="750"/>
      <c r="D1520" s="1068" t="s">
        <v>1911</v>
      </c>
      <c r="E1520" s="2671" t="s">
        <v>2051</v>
      </c>
      <c r="F1520" s="827"/>
      <c r="G1520" s="837">
        <v>59</v>
      </c>
      <c r="H1520" s="837">
        <v>59</v>
      </c>
      <c r="I1520" s="823">
        <v>29</v>
      </c>
      <c r="J1520" s="432"/>
      <c r="K1520" s="432"/>
      <c r="L1520" s="432"/>
      <c r="M1520" s="432"/>
      <c r="N1520" s="432"/>
      <c r="O1520" s="432"/>
      <c r="P1520" s="432"/>
    </row>
    <row r="1521" spans="1:20" ht="15" x14ac:dyDescent="0.25">
      <c r="A1521" s="431"/>
      <c r="B1521" s="750"/>
      <c r="C1521" s="750"/>
      <c r="D1521" s="1068"/>
      <c r="E1521" s="2671"/>
      <c r="F1521" s="827"/>
      <c r="G1521" s="846"/>
      <c r="H1521" s="846"/>
      <c r="I1521" s="853"/>
      <c r="J1521" s="432"/>
      <c r="K1521" s="432"/>
      <c r="L1521" s="432"/>
      <c r="M1521" s="432"/>
      <c r="N1521" s="432"/>
      <c r="O1521" s="432"/>
      <c r="P1521" s="432"/>
    </row>
    <row r="1522" spans="1:20" ht="15" x14ac:dyDescent="0.2">
      <c r="A1522" s="431"/>
      <c r="B1522" s="750"/>
      <c r="C1522" s="750"/>
      <c r="D1522" s="1068" t="s">
        <v>1913</v>
      </c>
      <c r="E1522" s="2113" t="s">
        <v>2052</v>
      </c>
      <c r="F1522" s="2530"/>
      <c r="G1522" s="2531">
        <v>292</v>
      </c>
      <c r="H1522" s="2531">
        <v>292</v>
      </c>
      <c r="I1522" s="376">
        <f t="shared" ref="I1522" si="171">(H1522/G1522)*100</f>
        <v>100</v>
      </c>
      <c r="J1522" s="432"/>
      <c r="K1522" s="432"/>
      <c r="L1522" s="432"/>
      <c r="M1522" s="432"/>
      <c r="N1522" s="432"/>
      <c r="O1522" s="432"/>
      <c r="P1522" s="432"/>
    </row>
    <row r="1523" spans="1:20" ht="14.25" x14ac:dyDescent="0.2">
      <c r="A1523" s="431"/>
      <c r="B1523" s="750"/>
      <c r="C1523" s="1393"/>
      <c r="D1523" s="552" t="s">
        <v>1124</v>
      </c>
      <c r="E1523" s="455" t="s">
        <v>792</v>
      </c>
      <c r="F1523" s="833"/>
      <c r="G1523" s="833">
        <v>30143</v>
      </c>
      <c r="H1523" s="833">
        <v>30143</v>
      </c>
      <c r="I1523" s="828">
        <f t="shared" si="170"/>
        <v>100</v>
      </c>
    </row>
    <row r="1524" spans="1:20" ht="15" x14ac:dyDescent="0.25">
      <c r="A1524" s="431">
        <v>1140</v>
      </c>
      <c r="B1524" s="750">
        <v>3141</v>
      </c>
      <c r="C1524" s="1393">
        <v>5336</v>
      </c>
      <c r="D1524" s="568"/>
      <c r="E1524" s="672" t="s">
        <v>2054</v>
      </c>
      <c r="F1524" s="833"/>
      <c r="G1524" s="846">
        <v>146</v>
      </c>
      <c r="H1524" s="846">
        <v>146</v>
      </c>
      <c r="I1524" s="838">
        <f t="shared" si="170"/>
        <v>100</v>
      </c>
    </row>
    <row r="1525" spans="1:20" ht="14.25" x14ac:dyDescent="0.2">
      <c r="A1525" s="431"/>
      <c r="B1525" s="750"/>
      <c r="C1525" s="1393"/>
      <c r="D1525" s="552" t="s">
        <v>1124</v>
      </c>
      <c r="E1525" s="455" t="s">
        <v>792</v>
      </c>
      <c r="F1525" s="833"/>
      <c r="G1525" s="833">
        <v>146</v>
      </c>
      <c r="H1525" s="833">
        <v>146</v>
      </c>
      <c r="I1525" s="828">
        <f t="shared" ref="I1525" si="172">(H1525/G1525)*100</f>
        <v>100</v>
      </c>
    </row>
    <row r="1526" spans="1:20" ht="15" x14ac:dyDescent="0.25">
      <c r="A1526" s="431">
        <v>1140</v>
      </c>
      <c r="B1526" s="750">
        <v>3142</v>
      </c>
      <c r="C1526" s="1393">
        <v>5336</v>
      </c>
      <c r="D1526" s="568"/>
      <c r="E1526" s="672" t="s">
        <v>2054</v>
      </c>
      <c r="F1526" s="833"/>
      <c r="G1526" s="846">
        <v>128</v>
      </c>
      <c r="H1526" s="846">
        <v>128</v>
      </c>
      <c r="I1526" s="838">
        <f t="shared" si="170"/>
        <v>100</v>
      </c>
    </row>
    <row r="1527" spans="1:20" ht="14.25" x14ac:dyDescent="0.2">
      <c r="A1527" s="431"/>
      <c r="B1527" s="750"/>
      <c r="C1527" s="1393"/>
      <c r="D1527" s="552" t="s">
        <v>1124</v>
      </c>
      <c r="E1527" s="455" t="s">
        <v>792</v>
      </c>
      <c r="F1527" s="833"/>
      <c r="G1527" s="833">
        <v>128</v>
      </c>
      <c r="H1527" s="833">
        <v>128</v>
      </c>
      <c r="I1527" s="828">
        <f t="shared" ref="I1527" si="173">(H1527/G1527)*100</f>
        <v>100</v>
      </c>
    </row>
    <row r="1528" spans="1:20" ht="15" x14ac:dyDescent="0.25">
      <c r="A1528" s="431">
        <v>1140</v>
      </c>
      <c r="B1528" s="750">
        <v>3299</v>
      </c>
      <c r="C1528" s="750">
        <v>5331</v>
      </c>
      <c r="D1528" s="859"/>
      <c r="E1528" s="672" t="s">
        <v>951</v>
      </c>
      <c r="F1528" s="835"/>
      <c r="G1528" s="835">
        <v>15</v>
      </c>
      <c r="H1528" s="835">
        <v>15</v>
      </c>
      <c r="I1528" s="836">
        <f t="shared" si="170"/>
        <v>100</v>
      </c>
    </row>
    <row r="1529" spans="1:20" ht="15" thickBot="1" x14ac:dyDescent="0.25">
      <c r="A1529" s="431"/>
      <c r="B1529" s="750"/>
      <c r="C1529" s="750"/>
      <c r="D1529" s="1059" t="s">
        <v>490</v>
      </c>
      <c r="E1529" s="1161" t="s">
        <v>1241</v>
      </c>
      <c r="F1529" s="833"/>
      <c r="G1529" s="833">
        <v>15</v>
      </c>
      <c r="H1529" s="833">
        <v>15</v>
      </c>
      <c r="I1529" s="828">
        <f t="shared" si="170"/>
        <v>100</v>
      </c>
    </row>
    <row r="1530" spans="1:20" ht="18" customHeight="1" thickTop="1" thickBot="1" x14ac:dyDescent="0.3">
      <c r="A1530" s="2672" t="s">
        <v>1105</v>
      </c>
      <c r="B1530" s="2673"/>
      <c r="C1530" s="2673"/>
      <c r="D1530" s="2673"/>
      <c r="E1530" s="2673"/>
      <c r="F1530" s="824">
        <f>F1511+F1514+F1519+F1528</f>
        <v>8609</v>
      </c>
      <c r="G1530" s="824">
        <f>G1511+G1514+G1519+G1524+G1526+G1528</f>
        <v>51749</v>
      </c>
      <c r="H1530" s="824">
        <f>H1511+H1514+H1519+H1524+H1526+H1528</f>
        <v>51749</v>
      </c>
      <c r="I1530" s="825">
        <f>(H1530/G1530)*100</f>
        <v>100</v>
      </c>
      <c r="R1530" s="382">
        <f>F1530</f>
        <v>8609</v>
      </c>
      <c r="S1530" s="382">
        <f>G1530</f>
        <v>51749</v>
      </c>
      <c r="T1530" s="382">
        <f>H1530</f>
        <v>51749</v>
      </c>
    </row>
    <row r="1531" spans="1:20" ht="12.75" customHeight="1" thickTop="1" x14ac:dyDescent="0.25">
      <c r="A1531" s="368"/>
      <c r="B1531" s="368"/>
      <c r="C1531" s="368"/>
      <c r="D1531" s="368"/>
      <c r="E1531" s="368"/>
      <c r="F1531" s="181"/>
      <c r="G1531" s="181"/>
      <c r="H1531" s="181"/>
      <c r="I1531" s="210"/>
    </row>
    <row r="1532" spans="1:20" ht="12.75" customHeight="1" x14ac:dyDescent="0.25">
      <c r="A1532" s="368"/>
      <c r="B1532" s="368"/>
      <c r="C1532" s="368"/>
      <c r="D1532" s="368"/>
      <c r="E1532" s="368"/>
      <c r="F1532" s="181"/>
      <c r="G1532" s="181"/>
      <c r="H1532" s="181"/>
      <c r="I1532" s="210"/>
    </row>
    <row r="1533" spans="1:20" ht="12.75" customHeight="1" x14ac:dyDescent="0.25">
      <c r="A1533" s="368"/>
      <c r="B1533" s="368"/>
      <c r="C1533" s="368"/>
      <c r="D1533" s="368"/>
      <c r="E1533" s="368"/>
      <c r="F1533" s="181"/>
      <c r="G1533" s="181"/>
      <c r="H1533" s="181"/>
      <c r="I1533" s="210"/>
    </row>
    <row r="1534" spans="1:20" ht="17.25" customHeight="1" thickBot="1" x14ac:dyDescent="0.25">
      <c r="A1534" s="432" t="s">
        <v>51</v>
      </c>
      <c r="I1534" s="1390" t="s">
        <v>161</v>
      </c>
    </row>
    <row r="1535" spans="1:20" s="107" customFormat="1" thickTop="1" thickBot="1" x14ac:dyDescent="0.25">
      <c r="A1535" s="631" t="s">
        <v>624</v>
      </c>
      <c r="B1535" s="774" t="s">
        <v>162</v>
      </c>
      <c r="C1535" s="632" t="s">
        <v>163</v>
      </c>
      <c r="D1535" s="634" t="s">
        <v>705</v>
      </c>
      <c r="E1535" s="634" t="s">
        <v>164</v>
      </c>
      <c r="F1535" s="634" t="s">
        <v>165</v>
      </c>
      <c r="G1535" s="634" t="s">
        <v>881</v>
      </c>
      <c r="H1535" s="634" t="s">
        <v>882</v>
      </c>
      <c r="I1535" s="818" t="s">
        <v>883</v>
      </c>
    </row>
    <row r="1536" spans="1:20" s="383" customFormat="1" ht="13.5" thickTop="1" thickBot="1" x14ac:dyDescent="0.25">
      <c r="A1536" s="566">
        <v>1</v>
      </c>
      <c r="B1536" s="567">
        <v>2</v>
      </c>
      <c r="C1536" s="567">
        <v>3</v>
      </c>
      <c r="D1536" s="567">
        <v>4</v>
      </c>
      <c r="E1536" s="567">
        <v>5</v>
      </c>
      <c r="F1536" s="541">
        <v>6</v>
      </c>
      <c r="G1536" s="541">
        <v>7</v>
      </c>
      <c r="H1536" s="542">
        <v>8</v>
      </c>
      <c r="I1536" s="636" t="s">
        <v>762</v>
      </c>
    </row>
    <row r="1537" spans="1:9" ht="15.75" thickTop="1" x14ac:dyDescent="0.25">
      <c r="A1537" s="1402">
        <v>1142</v>
      </c>
      <c r="B1537" s="847">
        <v>3122</v>
      </c>
      <c r="C1537" s="847">
        <v>5331</v>
      </c>
      <c r="D1537" s="852"/>
      <c r="E1537" s="886" t="s">
        <v>951</v>
      </c>
      <c r="F1537" s="845">
        <v>750</v>
      </c>
      <c r="G1537" s="845">
        <v>742</v>
      </c>
      <c r="H1537" s="845">
        <v>742</v>
      </c>
      <c r="I1537" s="849">
        <f t="shared" ref="I1537:I1568" si="174">(H1537/G1537)*100</f>
        <v>100</v>
      </c>
    </row>
    <row r="1538" spans="1:9" ht="14.25" x14ac:dyDescent="0.2">
      <c r="A1538" s="431"/>
      <c r="B1538" s="673"/>
      <c r="C1538" s="673"/>
      <c r="D1538" s="552" t="s">
        <v>570</v>
      </c>
      <c r="E1538" s="455" t="s">
        <v>71</v>
      </c>
      <c r="F1538" s="356">
        <v>750</v>
      </c>
      <c r="G1538" s="827">
        <v>742</v>
      </c>
      <c r="H1538" s="827">
        <v>742</v>
      </c>
      <c r="I1538" s="823">
        <f t="shared" si="174"/>
        <v>100</v>
      </c>
    </row>
    <row r="1539" spans="1:9" ht="15" x14ac:dyDescent="0.25">
      <c r="A1539" s="431">
        <v>1142</v>
      </c>
      <c r="B1539" s="673">
        <v>3122</v>
      </c>
      <c r="C1539" s="673">
        <v>5336</v>
      </c>
      <c r="D1539" s="1068"/>
      <c r="E1539" s="672" t="s">
        <v>2054</v>
      </c>
      <c r="F1539" s="356"/>
      <c r="G1539" s="851">
        <f>G1540+G1541+G1543+G1544</f>
        <v>6865</v>
      </c>
      <c r="H1539" s="851">
        <f>H1540+H1541+H1543+H1544</f>
        <v>6865</v>
      </c>
      <c r="I1539" s="853">
        <f t="shared" si="174"/>
        <v>100</v>
      </c>
    </row>
    <row r="1540" spans="1:9" ht="14.25" x14ac:dyDescent="0.2">
      <c r="A1540" s="431"/>
      <c r="B1540" s="673"/>
      <c r="C1540" s="673"/>
      <c r="D1540" s="1068" t="s">
        <v>1905</v>
      </c>
      <c r="E1540" s="2529" t="s">
        <v>1827</v>
      </c>
      <c r="F1540" s="314"/>
      <c r="G1540" s="316">
        <v>708</v>
      </c>
      <c r="H1540" s="316">
        <v>708</v>
      </c>
      <c r="I1540" s="1074">
        <f t="shared" si="174"/>
        <v>100</v>
      </c>
    </row>
    <row r="1541" spans="1:9" ht="14.25" x14ac:dyDescent="0.2">
      <c r="A1541" s="431"/>
      <c r="B1541" s="673"/>
      <c r="C1541" s="673"/>
      <c r="D1541" s="1068" t="s">
        <v>1911</v>
      </c>
      <c r="E1541" s="2671" t="s">
        <v>2051</v>
      </c>
      <c r="F1541" s="827"/>
      <c r="G1541" s="837">
        <v>17</v>
      </c>
      <c r="H1541" s="837">
        <v>17</v>
      </c>
      <c r="I1541" s="823">
        <v>29</v>
      </c>
    </row>
    <row r="1542" spans="1:9" ht="15" x14ac:dyDescent="0.25">
      <c r="A1542" s="431"/>
      <c r="B1542" s="673"/>
      <c r="C1542" s="673"/>
      <c r="D1542" s="1068"/>
      <c r="E1542" s="2671"/>
      <c r="F1542" s="827"/>
      <c r="G1542" s="846"/>
      <c r="H1542" s="846"/>
      <c r="I1542" s="853"/>
    </row>
    <row r="1543" spans="1:9" ht="15" x14ac:dyDescent="0.2">
      <c r="A1543" s="431"/>
      <c r="B1543" s="673"/>
      <c r="C1543" s="673"/>
      <c r="D1543" s="1068" t="s">
        <v>1913</v>
      </c>
      <c r="E1543" s="2113" t="s">
        <v>2052</v>
      </c>
      <c r="F1543" s="2530"/>
      <c r="G1543" s="2531">
        <v>117</v>
      </c>
      <c r="H1543" s="2531">
        <v>117</v>
      </c>
      <c r="I1543" s="376">
        <f t="shared" ref="I1543" si="175">(H1543/G1543)*100</f>
        <v>100</v>
      </c>
    </row>
    <row r="1544" spans="1:9" ht="15" thickBot="1" x14ac:dyDescent="0.25">
      <c r="A1544" s="431"/>
      <c r="B1544" s="673"/>
      <c r="C1544" s="673"/>
      <c r="D1544" s="552" t="s">
        <v>1124</v>
      </c>
      <c r="E1544" s="455" t="s">
        <v>792</v>
      </c>
      <c r="F1544" s="827"/>
      <c r="G1544" s="827">
        <v>6023</v>
      </c>
      <c r="H1544" s="827">
        <v>6023</v>
      </c>
      <c r="I1544" s="823">
        <f t="shared" si="174"/>
        <v>100</v>
      </c>
    </row>
    <row r="1545" spans="1:9" ht="15" thickTop="1" x14ac:dyDescent="0.2">
      <c r="A1545" s="1511"/>
      <c r="B1545" s="654"/>
      <c r="C1545" s="654"/>
      <c r="D1545" s="1512"/>
      <c r="E1545" s="1055"/>
      <c r="F1545" s="1513"/>
      <c r="G1545" s="1513"/>
      <c r="H1545" s="1513"/>
      <c r="I1545" s="1514"/>
    </row>
    <row r="1546" spans="1:9" ht="17.25" customHeight="1" thickBot="1" x14ac:dyDescent="0.25">
      <c r="A1546" s="432"/>
      <c r="I1546" s="1390" t="s">
        <v>161</v>
      </c>
    </row>
    <row r="1547" spans="1:9" s="107" customFormat="1" thickTop="1" thickBot="1" x14ac:dyDescent="0.25">
      <c r="A1547" s="631" t="s">
        <v>624</v>
      </c>
      <c r="B1547" s="774" t="s">
        <v>162</v>
      </c>
      <c r="C1547" s="632" t="s">
        <v>163</v>
      </c>
      <c r="D1547" s="634" t="s">
        <v>705</v>
      </c>
      <c r="E1547" s="634" t="s">
        <v>164</v>
      </c>
      <c r="F1547" s="634" t="s">
        <v>165</v>
      </c>
      <c r="G1547" s="634" t="s">
        <v>881</v>
      </c>
      <c r="H1547" s="634" t="s">
        <v>882</v>
      </c>
      <c r="I1547" s="818" t="s">
        <v>883</v>
      </c>
    </row>
    <row r="1548" spans="1:9" s="383" customFormat="1" ht="13.5" thickTop="1" thickBot="1" x14ac:dyDescent="0.25">
      <c r="A1548" s="566">
        <v>1</v>
      </c>
      <c r="B1548" s="567">
        <v>2</v>
      </c>
      <c r="C1548" s="567">
        <v>3</v>
      </c>
      <c r="D1548" s="567">
        <v>4</v>
      </c>
      <c r="E1548" s="567">
        <v>5</v>
      </c>
      <c r="F1548" s="541">
        <v>6</v>
      </c>
      <c r="G1548" s="541">
        <v>7</v>
      </c>
      <c r="H1548" s="542">
        <v>8</v>
      </c>
      <c r="I1548" s="636" t="s">
        <v>762</v>
      </c>
    </row>
    <row r="1549" spans="1:9" ht="15.75" thickTop="1" x14ac:dyDescent="0.25">
      <c r="A1549" s="431">
        <v>1142</v>
      </c>
      <c r="B1549" s="750">
        <v>3123</v>
      </c>
      <c r="C1549" s="750">
        <v>5331</v>
      </c>
      <c r="D1549" s="859"/>
      <c r="E1549" s="672" t="s">
        <v>951</v>
      </c>
      <c r="F1549" s="835">
        <f>F1550+F1551</f>
        <v>5030</v>
      </c>
      <c r="G1549" s="835">
        <f>G1550+G1551+G1552</f>
        <v>5276</v>
      </c>
      <c r="H1549" s="835">
        <f>H1550+H1551+H1552</f>
        <v>5276</v>
      </c>
      <c r="I1549" s="836">
        <f t="shared" si="174"/>
        <v>100</v>
      </c>
    </row>
    <row r="1550" spans="1:9" ht="14.25" x14ac:dyDescent="0.2">
      <c r="A1550" s="431"/>
      <c r="B1550" s="750"/>
      <c r="C1550" s="750"/>
      <c r="D1550" s="707" t="s">
        <v>575</v>
      </c>
      <c r="E1550" s="1478" t="s">
        <v>793</v>
      </c>
      <c r="F1550" s="837">
        <v>3030</v>
      </c>
      <c r="G1550" s="837">
        <v>3050</v>
      </c>
      <c r="H1550" s="837">
        <v>3050</v>
      </c>
      <c r="I1550" s="823">
        <f t="shared" si="174"/>
        <v>100</v>
      </c>
    </row>
    <row r="1551" spans="1:9" ht="14.25" x14ac:dyDescent="0.2">
      <c r="A1551" s="431"/>
      <c r="B1551" s="673"/>
      <c r="C1551" s="673"/>
      <c r="D1551" s="552" t="s">
        <v>570</v>
      </c>
      <c r="E1551" s="455" t="s">
        <v>71</v>
      </c>
      <c r="F1551" s="827">
        <v>2000</v>
      </c>
      <c r="G1551" s="827">
        <v>1980</v>
      </c>
      <c r="H1551" s="827">
        <v>1980</v>
      </c>
      <c r="I1551" s="823">
        <f t="shared" si="174"/>
        <v>100</v>
      </c>
    </row>
    <row r="1552" spans="1:9" ht="14.25" x14ac:dyDescent="0.2">
      <c r="A1552" s="431"/>
      <c r="B1552" s="673"/>
      <c r="C1552" s="673"/>
      <c r="D1552" s="1069" t="s">
        <v>924</v>
      </c>
      <c r="E1552" s="1161" t="s">
        <v>925</v>
      </c>
      <c r="F1552" s="827"/>
      <c r="G1552" s="827">
        <v>246</v>
      </c>
      <c r="H1552" s="827">
        <v>246</v>
      </c>
      <c r="I1552" s="823">
        <f t="shared" si="174"/>
        <v>100</v>
      </c>
    </row>
    <row r="1553" spans="1:9" ht="15" x14ac:dyDescent="0.25">
      <c r="A1553" s="431">
        <v>1142</v>
      </c>
      <c r="B1553" s="673">
        <v>3123</v>
      </c>
      <c r="C1553" s="673">
        <v>5336</v>
      </c>
      <c r="D1553" s="1069"/>
      <c r="E1553" s="672" t="s">
        <v>2054</v>
      </c>
      <c r="F1553" s="827"/>
      <c r="G1553" s="851">
        <f>G1554+G1555+G1556</f>
        <v>7082</v>
      </c>
      <c r="H1553" s="851">
        <f>H1554+H1555+H1556</f>
        <v>7082</v>
      </c>
      <c r="I1553" s="853">
        <f t="shared" si="174"/>
        <v>100</v>
      </c>
    </row>
    <row r="1554" spans="1:9" ht="14.25" x14ac:dyDescent="0.2">
      <c r="A1554" s="431"/>
      <c r="B1554" s="673"/>
      <c r="C1554" s="1392"/>
      <c r="D1554" s="552" t="s">
        <v>1124</v>
      </c>
      <c r="E1554" s="455" t="s">
        <v>792</v>
      </c>
      <c r="F1554" s="827"/>
      <c r="G1554" s="827">
        <v>5963</v>
      </c>
      <c r="H1554" s="827">
        <v>5963</v>
      </c>
      <c r="I1554" s="823">
        <f t="shared" si="174"/>
        <v>100</v>
      </c>
    </row>
    <row r="1555" spans="1:9" ht="18" customHeight="1" x14ac:dyDescent="0.2">
      <c r="A1555" s="431"/>
      <c r="B1555" s="673"/>
      <c r="C1555" s="1392"/>
      <c r="D1555" s="1068" t="s">
        <v>1355</v>
      </c>
      <c r="E1555" s="1401" t="s">
        <v>1605</v>
      </c>
      <c r="F1555" s="827"/>
      <c r="G1555" s="827">
        <v>168</v>
      </c>
      <c r="H1555" s="827">
        <v>168</v>
      </c>
      <c r="I1555" s="823">
        <f t="shared" si="174"/>
        <v>100</v>
      </c>
    </row>
    <row r="1556" spans="1:9" ht="14.25" x14ac:dyDescent="0.2">
      <c r="A1556" s="431"/>
      <c r="B1556" s="673"/>
      <c r="C1556" s="1392"/>
      <c r="D1556" s="1068" t="s">
        <v>1357</v>
      </c>
      <c r="E1556" s="1401" t="s">
        <v>1605</v>
      </c>
      <c r="F1556" s="827"/>
      <c r="G1556" s="827">
        <v>951</v>
      </c>
      <c r="H1556" s="827">
        <v>951</v>
      </c>
      <c r="I1556" s="823">
        <f t="shared" si="174"/>
        <v>100</v>
      </c>
    </row>
    <row r="1557" spans="1:9" ht="15" x14ac:dyDescent="0.25">
      <c r="A1557" s="431">
        <v>1142</v>
      </c>
      <c r="B1557" s="673">
        <v>3141</v>
      </c>
      <c r="C1557" s="1392">
        <v>5336</v>
      </c>
      <c r="D1557" s="552"/>
      <c r="E1557" s="672" t="s">
        <v>2054</v>
      </c>
      <c r="F1557" s="851"/>
      <c r="G1557" s="851">
        <v>1340</v>
      </c>
      <c r="H1557" s="851">
        <v>1340</v>
      </c>
      <c r="I1557" s="853">
        <f t="shared" si="174"/>
        <v>100</v>
      </c>
    </row>
    <row r="1558" spans="1:9" ht="14.25" x14ac:dyDescent="0.2">
      <c r="A1558" s="431"/>
      <c r="B1558" s="673"/>
      <c r="C1558" s="1392"/>
      <c r="D1558" s="552" t="s">
        <v>1124</v>
      </c>
      <c r="E1558" s="455" t="s">
        <v>792</v>
      </c>
      <c r="F1558" s="827"/>
      <c r="G1558" s="827">
        <v>1340</v>
      </c>
      <c r="H1558" s="827">
        <v>1340</v>
      </c>
      <c r="I1558" s="823">
        <f t="shared" si="174"/>
        <v>100</v>
      </c>
    </row>
    <row r="1559" spans="1:9" ht="14.25" customHeight="1" x14ac:dyDescent="0.25">
      <c r="A1559" s="431">
        <v>1142</v>
      </c>
      <c r="B1559" s="673">
        <v>3142</v>
      </c>
      <c r="C1559" s="673">
        <v>5331</v>
      </c>
      <c r="D1559" s="819"/>
      <c r="E1559" s="792" t="s">
        <v>951</v>
      </c>
      <c r="F1559" s="820">
        <v>550</v>
      </c>
      <c r="G1559" s="820">
        <v>544</v>
      </c>
      <c r="H1559" s="820">
        <v>544</v>
      </c>
      <c r="I1559" s="821">
        <f t="shared" si="174"/>
        <v>100</v>
      </c>
    </row>
    <row r="1560" spans="1:9" ht="14.25" customHeight="1" x14ac:dyDescent="0.2">
      <c r="A1560" s="431"/>
      <c r="B1560" s="673"/>
      <c r="C1560" s="1392"/>
      <c r="D1560" s="552" t="s">
        <v>570</v>
      </c>
      <c r="E1560" s="455" t="s">
        <v>71</v>
      </c>
      <c r="F1560" s="827">
        <v>550</v>
      </c>
      <c r="G1560" s="827">
        <v>544</v>
      </c>
      <c r="H1560" s="827">
        <v>544</v>
      </c>
      <c r="I1560" s="823">
        <f t="shared" si="174"/>
        <v>100</v>
      </c>
    </row>
    <row r="1561" spans="1:9" ht="15" x14ac:dyDescent="0.25">
      <c r="A1561" s="431">
        <v>1142</v>
      </c>
      <c r="B1561" s="750">
        <v>3142</v>
      </c>
      <c r="C1561" s="1393">
        <v>5336</v>
      </c>
      <c r="D1561" s="552"/>
      <c r="E1561" s="672" t="s">
        <v>2054</v>
      </c>
      <c r="F1561" s="833"/>
      <c r="G1561" s="846">
        <v>1177</v>
      </c>
      <c r="H1561" s="846">
        <v>1177</v>
      </c>
      <c r="I1561" s="838">
        <f t="shared" si="174"/>
        <v>100</v>
      </c>
    </row>
    <row r="1562" spans="1:9" ht="14.25" x14ac:dyDescent="0.2">
      <c r="A1562" s="431"/>
      <c r="B1562" s="750"/>
      <c r="C1562" s="1393"/>
      <c r="D1562" s="552" t="s">
        <v>1124</v>
      </c>
      <c r="E1562" s="455" t="s">
        <v>792</v>
      </c>
      <c r="F1562" s="833"/>
      <c r="G1562" s="833">
        <v>1177</v>
      </c>
      <c r="H1562" s="833">
        <v>1177</v>
      </c>
      <c r="I1562" s="828">
        <f t="shared" si="174"/>
        <v>100</v>
      </c>
    </row>
    <row r="1563" spans="1:9" ht="15" x14ac:dyDescent="0.25">
      <c r="A1563" s="431">
        <v>1142</v>
      </c>
      <c r="B1563" s="750">
        <v>3147</v>
      </c>
      <c r="C1563" s="750">
        <v>5331</v>
      </c>
      <c r="D1563" s="859"/>
      <c r="E1563" s="672" t="s">
        <v>951</v>
      </c>
      <c r="F1563" s="835">
        <f>SUM(F1564:F1566)</f>
        <v>400</v>
      </c>
      <c r="G1563" s="835">
        <v>396</v>
      </c>
      <c r="H1563" s="835">
        <v>396</v>
      </c>
      <c r="I1563" s="836">
        <f t="shared" si="174"/>
        <v>100</v>
      </c>
    </row>
    <row r="1564" spans="1:9" ht="14.25" x14ac:dyDescent="0.2">
      <c r="A1564" s="431"/>
      <c r="B1564" s="750"/>
      <c r="C1564" s="750"/>
      <c r="D1564" s="552" t="s">
        <v>570</v>
      </c>
      <c r="E1564" s="455" t="s">
        <v>71</v>
      </c>
      <c r="F1564" s="833">
        <v>400</v>
      </c>
      <c r="G1564" s="833">
        <v>396</v>
      </c>
      <c r="H1564" s="833">
        <v>396</v>
      </c>
      <c r="I1564" s="828">
        <f t="shared" si="174"/>
        <v>100</v>
      </c>
    </row>
    <row r="1565" spans="1:9" ht="15" x14ac:dyDescent="0.25">
      <c r="A1565" s="431">
        <v>1142</v>
      </c>
      <c r="B1565" s="750">
        <v>3147</v>
      </c>
      <c r="C1565" s="750">
        <v>5336</v>
      </c>
      <c r="D1565" s="552"/>
      <c r="E1565" s="672" t="s">
        <v>2054</v>
      </c>
      <c r="F1565" s="833"/>
      <c r="G1565" s="846">
        <v>2687</v>
      </c>
      <c r="H1565" s="846">
        <v>2687</v>
      </c>
      <c r="I1565" s="838">
        <f t="shared" si="174"/>
        <v>100</v>
      </c>
    </row>
    <row r="1566" spans="1:9" ht="18" customHeight="1" x14ac:dyDescent="0.2">
      <c r="A1566" s="431"/>
      <c r="B1566" s="750"/>
      <c r="C1566" s="1393"/>
      <c r="D1566" s="552" t="s">
        <v>1124</v>
      </c>
      <c r="E1566" s="455" t="s">
        <v>792</v>
      </c>
      <c r="F1566" s="833"/>
      <c r="G1566" s="833">
        <v>2687</v>
      </c>
      <c r="H1566" s="833">
        <v>2687</v>
      </c>
      <c r="I1566" s="828">
        <f t="shared" si="174"/>
        <v>100</v>
      </c>
    </row>
    <row r="1567" spans="1:9" ht="15" x14ac:dyDescent="0.25">
      <c r="A1567" s="431">
        <v>1142</v>
      </c>
      <c r="B1567" s="750">
        <v>3293</v>
      </c>
      <c r="C1567" s="1393">
        <v>5336</v>
      </c>
      <c r="D1567" s="552"/>
      <c r="E1567" s="672" t="s">
        <v>2054</v>
      </c>
      <c r="F1567" s="846"/>
      <c r="G1567" s="846">
        <v>10</v>
      </c>
      <c r="H1567" s="846">
        <v>10</v>
      </c>
      <c r="I1567" s="838">
        <f t="shared" si="174"/>
        <v>100</v>
      </c>
    </row>
    <row r="1568" spans="1:9" ht="15" thickBot="1" x14ac:dyDescent="0.25">
      <c r="A1568" s="431"/>
      <c r="B1568" s="750"/>
      <c r="C1568" s="1393"/>
      <c r="D1568" s="1068" t="s">
        <v>1127</v>
      </c>
      <c r="E1568" s="1289" t="s">
        <v>1209</v>
      </c>
      <c r="F1568" s="833"/>
      <c r="G1568" s="833">
        <v>10</v>
      </c>
      <c r="H1568" s="833">
        <v>10</v>
      </c>
      <c r="I1568" s="828">
        <f t="shared" si="174"/>
        <v>100</v>
      </c>
    </row>
    <row r="1569" spans="1:20" ht="16.5" thickTop="1" thickBot="1" x14ac:dyDescent="0.3">
      <c r="A1569" s="2672" t="s">
        <v>1105</v>
      </c>
      <c r="B1569" s="2673"/>
      <c r="C1569" s="2673"/>
      <c r="D1569" s="2673"/>
      <c r="E1569" s="2673"/>
      <c r="F1569" s="824">
        <f>F1537+F1539+F1549+F1553+F1557+F1559+F1561+F1563+F1565+F1567</f>
        <v>6730</v>
      </c>
      <c r="G1569" s="824">
        <f>G1537+G1539+G1549+G1553+G1557+G1559+G1561+G1563+G1565+G1567</f>
        <v>26119</v>
      </c>
      <c r="H1569" s="824">
        <f>H1537+H1539+H1549+H1553+H1557+H1559+H1561+H1563+H1565+H1567</f>
        <v>26119</v>
      </c>
      <c r="I1569" s="825">
        <f>(H1569/G1569)*100</f>
        <v>100</v>
      </c>
      <c r="R1569" s="382">
        <f>F1569</f>
        <v>6730</v>
      </c>
      <c r="S1569" s="382">
        <f>G1569</f>
        <v>26119</v>
      </c>
      <c r="T1569" s="382">
        <f>H1569</f>
        <v>26119</v>
      </c>
    </row>
    <row r="1570" spans="1:20" ht="13.5" thickTop="1" x14ac:dyDescent="0.2"/>
    <row r="1572" spans="1:20" x14ac:dyDescent="0.2">
      <c r="D1572" s="814" t="s">
        <v>521</v>
      </c>
    </row>
    <row r="1573" spans="1:20" ht="13.5" thickBot="1" x14ac:dyDescent="0.25">
      <c r="A1573" s="432" t="s">
        <v>53</v>
      </c>
      <c r="I1573" s="1390" t="s">
        <v>161</v>
      </c>
    </row>
    <row r="1574" spans="1:20" s="107" customFormat="1" thickTop="1" thickBot="1" x14ac:dyDescent="0.25">
      <c r="A1574" s="631" t="s">
        <v>624</v>
      </c>
      <c r="B1574" s="774" t="s">
        <v>162</v>
      </c>
      <c r="C1574" s="632" t="s">
        <v>163</v>
      </c>
      <c r="D1574" s="634" t="s">
        <v>705</v>
      </c>
      <c r="E1574" s="634" t="s">
        <v>164</v>
      </c>
      <c r="F1574" s="634" t="s">
        <v>165</v>
      </c>
      <c r="G1574" s="634" t="s">
        <v>881</v>
      </c>
      <c r="H1574" s="634" t="s">
        <v>882</v>
      </c>
      <c r="I1574" s="818" t="s">
        <v>883</v>
      </c>
    </row>
    <row r="1575" spans="1:20" s="383" customFormat="1" ht="13.5" thickTop="1" thickBot="1" x14ac:dyDescent="0.25">
      <c r="A1575" s="566">
        <v>1</v>
      </c>
      <c r="B1575" s="567">
        <v>2</v>
      </c>
      <c r="C1575" s="567">
        <v>3</v>
      </c>
      <c r="D1575" s="567">
        <v>4</v>
      </c>
      <c r="E1575" s="567">
        <v>5</v>
      </c>
      <c r="F1575" s="541">
        <v>6</v>
      </c>
      <c r="G1575" s="541">
        <v>7</v>
      </c>
      <c r="H1575" s="542">
        <v>8</v>
      </c>
      <c r="I1575" s="636" t="s">
        <v>762</v>
      </c>
    </row>
    <row r="1576" spans="1:20" ht="15.75" thickTop="1" x14ac:dyDescent="0.25">
      <c r="A1576" s="1402">
        <v>1150</v>
      </c>
      <c r="B1576" s="847">
        <v>3122</v>
      </c>
      <c r="C1576" s="847">
        <v>5331</v>
      </c>
      <c r="D1576" s="852"/>
      <c r="E1576" s="886" t="s">
        <v>951</v>
      </c>
      <c r="F1576" s="845">
        <f>F1577+F1578</f>
        <v>3119</v>
      </c>
      <c r="G1576" s="845">
        <f>G1577+G1578</f>
        <v>3113</v>
      </c>
      <c r="H1576" s="845">
        <f>H1577+H1578</f>
        <v>3113</v>
      </c>
      <c r="I1576" s="849">
        <f t="shared" ref="I1576:I1579" si="176">(H1576/G1576)*100</f>
        <v>100</v>
      </c>
    </row>
    <row r="1577" spans="1:20" ht="14.25" x14ac:dyDescent="0.2">
      <c r="A1577" s="431"/>
      <c r="B1577" s="673"/>
      <c r="C1577" s="673"/>
      <c r="D1577" s="707" t="s">
        <v>575</v>
      </c>
      <c r="E1577" s="1478" t="s">
        <v>793</v>
      </c>
      <c r="F1577" s="356">
        <v>513</v>
      </c>
      <c r="G1577" s="827">
        <v>533</v>
      </c>
      <c r="H1577" s="827">
        <v>533</v>
      </c>
      <c r="I1577" s="823">
        <f t="shared" si="176"/>
        <v>100</v>
      </c>
    </row>
    <row r="1578" spans="1:20" ht="14.25" x14ac:dyDescent="0.2">
      <c r="A1578" s="431"/>
      <c r="B1578" s="673"/>
      <c r="C1578" s="673"/>
      <c r="D1578" s="552" t="s">
        <v>570</v>
      </c>
      <c r="E1578" s="455" t="s">
        <v>71</v>
      </c>
      <c r="F1578" s="827">
        <v>2606</v>
      </c>
      <c r="G1578" s="827">
        <v>2580</v>
      </c>
      <c r="H1578" s="827">
        <v>2580</v>
      </c>
      <c r="I1578" s="823">
        <f t="shared" si="176"/>
        <v>100</v>
      </c>
    </row>
    <row r="1579" spans="1:20" ht="15" x14ac:dyDescent="0.25">
      <c r="A1579" s="431">
        <v>1150</v>
      </c>
      <c r="B1579" s="673">
        <v>3122</v>
      </c>
      <c r="C1579" s="673">
        <v>5336</v>
      </c>
      <c r="D1579" s="1068"/>
      <c r="E1579" s="672" t="s">
        <v>2054</v>
      </c>
      <c r="F1579" s="827"/>
      <c r="G1579" s="851">
        <f>G1580+G1581+G1583+G1584</f>
        <v>18548</v>
      </c>
      <c r="H1579" s="851">
        <f>H1580+H1581+H1583+H1584</f>
        <v>18548</v>
      </c>
      <c r="I1579" s="853">
        <f t="shared" si="176"/>
        <v>100</v>
      </c>
    </row>
    <row r="1580" spans="1:20" ht="14.25" x14ac:dyDescent="0.2">
      <c r="A1580" s="431"/>
      <c r="B1580" s="673"/>
      <c r="C1580" s="673"/>
      <c r="D1580" s="1068" t="s">
        <v>1504</v>
      </c>
      <c r="E1580" s="2113" t="s">
        <v>1604</v>
      </c>
      <c r="F1580" s="827"/>
      <c r="G1580" s="827">
        <v>14</v>
      </c>
      <c r="H1580" s="827">
        <v>14</v>
      </c>
      <c r="I1580" s="823">
        <f t="shared" ref="I1580" si="177">(H1580/G1580)*100</f>
        <v>100</v>
      </c>
    </row>
    <row r="1581" spans="1:20" ht="14.25" x14ac:dyDescent="0.2">
      <c r="A1581" s="431"/>
      <c r="B1581" s="673"/>
      <c r="C1581" s="673"/>
      <c r="D1581" s="1068" t="s">
        <v>1911</v>
      </c>
      <c r="E1581" s="2671" t="s">
        <v>2051</v>
      </c>
      <c r="F1581" s="827"/>
      <c r="G1581" s="837">
        <v>21</v>
      </c>
      <c r="H1581" s="837">
        <v>21</v>
      </c>
      <c r="I1581" s="823">
        <v>29</v>
      </c>
    </row>
    <row r="1582" spans="1:20" ht="15" x14ac:dyDescent="0.25">
      <c r="A1582" s="431"/>
      <c r="B1582" s="673"/>
      <c r="C1582" s="673"/>
      <c r="D1582" s="1068"/>
      <c r="E1582" s="2671"/>
      <c r="F1582" s="827"/>
      <c r="G1582" s="846"/>
      <c r="H1582" s="846"/>
      <c r="I1582" s="853"/>
    </row>
    <row r="1583" spans="1:20" ht="15" x14ac:dyDescent="0.2">
      <c r="A1583" s="431"/>
      <c r="B1583" s="673"/>
      <c r="C1583" s="673"/>
      <c r="D1583" s="1068" t="s">
        <v>1913</v>
      </c>
      <c r="E1583" s="2113" t="s">
        <v>2052</v>
      </c>
      <c r="F1583" s="2530"/>
      <c r="G1583" s="2531">
        <v>116</v>
      </c>
      <c r="H1583" s="2531">
        <v>116</v>
      </c>
      <c r="I1583" s="376">
        <f t="shared" ref="I1583" si="178">(H1583/G1583)*100</f>
        <v>100</v>
      </c>
    </row>
    <row r="1584" spans="1:20" ht="14.25" x14ac:dyDescent="0.2">
      <c r="A1584" s="431"/>
      <c r="B1584" s="673"/>
      <c r="C1584" s="673"/>
      <c r="D1584" s="552" t="s">
        <v>1124</v>
      </c>
      <c r="E1584" s="455" t="s">
        <v>792</v>
      </c>
      <c r="F1584" s="827"/>
      <c r="G1584" s="827">
        <v>18397</v>
      </c>
      <c r="H1584" s="827">
        <v>18397</v>
      </c>
      <c r="I1584" s="823">
        <v>100</v>
      </c>
    </row>
    <row r="1585" spans="1:20" ht="15" x14ac:dyDescent="0.25">
      <c r="A1585" s="431">
        <v>1150</v>
      </c>
      <c r="B1585" s="750">
        <v>3142</v>
      </c>
      <c r="C1585" s="750">
        <v>5331</v>
      </c>
      <c r="D1585" s="859"/>
      <c r="E1585" s="672" t="s">
        <v>951</v>
      </c>
      <c r="F1585" s="835">
        <v>350</v>
      </c>
      <c r="G1585" s="835">
        <v>329</v>
      </c>
      <c r="H1585" s="835">
        <v>329</v>
      </c>
      <c r="I1585" s="836">
        <f t="shared" ref="I1585:I1591" si="179">(H1585/G1585)*100</f>
        <v>100</v>
      </c>
    </row>
    <row r="1586" spans="1:20" ht="14.25" x14ac:dyDescent="0.2">
      <c r="A1586" s="431"/>
      <c r="B1586" s="750"/>
      <c r="C1586" s="750"/>
      <c r="D1586" s="552" t="s">
        <v>570</v>
      </c>
      <c r="E1586" s="455" t="s">
        <v>71</v>
      </c>
      <c r="F1586" s="833">
        <v>350</v>
      </c>
      <c r="G1586" s="833">
        <v>329</v>
      </c>
      <c r="H1586" s="833">
        <v>329</v>
      </c>
      <c r="I1586" s="828">
        <f t="shared" si="179"/>
        <v>100</v>
      </c>
    </row>
    <row r="1587" spans="1:20" ht="15" x14ac:dyDescent="0.25">
      <c r="A1587" s="431">
        <v>1150</v>
      </c>
      <c r="B1587" s="750">
        <v>3142</v>
      </c>
      <c r="C1587" s="750">
        <v>5336</v>
      </c>
      <c r="D1587" s="552"/>
      <c r="E1587" s="672" t="s">
        <v>2054</v>
      </c>
      <c r="F1587" s="833"/>
      <c r="G1587" s="846">
        <v>184</v>
      </c>
      <c r="H1587" s="846">
        <v>184</v>
      </c>
      <c r="I1587" s="836">
        <f t="shared" si="179"/>
        <v>100</v>
      </c>
    </row>
    <row r="1588" spans="1:20" s="107" customFormat="1" ht="15" x14ac:dyDescent="0.2">
      <c r="A1588" s="879"/>
      <c r="B1588" s="900"/>
      <c r="C1588" s="901"/>
      <c r="D1588" s="552" t="s">
        <v>1124</v>
      </c>
      <c r="E1588" s="455" t="s">
        <v>792</v>
      </c>
      <c r="F1588" s="902"/>
      <c r="G1588" s="903">
        <v>184</v>
      </c>
      <c r="H1588" s="903">
        <v>184</v>
      </c>
      <c r="I1588" s="828">
        <f t="shared" si="179"/>
        <v>100</v>
      </c>
    </row>
    <row r="1589" spans="1:20" s="107" customFormat="1" ht="15" x14ac:dyDescent="0.25">
      <c r="A1589" s="1519">
        <v>1150</v>
      </c>
      <c r="B1589" s="1520">
        <v>3299</v>
      </c>
      <c r="C1589" s="1521">
        <v>5331</v>
      </c>
      <c r="D1589" s="552"/>
      <c r="E1589" s="672" t="s">
        <v>951</v>
      </c>
      <c r="F1589" s="902"/>
      <c r="G1589" s="1477">
        <v>10</v>
      </c>
      <c r="H1589" s="1477">
        <v>10</v>
      </c>
      <c r="I1589" s="838">
        <f t="shared" si="179"/>
        <v>100</v>
      </c>
    </row>
    <row r="1590" spans="1:20" s="107" customFormat="1" ht="15.75" thickBot="1" x14ac:dyDescent="0.25">
      <c r="A1590" s="1519"/>
      <c r="B1590" s="1520"/>
      <c r="C1590" s="1521"/>
      <c r="D1590" s="1059" t="s">
        <v>1122</v>
      </c>
      <c r="E1590" s="1161" t="s">
        <v>24</v>
      </c>
      <c r="F1590" s="902"/>
      <c r="G1590" s="445">
        <v>10</v>
      </c>
      <c r="H1590" s="445">
        <v>10</v>
      </c>
      <c r="I1590" s="828">
        <f t="shared" si="179"/>
        <v>100</v>
      </c>
    </row>
    <row r="1591" spans="1:20" ht="18" customHeight="1" thickTop="1" thickBot="1" x14ac:dyDescent="0.3">
      <c r="A1591" s="2672" t="s">
        <v>1105</v>
      </c>
      <c r="B1591" s="2673"/>
      <c r="C1591" s="2673"/>
      <c r="D1591" s="2673"/>
      <c r="E1591" s="2673"/>
      <c r="F1591" s="824">
        <f>F1576+F1579+F1585+F1587+F1589</f>
        <v>3469</v>
      </c>
      <c r="G1591" s="824">
        <f>G1576+G1579+G1585+G1587+G1589</f>
        <v>22184</v>
      </c>
      <c r="H1591" s="824">
        <f>H1576+H1579+H1585+H1587+H1589</f>
        <v>22184</v>
      </c>
      <c r="I1591" s="825">
        <f t="shared" si="179"/>
        <v>100</v>
      </c>
      <c r="R1591" s="382">
        <f>F1591</f>
        <v>3469</v>
      </c>
      <c r="S1591" s="382">
        <f>G1591</f>
        <v>22184</v>
      </c>
      <c r="T1591" s="382">
        <f>H1591</f>
        <v>22184</v>
      </c>
    </row>
    <row r="1592" spans="1:20" ht="15.75" thickTop="1" x14ac:dyDescent="0.25">
      <c r="A1592" s="368"/>
      <c r="B1592" s="368"/>
      <c r="C1592" s="368"/>
      <c r="D1592" s="368"/>
      <c r="E1592" s="368"/>
      <c r="F1592" s="181"/>
      <c r="G1592" s="181"/>
      <c r="H1592" s="181"/>
      <c r="I1592" s="210"/>
      <c r="R1592" s="382"/>
      <c r="S1592" s="382"/>
      <c r="T1592" s="382"/>
    </row>
    <row r="1593" spans="1:20" ht="15" x14ac:dyDescent="0.25">
      <c r="A1593" s="368"/>
      <c r="B1593" s="368"/>
      <c r="C1593" s="368"/>
      <c r="D1593" s="368"/>
      <c r="E1593" s="368"/>
      <c r="F1593" s="181"/>
      <c r="G1593" s="181"/>
      <c r="H1593" s="181"/>
      <c r="I1593" s="210"/>
      <c r="R1593" s="382"/>
      <c r="S1593" s="382"/>
      <c r="T1593" s="382"/>
    </row>
    <row r="1594" spans="1:20" ht="15" x14ac:dyDescent="0.25">
      <c r="A1594" s="368"/>
      <c r="B1594" s="368"/>
      <c r="C1594" s="368"/>
      <c r="D1594" s="368"/>
      <c r="E1594" s="368"/>
      <c r="F1594" s="181"/>
      <c r="G1594" s="181"/>
      <c r="H1594" s="181"/>
      <c r="I1594" s="210"/>
      <c r="R1594" s="382"/>
      <c r="S1594" s="382"/>
      <c r="T1594" s="382"/>
    </row>
    <row r="1595" spans="1:20" ht="13.5" thickBot="1" x14ac:dyDescent="0.25">
      <c r="A1595" s="432" t="s">
        <v>294</v>
      </c>
      <c r="I1595" s="1390" t="s">
        <v>161</v>
      </c>
    </row>
    <row r="1596" spans="1:20" s="107" customFormat="1" ht="20.25" customHeight="1" thickTop="1" thickBot="1" x14ac:dyDescent="0.25">
      <c r="A1596" s="631" t="s">
        <v>624</v>
      </c>
      <c r="B1596" s="774" t="s">
        <v>162</v>
      </c>
      <c r="C1596" s="632" t="s">
        <v>163</v>
      </c>
      <c r="D1596" s="634" t="s">
        <v>705</v>
      </c>
      <c r="E1596" s="634" t="s">
        <v>164</v>
      </c>
      <c r="F1596" s="634" t="s">
        <v>165</v>
      </c>
      <c r="G1596" s="634" t="s">
        <v>881</v>
      </c>
      <c r="H1596" s="634" t="s">
        <v>882</v>
      </c>
      <c r="I1596" s="818" t="s">
        <v>883</v>
      </c>
    </row>
    <row r="1597" spans="1:20" s="383" customFormat="1" ht="12" customHeight="1" thickTop="1" thickBot="1" x14ac:dyDescent="0.25">
      <c r="A1597" s="566">
        <v>1</v>
      </c>
      <c r="B1597" s="567">
        <v>2</v>
      </c>
      <c r="C1597" s="567">
        <v>3</v>
      </c>
      <c r="D1597" s="567">
        <v>4</v>
      </c>
      <c r="E1597" s="567">
        <v>5</v>
      </c>
      <c r="F1597" s="541">
        <v>6</v>
      </c>
      <c r="G1597" s="541">
        <v>7</v>
      </c>
      <c r="H1597" s="542">
        <v>8</v>
      </c>
      <c r="I1597" s="636" t="s">
        <v>762</v>
      </c>
    </row>
    <row r="1598" spans="1:20" ht="15.75" thickTop="1" x14ac:dyDescent="0.25">
      <c r="A1598" s="1402">
        <v>1151</v>
      </c>
      <c r="B1598" s="847">
        <v>3122</v>
      </c>
      <c r="C1598" s="847">
        <v>5331</v>
      </c>
      <c r="D1598" s="852"/>
      <c r="E1598" s="886" t="s">
        <v>951</v>
      </c>
      <c r="F1598" s="845">
        <f>F1599+F1600</f>
        <v>1187</v>
      </c>
      <c r="G1598" s="845">
        <f>G1599+G1600</f>
        <v>1243</v>
      </c>
      <c r="H1598" s="845">
        <f>H1599+H1600</f>
        <v>1243</v>
      </c>
      <c r="I1598" s="849">
        <f t="shared" ref="I1598:I1610" si="180">(H1598/G1598)*100</f>
        <v>100</v>
      </c>
    </row>
    <row r="1599" spans="1:20" ht="14.25" x14ac:dyDescent="0.2">
      <c r="A1599" s="431"/>
      <c r="B1599" s="673"/>
      <c r="C1599" s="673"/>
      <c r="D1599" s="707" t="s">
        <v>575</v>
      </c>
      <c r="E1599" s="1478" t="s">
        <v>793</v>
      </c>
      <c r="F1599" s="827">
        <v>199</v>
      </c>
      <c r="G1599" s="827">
        <v>160</v>
      </c>
      <c r="H1599" s="827">
        <v>160</v>
      </c>
      <c r="I1599" s="823">
        <f t="shared" si="180"/>
        <v>100</v>
      </c>
    </row>
    <row r="1600" spans="1:20" ht="14.25" x14ac:dyDescent="0.2">
      <c r="A1600" s="431"/>
      <c r="B1600" s="673"/>
      <c r="C1600" s="673"/>
      <c r="D1600" s="552" t="s">
        <v>570</v>
      </c>
      <c r="E1600" s="455" t="s">
        <v>71</v>
      </c>
      <c r="F1600" s="827">
        <v>988</v>
      </c>
      <c r="G1600" s="827">
        <v>1083</v>
      </c>
      <c r="H1600" s="827">
        <v>1083</v>
      </c>
      <c r="I1600" s="823">
        <f t="shared" si="180"/>
        <v>100</v>
      </c>
    </row>
    <row r="1601" spans="1:20" ht="15" x14ac:dyDescent="0.25">
      <c r="A1601" s="431">
        <v>1151</v>
      </c>
      <c r="B1601" s="673">
        <v>3122</v>
      </c>
      <c r="C1601" s="673">
        <v>5336</v>
      </c>
      <c r="D1601" s="1068"/>
      <c r="E1601" s="672" t="s">
        <v>2054</v>
      </c>
      <c r="F1601" s="827"/>
      <c r="G1601" s="851">
        <f>G1602+G1603+G1605+G1606</f>
        <v>9545</v>
      </c>
      <c r="H1601" s="851">
        <f>H1602+H1603+H1605+H1606</f>
        <v>9545</v>
      </c>
      <c r="I1601" s="853">
        <f t="shared" si="180"/>
        <v>100</v>
      </c>
    </row>
    <row r="1602" spans="1:20" ht="14.25" x14ac:dyDescent="0.2">
      <c r="A1602" s="431"/>
      <c r="B1602" s="673"/>
      <c r="C1602" s="673"/>
      <c r="D1602" s="1068" t="s">
        <v>1504</v>
      </c>
      <c r="E1602" s="2113" t="s">
        <v>1604</v>
      </c>
      <c r="F1602" s="827"/>
      <c r="G1602" s="827">
        <v>2</v>
      </c>
      <c r="H1602" s="827">
        <v>2</v>
      </c>
      <c r="I1602" s="823">
        <f t="shared" si="180"/>
        <v>100</v>
      </c>
    </row>
    <row r="1603" spans="1:20" ht="14.25" customHeight="1" x14ac:dyDescent="0.2">
      <c r="A1603" s="431"/>
      <c r="B1603" s="673"/>
      <c r="C1603" s="673"/>
      <c r="D1603" s="1068" t="s">
        <v>1911</v>
      </c>
      <c r="E1603" s="2671" t="s">
        <v>2051</v>
      </c>
      <c r="F1603" s="827"/>
      <c r="G1603" s="837">
        <v>12</v>
      </c>
      <c r="H1603" s="837">
        <v>12</v>
      </c>
      <c r="I1603" s="823">
        <v>29</v>
      </c>
    </row>
    <row r="1604" spans="1:20" ht="15" x14ac:dyDescent="0.25">
      <c r="A1604" s="431"/>
      <c r="B1604" s="673"/>
      <c r="C1604" s="673"/>
      <c r="D1604" s="1068"/>
      <c r="E1604" s="2671"/>
      <c r="F1604" s="827"/>
      <c r="G1604" s="846"/>
      <c r="H1604" s="846"/>
      <c r="I1604" s="853"/>
    </row>
    <row r="1605" spans="1:20" ht="14.25" customHeight="1" x14ac:dyDescent="0.2">
      <c r="A1605" s="431"/>
      <c r="B1605" s="673"/>
      <c r="C1605" s="673"/>
      <c r="D1605" s="1068" t="s">
        <v>1913</v>
      </c>
      <c r="E1605" s="2113" t="s">
        <v>2052</v>
      </c>
      <c r="F1605" s="2530"/>
      <c r="G1605" s="2531">
        <v>48</v>
      </c>
      <c r="H1605" s="2531">
        <v>48</v>
      </c>
      <c r="I1605" s="376">
        <f t="shared" ref="I1605" si="181">(H1605/G1605)*100</f>
        <v>100</v>
      </c>
    </row>
    <row r="1606" spans="1:20" ht="14.25" x14ac:dyDescent="0.2">
      <c r="A1606" s="431"/>
      <c r="B1606" s="673"/>
      <c r="C1606" s="1392"/>
      <c r="D1606" s="552" t="s">
        <v>1124</v>
      </c>
      <c r="E1606" s="455" t="s">
        <v>792</v>
      </c>
      <c r="F1606" s="827"/>
      <c r="G1606" s="827">
        <v>9483</v>
      </c>
      <c r="H1606" s="827">
        <v>9483</v>
      </c>
      <c r="I1606" s="823">
        <f t="shared" si="180"/>
        <v>100</v>
      </c>
    </row>
    <row r="1607" spans="1:20" ht="15" x14ac:dyDescent="0.25">
      <c r="A1607" s="431">
        <v>1151</v>
      </c>
      <c r="B1607" s="673">
        <v>3299</v>
      </c>
      <c r="C1607" s="1392">
        <v>5331</v>
      </c>
      <c r="D1607" s="1404"/>
      <c r="E1607" s="672" t="s">
        <v>951</v>
      </c>
      <c r="F1607" s="827"/>
      <c r="G1607" s="851">
        <v>15</v>
      </c>
      <c r="H1607" s="851">
        <v>15</v>
      </c>
      <c r="I1607" s="853">
        <f t="shared" si="180"/>
        <v>100</v>
      </c>
    </row>
    <row r="1608" spans="1:20" ht="14.25" x14ac:dyDescent="0.2">
      <c r="A1608" s="431"/>
      <c r="B1608" s="673"/>
      <c r="C1608" s="673"/>
      <c r="D1608" s="1059" t="s">
        <v>1122</v>
      </c>
      <c r="E1608" s="1161" t="s">
        <v>24</v>
      </c>
      <c r="F1608" s="827"/>
      <c r="G1608" s="827">
        <v>15</v>
      </c>
      <c r="H1608" s="827">
        <v>15</v>
      </c>
      <c r="I1608" s="823">
        <f t="shared" ref="I1608" si="182">(H1608/G1608)*100</f>
        <v>100</v>
      </c>
    </row>
    <row r="1609" spans="1:20" ht="15" thickBot="1" x14ac:dyDescent="0.25">
      <c r="A1609" s="431"/>
      <c r="B1609" s="673"/>
      <c r="C1609" s="1392"/>
      <c r="D1609" s="1404"/>
      <c r="E1609" s="1401"/>
      <c r="F1609" s="827"/>
      <c r="G1609" s="827"/>
      <c r="H1609" s="827"/>
      <c r="I1609" s="823"/>
    </row>
    <row r="1610" spans="1:20" ht="18" customHeight="1" thickTop="1" thickBot="1" x14ac:dyDescent="0.3">
      <c r="A1610" s="2672" t="s">
        <v>1105</v>
      </c>
      <c r="B1610" s="2673"/>
      <c r="C1610" s="2673"/>
      <c r="D1610" s="2673"/>
      <c r="E1610" s="2673"/>
      <c r="F1610" s="824">
        <f>SUM(F1598)</f>
        <v>1187</v>
      </c>
      <c r="G1610" s="824">
        <f>G1598+G1601+G1607</f>
        <v>10803</v>
      </c>
      <c r="H1610" s="824">
        <f>H1598+H1601+H1607</f>
        <v>10803</v>
      </c>
      <c r="I1610" s="825">
        <f t="shared" si="180"/>
        <v>100</v>
      </c>
      <c r="R1610" s="382">
        <f>F1610</f>
        <v>1187</v>
      </c>
      <c r="S1610" s="382">
        <f>G1610</f>
        <v>10803</v>
      </c>
      <c r="T1610" s="382">
        <f>H1610</f>
        <v>10803</v>
      </c>
    </row>
    <row r="1611" spans="1:20" ht="18" customHeight="1" thickTop="1" x14ac:dyDescent="0.25">
      <c r="A1611" s="368"/>
      <c r="B1611" s="368"/>
      <c r="C1611" s="368"/>
      <c r="D1611" s="368"/>
      <c r="E1611" s="368"/>
      <c r="F1611" s="181"/>
      <c r="G1611" s="181"/>
      <c r="H1611" s="181"/>
      <c r="I1611" s="210"/>
      <c r="R1611" s="382"/>
      <c r="S1611" s="382"/>
      <c r="T1611" s="382"/>
    </row>
    <row r="1612" spans="1:20" ht="18" customHeight="1" x14ac:dyDescent="0.25">
      <c r="A1612" s="368"/>
      <c r="B1612" s="368"/>
      <c r="C1612" s="368"/>
      <c r="D1612" s="368"/>
      <c r="E1612" s="368"/>
      <c r="F1612" s="181"/>
      <c r="G1612" s="181"/>
      <c r="H1612" s="181"/>
      <c r="I1612" s="210"/>
      <c r="R1612" s="382"/>
      <c r="S1612" s="382"/>
      <c r="T1612" s="382"/>
    </row>
    <row r="1613" spans="1:20" ht="18" customHeight="1" x14ac:dyDescent="0.25">
      <c r="A1613" s="368"/>
      <c r="B1613" s="368"/>
      <c r="C1613" s="368"/>
      <c r="D1613" s="368"/>
      <c r="E1613" s="368"/>
      <c r="F1613" s="181"/>
      <c r="G1613" s="181"/>
      <c r="H1613" s="181"/>
      <c r="I1613" s="210"/>
      <c r="R1613" s="382"/>
      <c r="S1613" s="382"/>
      <c r="T1613" s="382"/>
    </row>
    <row r="1614" spans="1:20" ht="18" customHeight="1" x14ac:dyDescent="0.25">
      <c r="A1614" s="368"/>
      <c r="B1614" s="368"/>
      <c r="C1614" s="368"/>
      <c r="D1614" s="368"/>
      <c r="E1614" s="368"/>
      <c r="F1614" s="181"/>
      <c r="G1614" s="181"/>
      <c r="H1614" s="181"/>
      <c r="I1614" s="210"/>
      <c r="R1614" s="382"/>
      <c r="S1614" s="382"/>
      <c r="T1614" s="382"/>
    </row>
    <row r="1615" spans="1:20" ht="14.25" customHeight="1" x14ac:dyDescent="0.25">
      <c r="A1615" s="368"/>
      <c r="B1615" s="368"/>
      <c r="C1615" s="368"/>
      <c r="D1615" s="368"/>
      <c r="E1615" s="368"/>
      <c r="F1615" s="181"/>
      <c r="G1615" s="181"/>
      <c r="H1615" s="181"/>
      <c r="I1615" s="210"/>
      <c r="R1615" s="382"/>
      <c r="S1615" s="382"/>
      <c r="T1615" s="382"/>
    </row>
    <row r="1616" spans="1:20" ht="13.5" thickBot="1" x14ac:dyDescent="0.25">
      <c r="A1616" s="432" t="s">
        <v>528</v>
      </c>
      <c r="I1616" s="1390" t="s">
        <v>161</v>
      </c>
    </row>
    <row r="1617" spans="1:20" s="107" customFormat="1" thickTop="1" thickBot="1" x14ac:dyDescent="0.25">
      <c r="A1617" s="631" t="s">
        <v>624</v>
      </c>
      <c r="B1617" s="774" t="s">
        <v>162</v>
      </c>
      <c r="C1617" s="632" t="s">
        <v>163</v>
      </c>
      <c r="D1617" s="634" t="s">
        <v>705</v>
      </c>
      <c r="E1617" s="634" t="s">
        <v>164</v>
      </c>
      <c r="F1617" s="634" t="s">
        <v>165</v>
      </c>
      <c r="G1617" s="634" t="s">
        <v>881</v>
      </c>
      <c r="H1617" s="634" t="s">
        <v>882</v>
      </c>
      <c r="I1617" s="818" t="s">
        <v>883</v>
      </c>
    </row>
    <row r="1618" spans="1:20" s="383" customFormat="1" ht="12" customHeight="1" thickTop="1" thickBot="1" x14ac:dyDescent="0.25">
      <c r="A1618" s="566">
        <v>1</v>
      </c>
      <c r="B1618" s="567">
        <v>2</v>
      </c>
      <c r="C1618" s="567">
        <v>3</v>
      </c>
      <c r="D1618" s="567">
        <v>4</v>
      </c>
      <c r="E1618" s="567">
        <v>5</v>
      </c>
      <c r="F1618" s="541">
        <v>6</v>
      </c>
      <c r="G1618" s="541">
        <v>7</v>
      </c>
      <c r="H1618" s="542">
        <v>8</v>
      </c>
      <c r="I1618" s="636" t="s">
        <v>762</v>
      </c>
    </row>
    <row r="1619" spans="1:20" ht="15.75" thickTop="1" x14ac:dyDescent="0.25">
      <c r="A1619" s="1402">
        <v>1152</v>
      </c>
      <c r="B1619" s="847">
        <v>3122</v>
      </c>
      <c r="C1619" s="847">
        <v>5331</v>
      </c>
      <c r="D1619" s="852"/>
      <c r="E1619" s="886" t="s">
        <v>951</v>
      </c>
      <c r="F1619" s="845">
        <f>F1620+F1621</f>
        <v>2549</v>
      </c>
      <c r="G1619" s="845">
        <f>G1620+G1621</f>
        <v>2518</v>
      </c>
      <c r="H1619" s="845">
        <f>H1620+H1621</f>
        <v>2518</v>
      </c>
      <c r="I1619" s="849">
        <f t="shared" ref="I1619:I1628" si="183">(H1619/G1619)*100</f>
        <v>100</v>
      </c>
    </row>
    <row r="1620" spans="1:20" ht="13.5" customHeight="1" x14ac:dyDescent="0.2">
      <c r="A1620" s="431"/>
      <c r="B1620" s="673"/>
      <c r="C1620" s="673"/>
      <c r="D1620" s="707" t="s">
        <v>575</v>
      </c>
      <c r="E1620" s="1478" t="s">
        <v>793</v>
      </c>
      <c r="F1620" s="827">
        <v>529</v>
      </c>
      <c r="G1620" s="827">
        <v>518</v>
      </c>
      <c r="H1620" s="827">
        <v>518</v>
      </c>
      <c r="I1620" s="823">
        <f t="shared" si="183"/>
        <v>100</v>
      </c>
    </row>
    <row r="1621" spans="1:20" ht="14.25" x14ac:dyDescent="0.2">
      <c r="A1621" s="431"/>
      <c r="B1621" s="673"/>
      <c r="C1621" s="673"/>
      <c r="D1621" s="552" t="s">
        <v>570</v>
      </c>
      <c r="E1621" s="455" t="s">
        <v>71</v>
      </c>
      <c r="F1621" s="827">
        <v>2020</v>
      </c>
      <c r="G1621" s="827">
        <v>2000</v>
      </c>
      <c r="H1621" s="827">
        <v>2000</v>
      </c>
      <c r="I1621" s="823">
        <f t="shared" si="183"/>
        <v>100</v>
      </c>
    </row>
    <row r="1622" spans="1:20" ht="15" x14ac:dyDescent="0.25">
      <c r="A1622" s="431">
        <v>1152</v>
      </c>
      <c r="B1622" s="673">
        <v>3122</v>
      </c>
      <c r="C1622" s="673">
        <v>5336</v>
      </c>
      <c r="D1622" s="1068"/>
      <c r="E1622" s="672" t="s">
        <v>2054</v>
      </c>
      <c r="F1622" s="827"/>
      <c r="G1622" s="851">
        <f>G1624+G1626+G1627+G1623</f>
        <v>13009</v>
      </c>
      <c r="H1622" s="851">
        <f>H1624+H1626+H1627+H1623</f>
        <v>13009</v>
      </c>
      <c r="I1622" s="853">
        <f t="shared" si="183"/>
        <v>100</v>
      </c>
    </row>
    <row r="1623" spans="1:20" ht="14.25" x14ac:dyDescent="0.2">
      <c r="A1623" s="431"/>
      <c r="B1623" s="673"/>
      <c r="C1623" s="673"/>
      <c r="D1623" s="1068" t="s">
        <v>1504</v>
      </c>
      <c r="E1623" s="2113" t="s">
        <v>1604</v>
      </c>
      <c r="F1623" s="827"/>
      <c r="G1623" s="827">
        <v>8</v>
      </c>
      <c r="H1623" s="827">
        <v>8</v>
      </c>
      <c r="I1623" s="823">
        <f t="shared" si="183"/>
        <v>100</v>
      </c>
    </row>
    <row r="1624" spans="1:20" ht="14.25" customHeight="1" x14ac:dyDescent="0.2">
      <c r="A1624" s="431"/>
      <c r="B1624" s="673"/>
      <c r="C1624" s="673"/>
      <c r="D1624" s="1068" t="s">
        <v>1911</v>
      </c>
      <c r="E1624" s="2671" t="s">
        <v>2051</v>
      </c>
      <c r="F1624" s="827"/>
      <c r="G1624" s="837">
        <v>14</v>
      </c>
      <c r="H1624" s="837">
        <v>14</v>
      </c>
      <c r="I1624" s="823">
        <v>29</v>
      </c>
    </row>
    <row r="1625" spans="1:20" ht="15" x14ac:dyDescent="0.25">
      <c r="A1625" s="431"/>
      <c r="B1625" s="673"/>
      <c r="C1625" s="673"/>
      <c r="D1625" s="1068"/>
      <c r="E1625" s="2671"/>
      <c r="F1625" s="827"/>
      <c r="G1625" s="846"/>
      <c r="H1625" s="846"/>
      <c r="I1625" s="853"/>
    </row>
    <row r="1626" spans="1:20" ht="15" x14ac:dyDescent="0.2">
      <c r="A1626" s="431"/>
      <c r="B1626" s="673"/>
      <c r="C1626" s="673"/>
      <c r="D1626" s="1068" t="s">
        <v>1913</v>
      </c>
      <c r="E1626" s="2113" t="s">
        <v>2052</v>
      </c>
      <c r="F1626" s="2530"/>
      <c r="G1626" s="2531">
        <v>78</v>
      </c>
      <c r="H1626" s="2531">
        <v>78</v>
      </c>
      <c r="I1626" s="376">
        <f t="shared" ref="I1626" si="184">(H1626/G1626)*100</f>
        <v>100</v>
      </c>
    </row>
    <row r="1627" spans="1:20" ht="15" thickBot="1" x14ac:dyDescent="0.25">
      <c r="A1627" s="431"/>
      <c r="B1627" s="673"/>
      <c r="C1627" s="673"/>
      <c r="D1627" s="552" t="s">
        <v>1124</v>
      </c>
      <c r="E1627" s="455" t="s">
        <v>792</v>
      </c>
      <c r="F1627" s="827"/>
      <c r="G1627" s="827">
        <v>12909</v>
      </c>
      <c r="H1627" s="827">
        <v>12909</v>
      </c>
      <c r="I1627" s="823">
        <f t="shared" si="183"/>
        <v>100</v>
      </c>
    </row>
    <row r="1628" spans="1:20" ht="15.75" customHeight="1" thickTop="1" thickBot="1" x14ac:dyDescent="0.3">
      <c r="A1628" s="2672" t="s">
        <v>1105</v>
      </c>
      <c r="B1628" s="2673"/>
      <c r="C1628" s="2673"/>
      <c r="D1628" s="2673"/>
      <c r="E1628" s="2673"/>
      <c r="F1628" s="824">
        <f>F1619</f>
        <v>2549</v>
      </c>
      <c r="G1628" s="824">
        <f>G1619+G1622</f>
        <v>15527</v>
      </c>
      <c r="H1628" s="824">
        <f>H1619+H1622</f>
        <v>15527</v>
      </c>
      <c r="I1628" s="825">
        <f t="shared" si="183"/>
        <v>100</v>
      </c>
      <c r="R1628" s="382">
        <f>F1628</f>
        <v>2549</v>
      </c>
      <c r="S1628" s="382">
        <f>G1628</f>
        <v>15527</v>
      </c>
      <c r="T1628" s="382">
        <f>H1628</f>
        <v>15527</v>
      </c>
    </row>
    <row r="1629" spans="1:20" ht="13.5" thickTop="1" x14ac:dyDescent="0.2"/>
    <row r="1630" spans="1:20" ht="13.5" thickBot="1" x14ac:dyDescent="0.25">
      <c r="A1630" s="432" t="s">
        <v>177</v>
      </c>
      <c r="I1630" s="1390" t="s">
        <v>161</v>
      </c>
    </row>
    <row r="1631" spans="1:20" s="107" customFormat="1" thickTop="1" thickBot="1" x14ac:dyDescent="0.25">
      <c r="A1631" s="631" t="s">
        <v>624</v>
      </c>
      <c r="B1631" s="774" t="s">
        <v>162</v>
      </c>
      <c r="C1631" s="632" t="s">
        <v>163</v>
      </c>
      <c r="D1631" s="634" t="s">
        <v>705</v>
      </c>
      <c r="E1631" s="634" t="s">
        <v>164</v>
      </c>
      <c r="F1631" s="634" t="s">
        <v>165</v>
      </c>
      <c r="G1631" s="634" t="s">
        <v>881</v>
      </c>
      <c r="H1631" s="634" t="s">
        <v>882</v>
      </c>
      <c r="I1631" s="818" t="s">
        <v>883</v>
      </c>
    </row>
    <row r="1632" spans="1:20" s="383" customFormat="1" ht="15" customHeight="1" thickTop="1" thickBot="1" x14ac:dyDescent="0.25">
      <c r="A1632" s="566">
        <v>1</v>
      </c>
      <c r="B1632" s="567">
        <v>2</v>
      </c>
      <c r="C1632" s="567">
        <v>3</v>
      </c>
      <c r="D1632" s="567">
        <v>4</v>
      </c>
      <c r="E1632" s="567">
        <v>5</v>
      </c>
      <c r="F1632" s="541">
        <v>6</v>
      </c>
      <c r="G1632" s="541">
        <v>7</v>
      </c>
      <c r="H1632" s="542">
        <v>8</v>
      </c>
      <c r="I1632" s="636" t="s">
        <v>762</v>
      </c>
    </row>
    <row r="1633" spans="1:9" ht="15.75" thickTop="1" x14ac:dyDescent="0.25">
      <c r="A1633" s="1402">
        <v>1153</v>
      </c>
      <c r="B1633" s="847">
        <v>3122</v>
      </c>
      <c r="C1633" s="847">
        <v>5331</v>
      </c>
      <c r="D1633" s="852"/>
      <c r="E1633" s="886" t="s">
        <v>951</v>
      </c>
      <c r="F1633" s="845">
        <f>F1634+F1636</f>
        <v>2066</v>
      </c>
      <c r="G1633" s="845">
        <f>G1634+G1636+G1635</f>
        <v>2068</v>
      </c>
      <c r="H1633" s="845">
        <f>H1634+H1636+H1635</f>
        <v>2068</v>
      </c>
      <c r="I1633" s="849">
        <f t="shared" ref="I1633:I1651" si="185">(H1633/G1633)*100</f>
        <v>100</v>
      </c>
    </row>
    <row r="1634" spans="1:9" ht="14.25" x14ac:dyDescent="0.2">
      <c r="A1634" s="431"/>
      <c r="B1634" s="673"/>
      <c r="C1634" s="673"/>
      <c r="D1634" s="707" t="s">
        <v>575</v>
      </c>
      <c r="E1634" s="1478" t="s">
        <v>793</v>
      </c>
      <c r="F1634" s="827">
        <v>488</v>
      </c>
      <c r="G1634" s="827">
        <v>496</v>
      </c>
      <c r="H1634" s="827">
        <v>496</v>
      </c>
      <c r="I1634" s="823">
        <f t="shared" si="185"/>
        <v>100</v>
      </c>
    </row>
    <row r="1635" spans="1:9" ht="14.25" x14ac:dyDescent="0.2">
      <c r="A1635" s="431"/>
      <c r="B1635" s="673"/>
      <c r="C1635" s="673"/>
      <c r="D1635" s="1059" t="s">
        <v>352</v>
      </c>
      <c r="E1635" s="1161" t="s">
        <v>891</v>
      </c>
      <c r="F1635" s="827"/>
      <c r="G1635" s="827">
        <v>10</v>
      </c>
      <c r="H1635" s="827">
        <v>10</v>
      </c>
      <c r="I1635" s="823">
        <f t="shared" si="185"/>
        <v>100</v>
      </c>
    </row>
    <row r="1636" spans="1:9" ht="14.25" x14ac:dyDescent="0.2">
      <c r="A1636" s="431"/>
      <c r="B1636" s="673"/>
      <c r="C1636" s="673"/>
      <c r="D1636" s="552" t="s">
        <v>570</v>
      </c>
      <c r="E1636" s="455" t="s">
        <v>71</v>
      </c>
      <c r="F1636" s="827">
        <v>1578</v>
      </c>
      <c r="G1636" s="827">
        <v>1562</v>
      </c>
      <c r="H1636" s="827">
        <v>1562</v>
      </c>
      <c r="I1636" s="823">
        <f t="shared" si="185"/>
        <v>100</v>
      </c>
    </row>
    <row r="1637" spans="1:9" ht="15" x14ac:dyDescent="0.25">
      <c r="A1637" s="431">
        <v>1153</v>
      </c>
      <c r="B1637" s="673">
        <v>3122</v>
      </c>
      <c r="C1637" s="673">
        <v>5336</v>
      </c>
      <c r="D1637" s="2541"/>
      <c r="E1637" s="672" t="s">
        <v>2054</v>
      </c>
      <c r="F1637" s="827"/>
      <c r="G1637" s="851">
        <f>G1638+G1640+G1641</f>
        <v>8747</v>
      </c>
      <c r="H1637" s="851">
        <f>H1638+H1640+H1641</f>
        <v>8747</v>
      </c>
      <c r="I1637" s="853">
        <f t="shared" si="185"/>
        <v>100</v>
      </c>
    </row>
    <row r="1638" spans="1:9" ht="14.25" customHeight="1" x14ac:dyDescent="0.2">
      <c r="A1638" s="431"/>
      <c r="B1638" s="673"/>
      <c r="C1638" s="673"/>
      <c r="D1638" s="1068" t="s">
        <v>1911</v>
      </c>
      <c r="E1638" s="2671" t="s">
        <v>2051</v>
      </c>
      <c r="F1638" s="827"/>
      <c r="G1638" s="837">
        <v>13</v>
      </c>
      <c r="H1638" s="837">
        <v>13</v>
      </c>
      <c r="I1638" s="823">
        <v>29</v>
      </c>
    </row>
    <row r="1639" spans="1:9" ht="15" x14ac:dyDescent="0.25">
      <c r="A1639" s="431"/>
      <c r="B1639" s="673"/>
      <c r="C1639" s="673"/>
      <c r="D1639" s="1068"/>
      <c r="E1639" s="2671"/>
      <c r="F1639" s="827"/>
      <c r="G1639" s="846"/>
      <c r="H1639" s="846"/>
      <c r="I1639" s="853"/>
    </row>
    <row r="1640" spans="1:9" ht="15" x14ac:dyDescent="0.2">
      <c r="A1640" s="431"/>
      <c r="B1640" s="673"/>
      <c r="C1640" s="673"/>
      <c r="D1640" s="1068" t="s">
        <v>1913</v>
      </c>
      <c r="E1640" s="2113" t="s">
        <v>2052</v>
      </c>
      <c r="F1640" s="2530"/>
      <c r="G1640" s="2531">
        <v>73</v>
      </c>
      <c r="H1640" s="2531">
        <v>73</v>
      </c>
      <c r="I1640" s="376">
        <f t="shared" ref="I1640" si="186">(H1640/G1640)*100</f>
        <v>100</v>
      </c>
    </row>
    <row r="1641" spans="1:9" ht="14.25" x14ac:dyDescent="0.2">
      <c r="A1641" s="431"/>
      <c r="B1641" s="673"/>
      <c r="C1641" s="673"/>
      <c r="D1641" s="552" t="s">
        <v>1124</v>
      </c>
      <c r="E1641" s="455" t="s">
        <v>792</v>
      </c>
      <c r="F1641" s="827"/>
      <c r="G1641" s="827">
        <v>8661</v>
      </c>
      <c r="H1641" s="827">
        <v>8661</v>
      </c>
      <c r="I1641" s="823">
        <f t="shared" si="185"/>
        <v>100</v>
      </c>
    </row>
    <row r="1642" spans="1:9" ht="15" x14ac:dyDescent="0.25">
      <c r="A1642" s="431">
        <v>1153</v>
      </c>
      <c r="B1642" s="750">
        <v>3142</v>
      </c>
      <c r="C1642" s="750">
        <v>5331</v>
      </c>
      <c r="D1642" s="859"/>
      <c r="E1642" s="672" t="s">
        <v>951</v>
      </c>
      <c r="F1642" s="835">
        <f>F1643+F1644</f>
        <v>803</v>
      </c>
      <c r="G1642" s="835">
        <f>G1643+G1644</f>
        <v>798</v>
      </c>
      <c r="H1642" s="835">
        <f>H1643+H1644</f>
        <v>798</v>
      </c>
      <c r="I1642" s="836">
        <f t="shared" si="185"/>
        <v>100</v>
      </c>
    </row>
    <row r="1643" spans="1:9" ht="14.25" x14ac:dyDescent="0.2">
      <c r="A1643" s="431"/>
      <c r="B1643" s="750"/>
      <c r="C1643" s="750"/>
      <c r="D1643" s="707" t="s">
        <v>575</v>
      </c>
      <c r="E1643" s="1478" t="s">
        <v>793</v>
      </c>
      <c r="F1643" s="833">
        <v>135</v>
      </c>
      <c r="G1643" s="833">
        <v>137</v>
      </c>
      <c r="H1643" s="833">
        <v>137</v>
      </c>
      <c r="I1643" s="828">
        <f t="shared" si="185"/>
        <v>100</v>
      </c>
    </row>
    <row r="1644" spans="1:9" ht="14.25" x14ac:dyDescent="0.2">
      <c r="A1644" s="431"/>
      <c r="B1644" s="750"/>
      <c r="C1644" s="750"/>
      <c r="D1644" s="552" t="s">
        <v>570</v>
      </c>
      <c r="E1644" s="455" t="s">
        <v>71</v>
      </c>
      <c r="F1644" s="833">
        <v>668</v>
      </c>
      <c r="G1644" s="833">
        <v>661</v>
      </c>
      <c r="H1644" s="833">
        <v>661</v>
      </c>
      <c r="I1644" s="828">
        <f t="shared" si="185"/>
        <v>100</v>
      </c>
    </row>
    <row r="1645" spans="1:9" ht="15" x14ac:dyDescent="0.25">
      <c r="A1645" s="431">
        <v>1153</v>
      </c>
      <c r="B1645" s="750">
        <v>3142</v>
      </c>
      <c r="C1645" s="750">
        <v>5336</v>
      </c>
      <c r="D1645" s="552"/>
      <c r="E1645" s="672" t="s">
        <v>2054</v>
      </c>
      <c r="F1645" s="833"/>
      <c r="G1645" s="846">
        <v>928</v>
      </c>
      <c r="H1645" s="846">
        <v>928</v>
      </c>
      <c r="I1645" s="838">
        <f t="shared" si="185"/>
        <v>100</v>
      </c>
    </row>
    <row r="1646" spans="1:9" ht="14.25" x14ac:dyDescent="0.2">
      <c r="A1646" s="431"/>
      <c r="B1646" s="750"/>
      <c r="C1646" s="750"/>
      <c r="D1646" s="552" t="s">
        <v>1124</v>
      </c>
      <c r="E1646" s="455" t="s">
        <v>792</v>
      </c>
      <c r="F1646" s="833"/>
      <c r="G1646" s="833">
        <v>928</v>
      </c>
      <c r="H1646" s="833">
        <v>928</v>
      </c>
      <c r="I1646" s="828">
        <f t="shared" si="185"/>
        <v>100</v>
      </c>
    </row>
    <row r="1647" spans="1:9" ht="15" x14ac:dyDescent="0.25">
      <c r="A1647" s="431">
        <v>1153</v>
      </c>
      <c r="B1647" s="750">
        <v>3147</v>
      </c>
      <c r="C1647" s="750">
        <v>5331</v>
      </c>
      <c r="D1647" s="859"/>
      <c r="E1647" s="672" t="s">
        <v>951</v>
      </c>
      <c r="F1647" s="835">
        <f>F1648+F1649</f>
        <v>1849</v>
      </c>
      <c r="G1647" s="835">
        <f>G1648+G1649</f>
        <v>1841</v>
      </c>
      <c r="H1647" s="835">
        <f>H1648+H1649</f>
        <v>1841</v>
      </c>
      <c r="I1647" s="836">
        <f t="shared" si="185"/>
        <v>100</v>
      </c>
    </row>
    <row r="1648" spans="1:9" ht="14.25" x14ac:dyDescent="0.2">
      <c r="A1648" s="431"/>
      <c r="B1648" s="750"/>
      <c r="C1648" s="750"/>
      <c r="D1648" s="707" t="s">
        <v>575</v>
      </c>
      <c r="E1648" s="1478" t="s">
        <v>793</v>
      </c>
      <c r="F1648" s="833">
        <v>1060</v>
      </c>
      <c r="G1648" s="833">
        <v>1060</v>
      </c>
      <c r="H1648" s="833">
        <v>1060</v>
      </c>
      <c r="I1648" s="828">
        <f t="shared" si="185"/>
        <v>100</v>
      </c>
    </row>
    <row r="1649" spans="1:20" ht="14.25" x14ac:dyDescent="0.2">
      <c r="A1649" s="431"/>
      <c r="B1649" s="750"/>
      <c r="C1649" s="750"/>
      <c r="D1649" s="552" t="s">
        <v>570</v>
      </c>
      <c r="E1649" s="455" t="s">
        <v>71</v>
      </c>
      <c r="F1649" s="833">
        <v>789</v>
      </c>
      <c r="G1649" s="833">
        <v>781</v>
      </c>
      <c r="H1649" s="833">
        <v>781</v>
      </c>
      <c r="I1649" s="828">
        <f t="shared" si="185"/>
        <v>100</v>
      </c>
    </row>
    <row r="1650" spans="1:20" ht="15" x14ac:dyDescent="0.25">
      <c r="A1650" s="431">
        <v>1153</v>
      </c>
      <c r="B1650" s="750">
        <v>3147</v>
      </c>
      <c r="C1650" s="750">
        <v>5336</v>
      </c>
      <c r="D1650" s="552"/>
      <c r="E1650" s="672" t="s">
        <v>2054</v>
      </c>
      <c r="F1650" s="833"/>
      <c r="G1650" s="846">
        <v>1668</v>
      </c>
      <c r="H1650" s="846">
        <v>1668</v>
      </c>
      <c r="I1650" s="838">
        <f t="shared" si="185"/>
        <v>100</v>
      </c>
    </row>
    <row r="1651" spans="1:20" ht="18" customHeight="1" thickBot="1" x14ac:dyDescent="0.25">
      <c r="A1651" s="431"/>
      <c r="B1651" s="750"/>
      <c r="C1651" s="750"/>
      <c r="D1651" s="552" t="s">
        <v>1124</v>
      </c>
      <c r="E1651" s="455" t="s">
        <v>792</v>
      </c>
      <c r="F1651" s="833"/>
      <c r="G1651" s="833">
        <v>1668</v>
      </c>
      <c r="H1651" s="833">
        <v>1668</v>
      </c>
      <c r="I1651" s="828">
        <f t="shared" si="185"/>
        <v>100</v>
      </c>
    </row>
    <row r="1652" spans="1:20" ht="18" customHeight="1" thickTop="1" thickBot="1" x14ac:dyDescent="0.3">
      <c r="A1652" s="2672" t="s">
        <v>1105</v>
      </c>
      <c r="B1652" s="2673"/>
      <c r="C1652" s="2673"/>
      <c r="D1652" s="2673"/>
      <c r="E1652" s="2673"/>
      <c r="F1652" s="824">
        <f>F1633+F1637+F1642+F1645+F1647+F1650</f>
        <v>4718</v>
      </c>
      <c r="G1652" s="824">
        <f>G1633+G1637+G1642+G1645+G1647+G1650</f>
        <v>16050</v>
      </c>
      <c r="H1652" s="824">
        <f>H1633+H1637+H1642+H1645+H1647+H1650</f>
        <v>16050</v>
      </c>
      <c r="I1652" s="825">
        <f>(H1652/G1652)*100</f>
        <v>100</v>
      </c>
      <c r="R1652" s="382">
        <f>F1652</f>
        <v>4718</v>
      </c>
      <c r="S1652" s="382">
        <f>G1652</f>
        <v>16050</v>
      </c>
      <c r="T1652" s="382">
        <f>H1652</f>
        <v>16050</v>
      </c>
    </row>
    <row r="1653" spans="1:20" ht="15.75" thickTop="1" x14ac:dyDescent="0.25">
      <c r="A1653" s="368"/>
      <c r="B1653" s="368"/>
      <c r="C1653" s="368"/>
      <c r="D1653" s="368"/>
      <c r="E1653" s="368"/>
      <c r="F1653" s="183"/>
      <c r="G1653" s="183"/>
      <c r="H1653" s="183"/>
      <c r="I1653" s="214"/>
      <c r="K1653" s="382"/>
      <c r="L1653" s="382"/>
    </row>
    <row r="1654" spans="1:20" ht="15" x14ac:dyDescent="0.25">
      <c r="A1654" s="368"/>
      <c r="B1654" s="368"/>
      <c r="C1654" s="368"/>
      <c r="D1654" s="368"/>
      <c r="E1654" s="368"/>
      <c r="F1654" s="183"/>
      <c r="G1654" s="183"/>
      <c r="H1654" s="183"/>
      <c r="I1654" s="214"/>
      <c r="K1654" s="382"/>
      <c r="L1654" s="382"/>
    </row>
    <row r="1655" spans="1:20" ht="13.5" thickBot="1" x14ac:dyDescent="0.25">
      <c r="A1655" s="432" t="s">
        <v>1114</v>
      </c>
      <c r="I1655" s="1390" t="s">
        <v>161</v>
      </c>
    </row>
    <row r="1656" spans="1:20" s="107" customFormat="1" thickTop="1" thickBot="1" x14ac:dyDescent="0.25">
      <c r="A1656" s="631" t="s">
        <v>624</v>
      </c>
      <c r="B1656" s="774" t="s">
        <v>162</v>
      </c>
      <c r="C1656" s="632" t="s">
        <v>163</v>
      </c>
      <c r="D1656" s="634" t="s">
        <v>705</v>
      </c>
      <c r="E1656" s="634" t="s">
        <v>164</v>
      </c>
      <c r="F1656" s="634" t="s">
        <v>165</v>
      </c>
      <c r="G1656" s="634" t="s">
        <v>881</v>
      </c>
      <c r="H1656" s="634" t="s">
        <v>882</v>
      </c>
      <c r="I1656" s="818" t="s">
        <v>883</v>
      </c>
    </row>
    <row r="1657" spans="1:20" s="383" customFormat="1" ht="13.5" thickTop="1" thickBot="1" x14ac:dyDescent="0.25">
      <c r="A1657" s="566">
        <v>1</v>
      </c>
      <c r="B1657" s="567">
        <v>2</v>
      </c>
      <c r="C1657" s="567">
        <v>3</v>
      </c>
      <c r="D1657" s="567">
        <v>4</v>
      </c>
      <c r="E1657" s="567">
        <v>5</v>
      </c>
      <c r="F1657" s="541">
        <v>6</v>
      </c>
      <c r="G1657" s="541">
        <v>7</v>
      </c>
      <c r="H1657" s="542">
        <v>8</v>
      </c>
      <c r="I1657" s="636" t="s">
        <v>762</v>
      </c>
    </row>
    <row r="1658" spans="1:20" ht="15.75" thickTop="1" x14ac:dyDescent="0.25">
      <c r="A1658" s="1402">
        <v>1154</v>
      </c>
      <c r="B1658" s="847">
        <v>3122</v>
      </c>
      <c r="C1658" s="847">
        <v>5331</v>
      </c>
      <c r="D1658" s="852"/>
      <c r="E1658" s="886" t="s">
        <v>951</v>
      </c>
      <c r="F1658" s="845">
        <f>F1659+F1660</f>
        <v>2518</v>
      </c>
      <c r="G1658" s="845">
        <f>G1659+G1660</f>
        <v>2510</v>
      </c>
      <c r="H1658" s="845">
        <f>H1659+H1660</f>
        <v>2510</v>
      </c>
      <c r="I1658" s="849">
        <f t="shared" ref="I1658:I1667" si="187">(H1658/G1658)*100</f>
        <v>100</v>
      </c>
    </row>
    <row r="1659" spans="1:20" ht="14.25" x14ac:dyDescent="0.2">
      <c r="A1659" s="431"/>
      <c r="B1659" s="673"/>
      <c r="C1659" s="673"/>
      <c r="D1659" s="707" t="s">
        <v>575</v>
      </c>
      <c r="E1659" s="1478" t="s">
        <v>793</v>
      </c>
      <c r="F1659" s="827">
        <v>401</v>
      </c>
      <c r="G1659" s="827">
        <v>414</v>
      </c>
      <c r="H1659" s="827">
        <v>414</v>
      </c>
      <c r="I1659" s="823">
        <f t="shared" si="187"/>
        <v>100</v>
      </c>
    </row>
    <row r="1660" spans="1:20" ht="14.25" x14ac:dyDescent="0.2">
      <c r="A1660" s="431"/>
      <c r="B1660" s="673"/>
      <c r="C1660" s="673"/>
      <c r="D1660" s="552" t="s">
        <v>570</v>
      </c>
      <c r="E1660" s="455" t="s">
        <v>71</v>
      </c>
      <c r="F1660" s="827">
        <v>2117</v>
      </c>
      <c r="G1660" s="827">
        <v>2096</v>
      </c>
      <c r="H1660" s="827">
        <v>2096</v>
      </c>
      <c r="I1660" s="823">
        <f t="shared" si="187"/>
        <v>100</v>
      </c>
    </row>
    <row r="1661" spans="1:20" ht="15" x14ac:dyDescent="0.25">
      <c r="A1661" s="431">
        <v>1154</v>
      </c>
      <c r="B1661" s="673">
        <v>3122</v>
      </c>
      <c r="C1661" s="673">
        <v>5336</v>
      </c>
      <c r="D1661" s="2541"/>
      <c r="E1661" s="672" t="s">
        <v>2054</v>
      </c>
      <c r="F1661" s="827"/>
      <c r="G1661" s="851">
        <f>G1662+G1663+G1665+G1666</f>
        <v>10822</v>
      </c>
      <c r="H1661" s="851">
        <f>H1662+H1663+H1665+H1666</f>
        <v>10822</v>
      </c>
      <c r="I1661" s="853">
        <f t="shared" si="187"/>
        <v>100</v>
      </c>
    </row>
    <row r="1662" spans="1:20" ht="14.25" x14ac:dyDescent="0.2">
      <c r="A1662" s="431"/>
      <c r="B1662" s="673"/>
      <c r="C1662" s="673"/>
      <c r="D1662" s="1068" t="s">
        <v>1504</v>
      </c>
      <c r="E1662" s="2113" t="s">
        <v>1604</v>
      </c>
      <c r="F1662" s="827"/>
      <c r="G1662" s="827">
        <v>4</v>
      </c>
      <c r="H1662" s="827">
        <v>4</v>
      </c>
      <c r="I1662" s="823">
        <f t="shared" ref="I1662" si="188">(H1662/G1662)*100</f>
        <v>100</v>
      </c>
    </row>
    <row r="1663" spans="1:20" ht="14.25" customHeight="1" x14ac:dyDescent="0.2">
      <c r="A1663" s="431"/>
      <c r="B1663" s="673"/>
      <c r="C1663" s="673"/>
      <c r="D1663" s="1068" t="s">
        <v>1911</v>
      </c>
      <c r="E1663" s="2671" t="s">
        <v>2051</v>
      </c>
      <c r="F1663" s="827"/>
      <c r="G1663" s="837">
        <v>13</v>
      </c>
      <c r="H1663" s="837">
        <v>13</v>
      </c>
      <c r="I1663" s="823">
        <v>29</v>
      </c>
    </row>
    <row r="1664" spans="1:20" ht="15" x14ac:dyDescent="0.25">
      <c r="A1664" s="431"/>
      <c r="B1664" s="673"/>
      <c r="C1664" s="673"/>
      <c r="D1664" s="1068"/>
      <c r="E1664" s="2671"/>
      <c r="F1664" s="827"/>
      <c r="G1664" s="846"/>
      <c r="H1664" s="846"/>
      <c r="I1664" s="853"/>
    </row>
    <row r="1665" spans="1:20" ht="15" x14ac:dyDescent="0.2">
      <c r="A1665" s="431"/>
      <c r="B1665" s="673"/>
      <c r="C1665" s="673"/>
      <c r="D1665" s="1068" t="s">
        <v>1913</v>
      </c>
      <c r="E1665" s="2113" t="s">
        <v>2052</v>
      </c>
      <c r="F1665" s="2530"/>
      <c r="G1665" s="2531">
        <v>74</v>
      </c>
      <c r="H1665" s="2531">
        <v>74</v>
      </c>
      <c r="I1665" s="376">
        <f t="shared" ref="I1665" si="189">(H1665/G1665)*100</f>
        <v>100</v>
      </c>
    </row>
    <row r="1666" spans="1:20" ht="15" thickBot="1" x14ac:dyDescent="0.25">
      <c r="A1666" s="431"/>
      <c r="B1666" s="673"/>
      <c r="C1666" s="1392"/>
      <c r="D1666" s="552" t="s">
        <v>1124</v>
      </c>
      <c r="E1666" s="455" t="s">
        <v>792</v>
      </c>
      <c r="F1666" s="827"/>
      <c r="G1666" s="827">
        <v>10731</v>
      </c>
      <c r="H1666" s="827">
        <v>10731</v>
      </c>
      <c r="I1666" s="823">
        <f t="shared" si="187"/>
        <v>100</v>
      </c>
    </row>
    <row r="1667" spans="1:20" ht="16.5" thickTop="1" thickBot="1" x14ac:dyDescent="0.3">
      <c r="A1667" s="2672" t="s">
        <v>1105</v>
      </c>
      <c r="B1667" s="2673"/>
      <c r="C1667" s="2673"/>
      <c r="D1667" s="2673"/>
      <c r="E1667" s="2673"/>
      <c r="F1667" s="824">
        <f>F1658</f>
        <v>2518</v>
      </c>
      <c r="G1667" s="824">
        <f>G1658+G1661</f>
        <v>13332</v>
      </c>
      <c r="H1667" s="824">
        <f>H1658+H1661</f>
        <v>13332</v>
      </c>
      <c r="I1667" s="825">
        <f t="shared" si="187"/>
        <v>100</v>
      </c>
      <c r="R1667" s="382">
        <f>F1667</f>
        <v>2518</v>
      </c>
      <c r="S1667" s="382">
        <f>G1667</f>
        <v>13332</v>
      </c>
      <c r="T1667" s="382">
        <f>H1667</f>
        <v>13332</v>
      </c>
    </row>
    <row r="1668" spans="1:20" ht="13.5" thickTop="1" x14ac:dyDescent="0.2"/>
    <row r="1670" spans="1:20" ht="13.5" thickBot="1" x14ac:dyDescent="0.25">
      <c r="A1670" s="432" t="s">
        <v>2067</v>
      </c>
      <c r="I1670" s="1390" t="s">
        <v>161</v>
      </c>
    </row>
    <row r="1671" spans="1:20" s="107" customFormat="1" ht="20.25" customHeight="1" thickTop="1" thickBot="1" x14ac:dyDescent="0.25">
      <c r="A1671" s="631" t="s">
        <v>624</v>
      </c>
      <c r="B1671" s="774" t="s">
        <v>162</v>
      </c>
      <c r="C1671" s="632" t="s">
        <v>163</v>
      </c>
      <c r="D1671" s="634" t="s">
        <v>705</v>
      </c>
      <c r="E1671" s="634" t="s">
        <v>164</v>
      </c>
      <c r="F1671" s="634" t="s">
        <v>165</v>
      </c>
      <c r="G1671" s="634" t="s">
        <v>881</v>
      </c>
      <c r="H1671" s="634" t="s">
        <v>882</v>
      </c>
      <c r="I1671" s="818" t="s">
        <v>883</v>
      </c>
    </row>
    <row r="1672" spans="1:20" s="383" customFormat="1" ht="13.5" thickTop="1" thickBot="1" x14ac:dyDescent="0.25">
      <c r="A1672" s="566">
        <v>1</v>
      </c>
      <c r="B1672" s="567">
        <v>2</v>
      </c>
      <c r="C1672" s="567">
        <v>3</v>
      </c>
      <c r="D1672" s="567">
        <v>4</v>
      </c>
      <c r="E1672" s="567">
        <v>5</v>
      </c>
      <c r="F1672" s="541">
        <v>6</v>
      </c>
      <c r="G1672" s="541">
        <v>7</v>
      </c>
      <c r="H1672" s="542">
        <v>8</v>
      </c>
      <c r="I1672" s="636" t="s">
        <v>762</v>
      </c>
    </row>
    <row r="1673" spans="1:20" ht="15.75" thickTop="1" x14ac:dyDescent="0.25">
      <c r="A1673" s="1402">
        <v>1160</v>
      </c>
      <c r="B1673" s="847">
        <v>3122</v>
      </c>
      <c r="C1673" s="847">
        <v>5331</v>
      </c>
      <c r="D1673" s="852"/>
      <c r="E1673" s="886" t="s">
        <v>951</v>
      </c>
      <c r="F1673" s="845">
        <f>F1674+F1675</f>
        <v>4048</v>
      </c>
      <c r="G1673" s="845">
        <f>G1674+G1675</f>
        <v>3587</v>
      </c>
      <c r="H1673" s="845">
        <f>H1674+H1675</f>
        <v>3587</v>
      </c>
      <c r="I1673" s="849">
        <f t="shared" ref="I1673:I1700" si="190">(H1673/G1673)*100</f>
        <v>100</v>
      </c>
    </row>
    <row r="1674" spans="1:20" ht="14.25" x14ac:dyDescent="0.2">
      <c r="A1674" s="431"/>
      <c r="B1674" s="673"/>
      <c r="C1674" s="673"/>
      <c r="D1674" s="707" t="s">
        <v>575</v>
      </c>
      <c r="E1674" s="1478" t="s">
        <v>793</v>
      </c>
      <c r="F1674" s="827">
        <v>1448</v>
      </c>
      <c r="G1674" s="827">
        <v>1384</v>
      </c>
      <c r="H1674" s="827">
        <v>1384</v>
      </c>
      <c r="I1674" s="823">
        <f t="shared" si="190"/>
        <v>100</v>
      </c>
    </row>
    <row r="1675" spans="1:20" ht="14.25" x14ac:dyDescent="0.2">
      <c r="A1675" s="431"/>
      <c r="B1675" s="673"/>
      <c r="C1675" s="673"/>
      <c r="D1675" s="552" t="s">
        <v>570</v>
      </c>
      <c r="E1675" s="455" t="s">
        <v>71</v>
      </c>
      <c r="F1675" s="827">
        <v>2600</v>
      </c>
      <c r="G1675" s="827">
        <v>2203</v>
      </c>
      <c r="H1675" s="827">
        <v>2203</v>
      </c>
      <c r="I1675" s="823">
        <f t="shared" si="190"/>
        <v>100</v>
      </c>
    </row>
    <row r="1676" spans="1:20" ht="15" x14ac:dyDescent="0.25">
      <c r="A1676" s="431">
        <v>1160</v>
      </c>
      <c r="B1676" s="673">
        <v>3122</v>
      </c>
      <c r="C1676" s="673">
        <v>5336</v>
      </c>
      <c r="D1676" s="1068"/>
      <c r="E1676" s="672" t="s">
        <v>2054</v>
      </c>
      <c r="F1676" s="827"/>
      <c r="G1676" s="851">
        <f>G1677+G1678+G1680+G1681</f>
        <v>25909</v>
      </c>
      <c r="H1676" s="851">
        <f>H1677+H1678+H1680+H1681</f>
        <v>25909</v>
      </c>
      <c r="I1676" s="853">
        <f t="shared" si="190"/>
        <v>100</v>
      </c>
    </row>
    <row r="1677" spans="1:20" ht="14.25" x14ac:dyDescent="0.2">
      <c r="A1677" s="431"/>
      <c r="B1677" s="673"/>
      <c r="C1677" s="673"/>
      <c r="D1677" s="1068" t="s">
        <v>1504</v>
      </c>
      <c r="E1677" s="2113" t="s">
        <v>1604</v>
      </c>
      <c r="F1677" s="827"/>
      <c r="G1677" s="827">
        <v>10</v>
      </c>
      <c r="H1677" s="827">
        <v>10</v>
      </c>
      <c r="I1677" s="823">
        <f t="shared" ref="I1677" si="191">(H1677/G1677)*100</f>
        <v>100</v>
      </c>
    </row>
    <row r="1678" spans="1:20" ht="14.25" x14ac:dyDescent="0.2">
      <c r="A1678" s="431"/>
      <c r="B1678" s="673"/>
      <c r="C1678" s="673"/>
      <c r="D1678" s="1068" t="s">
        <v>1911</v>
      </c>
      <c r="E1678" s="2671" t="s">
        <v>2051</v>
      </c>
      <c r="F1678" s="827"/>
      <c r="G1678" s="837">
        <v>40</v>
      </c>
      <c r="H1678" s="837">
        <v>40</v>
      </c>
      <c r="I1678" s="823">
        <v>29</v>
      </c>
    </row>
    <row r="1679" spans="1:20" ht="15" x14ac:dyDescent="0.25">
      <c r="A1679" s="431"/>
      <c r="B1679" s="673"/>
      <c r="C1679" s="673"/>
      <c r="D1679" s="1068"/>
      <c r="E1679" s="2671"/>
      <c r="F1679" s="827"/>
      <c r="G1679" s="846"/>
      <c r="H1679" s="846"/>
      <c r="I1679" s="853"/>
    </row>
    <row r="1680" spans="1:20" ht="15" x14ac:dyDescent="0.2">
      <c r="A1680" s="431"/>
      <c r="B1680" s="673"/>
      <c r="C1680" s="673"/>
      <c r="D1680" s="1068" t="s">
        <v>1913</v>
      </c>
      <c r="E1680" s="2113" t="s">
        <v>2052</v>
      </c>
      <c r="F1680" s="2530"/>
      <c r="G1680" s="2531">
        <v>243</v>
      </c>
      <c r="H1680" s="2531">
        <v>243</v>
      </c>
      <c r="I1680" s="376">
        <f t="shared" ref="I1680" si="192">(H1680/G1680)*100</f>
        <v>100</v>
      </c>
    </row>
    <row r="1681" spans="1:9" ht="14.25" x14ac:dyDescent="0.2">
      <c r="A1681" s="431"/>
      <c r="B1681" s="673"/>
      <c r="C1681" s="673"/>
      <c r="D1681" s="552" t="s">
        <v>1124</v>
      </c>
      <c r="E1681" s="455" t="s">
        <v>792</v>
      </c>
      <c r="F1681" s="827"/>
      <c r="G1681" s="827">
        <v>25616</v>
      </c>
      <c r="H1681" s="827">
        <v>25616</v>
      </c>
      <c r="I1681" s="823">
        <f t="shared" si="190"/>
        <v>100</v>
      </c>
    </row>
    <row r="1682" spans="1:9" ht="15" x14ac:dyDescent="0.25">
      <c r="A1682" s="431">
        <v>1160</v>
      </c>
      <c r="B1682" s="750">
        <v>3142</v>
      </c>
      <c r="C1682" s="750">
        <v>5331</v>
      </c>
      <c r="D1682" s="859"/>
      <c r="E1682" s="672" t="s">
        <v>951</v>
      </c>
      <c r="F1682" s="835">
        <f>F1683+F1684</f>
        <v>628</v>
      </c>
      <c r="G1682" s="835">
        <f>G1683+G1684</f>
        <v>522</v>
      </c>
      <c r="H1682" s="835">
        <f>H1683+H1684</f>
        <v>522</v>
      </c>
      <c r="I1682" s="836">
        <f t="shared" si="190"/>
        <v>100</v>
      </c>
    </row>
    <row r="1683" spans="1:9" ht="14.25" x14ac:dyDescent="0.2">
      <c r="A1683" s="431"/>
      <c r="B1683" s="750"/>
      <c r="C1683" s="750"/>
      <c r="D1683" s="552" t="s">
        <v>570</v>
      </c>
      <c r="E1683" s="455" t="s">
        <v>71</v>
      </c>
      <c r="F1683" s="833">
        <v>610</v>
      </c>
      <c r="G1683" s="833">
        <v>504</v>
      </c>
      <c r="H1683" s="833">
        <v>504</v>
      </c>
      <c r="I1683" s="828">
        <f t="shared" si="190"/>
        <v>100</v>
      </c>
    </row>
    <row r="1684" spans="1:9" ht="20.25" customHeight="1" x14ac:dyDescent="0.2">
      <c r="A1684" s="431"/>
      <c r="B1684" s="750"/>
      <c r="C1684" s="750"/>
      <c r="D1684" s="1059" t="s">
        <v>665</v>
      </c>
      <c r="E1684" s="1278" t="s">
        <v>1294</v>
      </c>
      <c r="F1684" s="833">
        <v>18</v>
      </c>
      <c r="G1684" s="833">
        <v>18</v>
      </c>
      <c r="H1684" s="833">
        <v>18</v>
      </c>
      <c r="I1684" s="828">
        <f t="shared" si="190"/>
        <v>100</v>
      </c>
    </row>
    <row r="1685" spans="1:9" ht="15" x14ac:dyDescent="0.25">
      <c r="A1685" s="431">
        <v>1160</v>
      </c>
      <c r="B1685" s="750">
        <v>3142</v>
      </c>
      <c r="C1685" s="750">
        <v>5336</v>
      </c>
      <c r="D1685" s="552"/>
      <c r="E1685" s="672" t="s">
        <v>2054</v>
      </c>
      <c r="F1685" s="833"/>
      <c r="G1685" s="846">
        <v>953</v>
      </c>
      <c r="H1685" s="846">
        <v>953</v>
      </c>
      <c r="I1685" s="838">
        <f t="shared" si="190"/>
        <v>100</v>
      </c>
    </row>
    <row r="1686" spans="1:9" ht="15" thickBot="1" x14ac:dyDescent="0.25">
      <c r="A1686" s="1394"/>
      <c r="B1686" s="891"/>
      <c r="C1686" s="891"/>
      <c r="D1686" s="718" t="s">
        <v>1124</v>
      </c>
      <c r="E1686" s="456" t="s">
        <v>792</v>
      </c>
      <c r="F1686" s="892"/>
      <c r="G1686" s="892">
        <v>953</v>
      </c>
      <c r="H1686" s="892">
        <v>953</v>
      </c>
      <c r="I1686" s="872">
        <f t="shared" si="190"/>
        <v>100</v>
      </c>
    </row>
    <row r="1687" spans="1:9" ht="14.25" thickTop="1" thickBot="1" x14ac:dyDescent="0.25">
      <c r="A1687" s="432"/>
      <c r="I1687" s="1390" t="s">
        <v>161</v>
      </c>
    </row>
    <row r="1688" spans="1:9" s="107" customFormat="1" ht="20.25" customHeight="1" thickTop="1" thickBot="1" x14ac:dyDescent="0.25">
      <c r="A1688" s="631" t="s">
        <v>624</v>
      </c>
      <c r="B1688" s="774" t="s">
        <v>162</v>
      </c>
      <c r="C1688" s="632" t="s">
        <v>163</v>
      </c>
      <c r="D1688" s="634" t="s">
        <v>705</v>
      </c>
      <c r="E1688" s="634" t="s">
        <v>164</v>
      </c>
      <c r="F1688" s="634" t="s">
        <v>165</v>
      </c>
      <c r="G1688" s="634" t="s">
        <v>881</v>
      </c>
      <c r="H1688" s="634" t="s">
        <v>882</v>
      </c>
      <c r="I1688" s="818" t="s">
        <v>883</v>
      </c>
    </row>
    <row r="1689" spans="1:9" s="383" customFormat="1" ht="13.5" thickTop="1" thickBot="1" x14ac:dyDescent="0.25">
      <c r="A1689" s="566">
        <v>1</v>
      </c>
      <c r="B1689" s="567">
        <v>2</v>
      </c>
      <c r="C1689" s="567">
        <v>3</v>
      </c>
      <c r="D1689" s="567">
        <v>4</v>
      </c>
      <c r="E1689" s="567">
        <v>5</v>
      </c>
      <c r="F1689" s="541">
        <v>6</v>
      </c>
      <c r="G1689" s="541">
        <v>7</v>
      </c>
      <c r="H1689" s="542">
        <v>8</v>
      </c>
      <c r="I1689" s="636" t="s">
        <v>762</v>
      </c>
    </row>
    <row r="1690" spans="1:9" ht="15.75" thickTop="1" x14ac:dyDescent="0.25">
      <c r="A1690" s="431">
        <v>1160</v>
      </c>
      <c r="B1690" s="750">
        <v>3147</v>
      </c>
      <c r="C1690" s="750">
        <v>5331</v>
      </c>
      <c r="D1690" s="859"/>
      <c r="E1690" s="672" t="s">
        <v>951</v>
      </c>
      <c r="F1690" s="835">
        <v>390</v>
      </c>
      <c r="G1690" s="835">
        <v>286</v>
      </c>
      <c r="H1690" s="835">
        <v>286</v>
      </c>
      <c r="I1690" s="836">
        <f t="shared" si="190"/>
        <v>100</v>
      </c>
    </row>
    <row r="1691" spans="1:9" ht="14.25" x14ac:dyDescent="0.2">
      <c r="A1691" s="431"/>
      <c r="B1691" s="750"/>
      <c r="C1691" s="750"/>
      <c r="D1691" s="552" t="s">
        <v>570</v>
      </c>
      <c r="E1691" s="455" t="s">
        <v>71</v>
      </c>
      <c r="F1691" s="833">
        <v>390</v>
      </c>
      <c r="G1691" s="833">
        <v>286</v>
      </c>
      <c r="H1691" s="833">
        <v>286</v>
      </c>
      <c r="I1691" s="828">
        <f t="shared" si="190"/>
        <v>100</v>
      </c>
    </row>
    <row r="1692" spans="1:9" ht="15" x14ac:dyDescent="0.25">
      <c r="A1692" s="431">
        <v>1160</v>
      </c>
      <c r="B1692" s="750">
        <v>3147</v>
      </c>
      <c r="C1692" s="750">
        <v>5336</v>
      </c>
      <c r="D1692" s="552"/>
      <c r="E1692" s="672" t="s">
        <v>2054</v>
      </c>
      <c r="F1692" s="833"/>
      <c r="G1692" s="846">
        <v>3934</v>
      </c>
      <c r="H1692" s="846">
        <v>3934</v>
      </c>
      <c r="I1692" s="838">
        <f t="shared" si="190"/>
        <v>100</v>
      </c>
    </row>
    <row r="1693" spans="1:9" ht="14.25" x14ac:dyDescent="0.2">
      <c r="A1693" s="431"/>
      <c r="B1693" s="750"/>
      <c r="C1693" s="750"/>
      <c r="D1693" s="552" t="s">
        <v>1124</v>
      </c>
      <c r="E1693" s="455" t="s">
        <v>792</v>
      </c>
      <c r="F1693" s="833"/>
      <c r="G1693" s="833">
        <v>3934</v>
      </c>
      <c r="H1693" s="833">
        <v>3934</v>
      </c>
      <c r="I1693" s="828">
        <f t="shared" si="190"/>
        <v>100</v>
      </c>
    </row>
    <row r="1694" spans="1:9" ht="15" x14ac:dyDescent="0.25">
      <c r="A1694" s="431">
        <v>1160</v>
      </c>
      <c r="B1694" s="750">
        <v>3150</v>
      </c>
      <c r="C1694" s="750">
        <v>5331</v>
      </c>
      <c r="D1694" s="859"/>
      <c r="E1694" s="672" t="s">
        <v>951</v>
      </c>
      <c r="F1694" s="835">
        <v>1200</v>
      </c>
      <c r="G1694" s="835">
        <v>940</v>
      </c>
      <c r="H1694" s="835">
        <v>940</v>
      </c>
      <c r="I1694" s="836">
        <f t="shared" si="190"/>
        <v>100</v>
      </c>
    </row>
    <row r="1695" spans="1:9" ht="14.25" x14ac:dyDescent="0.2">
      <c r="A1695" s="431"/>
      <c r="B1695" s="750"/>
      <c r="C1695" s="750"/>
      <c r="D1695" s="552" t="s">
        <v>570</v>
      </c>
      <c r="E1695" s="455" t="s">
        <v>71</v>
      </c>
      <c r="F1695" s="833">
        <v>1200</v>
      </c>
      <c r="G1695" s="833">
        <v>940</v>
      </c>
      <c r="H1695" s="833">
        <v>940</v>
      </c>
      <c r="I1695" s="828">
        <f t="shared" si="190"/>
        <v>100</v>
      </c>
    </row>
    <row r="1696" spans="1:9" ht="15" x14ac:dyDescent="0.25">
      <c r="A1696" s="431">
        <v>1160</v>
      </c>
      <c r="B1696" s="750">
        <v>3150</v>
      </c>
      <c r="C1696" s="750">
        <v>5336</v>
      </c>
      <c r="D1696" s="552"/>
      <c r="E1696" s="672" t="s">
        <v>2054</v>
      </c>
      <c r="F1696" s="833"/>
      <c r="G1696" s="846">
        <v>14137</v>
      </c>
      <c r="H1696" s="846">
        <v>14137</v>
      </c>
      <c r="I1696" s="838">
        <f t="shared" si="190"/>
        <v>100</v>
      </c>
    </row>
    <row r="1697" spans="1:20" ht="14.25" x14ac:dyDescent="0.2">
      <c r="A1697" s="431"/>
      <c r="B1697" s="750"/>
      <c r="C1697" s="750"/>
      <c r="D1697" s="552" t="s">
        <v>1124</v>
      </c>
      <c r="E1697" s="455" t="s">
        <v>792</v>
      </c>
      <c r="F1697" s="833"/>
      <c r="G1697" s="833">
        <v>14137</v>
      </c>
      <c r="H1697" s="833">
        <v>14137</v>
      </c>
      <c r="I1697" s="828">
        <f t="shared" si="190"/>
        <v>100</v>
      </c>
    </row>
    <row r="1698" spans="1:20" ht="15" x14ac:dyDescent="0.25">
      <c r="A1698" s="431">
        <v>1160</v>
      </c>
      <c r="B1698" s="750">
        <v>3239</v>
      </c>
      <c r="C1698" s="750">
        <v>5331</v>
      </c>
      <c r="D1698" s="552"/>
      <c r="E1698" s="672" t="s">
        <v>951</v>
      </c>
      <c r="F1698" s="833"/>
      <c r="G1698" s="846">
        <v>819</v>
      </c>
      <c r="H1698" s="846">
        <v>819</v>
      </c>
      <c r="I1698" s="838">
        <f t="shared" si="190"/>
        <v>100</v>
      </c>
    </row>
    <row r="1699" spans="1:20" ht="15" thickBot="1" x14ac:dyDescent="0.25">
      <c r="A1699" s="431"/>
      <c r="B1699" s="750"/>
      <c r="C1699" s="750"/>
      <c r="D1699" s="1059" t="s">
        <v>665</v>
      </c>
      <c r="E1699" s="1278" t="s">
        <v>1294</v>
      </c>
      <c r="F1699" s="833"/>
      <c r="G1699" s="833">
        <v>819</v>
      </c>
      <c r="H1699" s="833">
        <v>819</v>
      </c>
      <c r="I1699" s="828">
        <f t="shared" ref="I1699" si="193">(H1699/G1699)*100</f>
        <v>100</v>
      </c>
    </row>
    <row r="1700" spans="1:20" ht="16.5" thickTop="1" thickBot="1" x14ac:dyDescent="0.3">
      <c r="A1700" s="2672" t="s">
        <v>1105</v>
      </c>
      <c r="B1700" s="2673"/>
      <c r="C1700" s="2673"/>
      <c r="D1700" s="2673"/>
      <c r="E1700" s="2673"/>
      <c r="F1700" s="824">
        <f>F1673+F1676+F1682+F1685+F1690+F1692+F1694+F1696</f>
        <v>6266</v>
      </c>
      <c r="G1700" s="824">
        <f>G1673+G1676+G1682+G1685+G1690+G1692+G1694+G1696+G1698</f>
        <v>51087</v>
      </c>
      <c r="H1700" s="824">
        <f>H1673+H1676+H1682+H1685+H1690+H1692+H1694+H1696+H1698</f>
        <v>51087</v>
      </c>
      <c r="I1700" s="825">
        <f t="shared" si="190"/>
        <v>100</v>
      </c>
      <c r="R1700" s="382">
        <f>F1700</f>
        <v>6266</v>
      </c>
      <c r="S1700" s="382">
        <f>G1700</f>
        <v>51087</v>
      </c>
      <c r="T1700" s="382">
        <f>H1700</f>
        <v>51087</v>
      </c>
    </row>
    <row r="1701" spans="1:20" ht="13.5" thickTop="1" x14ac:dyDescent="0.2"/>
    <row r="1703" spans="1:20" ht="13.5" thickBot="1" x14ac:dyDescent="0.25">
      <c r="A1703" s="432" t="s">
        <v>178</v>
      </c>
      <c r="I1703" s="1390" t="s">
        <v>161</v>
      </c>
    </row>
    <row r="1704" spans="1:20" s="107" customFormat="1" thickTop="1" thickBot="1" x14ac:dyDescent="0.25">
      <c r="A1704" s="631" t="s">
        <v>624</v>
      </c>
      <c r="B1704" s="774" t="s">
        <v>162</v>
      </c>
      <c r="C1704" s="632" t="s">
        <v>163</v>
      </c>
      <c r="D1704" s="634" t="s">
        <v>705</v>
      </c>
      <c r="E1704" s="634" t="s">
        <v>164</v>
      </c>
      <c r="F1704" s="634" t="s">
        <v>165</v>
      </c>
      <c r="G1704" s="634" t="s">
        <v>881</v>
      </c>
      <c r="H1704" s="634" t="s">
        <v>882</v>
      </c>
      <c r="I1704" s="818" t="s">
        <v>883</v>
      </c>
    </row>
    <row r="1705" spans="1:20" s="383" customFormat="1" ht="13.5" thickTop="1" thickBot="1" x14ac:dyDescent="0.25">
      <c r="A1705" s="566">
        <v>1</v>
      </c>
      <c r="B1705" s="567">
        <v>2</v>
      </c>
      <c r="C1705" s="567">
        <v>3</v>
      </c>
      <c r="D1705" s="567">
        <v>4</v>
      </c>
      <c r="E1705" s="567">
        <v>5</v>
      </c>
      <c r="F1705" s="541">
        <v>6</v>
      </c>
      <c r="G1705" s="541">
        <v>7</v>
      </c>
      <c r="H1705" s="542">
        <v>8</v>
      </c>
      <c r="I1705" s="636" t="s">
        <v>762</v>
      </c>
    </row>
    <row r="1706" spans="1:20" ht="15.75" thickTop="1" x14ac:dyDescent="0.25">
      <c r="A1706" s="1402">
        <v>1161</v>
      </c>
      <c r="B1706" s="847">
        <v>3122</v>
      </c>
      <c r="C1706" s="847">
        <v>5331</v>
      </c>
      <c r="D1706" s="852"/>
      <c r="E1706" s="886" t="s">
        <v>951</v>
      </c>
      <c r="F1706" s="845">
        <f>F1707+F1708</f>
        <v>1475</v>
      </c>
      <c r="G1706" s="845">
        <f>G1707+G1708</f>
        <v>1461</v>
      </c>
      <c r="H1706" s="845">
        <f>H1707+H1708</f>
        <v>1461</v>
      </c>
      <c r="I1706" s="849">
        <f t="shared" ref="I1706:I1715" si="194">(H1706/G1706)*100</f>
        <v>100</v>
      </c>
    </row>
    <row r="1707" spans="1:20" ht="18" customHeight="1" x14ac:dyDescent="0.2">
      <c r="A1707" s="431"/>
      <c r="B1707" s="673"/>
      <c r="C1707" s="673"/>
      <c r="D1707" s="707" t="s">
        <v>575</v>
      </c>
      <c r="E1707" s="1478" t="s">
        <v>793</v>
      </c>
      <c r="F1707" s="827">
        <v>48</v>
      </c>
      <c r="G1707" s="827">
        <v>48</v>
      </c>
      <c r="H1707" s="827">
        <v>48</v>
      </c>
      <c r="I1707" s="823">
        <f t="shared" si="194"/>
        <v>100</v>
      </c>
    </row>
    <row r="1708" spans="1:20" ht="20.25" customHeight="1" x14ac:dyDescent="0.2">
      <c r="A1708" s="431"/>
      <c r="B1708" s="673"/>
      <c r="C1708" s="673"/>
      <c r="D1708" s="552" t="s">
        <v>570</v>
      </c>
      <c r="E1708" s="455" t="s">
        <v>71</v>
      </c>
      <c r="F1708" s="827">
        <v>1427</v>
      </c>
      <c r="G1708" s="827">
        <v>1413</v>
      </c>
      <c r="H1708" s="827">
        <v>1413</v>
      </c>
      <c r="I1708" s="823">
        <f t="shared" si="194"/>
        <v>100</v>
      </c>
    </row>
    <row r="1709" spans="1:20" ht="15" x14ac:dyDescent="0.25">
      <c r="A1709" s="431">
        <v>1161</v>
      </c>
      <c r="B1709" s="673">
        <v>3122</v>
      </c>
      <c r="C1709" s="673">
        <v>5336</v>
      </c>
      <c r="D1709" s="2541"/>
      <c r="E1709" s="672" t="s">
        <v>2054</v>
      </c>
      <c r="F1709" s="827"/>
      <c r="G1709" s="851">
        <f>G1710+G1711+G1713+G1714</f>
        <v>12500</v>
      </c>
      <c r="H1709" s="851">
        <f>H1710+H1711+H1713+H1714</f>
        <v>12500</v>
      </c>
      <c r="I1709" s="853">
        <f t="shared" si="194"/>
        <v>100</v>
      </c>
    </row>
    <row r="1710" spans="1:20" ht="14.25" x14ac:dyDescent="0.2">
      <c r="A1710" s="431"/>
      <c r="B1710" s="673"/>
      <c r="C1710" s="673"/>
      <c r="D1710" s="1068" t="s">
        <v>1504</v>
      </c>
      <c r="E1710" s="2113" t="s">
        <v>1604</v>
      </c>
      <c r="F1710" s="827"/>
      <c r="G1710" s="827">
        <v>10</v>
      </c>
      <c r="H1710" s="827">
        <v>10</v>
      </c>
      <c r="I1710" s="823">
        <f t="shared" ref="I1710" si="195">(H1710/G1710)*100</f>
        <v>100</v>
      </c>
    </row>
    <row r="1711" spans="1:20" ht="14.25" customHeight="1" x14ac:dyDescent="0.2">
      <c r="A1711" s="431"/>
      <c r="B1711" s="673"/>
      <c r="C1711" s="673"/>
      <c r="D1711" s="1068" t="s">
        <v>1911</v>
      </c>
      <c r="E1711" s="2671" t="s">
        <v>2051</v>
      </c>
      <c r="F1711" s="827"/>
      <c r="G1711" s="837">
        <v>14</v>
      </c>
      <c r="H1711" s="837">
        <v>14</v>
      </c>
      <c r="I1711" s="823">
        <v>29</v>
      </c>
    </row>
    <row r="1712" spans="1:20" ht="15" x14ac:dyDescent="0.25">
      <c r="A1712" s="431"/>
      <c r="B1712" s="673"/>
      <c r="C1712" s="673"/>
      <c r="D1712" s="1068"/>
      <c r="E1712" s="2671"/>
      <c r="F1712" s="827"/>
      <c r="G1712" s="846"/>
      <c r="H1712" s="846"/>
      <c r="I1712" s="853"/>
    </row>
    <row r="1713" spans="1:20" ht="15" x14ac:dyDescent="0.2">
      <c r="A1713" s="431"/>
      <c r="B1713" s="673"/>
      <c r="C1713" s="673"/>
      <c r="D1713" s="1068" t="s">
        <v>1913</v>
      </c>
      <c r="E1713" s="2113" t="s">
        <v>2052</v>
      </c>
      <c r="F1713" s="2530"/>
      <c r="G1713" s="2531">
        <v>74</v>
      </c>
      <c r="H1713" s="2531">
        <v>74</v>
      </c>
      <c r="I1713" s="376">
        <f t="shared" ref="I1713" si="196">(H1713/G1713)*100</f>
        <v>100</v>
      </c>
    </row>
    <row r="1714" spans="1:20" ht="15" thickBot="1" x14ac:dyDescent="0.25">
      <c r="A1714" s="431"/>
      <c r="B1714" s="673"/>
      <c r="C1714" s="1392"/>
      <c r="D1714" s="552" t="s">
        <v>1124</v>
      </c>
      <c r="E1714" s="455" t="s">
        <v>792</v>
      </c>
      <c r="F1714" s="827"/>
      <c r="G1714" s="827">
        <v>12402</v>
      </c>
      <c r="H1714" s="827">
        <v>12402</v>
      </c>
      <c r="I1714" s="823">
        <f t="shared" si="194"/>
        <v>100</v>
      </c>
    </row>
    <row r="1715" spans="1:20" ht="16.5" thickTop="1" thickBot="1" x14ac:dyDescent="0.3">
      <c r="A1715" s="2672" t="s">
        <v>1105</v>
      </c>
      <c r="B1715" s="2673"/>
      <c r="C1715" s="2673"/>
      <c r="D1715" s="2673"/>
      <c r="E1715" s="2673"/>
      <c r="F1715" s="824">
        <f>SUM(F1706)</f>
        <v>1475</v>
      </c>
      <c r="G1715" s="824">
        <f>G1706+G1709</f>
        <v>13961</v>
      </c>
      <c r="H1715" s="824">
        <f>H1706+H1709</f>
        <v>13961</v>
      </c>
      <c r="I1715" s="825">
        <f t="shared" si="194"/>
        <v>100</v>
      </c>
      <c r="R1715" s="382">
        <f>F1715</f>
        <v>1475</v>
      </c>
      <c r="S1715" s="382">
        <f>G1715</f>
        <v>13961</v>
      </c>
      <c r="T1715" s="382">
        <f>H1715</f>
        <v>13961</v>
      </c>
    </row>
    <row r="1716" spans="1:20" ht="13.5" thickTop="1" x14ac:dyDescent="0.2"/>
    <row r="1718" spans="1:20" ht="13.5" thickBot="1" x14ac:dyDescent="0.25">
      <c r="A1718" s="432" t="s">
        <v>179</v>
      </c>
      <c r="I1718" s="1390" t="s">
        <v>161</v>
      </c>
    </row>
    <row r="1719" spans="1:20" s="107" customFormat="1" thickTop="1" thickBot="1" x14ac:dyDescent="0.25">
      <c r="A1719" s="631" t="s">
        <v>624</v>
      </c>
      <c r="B1719" s="774" t="s">
        <v>162</v>
      </c>
      <c r="C1719" s="632" t="s">
        <v>163</v>
      </c>
      <c r="D1719" s="634" t="s">
        <v>705</v>
      </c>
      <c r="E1719" s="634" t="s">
        <v>164</v>
      </c>
      <c r="F1719" s="634" t="s">
        <v>165</v>
      </c>
      <c r="G1719" s="634" t="s">
        <v>881</v>
      </c>
      <c r="H1719" s="634" t="s">
        <v>882</v>
      </c>
      <c r="I1719" s="818" t="s">
        <v>883</v>
      </c>
    </row>
    <row r="1720" spans="1:20" s="383" customFormat="1" ht="13.5" thickTop="1" thickBot="1" x14ac:dyDescent="0.25">
      <c r="A1720" s="566">
        <v>1</v>
      </c>
      <c r="B1720" s="567">
        <v>2</v>
      </c>
      <c r="C1720" s="567">
        <v>3</v>
      </c>
      <c r="D1720" s="567">
        <v>4</v>
      </c>
      <c r="E1720" s="567">
        <v>5</v>
      </c>
      <c r="F1720" s="541">
        <v>6</v>
      </c>
      <c r="G1720" s="541">
        <v>7</v>
      </c>
      <c r="H1720" s="542">
        <v>8</v>
      </c>
      <c r="I1720" s="636" t="s">
        <v>762</v>
      </c>
    </row>
    <row r="1721" spans="1:20" ht="15.75" thickTop="1" x14ac:dyDescent="0.25">
      <c r="A1721" s="1402">
        <v>1162</v>
      </c>
      <c r="B1721" s="847">
        <v>3122</v>
      </c>
      <c r="C1721" s="847">
        <v>5331</v>
      </c>
      <c r="D1721" s="852"/>
      <c r="E1721" s="886" t="s">
        <v>951</v>
      </c>
      <c r="F1721" s="845">
        <f>F1722+F1723</f>
        <v>2116</v>
      </c>
      <c r="G1721" s="845">
        <f>G1722+G1723</f>
        <v>2093</v>
      </c>
      <c r="H1721" s="845">
        <f>H1722+H1723</f>
        <v>2093</v>
      </c>
      <c r="I1721" s="849">
        <f t="shared" ref="I1721:I1729" si="197">(H1721/G1721)*100</f>
        <v>100</v>
      </c>
    </row>
    <row r="1722" spans="1:20" ht="14.25" x14ac:dyDescent="0.2">
      <c r="A1722" s="431"/>
      <c r="B1722" s="673"/>
      <c r="C1722" s="673"/>
      <c r="D1722" s="707" t="s">
        <v>575</v>
      </c>
      <c r="E1722" s="1478" t="s">
        <v>793</v>
      </c>
      <c r="F1722" s="827">
        <v>228</v>
      </c>
      <c r="G1722" s="827">
        <v>224</v>
      </c>
      <c r="H1722" s="827">
        <v>224</v>
      </c>
      <c r="I1722" s="823">
        <f t="shared" si="197"/>
        <v>100</v>
      </c>
    </row>
    <row r="1723" spans="1:20" ht="14.25" x14ac:dyDescent="0.2">
      <c r="A1723" s="431"/>
      <c r="B1723" s="673"/>
      <c r="C1723" s="673"/>
      <c r="D1723" s="552" t="s">
        <v>570</v>
      </c>
      <c r="E1723" s="455" t="s">
        <v>71</v>
      </c>
      <c r="F1723" s="827">
        <v>1888</v>
      </c>
      <c r="G1723" s="827">
        <v>1869</v>
      </c>
      <c r="H1723" s="827">
        <v>1869</v>
      </c>
      <c r="I1723" s="823">
        <f t="shared" si="197"/>
        <v>100</v>
      </c>
    </row>
    <row r="1724" spans="1:20" ht="15" x14ac:dyDescent="0.25">
      <c r="A1724" s="431">
        <v>1162</v>
      </c>
      <c r="B1724" s="673">
        <v>3122</v>
      </c>
      <c r="C1724" s="673">
        <v>5336</v>
      </c>
      <c r="D1724" s="1068"/>
      <c r="E1724" s="672" t="s">
        <v>2054</v>
      </c>
      <c r="F1724" s="827"/>
      <c r="G1724" s="851">
        <f>G1725+G1727+G1728</f>
        <v>11876</v>
      </c>
      <c r="H1724" s="851">
        <f>H1725+H1727+H1728</f>
        <v>11876</v>
      </c>
      <c r="I1724" s="853">
        <f t="shared" si="197"/>
        <v>100</v>
      </c>
    </row>
    <row r="1725" spans="1:20" ht="14.25" customHeight="1" x14ac:dyDescent="0.2">
      <c r="A1725" s="431"/>
      <c r="B1725" s="673"/>
      <c r="C1725" s="673"/>
      <c r="D1725" s="1068" t="s">
        <v>1911</v>
      </c>
      <c r="E1725" s="2671" t="s">
        <v>2051</v>
      </c>
      <c r="F1725" s="827"/>
      <c r="G1725" s="837">
        <v>14</v>
      </c>
      <c r="H1725" s="837">
        <v>14</v>
      </c>
      <c r="I1725" s="823">
        <v>29</v>
      </c>
    </row>
    <row r="1726" spans="1:20" ht="15" x14ac:dyDescent="0.25">
      <c r="A1726" s="431"/>
      <c r="B1726" s="673"/>
      <c r="C1726" s="673"/>
      <c r="D1726" s="1068"/>
      <c r="E1726" s="2671"/>
      <c r="F1726" s="827"/>
      <c r="G1726" s="846"/>
      <c r="H1726" s="846"/>
      <c r="I1726" s="853"/>
    </row>
    <row r="1727" spans="1:20" ht="15" x14ac:dyDescent="0.2">
      <c r="A1727" s="431"/>
      <c r="B1727" s="673"/>
      <c r="C1727" s="673"/>
      <c r="D1727" s="1068" t="s">
        <v>1913</v>
      </c>
      <c r="E1727" s="2113" t="s">
        <v>2052</v>
      </c>
      <c r="F1727" s="2530"/>
      <c r="G1727" s="2531">
        <v>87</v>
      </c>
      <c r="H1727" s="2531">
        <v>87</v>
      </c>
      <c r="I1727" s="376">
        <f t="shared" ref="I1727" si="198">(H1727/G1727)*100</f>
        <v>100</v>
      </c>
    </row>
    <row r="1728" spans="1:20" ht="18" customHeight="1" x14ac:dyDescent="0.2">
      <c r="A1728" s="431"/>
      <c r="B1728" s="673"/>
      <c r="C1728" s="1392"/>
      <c r="D1728" s="552" t="s">
        <v>1124</v>
      </c>
      <c r="E1728" s="455" t="s">
        <v>792</v>
      </c>
      <c r="F1728" s="827"/>
      <c r="G1728" s="827">
        <v>11775</v>
      </c>
      <c r="H1728" s="827">
        <v>11775</v>
      </c>
      <c r="I1728" s="823">
        <f t="shared" si="197"/>
        <v>100</v>
      </c>
    </row>
    <row r="1729" spans="1:20" ht="18" customHeight="1" x14ac:dyDescent="0.25">
      <c r="A1729" s="431">
        <v>1162</v>
      </c>
      <c r="B1729" s="673">
        <v>3123</v>
      </c>
      <c r="C1729" s="1392">
        <v>5336</v>
      </c>
      <c r="D1729" s="552"/>
      <c r="E1729" s="672" t="s">
        <v>2054</v>
      </c>
      <c r="F1729" s="827"/>
      <c r="G1729" s="851">
        <v>350</v>
      </c>
      <c r="H1729" s="851">
        <v>350</v>
      </c>
      <c r="I1729" s="853">
        <f t="shared" si="197"/>
        <v>100</v>
      </c>
    </row>
    <row r="1730" spans="1:20" ht="18" customHeight="1" thickBot="1" x14ac:dyDescent="0.25">
      <c r="A1730" s="431"/>
      <c r="B1730" s="673"/>
      <c r="C1730" s="1392"/>
      <c r="D1730" s="552" t="s">
        <v>1124</v>
      </c>
      <c r="E1730" s="455" t="s">
        <v>792</v>
      </c>
      <c r="F1730" s="827"/>
      <c r="G1730" s="827">
        <v>350</v>
      </c>
      <c r="H1730" s="827">
        <v>350</v>
      </c>
      <c r="I1730" s="823">
        <f t="shared" ref="I1730" si="199">(H1730/G1730)*100</f>
        <v>100</v>
      </c>
    </row>
    <row r="1731" spans="1:20" ht="16.5" thickTop="1" thickBot="1" x14ac:dyDescent="0.3">
      <c r="A1731" s="2672" t="s">
        <v>1105</v>
      </c>
      <c r="B1731" s="2673"/>
      <c r="C1731" s="2673"/>
      <c r="D1731" s="2673"/>
      <c r="E1731" s="2673"/>
      <c r="F1731" s="824">
        <f>F1721+F1724</f>
        <v>2116</v>
      </c>
      <c r="G1731" s="824">
        <f>G1721+G1724+G1729</f>
        <v>14319</v>
      </c>
      <c r="H1731" s="824">
        <f>H1721+H1724+H1729</f>
        <v>14319</v>
      </c>
      <c r="I1731" s="825">
        <f>(H1731/G1731)*100</f>
        <v>100</v>
      </c>
      <c r="R1731" s="382">
        <f>F1731</f>
        <v>2116</v>
      </c>
      <c r="S1731" s="382">
        <f>G1731</f>
        <v>14319</v>
      </c>
      <c r="T1731" s="382">
        <f>H1731</f>
        <v>14319</v>
      </c>
    </row>
    <row r="1732" spans="1:20" ht="13.5" thickTop="1" x14ac:dyDescent="0.2"/>
    <row r="1735" spans="1:20" ht="13.5" thickBot="1" x14ac:dyDescent="0.25">
      <c r="A1735" s="432" t="s">
        <v>180</v>
      </c>
      <c r="I1735" s="1390" t="s">
        <v>161</v>
      </c>
    </row>
    <row r="1736" spans="1:20" s="107" customFormat="1" thickTop="1" thickBot="1" x14ac:dyDescent="0.25">
      <c r="A1736" s="631" t="s">
        <v>624</v>
      </c>
      <c r="B1736" s="774" t="s">
        <v>162</v>
      </c>
      <c r="C1736" s="632" t="s">
        <v>163</v>
      </c>
      <c r="D1736" s="634" t="s">
        <v>705</v>
      </c>
      <c r="E1736" s="634" t="s">
        <v>164</v>
      </c>
      <c r="F1736" s="634" t="s">
        <v>165</v>
      </c>
      <c r="G1736" s="634" t="s">
        <v>881</v>
      </c>
      <c r="H1736" s="634" t="s">
        <v>882</v>
      </c>
      <c r="I1736" s="818" t="s">
        <v>883</v>
      </c>
    </row>
    <row r="1737" spans="1:20" s="383" customFormat="1" ht="13.5" thickTop="1" thickBot="1" x14ac:dyDescent="0.25">
      <c r="A1737" s="566">
        <v>1</v>
      </c>
      <c r="B1737" s="567">
        <v>2</v>
      </c>
      <c r="C1737" s="567">
        <v>3</v>
      </c>
      <c r="D1737" s="567">
        <v>4</v>
      </c>
      <c r="E1737" s="567">
        <v>5</v>
      </c>
      <c r="F1737" s="541">
        <v>6</v>
      </c>
      <c r="G1737" s="541">
        <v>7</v>
      </c>
      <c r="H1737" s="542">
        <v>8</v>
      </c>
      <c r="I1737" s="636" t="s">
        <v>762</v>
      </c>
    </row>
    <row r="1738" spans="1:20" ht="15.75" thickTop="1" x14ac:dyDescent="0.25">
      <c r="A1738" s="1402">
        <v>1163</v>
      </c>
      <c r="B1738" s="847">
        <v>3122</v>
      </c>
      <c r="C1738" s="847">
        <v>5331</v>
      </c>
      <c r="D1738" s="852"/>
      <c r="E1738" s="886" t="s">
        <v>951</v>
      </c>
      <c r="F1738" s="845">
        <f>F1739+F1740</f>
        <v>1554</v>
      </c>
      <c r="G1738" s="845">
        <f>G1739+G1740</f>
        <v>1546</v>
      </c>
      <c r="H1738" s="845">
        <f>H1739+H1740</f>
        <v>1546</v>
      </c>
      <c r="I1738" s="849">
        <f t="shared" ref="I1738:I1755" si="200">(H1738/G1738)*100</f>
        <v>100</v>
      </c>
    </row>
    <row r="1739" spans="1:20" ht="14.25" x14ac:dyDescent="0.2">
      <c r="A1739" s="431"/>
      <c r="B1739" s="673"/>
      <c r="C1739" s="673"/>
      <c r="D1739" s="707" t="s">
        <v>575</v>
      </c>
      <c r="E1739" s="1478" t="s">
        <v>793</v>
      </c>
      <c r="F1739" s="827">
        <v>37</v>
      </c>
      <c r="G1739" s="827">
        <v>44</v>
      </c>
      <c r="H1739" s="827">
        <v>44</v>
      </c>
      <c r="I1739" s="823">
        <f t="shared" si="200"/>
        <v>100</v>
      </c>
    </row>
    <row r="1740" spans="1:20" ht="14.25" x14ac:dyDescent="0.2">
      <c r="A1740" s="431"/>
      <c r="B1740" s="673"/>
      <c r="C1740" s="1392"/>
      <c r="D1740" s="552" t="s">
        <v>570</v>
      </c>
      <c r="E1740" s="455" t="s">
        <v>71</v>
      </c>
      <c r="F1740" s="827">
        <v>1517</v>
      </c>
      <c r="G1740" s="827">
        <v>1502</v>
      </c>
      <c r="H1740" s="827">
        <v>1502</v>
      </c>
      <c r="I1740" s="823">
        <f t="shared" si="200"/>
        <v>100</v>
      </c>
    </row>
    <row r="1741" spans="1:20" ht="14.25" customHeight="1" x14ac:dyDescent="0.25">
      <c r="A1741" s="431">
        <v>1163</v>
      </c>
      <c r="B1741" s="673">
        <v>3122</v>
      </c>
      <c r="C1741" s="1392">
        <v>5336</v>
      </c>
      <c r="D1741" s="1068"/>
      <c r="E1741" s="672" t="s">
        <v>2054</v>
      </c>
      <c r="F1741" s="827"/>
      <c r="G1741" s="851">
        <f>G1742+G1743+G1745+G1746</f>
        <v>13946</v>
      </c>
      <c r="H1741" s="851">
        <f>H1742+H1743+H1745+H1746</f>
        <v>13946</v>
      </c>
      <c r="I1741" s="853">
        <f t="shared" si="200"/>
        <v>100</v>
      </c>
    </row>
    <row r="1742" spans="1:20" ht="14.25" customHeight="1" x14ac:dyDescent="0.2">
      <c r="A1742" s="431"/>
      <c r="B1742" s="673"/>
      <c r="C1742" s="1392"/>
      <c r="D1742" s="1068" t="s">
        <v>1504</v>
      </c>
      <c r="E1742" s="2113" t="s">
        <v>1604</v>
      </c>
      <c r="F1742" s="827"/>
      <c r="G1742" s="827">
        <v>2</v>
      </c>
      <c r="H1742" s="827">
        <v>2</v>
      </c>
      <c r="I1742" s="823">
        <f t="shared" si="200"/>
        <v>100</v>
      </c>
    </row>
    <row r="1743" spans="1:20" ht="14.25" customHeight="1" x14ac:dyDescent="0.2">
      <c r="A1743" s="431"/>
      <c r="B1743" s="673"/>
      <c r="C1743" s="1392"/>
      <c r="D1743" s="1068" t="s">
        <v>1911</v>
      </c>
      <c r="E1743" s="2671" t="s">
        <v>2051</v>
      </c>
      <c r="F1743" s="827"/>
      <c r="G1743" s="837">
        <v>18</v>
      </c>
      <c r="H1743" s="837">
        <v>18</v>
      </c>
      <c r="I1743" s="823">
        <v>29</v>
      </c>
    </row>
    <row r="1744" spans="1:20" ht="14.25" customHeight="1" x14ac:dyDescent="0.25">
      <c r="A1744" s="431"/>
      <c r="B1744" s="673"/>
      <c r="C1744" s="1392"/>
      <c r="D1744" s="1068"/>
      <c r="E1744" s="2671"/>
      <c r="F1744" s="827"/>
      <c r="G1744" s="846"/>
      <c r="H1744" s="846"/>
      <c r="I1744" s="853"/>
    </row>
    <row r="1745" spans="1:20" ht="14.25" customHeight="1" x14ac:dyDescent="0.2">
      <c r="A1745" s="431"/>
      <c r="B1745" s="673"/>
      <c r="C1745" s="1392"/>
      <c r="D1745" s="1068" t="s">
        <v>1913</v>
      </c>
      <c r="E1745" s="2113" t="s">
        <v>2052</v>
      </c>
      <c r="F1745" s="2530"/>
      <c r="G1745" s="2531">
        <v>96</v>
      </c>
      <c r="H1745" s="2531">
        <v>96</v>
      </c>
      <c r="I1745" s="376">
        <f t="shared" ref="I1745" si="201">(H1745/G1745)*100</f>
        <v>100</v>
      </c>
    </row>
    <row r="1746" spans="1:20" ht="14.25" x14ac:dyDescent="0.2">
      <c r="A1746" s="431"/>
      <c r="B1746" s="673"/>
      <c r="C1746" s="1392"/>
      <c r="D1746" s="552" t="s">
        <v>1124</v>
      </c>
      <c r="E1746" s="455" t="s">
        <v>792</v>
      </c>
      <c r="F1746" s="827"/>
      <c r="G1746" s="827">
        <v>13830</v>
      </c>
      <c r="H1746" s="827">
        <v>13830</v>
      </c>
      <c r="I1746" s="823">
        <f t="shared" si="200"/>
        <v>100</v>
      </c>
    </row>
    <row r="1747" spans="1:20" ht="15" x14ac:dyDescent="0.25">
      <c r="A1747" s="431">
        <v>1163</v>
      </c>
      <c r="B1747" s="750">
        <v>3142</v>
      </c>
      <c r="C1747" s="750">
        <v>5331</v>
      </c>
      <c r="D1747" s="859"/>
      <c r="E1747" s="672" t="s">
        <v>951</v>
      </c>
      <c r="F1747" s="835">
        <f>F1748+F1749</f>
        <v>383</v>
      </c>
      <c r="G1747" s="835">
        <f>G1748+G1749</f>
        <v>379</v>
      </c>
      <c r="H1747" s="835">
        <f>H1748+H1749</f>
        <v>379</v>
      </c>
      <c r="I1747" s="836">
        <f t="shared" si="200"/>
        <v>100</v>
      </c>
    </row>
    <row r="1748" spans="1:20" ht="18" customHeight="1" x14ac:dyDescent="0.2">
      <c r="A1748" s="431"/>
      <c r="B1748" s="750"/>
      <c r="C1748" s="750"/>
      <c r="D1748" s="707" t="s">
        <v>575</v>
      </c>
      <c r="E1748" s="1478" t="s">
        <v>793</v>
      </c>
      <c r="F1748" s="833">
        <v>13</v>
      </c>
      <c r="G1748" s="833">
        <v>13</v>
      </c>
      <c r="H1748" s="833">
        <v>13</v>
      </c>
      <c r="I1748" s="828">
        <f t="shared" si="200"/>
        <v>100</v>
      </c>
    </row>
    <row r="1749" spans="1:20" ht="18" customHeight="1" x14ac:dyDescent="0.2">
      <c r="A1749" s="431"/>
      <c r="B1749" s="750"/>
      <c r="C1749" s="750"/>
      <c r="D1749" s="552" t="s">
        <v>570</v>
      </c>
      <c r="E1749" s="455" t="s">
        <v>71</v>
      </c>
      <c r="F1749" s="833">
        <v>370</v>
      </c>
      <c r="G1749" s="833">
        <v>366</v>
      </c>
      <c r="H1749" s="833">
        <v>366</v>
      </c>
      <c r="I1749" s="828">
        <f t="shared" ref="I1749" si="202">(H1749/G1749)*100</f>
        <v>100</v>
      </c>
    </row>
    <row r="1750" spans="1:20" ht="15" x14ac:dyDescent="0.25">
      <c r="A1750" s="431">
        <v>1163</v>
      </c>
      <c r="B1750" s="750">
        <v>3142</v>
      </c>
      <c r="C1750" s="750">
        <v>5336</v>
      </c>
      <c r="D1750" s="552"/>
      <c r="E1750" s="672" t="s">
        <v>2054</v>
      </c>
      <c r="F1750" s="833"/>
      <c r="G1750" s="846">
        <v>912</v>
      </c>
      <c r="H1750" s="846">
        <v>912</v>
      </c>
      <c r="I1750" s="838">
        <f t="shared" si="200"/>
        <v>100</v>
      </c>
    </row>
    <row r="1751" spans="1:20" ht="14.25" x14ac:dyDescent="0.2">
      <c r="A1751" s="431"/>
      <c r="B1751" s="750"/>
      <c r="C1751" s="1393"/>
      <c r="D1751" s="552" t="s">
        <v>1124</v>
      </c>
      <c r="E1751" s="455" t="s">
        <v>792</v>
      </c>
      <c r="F1751" s="833"/>
      <c r="G1751" s="833">
        <v>912</v>
      </c>
      <c r="H1751" s="833">
        <v>912</v>
      </c>
      <c r="I1751" s="828">
        <f t="shared" si="200"/>
        <v>100</v>
      </c>
    </row>
    <row r="1752" spans="1:20" ht="15" x14ac:dyDescent="0.25">
      <c r="A1752" s="431">
        <v>1163</v>
      </c>
      <c r="B1752" s="750">
        <v>3147</v>
      </c>
      <c r="C1752" s="750">
        <v>5331</v>
      </c>
      <c r="D1752" s="859"/>
      <c r="E1752" s="672" t="s">
        <v>951</v>
      </c>
      <c r="F1752" s="835">
        <v>487</v>
      </c>
      <c r="G1752" s="835">
        <v>482</v>
      </c>
      <c r="H1752" s="835">
        <v>482</v>
      </c>
      <c r="I1752" s="836">
        <f t="shared" si="200"/>
        <v>100</v>
      </c>
    </row>
    <row r="1753" spans="1:20" ht="14.25" x14ac:dyDescent="0.2">
      <c r="A1753" s="431"/>
      <c r="B1753" s="750"/>
      <c r="C1753" s="750"/>
      <c r="D1753" s="552" t="s">
        <v>570</v>
      </c>
      <c r="E1753" s="455" t="s">
        <v>71</v>
      </c>
      <c r="F1753" s="833">
        <v>487</v>
      </c>
      <c r="G1753" s="833">
        <v>482</v>
      </c>
      <c r="H1753" s="833">
        <v>482</v>
      </c>
      <c r="I1753" s="828">
        <f t="shared" si="200"/>
        <v>100</v>
      </c>
    </row>
    <row r="1754" spans="1:20" ht="15" x14ac:dyDescent="0.25">
      <c r="A1754" s="431">
        <v>1163</v>
      </c>
      <c r="B1754" s="750">
        <v>3147</v>
      </c>
      <c r="C1754" s="750">
        <v>5336</v>
      </c>
      <c r="D1754" s="552"/>
      <c r="E1754" s="672" t="s">
        <v>2054</v>
      </c>
      <c r="F1754" s="833"/>
      <c r="G1754" s="846">
        <v>1705</v>
      </c>
      <c r="H1754" s="846">
        <v>1705</v>
      </c>
      <c r="I1754" s="838">
        <f t="shared" si="200"/>
        <v>100</v>
      </c>
    </row>
    <row r="1755" spans="1:20" ht="15" thickBot="1" x14ac:dyDescent="0.25">
      <c r="A1755" s="431"/>
      <c r="B1755" s="750"/>
      <c r="C1755" s="1393"/>
      <c r="D1755" s="552" t="s">
        <v>1124</v>
      </c>
      <c r="E1755" s="455" t="s">
        <v>792</v>
      </c>
      <c r="F1755" s="833"/>
      <c r="G1755" s="833">
        <v>1705</v>
      </c>
      <c r="H1755" s="833">
        <v>1705</v>
      </c>
      <c r="I1755" s="828">
        <f t="shared" si="200"/>
        <v>100</v>
      </c>
    </row>
    <row r="1756" spans="1:20" ht="16.5" thickTop="1" thickBot="1" x14ac:dyDescent="0.3">
      <c r="A1756" s="2672" t="s">
        <v>1105</v>
      </c>
      <c r="B1756" s="2673"/>
      <c r="C1756" s="2673"/>
      <c r="D1756" s="2673"/>
      <c r="E1756" s="2673"/>
      <c r="F1756" s="824">
        <f>F1738+F1741+F1747+F1750+F1752+F1754</f>
        <v>2424</v>
      </c>
      <c r="G1756" s="824">
        <f>G1738+G1741+G1747+G1750+G1752+G1754</f>
        <v>18970</v>
      </c>
      <c r="H1756" s="824">
        <f>H1738+H1741+H1747+H1750+H1752+H1754</f>
        <v>18970</v>
      </c>
      <c r="I1756" s="825">
        <f>(H1756/G1756)*100</f>
        <v>100</v>
      </c>
      <c r="R1756" s="382">
        <f>F1756</f>
        <v>2424</v>
      </c>
      <c r="S1756" s="382">
        <f>G1756</f>
        <v>18970</v>
      </c>
      <c r="T1756" s="382">
        <f>H1756</f>
        <v>18970</v>
      </c>
    </row>
    <row r="1757" spans="1:20" ht="13.5" thickTop="1" x14ac:dyDescent="0.2"/>
    <row r="1758" spans="1:20" ht="13.5" thickBot="1" x14ac:dyDescent="0.25">
      <c r="A1758" s="432" t="s">
        <v>1214</v>
      </c>
      <c r="I1758" s="1390" t="s">
        <v>161</v>
      </c>
    </row>
    <row r="1759" spans="1:20" s="107" customFormat="1" thickTop="1" thickBot="1" x14ac:dyDescent="0.25">
      <c r="A1759" s="631" t="s">
        <v>624</v>
      </c>
      <c r="B1759" s="774" t="s">
        <v>162</v>
      </c>
      <c r="C1759" s="632" t="s">
        <v>163</v>
      </c>
      <c r="D1759" s="634" t="s">
        <v>705</v>
      </c>
      <c r="E1759" s="634" t="s">
        <v>164</v>
      </c>
      <c r="F1759" s="634" t="s">
        <v>165</v>
      </c>
      <c r="G1759" s="634" t="s">
        <v>881</v>
      </c>
      <c r="H1759" s="634" t="s">
        <v>882</v>
      </c>
      <c r="I1759" s="818" t="s">
        <v>883</v>
      </c>
    </row>
    <row r="1760" spans="1:20" s="383" customFormat="1" ht="13.5" thickTop="1" thickBot="1" x14ac:dyDescent="0.25">
      <c r="A1760" s="566">
        <v>1</v>
      </c>
      <c r="B1760" s="567">
        <v>2</v>
      </c>
      <c r="C1760" s="567">
        <v>3</v>
      </c>
      <c r="D1760" s="567">
        <v>4</v>
      </c>
      <c r="E1760" s="567">
        <v>5</v>
      </c>
      <c r="F1760" s="541">
        <v>6</v>
      </c>
      <c r="G1760" s="541">
        <v>7</v>
      </c>
      <c r="H1760" s="542">
        <v>8</v>
      </c>
      <c r="I1760" s="636" t="s">
        <v>762</v>
      </c>
    </row>
    <row r="1761" spans="1:16" ht="15.75" thickTop="1" x14ac:dyDescent="0.25">
      <c r="A1761" s="1402">
        <v>1171</v>
      </c>
      <c r="B1761" s="847">
        <v>3122</v>
      </c>
      <c r="C1761" s="847">
        <v>5331</v>
      </c>
      <c r="D1761" s="852"/>
      <c r="E1761" s="886" t="s">
        <v>951</v>
      </c>
      <c r="F1761" s="851">
        <v>1845</v>
      </c>
      <c r="G1761" s="851">
        <v>1827</v>
      </c>
      <c r="H1761" s="851">
        <v>1827</v>
      </c>
      <c r="I1761" s="853">
        <f>(H1761/G1761)*100</f>
        <v>100</v>
      </c>
    </row>
    <row r="1762" spans="1:16" ht="14.25" x14ac:dyDescent="0.2">
      <c r="A1762" s="431"/>
      <c r="B1762" s="673"/>
      <c r="C1762" s="1392"/>
      <c r="D1762" s="552" t="s">
        <v>570</v>
      </c>
      <c r="E1762" s="455" t="s">
        <v>71</v>
      </c>
      <c r="F1762" s="356">
        <v>1845</v>
      </c>
      <c r="G1762" s="356">
        <v>1827</v>
      </c>
      <c r="H1762" s="356">
        <v>1827</v>
      </c>
      <c r="I1762" s="854">
        <v>100</v>
      </c>
    </row>
    <row r="1763" spans="1:16" ht="15" x14ac:dyDescent="0.25">
      <c r="A1763" s="431">
        <v>1171</v>
      </c>
      <c r="B1763" s="673">
        <v>3122</v>
      </c>
      <c r="C1763" s="1392">
        <v>5336</v>
      </c>
      <c r="D1763" s="552"/>
      <c r="E1763" s="672" t="s">
        <v>2054</v>
      </c>
      <c r="F1763" s="356"/>
      <c r="G1763" s="851">
        <v>4461</v>
      </c>
      <c r="H1763" s="851">
        <v>4461</v>
      </c>
      <c r="I1763" s="838">
        <f>(H1763/G1763)*100</f>
        <v>100</v>
      </c>
      <c r="J1763" s="356" t="e">
        <f>J1764+#REF!+#REF!</f>
        <v>#REF!</v>
      </c>
      <c r="K1763" s="356" t="e">
        <f>K1764+#REF!+#REF!</f>
        <v>#REF!</v>
      </c>
      <c r="L1763" s="356" t="e">
        <f>L1764+#REF!+#REF!</f>
        <v>#REF!</v>
      </c>
      <c r="M1763" s="356" t="e">
        <f>M1764+#REF!+#REF!</f>
        <v>#REF!</v>
      </c>
      <c r="N1763" s="356" t="e">
        <f>N1764+#REF!+#REF!</f>
        <v>#REF!</v>
      </c>
      <c r="O1763" s="822" t="e">
        <f>O1764+#REF!+#REF!</f>
        <v>#REF!</v>
      </c>
      <c r="P1763" s="2117"/>
    </row>
    <row r="1764" spans="1:16" ht="14.25" x14ac:dyDescent="0.2">
      <c r="A1764" s="431"/>
      <c r="B1764" s="673"/>
      <c r="C1764" s="1392"/>
      <c r="D1764" s="552" t="s">
        <v>1124</v>
      </c>
      <c r="E1764" s="455" t="s">
        <v>792</v>
      </c>
      <c r="F1764" s="356"/>
      <c r="G1764" s="356">
        <v>4461</v>
      </c>
      <c r="H1764" s="356">
        <v>4461</v>
      </c>
      <c r="I1764" s="854">
        <v>100</v>
      </c>
    </row>
    <row r="1765" spans="1:16" ht="13.5" customHeight="1" x14ac:dyDescent="0.25">
      <c r="A1765" s="431">
        <v>1171</v>
      </c>
      <c r="B1765" s="750">
        <v>3123</v>
      </c>
      <c r="C1765" s="1393">
        <v>5331</v>
      </c>
      <c r="D1765" s="842"/>
      <c r="E1765" s="672" t="s">
        <v>951</v>
      </c>
      <c r="F1765" s="846">
        <f>F1766+F1767+F1768</f>
        <v>3102</v>
      </c>
      <c r="G1765" s="846">
        <f>G1766+G1767+G1768</f>
        <v>2576</v>
      </c>
      <c r="H1765" s="846">
        <f>H1766+H1767+H1768</f>
        <v>2576</v>
      </c>
      <c r="I1765" s="838">
        <f>(H1765/G1765)*100</f>
        <v>100</v>
      </c>
    </row>
    <row r="1766" spans="1:16" ht="14.25" x14ac:dyDescent="0.2">
      <c r="A1766" s="431"/>
      <c r="B1766" s="750"/>
      <c r="C1766" s="1393"/>
      <c r="D1766" s="791" t="s">
        <v>575</v>
      </c>
      <c r="E1766" s="1478" t="s">
        <v>793</v>
      </c>
      <c r="F1766" s="837">
        <v>695</v>
      </c>
      <c r="G1766" s="837">
        <v>695</v>
      </c>
      <c r="H1766" s="837">
        <v>695</v>
      </c>
      <c r="I1766" s="376">
        <v>100</v>
      </c>
    </row>
    <row r="1767" spans="1:16" ht="14.25" x14ac:dyDescent="0.2">
      <c r="A1767" s="431"/>
      <c r="B1767" s="750"/>
      <c r="C1767" s="1393"/>
      <c r="D1767" s="552" t="s">
        <v>570</v>
      </c>
      <c r="E1767" s="455" t="s">
        <v>71</v>
      </c>
      <c r="F1767" s="837">
        <v>2407</v>
      </c>
      <c r="G1767" s="837">
        <v>1783</v>
      </c>
      <c r="H1767" s="837">
        <v>1783</v>
      </c>
      <c r="I1767" s="376">
        <v>100</v>
      </c>
    </row>
    <row r="1768" spans="1:16" ht="14.25" x14ac:dyDescent="0.2">
      <c r="A1768" s="431"/>
      <c r="B1768" s="750"/>
      <c r="C1768" s="1393"/>
      <c r="D1768" s="1069" t="s">
        <v>924</v>
      </c>
      <c r="E1768" s="1161" t="s">
        <v>1213</v>
      </c>
      <c r="F1768" s="837"/>
      <c r="G1768" s="837">
        <v>98</v>
      </c>
      <c r="H1768" s="837">
        <v>98</v>
      </c>
      <c r="I1768" s="376">
        <v>100</v>
      </c>
    </row>
    <row r="1769" spans="1:16" ht="15" x14ac:dyDescent="0.25">
      <c r="A1769" s="431">
        <v>1171</v>
      </c>
      <c r="B1769" s="750">
        <v>3123</v>
      </c>
      <c r="C1769" s="1393">
        <v>5336</v>
      </c>
      <c r="D1769" s="1069"/>
      <c r="E1769" s="672" t="s">
        <v>2054</v>
      </c>
      <c r="F1769" s="837"/>
      <c r="G1769" s="846">
        <f>G1770+G1771+G1773+G1774</f>
        <v>5295</v>
      </c>
      <c r="H1769" s="846">
        <f>H1770+H1771+H1773+H1774</f>
        <v>5295</v>
      </c>
      <c r="I1769" s="838">
        <v>100</v>
      </c>
    </row>
    <row r="1770" spans="1:16" ht="14.25" x14ac:dyDescent="0.2">
      <c r="A1770" s="431"/>
      <c r="B1770" s="750"/>
      <c r="C1770" s="1393"/>
      <c r="D1770" s="1068" t="s">
        <v>1905</v>
      </c>
      <c r="E1770" s="2529" t="s">
        <v>1827</v>
      </c>
      <c r="F1770" s="314"/>
      <c r="G1770" s="316">
        <v>137</v>
      </c>
      <c r="H1770" s="316">
        <v>137</v>
      </c>
      <c r="I1770" s="1074">
        <f t="shared" ref="I1770" si="203">(H1770/G1770)*100</f>
        <v>100</v>
      </c>
    </row>
    <row r="1771" spans="1:16" ht="14.25" x14ac:dyDescent="0.2">
      <c r="A1771" s="431"/>
      <c r="B1771" s="750"/>
      <c r="C1771" s="1393"/>
      <c r="D1771" s="1068" t="s">
        <v>1911</v>
      </c>
      <c r="E1771" s="2671" t="s">
        <v>2051</v>
      </c>
      <c r="F1771" s="827"/>
      <c r="G1771" s="837">
        <v>13</v>
      </c>
      <c r="H1771" s="837">
        <v>13</v>
      </c>
      <c r="I1771" s="823">
        <v>29</v>
      </c>
    </row>
    <row r="1772" spans="1:16" ht="15" x14ac:dyDescent="0.25">
      <c r="A1772" s="431"/>
      <c r="B1772" s="750"/>
      <c r="C1772" s="1393"/>
      <c r="D1772" s="1068"/>
      <c r="E1772" s="2671"/>
      <c r="F1772" s="827"/>
      <c r="G1772" s="846"/>
      <c r="H1772" s="846"/>
      <c r="I1772" s="853"/>
    </row>
    <row r="1773" spans="1:16" ht="15" x14ac:dyDescent="0.2">
      <c r="A1773" s="431"/>
      <c r="B1773" s="750"/>
      <c r="C1773" s="1393"/>
      <c r="D1773" s="1068" t="s">
        <v>1913</v>
      </c>
      <c r="E1773" s="2113" t="s">
        <v>2052</v>
      </c>
      <c r="F1773" s="2530"/>
      <c r="G1773" s="2531">
        <v>80</v>
      </c>
      <c r="H1773" s="2531">
        <v>80</v>
      </c>
      <c r="I1773" s="376">
        <f t="shared" ref="I1773" si="204">(H1773/G1773)*100</f>
        <v>100</v>
      </c>
    </row>
    <row r="1774" spans="1:16" ht="14.25" x14ac:dyDescent="0.2">
      <c r="A1774" s="431"/>
      <c r="B1774" s="750"/>
      <c r="C1774" s="1393"/>
      <c r="D1774" s="552" t="s">
        <v>1124</v>
      </c>
      <c r="E1774" s="455" t="s">
        <v>792</v>
      </c>
      <c r="F1774" s="837"/>
      <c r="G1774" s="837">
        <v>5065</v>
      </c>
      <c r="H1774" s="837">
        <v>5065</v>
      </c>
      <c r="I1774" s="376">
        <v>100</v>
      </c>
    </row>
    <row r="1775" spans="1:16" ht="15" x14ac:dyDescent="0.25">
      <c r="A1775" s="431">
        <v>1171</v>
      </c>
      <c r="B1775" s="750">
        <v>3141</v>
      </c>
      <c r="C1775" s="1393">
        <v>5336</v>
      </c>
      <c r="D1775" s="568"/>
      <c r="E1775" s="672" t="s">
        <v>2054</v>
      </c>
      <c r="F1775" s="846"/>
      <c r="G1775" s="846">
        <v>134</v>
      </c>
      <c r="H1775" s="846">
        <v>134</v>
      </c>
      <c r="I1775" s="838">
        <v>100</v>
      </c>
    </row>
    <row r="1776" spans="1:16" ht="14.25" x14ac:dyDescent="0.2">
      <c r="A1776" s="431"/>
      <c r="B1776" s="750"/>
      <c r="C1776" s="1393"/>
      <c r="D1776" s="552" t="s">
        <v>1124</v>
      </c>
      <c r="E1776" s="455" t="s">
        <v>792</v>
      </c>
      <c r="F1776" s="837"/>
      <c r="G1776" s="837">
        <v>134</v>
      </c>
      <c r="H1776" s="837">
        <v>1345</v>
      </c>
      <c r="I1776" s="376">
        <v>100</v>
      </c>
    </row>
    <row r="1777" spans="1:20" ht="15" x14ac:dyDescent="0.25">
      <c r="A1777" s="431">
        <v>1171</v>
      </c>
      <c r="B1777" s="750">
        <v>3142</v>
      </c>
      <c r="C1777" s="750">
        <v>5331</v>
      </c>
      <c r="D1777" s="859"/>
      <c r="E1777" s="672" t="s">
        <v>951</v>
      </c>
      <c r="F1777" s="846">
        <f>F1778+F1779</f>
        <v>383</v>
      </c>
      <c r="G1777" s="846">
        <f>G1778+G1779</f>
        <v>380</v>
      </c>
      <c r="H1777" s="846">
        <f>H1778+H1779</f>
        <v>380</v>
      </c>
      <c r="I1777" s="838">
        <f>(H1777/G1777)*100</f>
        <v>100</v>
      </c>
    </row>
    <row r="1778" spans="1:20" ht="14.25" customHeight="1" x14ac:dyDescent="0.2">
      <c r="A1778" s="431"/>
      <c r="B1778" s="750"/>
      <c r="C1778" s="750"/>
      <c r="D1778" s="707" t="s">
        <v>575</v>
      </c>
      <c r="E1778" s="1478" t="s">
        <v>793</v>
      </c>
      <c r="F1778" s="837">
        <v>25</v>
      </c>
      <c r="G1778" s="837">
        <v>26</v>
      </c>
      <c r="H1778" s="837">
        <v>26</v>
      </c>
      <c r="I1778" s="376">
        <v>100</v>
      </c>
    </row>
    <row r="1779" spans="1:20" ht="14.25" x14ac:dyDescent="0.2">
      <c r="A1779" s="431"/>
      <c r="B1779" s="750"/>
      <c r="C1779" s="750"/>
      <c r="D1779" s="552" t="s">
        <v>570</v>
      </c>
      <c r="E1779" s="455" t="s">
        <v>71</v>
      </c>
      <c r="F1779" s="837">
        <v>358</v>
      </c>
      <c r="G1779" s="837">
        <v>354</v>
      </c>
      <c r="H1779" s="837">
        <v>354</v>
      </c>
      <c r="I1779" s="376">
        <v>100</v>
      </c>
    </row>
    <row r="1780" spans="1:20" ht="15" x14ac:dyDescent="0.25">
      <c r="A1780" s="431">
        <v>1171</v>
      </c>
      <c r="B1780" s="750">
        <v>3142</v>
      </c>
      <c r="C1780" s="750">
        <v>5336</v>
      </c>
      <c r="D1780" s="552"/>
      <c r="E1780" s="672" t="s">
        <v>2054</v>
      </c>
      <c r="F1780" s="837"/>
      <c r="G1780" s="846">
        <v>824</v>
      </c>
      <c r="H1780" s="846">
        <v>824</v>
      </c>
      <c r="I1780" s="838">
        <f>(H1780/G1780)*100</f>
        <v>100</v>
      </c>
    </row>
    <row r="1781" spans="1:20" ht="14.25" x14ac:dyDescent="0.2">
      <c r="A1781" s="431"/>
      <c r="B1781" s="750"/>
      <c r="C1781" s="750"/>
      <c r="D1781" s="552" t="s">
        <v>1124</v>
      </c>
      <c r="E1781" s="455" t="s">
        <v>792</v>
      </c>
      <c r="F1781" s="837"/>
      <c r="G1781" s="837">
        <v>824</v>
      </c>
      <c r="H1781" s="837">
        <v>824</v>
      </c>
      <c r="I1781" s="376">
        <v>100</v>
      </c>
    </row>
    <row r="1782" spans="1:20" ht="15" x14ac:dyDescent="0.25">
      <c r="A1782" s="431">
        <v>1171</v>
      </c>
      <c r="B1782" s="750">
        <v>3147</v>
      </c>
      <c r="C1782" s="750">
        <v>5331</v>
      </c>
      <c r="D1782" s="859"/>
      <c r="E1782" s="672" t="s">
        <v>951</v>
      </c>
      <c r="F1782" s="846">
        <f>F1783+F1784</f>
        <v>703</v>
      </c>
      <c r="G1782" s="846">
        <f>G1783+G1784</f>
        <v>698</v>
      </c>
      <c r="H1782" s="846">
        <f>H1783+H1784</f>
        <v>698</v>
      </c>
      <c r="I1782" s="838">
        <f>(H1782/G1782)*100</f>
        <v>100</v>
      </c>
    </row>
    <row r="1783" spans="1:20" ht="14.25" x14ac:dyDescent="0.2">
      <c r="A1783" s="431"/>
      <c r="B1783" s="750"/>
      <c r="C1783" s="750"/>
      <c r="D1783" s="707" t="s">
        <v>575</v>
      </c>
      <c r="E1783" s="1478" t="s">
        <v>793</v>
      </c>
      <c r="F1783" s="837">
        <v>191</v>
      </c>
      <c r="G1783" s="837">
        <v>191</v>
      </c>
      <c r="H1783" s="837">
        <v>191</v>
      </c>
      <c r="I1783" s="376">
        <v>100</v>
      </c>
    </row>
    <row r="1784" spans="1:20" ht="14.25" x14ac:dyDescent="0.2">
      <c r="A1784" s="431"/>
      <c r="B1784" s="750"/>
      <c r="C1784" s="750"/>
      <c r="D1784" s="552" t="s">
        <v>570</v>
      </c>
      <c r="E1784" s="455" t="s">
        <v>71</v>
      </c>
      <c r="F1784" s="837">
        <v>512</v>
      </c>
      <c r="G1784" s="837">
        <v>507</v>
      </c>
      <c r="H1784" s="837">
        <v>507</v>
      </c>
      <c r="I1784" s="376">
        <v>100</v>
      </c>
    </row>
    <row r="1785" spans="1:20" ht="15" x14ac:dyDescent="0.25">
      <c r="A1785" s="431">
        <v>1171</v>
      </c>
      <c r="B1785" s="750">
        <v>3147</v>
      </c>
      <c r="C1785" s="750">
        <v>5336</v>
      </c>
      <c r="D1785" s="552"/>
      <c r="E1785" s="672" t="s">
        <v>2054</v>
      </c>
      <c r="F1785" s="837"/>
      <c r="G1785" s="846">
        <v>1526</v>
      </c>
      <c r="H1785" s="846">
        <v>1526</v>
      </c>
      <c r="I1785" s="838">
        <v>100</v>
      </c>
    </row>
    <row r="1786" spans="1:20" ht="15.75" thickBot="1" x14ac:dyDescent="0.3">
      <c r="A1786" s="431"/>
      <c r="B1786" s="750"/>
      <c r="C1786" s="750"/>
      <c r="D1786" s="552" t="s">
        <v>1124</v>
      </c>
      <c r="E1786" s="455" t="s">
        <v>792</v>
      </c>
      <c r="F1786" s="846"/>
      <c r="G1786" s="837">
        <v>1526</v>
      </c>
      <c r="H1786" s="837">
        <v>1526</v>
      </c>
      <c r="I1786" s="376">
        <v>100</v>
      </c>
    </row>
    <row r="1787" spans="1:20" ht="16.5" thickTop="1" thickBot="1" x14ac:dyDescent="0.3">
      <c r="A1787" s="2679" t="s">
        <v>1105</v>
      </c>
      <c r="B1787" s="2680"/>
      <c r="C1787" s="2680"/>
      <c r="D1787" s="2680"/>
      <c r="E1787" s="2681"/>
      <c r="F1787" s="889">
        <f>F1761+F1765+F1777+F1782+F1775+F1763+F1769+F1780+F1785</f>
        <v>6033</v>
      </c>
      <c r="G1787" s="889">
        <f>G1761+G1765+G1777+G1782+G1775+G1763+G1769+G1780+G1785</f>
        <v>17721</v>
      </c>
      <c r="H1787" s="889">
        <f>H1761+H1765+H1777+H1782+H1775+H1763+H1769+H1780+H1785</f>
        <v>17721</v>
      </c>
      <c r="I1787" s="890">
        <f>(H1787/G1787)*100</f>
        <v>100</v>
      </c>
      <c r="R1787" s="382">
        <f>F1787</f>
        <v>6033</v>
      </c>
      <c r="S1787" s="382">
        <f>G1787</f>
        <v>17721</v>
      </c>
      <c r="T1787" s="382">
        <f>H1787</f>
        <v>17721</v>
      </c>
    </row>
    <row r="1788" spans="1:20" ht="15.75" thickTop="1" x14ac:dyDescent="0.25">
      <c r="A1788" s="368"/>
      <c r="B1788" s="368"/>
      <c r="C1788" s="368"/>
      <c r="D1788" s="368"/>
      <c r="E1788" s="368"/>
      <c r="F1788" s="920"/>
      <c r="G1788" s="920"/>
      <c r="H1788" s="920"/>
      <c r="I1788" s="1407"/>
      <c r="R1788" s="382"/>
      <c r="S1788" s="382"/>
      <c r="T1788" s="382"/>
    </row>
    <row r="1789" spans="1:20" ht="15" x14ac:dyDescent="0.25">
      <c r="A1789" s="368"/>
      <c r="B1789" s="368"/>
      <c r="C1789" s="368"/>
      <c r="D1789" s="368"/>
      <c r="E1789" s="368"/>
      <c r="F1789" s="920"/>
      <c r="G1789" s="920"/>
      <c r="H1789" s="920"/>
      <c r="I1789" s="1407"/>
      <c r="R1789" s="382"/>
      <c r="S1789" s="382"/>
      <c r="T1789" s="382"/>
    </row>
    <row r="1790" spans="1:20" ht="13.5" thickBot="1" x14ac:dyDescent="0.25">
      <c r="A1790" s="432" t="s">
        <v>359</v>
      </c>
      <c r="I1790" s="1390" t="s">
        <v>161</v>
      </c>
    </row>
    <row r="1791" spans="1:20" s="107" customFormat="1" thickTop="1" thickBot="1" x14ac:dyDescent="0.25">
      <c r="A1791" s="631" t="s">
        <v>624</v>
      </c>
      <c r="B1791" s="774" t="s">
        <v>162</v>
      </c>
      <c r="C1791" s="632" t="s">
        <v>163</v>
      </c>
      <c r="D1791" s="634" t="s">
        <v>705</v>
      </c>
      <c r="E1791" s="634" t="s">
        <v>164</v>
      </c>
      <c r="F1791" s="634" t="s">
        <v>165</v>
      </c>
      <c r="G1791" s="634" t="s">
        <v>881</v>
      </c>
      <c r="H1791" s="634" t="s">
        <v>882</v>
      </c>
      <c r="I1791" s="818" t="s">
        <v>883</v>
      </c>
    </row>
    <row r="1792" spans="1:20" s="383" customFormat="1" ht="13.5" thickTop="1" thickBot="1" x14ac:dyDescent="0.25">
      <c r="A1792" s="566">
        <v>1</v>
      </c>
      <c r="B1792" s="567">
        <v>2</v>
      </c>
      <c r="C1792" s="567">
        <v>3</v>
      </c>
      <c r="D1792" s="567">
        <v>4</v>
      </c>
      <c r="E1792" s="567">
        <v>5</v>
      </c>
      <c r="F1792" s="541">
        <v>6</v>
      </c>
      <c r="G1792" s="541">
        <v>7</v>
      </c>
      <c r="H1792" s="542">
        <v>8</v>
      </c>
      <c r="I1792" s="636" t="s">
        <v>762</v>
      </c>
    </row>
    <row r="1793" spans="1:9" ht="12.75" customHeight="1" thickTop="1" x14ac:dyDescent="0.25">
      <c r="A1793" s="1402">
        <v>1173</v>
      </c>
      <c r="B1793" s="847">
        <v>3122</v>
      </c>
      <c r="C1793" s="847">
        <v>5331</v>
      </c>
      <c r="D1793" s="852"/>
      <c r="E1793" s="886" t="s">
        <v>951</v>
      </c>
      <c r="F1793" s="845">
        <v>1889</v>
      </c>
      <c r="G1793" s="845">
        <v>1870</v>
      </c>
      <c r="H1793" s="845">
        <v>1870</v>
      </c>
      <c r="I1793" s="849">
        <f t="shared" ref="I1793:I1825" si="205">(H1793/G1793)*100</f>
        <v>100</v>
      </c>
    </row>
    <row r="1794" spans="1:9" ht="14.25" x14ac:dyDescent="0.2">
      <c r="A1794" s="431"/>
      <c r="B1794" s="673"/>
      <c r="C1794" s="673"/>
      <c r="D1794" s="552" t="s">
        <v>570</v>
      </c>
      <c r="E1794" s="455" t="s">
        <v>71</v>
      </c>
      <c r="F1794" s="827">
        <v>1889</v>
      </c>
      <c r="G1794" s="827">
        <v>1870</v>
      </c>
      <c r="H1794" s="827">
        <v>1870</v>
      </c>
      <c r="I1794" s="823">
        <f t="shared" si="205"/>
        <v>100</v>
      </c>
    </row>
    <row r="1795" spans="1:9" ht="15" x14ac:dyDescent="0.25">
      <c r="A1795" s="431">
        <v>1173</v>
      </c>
      <c r="B1795" s="673">
        <v>3122</v>
      </c>
      <c r="C1795" s="673">
        <v>5336</v>
      </c>
      <c r="D1795" s="2541"/>
      <c r="E1795" s="672" t="s">
        <v>2054</v>
      </c>
      <c r="F1795" s="827"/>
      <c r="G1795" s="846">
        <v>2857</v>
      </c>
      <c r="H1795" s="851">
        <v>2857</v>
      </c>
      <c r="I1795" s="853">
        <f t="shared" si="205"/>
        <v>100</v>
      </c>
    </row>
    <row r="1796" spans="1:9" ht="14.25" x14ac:dyDescent="0.2">
      <c r="A1796" s="431"/>
      <c r="B1796" s="673"/>
      <c r="C1796" s="1392"/>
      <c r="D1796" s="552" t="s">
        <v>1124</v>
      </c>
      <c r="E1796" s="455" t="s">
        <v>792</v>
      </c>
      <c r="F1796" s="827"/>
      <c r="G1796" s="833">
        <v>2857</v>
      </c>
      <c r="H1796" s="827">
        <v>2857</v>
      </c>
      <c r="I1796" s="823">
        <f t="shared" si="205"/>
        <v>100</v>
      </c>
    </row>
    <row r="1797" spans="1:9" ht="15" x14ac:dyDescent="0.25">
      <c r="A1797" s="431">
        <v>1173</v>
      </c>
      <c r="B1797" s="750">
        <v>3123</v>
      </c>
      <c r="C1797" s="750">
        <v>5331</v>
      </c>
      <c r="D1797" s="859"/>
      <c r="E1797" s="672" t="s">
        <v>951</v>
      </c>
      <c r="F1797" s="835">
        <f>F1798+F1799+F1800+F1801</f>
        <v>6941</v>
      </c>
      <c r="G1797" s="835">
        <f>G1798+G1799+G1800+G1801</f>
        <v>7446</v>
      </c>
      <c r="H1797" s="835">
        <f>H1798+H1799+H1800+H1801</f>
        <v>7446</v>
      </c>
      <c r="I1797" s="836">
        <f t="shared" si="205"/>
        <v>100</v>
      </c>
    </row>
    <row r="1798" spans="1:9" ht="14.25" x14ac:dyDescent="0.2">
      <c r="A1798" s="431"/>
      <c r="B1798" s="750"/>
      <c r="C1798" s="750"/>
      <c r="D1798" s="707" t="s">
        <v>575</v>
      </c>
      <c r="E1798" s="1478" t="s">
        <v>793</v>
      </c>
      <c r="F1798" s="833">
        <v>2977</v>
      </c>
      <c r="G1798" s="833">
        <v>2901</v>
      </c>
      <c r="H1798" s="833">
        <v>2901</v>
      </c>
      <c r="I1798" s="828">
        <f t="shared" si="205"/>
        <v>100</v>
      </c>
    </row>
    <row r="1799" spans="1:9" ht="14.25" x14ac:dyDescent="0.2">
      <c r="A1799" s="431"/>
      <c r="B1799" s="750"/>
      <c r="C1799" s="750"/>
      <c r="D1799" s="552" t="s">
        <v>570</v>
      </c>
      <c r="E1799" s="455" t="s">
        <v>71</v>
      </c>
      <c r="F1799" s="833">
        <v>3864</v>
      </c>
      <c r="G1799" s="833">
        <v>3823</v>
      </c>
      <c r="H1799" s="833">
        <v>3823</v>
      </c>
      <c r="I1799" s="828">
        <f t="shared" si="205"/>
        <v>100</v>
      </c>
    </row>
    <row r="1800" spans="1:9" ht="14.25" x14ac:dyDescent="0.2">
      <c r="A1800" s="431"/>
      <c r="B1800" s="750"/>
      <c r="C1800" s="750"/>
      <c r="D1800" s="552" t="s">
        <v>665</v>
      </c>
      <c r="E1800" s="455" t="s">
        <v>74</v>
      </c>
      <c r="F1800" s="833">
        <v>100</v>
      </c>
      <c r="G1800" s="833">
        <v>102</v>
      </c>
      <c r="H1800" s="833">
        <v>102</v>
      </c>
      <c r="I1800" s="828">
        <f t="shared" si="205"/>
        <v>100</v>
      </c>
    </row>
    <row r="1801" spans="1:9" ht="14.25" x14ac:dyDescent="0.2">
      <c r="A1801" s="431"/>
      <c r="B1801" s="750"/>
      <c r="C1801" s="750"/>
      <c r="D1801" s="1069" t="s">
        <v>924</v>
      </c>
      <c r="E1801" s="1161" t="s">
        <v>1213</v>
      </c>
      <c r="F1801" s="833"/>
      <c r="G1801" s="833">
        <v>620</v>
      </c>
      <c r="H1801" s="833">
        <v>620</v>
      </c>
      <c r="I1801" s="828">
        <f t="shared" si="205"/>
        <v>100</v>
      </c>
    </row>
    <row r="1802" spans="1:9" ht="15" x14ac:dyDescent="0.25">
      <c r="A1802" s="431">
        <v>1173</v>
      </c>
      <c r="B1802" s="750">
        <v>3123</v>
      </c>
      <c r="C1802" s="750">
        <v>5336</v>
      </c>
      <c r="D1802" s="1069"/>
      <c r="E1802" s="672" t="s">
        <v>2054</v>
      </c>
      <c r="F1802" s="833"/>
      <c r="G1802" s="846">
        <f>G1803+G1804+G1807+G1809+G1810</f>
        <v>25682</v>
      </c>
      <c r="H1802" s="846">
        <f>H1803+H1804+H1807+H1809+H1810</f>
        <v>25682</v>
      </c>
      <c r="I1802" s="838">
        <f t="shared" si="205"/>
        <v>100</v>
      </c>
    </row>
    <row r="1803" spans="1:9" ht="14.25" x14ac:dyDescent="0.2">
      <c r="A1803" s="431"/>
      <c r="B1803" s="750"/>
      <c r="C1803" s="750"/>
      <c r="D1803" s="1068" t="s">
        <v>1905</v>
      </c>
      <c r="E1803" s="2529" t="s">
        <v>1827</v>
      </c>
      <c r="F1803" s="314"/>
      <c r="G1803" s="316">
        <v>1772</v>
      </c>
      <c r="H1803" s="316">
        <v>1772</v>
      </c>
      <c r="I1803" s="1074">
        <f t="shared" si="205"/>
        <v>100</v>
      </c>
    </row>
    <row r="1804" spans="1:9" ht="14.25" x14ac:dyDescent="0.2">
      <c r="A1804" s="431"/>
      <c r="B1804" s="750"/>
      <c r="C1804" s="750"/>
      <c r="D1804" s="1068" t="s">
        <v>1909</v>
      </c>
      <c r="E1804" s="2694" t="s">
        <v>2058</v>
      </c>
      <c r="F1804" s="314"/>
      <c r="G1804" s="316">
        <v>148</v>
      </c>
      <c r="H1804" s="316">
        <v>148</v>
      </c>
      <c r="I1804" s="1074">
        <f t="shared" si="205"/>
        <v>100</v>
      </c>
    </row>
    <row r="1805" spans="1:9" ht="14.25" x14ac:dyDescent="0.2">
      <c r="A1805" s="431"/>
      <c r="B1805" s="750"/>
      <c r="C1805" s="750"/>
      <c r="D1805" s="1068"/>
      <c r="E1805" s="2694"/>
      <c r="F1805" s="314"/>
      <c r="G1805" s="316"/>
      <c r="H1805" s="316"/>
      <c r="I1805" s="1074"/>
    </row>
    <row r="1806" spans="1:9" ht="14.25" x14ac:dyDescent="0.2">
      <c r="A1806" s="431"/>
      <c r="B1806" s="750"/>
      <c r="C1806" s="750"/>
      <c r="D1806" s="1068"/>
      <c r="E1806" s="2694"/>
      <c r="F1806" s="314"/>
      <c r="G1806" s="316"/>
      <c r="H1806" s="316"/>
      <c r="I1806" s="1074"/>
    </row>
    <row r="1807" spans="1:9" ht="14.25" x14ac:dyDescent="0.2">
      <c r="A1807" s="431"/>
      <c r="B1807" s="750"/>
      <c r="C1807" s="750"/>
      <c r="D1807" s="1068" t="s">
        <v>1911</v>
      </c>
      <c r="E1807" s="2671" t="s">
        <v>2051</v>
      </c>
      <c r="F1807" s="827"/>
      <c r="G1807" s="837">
        <v>38</v>
      </c>
      <c r="H1807" s="837">
        <v>38</v>
      </c>
      <c r="I1807" s="823">
        <v>29</v>
      </c>
    </row>
    <row r="1808" spans="1:9" ht="15" x14ac:dyDescent="0.25">
      <c r="A1808" s="431"/>
      <c r="B1808" s="750"/>
      <c r="C1808" s="750"/>
      <c r="D1808" s="1068"/>
      <c r="E1808" s="2671"/>
      <c r="F1808" s="827"/>
      <c r="G1808" s="846"/>
      <c r="H1808" s="846"/>
      <c r="I1808" s="853"/>
    </row>
    <row r="1809" spans="1:9" ht="15" x14ac:dyDescent="0.2">
      <c r="A1809" s="431"/>
      <c r="B1809" s="750"/>
      <c r="C1809" s="750"/>
      <c r="D1809" s="1068" t="s">
        <v>1913</v>
      </c>
      <c r="E1809" s="2113" t="s">
        <v>2052</v>
      </c>
      <c r="F1809" s="2530"/>
      <c r="G1809" s="2531">
        <v>212</v>
      </c>
      <c r="H1809" s="2531">
        <v>212</v>
      </c>
      <c r="I1809" s="376">
        <f t="shared" ref="I1809" si="206">(H1809/G1809)*100</f>
        <v>100</v>
      </c>
    </row>
    <row r="1810" spans="1:9" ht="14.25" x14ac:dyDescent="0.2">
      <c r="A1810" s="431"/>
      <c r="B1810" s="750"/>
      <c r="C1810" s="750"/>
      <c r="D1810" s="552" t="s">
        <v>1124</v>
      </c>
      <c r="E1810" s="455" t="s">
        <v>792</v>
      </c>
      <c r="F1810" s="833"/>
      <c r="G1810" s="833">
        <v>23512</v>
      </c>
      <c r="H1810" s="833">
        <v>23512</v>
      </c>
      <c r="I1810" s="828">
        <f t="shared" si="205"/>
        <v>100</v>
      </c>
    </row>
    <row r="1811" spans="1:9" ht="15" x14ac:dyDescent="0.25">
      <c r="A1811" s="431">
        <v>1173</v>
      </c>
      <c r="B1811" s="750">
        <v>3124</v>
      </c>
      <c r="C1811" s="750">
        <v>5331</v>
      </c>
      <c r="D1811" s="568"/>
      <c r="E1811" s="672" t="s">
        <v>951</v>
      </c>
      <c r="F1811" s="846"/>
      <c r="G1811" s="846">
        <v>129</v>
      </c>
      <c r="H1811" s="846">
        <v>129</v>
      </c>
      <c r="I1811" s="838">
        <f t="shared" si="205"/>
        <v>100</v>
      </c>
    </row>
    <row r="1812" spans="1:9" ht="15" x14ac:dyDescent="0.25">
      <c r="A1812" s="431"/>
      <c r="B1812" s="750"/>
      <c r="C1812" s="750"/>
      <c r="D1812" s="1069" t="s">
        <v>924</v>
      </c>
      <c r="E1812" s="1161" t="s">
        <v>1213</v>
      </c>
      <c r="F1812" s="846"/>
      <c r="G1812" s="837">
        <v>129</v>
      </c>
      <c r="H1812" s="837">
        <v>129</v>
      </c>
      <c r="I1812" s="376">
        <f t="shared" si="205"/>
        <v>100</v>
      </c>
    </row>
    <row r="1813" spans="1:9" ht="15" x14ac:dyDescent="0.25">
      <c r="A1813" s="431">
        <v>1173</v>
      </c>
      <c r="B1813" s="750">
        <v>3141</v>
      </c>
      <c r="C1813" s="750">
        <v>5336</v>
      </c>
      <c r="D1813" s="1069"/>
      <c r="E1813" s="672" t="s">
        <v>2054</v>
      </c>
      <c r="F1813" s="846"/>
      <c r="G1813" s="846">
        <v>255</v>
      </c>
      <c r="H1813" s="846">
        <v>255</v>
      </c>
      <c r="I1813" s="838">
        <f t="shared" si="205"/>
        <v>100</v>
      </c>
    </row>
    <row r="1814" spans="1:9" ht="14.25" x14ac:dyDescent="0.2">
      <c r="A1814" s="431"/>
      <c r="B1814" s="750"/>
      <c r="C1814" s="750"/>
      <c r="D1814" s="552" t="s">
        <v>1124</v>
      </c>
      <c r="E1814" s="455" t="s">
        <v>792</v>
      </c>
      <c r="F1814" s="833"/>
      <c r="G1814" s="833">
        <v>255</v>
      </c>
      <c r="H1814" s="833">
        <v>255</v>
      </c>
      <c r="I1814" s="828">
        <f t="shared" si="205"/>
        <v>100</v>
      </c>
    </row>
    <row r="1815" spans="1:9" ht="15" x14ac:dyDescent="0.25">
      <c r="A1815" s="431">
        <v>1173</v>
      </c>
      <c r="B1815" s="750">
        <v>3142</v>
      </c>
      <c r="C1815" s="750">
        <v>5331</v>
      </c>
      <c r="D1815" s="859"/>
      <c r="E1815" s="672" t="s">
        <v>951</v>
      </c>
      <c r="F1815" s="835">
        <v>871</v>
      </c>
      <c r="G1815" s="835">
        <v>862</v>
      </c>
      <c r="H1815" s="835">
        <v>862</v>
      </c>
      <c r="I1815" s="836">
        <f t="shared" si="205"/>
        <v>100</v>
      </c>
    </row>
    <row r="1816" spans="1:9" ht="14.25" x14ac:dyDescent="0.2">
      <c r="A1816" s="431"/>
      <c r="B1816" s="750"/>
      <c r="C1816" s="750"/>
      <c r="D1816" s="552" t="s">
        <v>570</v>
      </c>
      <c r="E1816" s="455" t="s">
        <v>71</v>
      </c>
      <c r="F1816" s="833">
        <v>871</v>
      </c>
      <c r="G1816" s="833">
        <v>862</v>
      </c>
      <c r="H1816" s="833">
        <v>862</v>
      </c>
      <c r="I1816" s="828">
        <f t="shared" si="205"/>
        <v>100</v>
      </c>
    </row>
    <row r="1817" spans="1:9" ht="15" x14ac:dyDescent="0.25">
      <c r="A1817" s="431">
        <v>1173</v>
      </c>
      <c r="B1817" s="750">
        <v>3142</v>
      </c>
      <c r="C1817" s="750">
        <v>5336</v>
      </c>
      <c r="D1817" s="552"/>
      <c r="E1817" s="672" t="s">
        <v>2054</v>
      </c>
      <c r="F1817" s="833"/>
      <c r="G1817" s="846">
        <v>1709</v>
      </c>
      <c r="H1817" s="846">
        <v>1709</v>
      </c>
      <c r="I1817" s="838">
        <f t="shared" si="205"/>
        <v>100</v>
      </c>
    </row>
    <row r="1818" spans="1:9" ht="14.25" x14ac:dyDescent="0.2">
      <c r="A1818" s="431"/>
      <c r="B1818" s="750"/>
      <c r="C1818" s="750"/>
      <c r="D1818" s="552" t="s">
        <v>1124</v>
      </c>
      <c r="E1818" s="455" t="s">
        <v>792</v>
      </c>
      <c r="F1818" s="833"/>
      <c r="G1818" s="833">
        <v>1709</v>
      </c>
      <c r="H1818" s="833">
        <v>1709</v>
      </c>
      <c r="I1818" s="828">
        <f t="shared" si="205"/>
        <v>100</v>
      </c>
    </row>
    <row r="1819" spans="1:9" ht="15" x14ac:dyDescent="0.25">
      <c r="A1819" s="431">
        <v>1173</v>
      </c>
      <c r="B1819" s="673">
        <v>3147</v>
      </c>
      <c r="C1819" s="1393">
        <v>5331</v>
      </c>
      <c r="D1819" s="829"/>
      <c r="E1819" s="792" t="s">
        <v>951</v>
      </c>
      <c r="F1819" s="820">
        <v>825</v>
      </c>
      <c r="G1819" s="835">
        <v>817</v>
      </c>
      <c r="H1819" s="835">
        <v>817</v>
      </c>
      <c r="I1819" s="821">
        <f t="shared" si="205"/>
        <v>100</v>
      </c>
    </row>
    <row r="1820" spans="1:9" ht="14.25" x14ac:dyDescent="0.2">
      <c r="A1820" s="431"/>
      <c r="B1820" s="673"/>
      <c r="C1820" s="1392"/>
      <c r="D1820" s="552" t="s">
        <v>570</v>
      </c>
      <c r="E1820" s="455" t="s">
        <v>71</v>
      </c>
      <c r="F1820" s="356">
        <v>825</v>
      </c>
      <c r="G1820" s="827">
        <v>817</v>
      </c>
      <c r="H1820" s="827">
        <v>817</v>
      </c>
      <c r="I1820" s="823">
        <f t="shared" si="205"/>
        <v>100</v>
      </c>
    </row>
    <row r="1821" spans="1:9" ht="15" x14ac:dyDescent="0.25">
      <c r="A1821" s="431">
        <v>1173</v>
      </c>
      <c r="B1821" s="673">
        <v>3147</v>
      </c>
      <c r="C1821" s="1393">
        <v>5336</v>
      </c>
      <c r="D1821" s="552"/>
      <c r="E1821" s="672" t="s">
        <v>2054</v>
      </c>
      <c r="F1821" s="356"/>
      <c r="G1821" s="846">
        <v>4741</v>
      </c>
      <c r="H1821" s="846">
        <v>4741</v>
      </c>
      <c r="I1821" s="853">
        <f t="shared" si="205"/>
        <v>100</v>
      </c>
    </row>
    <row r="1822" spans="1:9" ht="14.25" x14ac:dyDescent="0.2">
      <c r="A1822" s="431"/>
      <c r="B1822" s="673"/>
      <c r="C1822" s="1393"/>
      <c r="D1822" s="552" t="s">
        <v>1124</v>
      </c>
      <c r="E1822" s="455" t="s">
        <v>792</v>
      </c>
      <c r="F1822" s="356"/>
      <c r="G1822" s="833">
        <v>4741</v>
      </c>
      <c r="H1822" s="833">
        <v>4741</v>
      </c>
      <c r="I1822" s="823">
        <f t="shared" si="205"/>
        <v>100</v>
      </c>
    </row>
    <row r="1823" spans="1:9" ht="15" x14ac:dyDescent="0.25">
      <c r="A1823" s="431">
        <v>1173</v>
      </c>
      <c r="B1823" s="673">
        <v>3299</v>
      </c>
      <c r="C1823" s="1393">
        <v>5336</v>
      </c>
      <c r="D1823" s="552"/>
      <c r="E1823" s="672" t="s">
        <v>2054</v>
      </c>
      <c r="F1823" s="356"/>
      <c r="G1823" s="846">
        <v>200</v>
      </c>
      <c r="H1823" s="846">
        <v>200</v>
      </c>
      <c r="I1823" s="853">
        <f t="shared" si="205"/>
        <v>100</v>
      </c>
    </row>
    <row r="1824" spans="1:9" ht="14.25" x14ac:dyDescent="0.2">
      <c r="A1824" s="431"/>
      <c r="B1824" s="673"/>
      <c r="C1824" s="1393"/>
      <c r="D1824" s="1068" t="s">
        <v>1927</v>
      </c>
      <c r="E1824" s="2546" t="s">
        <v>2068</v>
      </c>
      <c r="F1824" s="314"/>
      <c r="G1824" s="316">
        <v>200</v>
      </c>
      <c r="H1824" s="316">
        <v>200</v>
      </c>
      <c r="I1824" s="1074">
        <f t="shared" ref="I1824" si="207">(H1824/G1824)*100</f>
        <v>100</v>
      </c>
    </row>
    <row r="1825" spans="1:20" ht="15" x14ac:dyDescent="0.25">
      <c r="A1825" s="431">
        <v>1173</v>
      </c>
      <c r="B1825" s="673">
        <v>5399</v>
      </c>
      <c r="C1825" s="1393">
        <v>5336</v>
      </c>
      <c r="D1825" s="552"/>
      <c r="E1825" s="672" t="s">
        <v>2054</v>
      </c>
      <c r="F1825" s="356"/>
      <c r="G1825" s="846">
        <v>56</v>
      </c>
      <c r="H1825" s="846">
        <v>56</v>
      </c>
      <c r="I1825" s="853">
        <f t="shared" si="205"/>
        <v>100</v>
      </c>
    </row>
    <row r="1826" spans="1:20" ht="15" thickBot="1" x14ac:dyDescent="0.25">
      <c r="A1826" s="431"/>
      <c r="B1826" s="673"/>
      <c r="C1826" s="1393"/>
      <c r="D1826" s="1068" t="s">
        <v>870</v>
      </c>
      <c r="E1826" s="2116" t="s">
        <v>2069</v>
      </c>
      <c r="F1826" s="314"/>
      <c r="G1826" s="316">
        <v>56</v>
      </c>
      <c r="H1826" s="316">
        <v>56</v>
      </c>
      <c r="I1826" s="1074">
        <f t="shared" ref="I1826" si="208">(H1826/G1826)*100</f>
        <v>100</v>
      </c>
    </row>
    <row r="1827" spans="1:20" ht="18" customHeight="1" thickTop="1" thickBot="1" x14ac:dyDescent="0.3">
      <c r="A1827" s="2672" t="s">
        <v>1105</v>
      </c>
      <c r="B1827" s="2673"/>
      <c r="C1827" s="2673"/>
      <c r="D1827" s="2673"/>
      <c r="E1827" s="2673"/>
      <c r="F1827" s="824">
        <f>F1793+F1797+F1815+F1819</f>
        <v>10526</v>
      </c>
      <c r="G1827" s="824">
        <f>G1793+G1795+G1797+G1802+G1811+G1813+G1815+G1817+G1819+G1821+G1823+G1825</f>
        <v>46624</v>
      </c>
      <c r="H1827" s="824">
        <f>H1793+H1795+H1797+H1802+H1811+H1813+H1815+H1817+H1819+H1821+H1823+H1825</f>
        <v>46624</v>
      </c>
      <c r="I1827" s="825">
        <f>(H1827/G1827)*100</f>
        <v>100</v>
      </c>
      <c r="R1827" s="382">
        <f>F1827</f>
        <v>10526</v>
      </c>
      <c r="S1827" s="382">
        <f>G1827</f>
        <v>46624</v>
      </c>
      <c r="T1827" s="382">
        <f>H1827</f>
        <v>46624</v>
      </c>
    </row>
    <row r="1828" spans="1:20" s="107" customFormat="1" ht="15.75" thickTop="1" x14ac:dyDescent="0.25">
      <c r="A1828" s="368"/>
      <c r="B1828" s="368"/>
      <c r="C1828" s="368"/>
      <c r="D1828" s="368"/>
      <c r="E1828" s="368"/>
      <c r="F1828" s="181"/>
      <c r="G1828" s="181"/>
      <c r="H1828" s="181"/>
      <c r="I1828" s="210"/>
    </row>
    <row r="1829" spans="1:20" ht="13.5" thickBot="1" x14ac:dyDescent="0.25">
      <c r="A1829" s="432" t="s">
        <v>2070</v>
      </c>
      <c r="I1829" s="1390" t="s">
        <v>161</v>
      </c>
    </row>
    <row r="1830" spans="1:20" ht="14.25" thickTop="1" thickBot="1" x14ac:dyDescent="0.25">
      <c r="A1830" s="631" t="s">
        <v>624</v>
      </c>
      <c r="B1830" s="774" t="s">
        <v>162</v>
      </c>
      <c r="C1830" s="632" t="s">
        <v>163</v>
      </c>
      <c r="D1830" s="634" t="s">
        <v>705</v>
      </c>
      <c r="E1830" s="634" t="s">
        <v>164</v>
      </c>
      <c r="F1830" s="634" t="s">
        <v>165</v>
      </c>
      <c r="G1830" s="634" t="s">
        <v>881</v>
      </c>
      <c r="H1830" s="634" t="s">
        <v>882</v>
      </c>
      <c r="I1830" s="818" t="s">
        <v>883</v>
      </c>
    </row>
    <row r="1831" spans="1:20" ht="14.25" thickTop="1" thickBot="1" x14ac:dyDescent="0.25">
      <c r="A1831" s="566">
        <v>1</v>
      </c>
      <c r="B1831" s="567">
        <v>2</v>
      </c>
      <c r="C1831" s="567">
        <v>3</v>
      </c>
      <c r="D1831" s="567">
        <v>4</v>
      </c>
      <c r="E1831" s="567">
        <v>5</v>
      </c>
      <c r="F1831" s="541">
        <v>6</v>
      </c>
      <c r="G1831" s="541">
        <v>7</v>
      </c>
      <c r="H1831" s="542">
        <v>8</v>
      </c>
      <c r="I1831" s="636" t="s">
        <v>762</v>
      </c>
    </row>
    <row r="1832" spans="1:20" ht="15.75" thickTop="1" x14ac:dyDescent="0.25">
      <c r="A1832" s="1402">
        <v>1174</v>
      </c>
      <c r="B1832" s="847">
        <v>3122</v>
      </c>
      <c r="C1832" s="847">
        <v>5336</v>
      </c>
      <c r="D1832" s="852"/>
      <c r="E1832" s="672" t="s">
        <v>2054</v>
      </c>
      <c r="F1832" s="845"/>
      <c r="G1832" s="845">
        <v>2879</v>
      </c>
      <c r="H1832" s="845">
        <v>2879</v>
      </c>
      <c r="I1832" s="849">
        <f t="shared" ref="I1832:I1855" si="209">(H1832/G1832)*100</f>
        <v>100</v>
      </c>
    </row>
    <row r="1833" spans="1:20" ht="14.25" x14ac:dyDescent="0.2">
      <c r="A1833" s="431"/>
      <c r="B1833" s="673"/>
      <c r="C1833" s="1392"/>
      <c r="D1833" s="552" t="s">
        <v>1124</v>
      </c>
      <c r="E1833" s="455" t="s">
        <v>792</v>
      </c>
      <c r="F1833" s="827"/>
      <c r="G1833" s="827">
        <v>2879</v>
      </c>
      <c r="H1833" s="827">
        <v>2879</v>
      </c>
      <c r="I1833" s="823">
        <f t="shared" si="209"/>
        <v>100</v>
      </c>
    </row>
    <row r="1834" spans="1:20" ht="15" x14ac:dyDescent="0.25">
      <c r="A1834" s="431">
        <v>1174</v>
      </c>
      <c r="B1834" s="750">
        <v>3123</v>
      </c>
      <c r="C1834" s="750">
        <v>5331</v>
      </c>
      <c r="D1834" s="859"/>
      <c r="E1834" s="672" t="s">
        <v>951</v>
      </c>
      <c r="F1834" s="835">
        <f>F1835+F1836+F1837+F1838</f>
        <v>4956</v>
      </c>
      <c r="G1834" s="835">
        <f>G1835+G1836+G1837+G1838</f>
        <v>5472</v>
      </c>
      <c r="H1834" s="835">
        <f>H1835+H1836+H1837+H1838</f>
        <v>5472</v>
      </c>
      <c r="I1834" s="836">
        <f>(H1834/G1834)*100</f>
        <v>100</v>
      </c>
    </row>
    <row r="1835" spans="1:20" ht="14.25" x14ac:dyDescent="0.2">
      <c r="A1835" s="431"/>
      <c r="B1835" s="750"/>
      <c r="C1835" s="750"/>
      <c r="D1835" s="707" t="s">
        <v>575</v>
      </c>
      <c r="E1835" s="1478" t="s">
        <v>793</v>
      </c>
      <c r="F1835" s="837">
        <v>692</v>
      </c>
      <c r="G1835" s="837">
        <v>769</v>
      </c>
      <c r="H1835" s="837">
        <v>769</v>
      </c>
      <c r="I1835" s="823">
        <f t="shared" si="209"/>
        <v>100</v>
      </c>
    </row>
    <row r="1836" spans="1:20" ht="14.25" x14ac:dyDescent="0.2">
      <c r="A1836" s="431"/>
      <c r="B1836" s="750"/>
      <c r="C1836" s="750"/>
      <c r="D1836" s="748" t="s">
        <v>352</v>
      </c>
      <c r="E1836" s="455" t="s">
        <v>833</v>
      </c>
      <c r="F1836" s="837"/>
      <c r="G1836" s="837">
        <v>10</v>
      </c>
      <c r="H1836" s="837">
        <v>10</v>
      </c>
      <c r="I1836" s="823">
        <f t="shared" si="209"/>
        <v>100</v>
      </c>
    </row>
    <row r="1837" spans="1:20" ht="14.25" x14ac:dyDescent="0.2">
      <c r="A1837" s="431"/>
      <c r="B1837" s="750"/>
      <c r="C1837" s="750"/>
      <c r="D1837" s="552" t="s">
        <v>570</v>
      </c>
      <c r="E1837" s="455" t="s">
        <v>71</v>
      </c>
      <c r="F1837" s="837">
        <v>4264</v>
      </c>
      <c r="G1837" s="837">
        <v>4221</v>
      </c>
      <c r="H1837" s="837">
        <v>4221</v>
      </c>
      <c r="I1837" s="823">
        <f t="shared" si="209"/>
        <v>100</v>
      </c>
    </row>
    <row r="1838" spans="1:20" ht="14.25" x14ac:dyDescent="0.2">
      <c r="A1838" s="431"/>
      <c r="B1838" s="750"/>
      <c r="C1838" s="750"/>
      <c r="D1838" s="1069" t="s">
        <v>924</v>
      </c>
      <c r="E1838" s="1161" t="s">
        <v>1213</v>
      </c>
      <c r="F1838" s="837"/>
      <c r="G1838" s="837">
        <v>472</v>
      </c>
      <c r="H1838" s="837">
        <v>472</v>
      </c>
      <c r="I1838" s="828">
        <f t="shared" si="209"/>
        <v>100</v>
      </c>
    </row>
    <row r="1839" spans="1:20" ht="15" x14ac:dyDescent="0.25">
      <c r="A1839" s="431">
        <v>1174</v>
      </c>
      <c r="B1839" s="750">
        <v>3123</v>
      </c>
      <c r="C1839" s="750">
        <v>5336</v>
      </c>
      <c r="D1839" s="1069"/>
      <c r="E1839" s="672" t="s">
        <v>2054</v>
      </c>
      <c r="F1839" s="837"/>
      <c r="G1839" s="846">
        <f>G1840+G1841+G1843+G1844</f>
        <v>16299</v>
      </c>
      <c r="H1839" s="846">
        <f>H1840+H1841+H1843+H1844</f>
        <v>16299</v>
      </c>
      <c r="I1839" s="838">
        <f>(H1839/G1839)*100</f>
        <v>100</v>
      </c>
    </row>
    <row r="1840" spans="1:20" ht="14.25" x14ac:dyDescent="0.2">
      <c r="A1840" s="431"/>
      <c r="B1840" s="750"/>
      <c r="C1840" s="750"/>
      <c r="D1840" s="1068" t="s">
        <v>1905</v>
      </c>
      <c r="E1840" s="2529" t="s">
        <v>1827</v>
      </c>
      <c r="F1840" s="314"/>
      <c r="G1840" s="316">
        <v>861</v>
      </c>
      <c r="H1840" s="316">
        <v>861</v>
      </c>
      <c r="I1840" s="1074">
        <f t="shared" ref="I1840" si="210">(H1840/G1840)*100</f>
        <v>100</v>
      </c>
    </row>
    <row r="1841" spans="1:9" ht="14.25" customHeight="1" x14ac:dyDescent="0.2">
      <c r="A1841" s="431"/>
      <c r="B1841" s="750"/>
      <c r="C1841" s="750"/>
      <c r="D1841" s="1068" t="s">
        <v>1911</v>
      </c>
      <c r="E1841" s="2671" t="s">
        <v>2051</v>
      </c>
      <c r="F1841" s="827"/>
      <c r="G1841" s="837">
        <v>23</v>
      </c>
      <c r="H1841" s="837">
        <v>23</v>
      </c>
      <c r="I1841" s="823">
        <v>29</v>
      </c>
    </row>
    <row r="1842" spans="1:9" ht="15" x14ac:dyDescent="0.25">
      <c r="A1842" s="431"/>
      <c r="B1842" s="750"/>
      <c r="C1842" s="750"/>
      <c r="D1842" s="1068"/>
      <c r="E1842" s="2671"/>
      <c r="F1842" s="827"/>
      <c r="G1842" s="846"/>
      <c r="H1842" s="846"/>
      <c r="I1842" s="853"/>
    </row>
    <row r="1843" spans="1:9" ht="15" x14ac:dyDescent="0.2">
      <c r="A1843" s="431"/>
      <c r="B1843" s="750"/>
      <c r="C1843" s="750"/>
      <c r="D1843" s="1068" t="s">
        <v>1913</v>
      </c>
      <c r="E1843" s="2113" t="s">
        <v>2052</v>
      </c>
      <c r="F1843" s="2530"/>
      <c r="G1843" s="2531">
        <v>121</v>
      </c>
      <c r="H1843" s="2531">
        <v>121</v>
      </c>
      <c r="I1843" s="376">
        <f t="shared" ref="I1843" si="211">(H1843/G1843)*100</f>
        <v>100</v>
      </c>
    </row>
    <row r="1844" spans="1:9" ht="14.25" x14ac:dyDescent="0.2">
      <c r="A1844" s="431"/>
      <c r="B1844" s="750"/>
      <c r="C1844" s="1393"/>
      <c r="D1844" s="552" t="s">
        <v>1124</v>
      </c>
      <c r="E1844" s="455" t="s">
        <v>792</v>
      </c>
      <c r="F1844" s="833"/>
      <c r="G1844" s="833">
        <v>15294</v>
      </c>
      <c r="H1844" s="833">
        <v>15294</v>
      </c>
      <c r="I1844" s="828">
        <f>(H1844/G1844)*100</f>
        <v>100</v>
      </c>
    </row>
    <row r="1845" spans="1:9" ht="15.75" customHeight="1" x14ac:dyDescent="0.25">
      <c r="A1845" s="431">
        <v>1174</v>
      </c>
      <c r="B1845" s="750">
        <v>3124</v>
      </c>
      <c r="C1845" s="750">
        <v>5336</v>
      </c>
      <c r="D1845" s="859"/>
      <c r="E1845" s="672" t="s">
        <v>2054</v>
      </c>
      <c r="F1845" s="835"/>
      <c r="G1845" s="835">
        <v>1144</v>
      </c>
      <c r="H1845" s="835">
        <v>1144</v>
      </c>
      <c r="I1845" s="836">
        <f t="shared" si="209"/>
        <v>100</v>
      </c>
    </row>
    <row r="1846" spans="1:9" ht="14.25" x14ac:dyDescent="0.2">
      <c r="A1846" s="431"/>
      <c r="B1846" s="750"/>
      <c r="C1846" s="750"/>
      <c r="D1846" s="552" t="s">
        <v>1124</v>
      </c>
      <c r="E1846" s="455" t="s">
        <v>792</v>
      </c>
      <c r="F1846" s="833"/>
      <c r="G1846" s="833">
        <v>1144</v>
      </c>
      <c r="H1846" s="833">
        <v>1144</v>
      </c>
      <c r="I1846" s="828">
        <f t="shared" si="209"/>
        <v>100</v>
      </c>
    </row>
    <row r="1847" spans="1:9" ht="18" customHeight="1" x14ac:dyDescent="0.25">
      <c r="A1847" s="431">
        <v>1174</v>
      </c>
      <c r="B1847" s="750">
        <v>3142</v>
      </c>
      <c r="C1847" s="750">
        <v>5331</v>
      </c>
      <c r="D1847" s="842"/>
      <c r="E1847" s="672" t="s">
        <v>951</v>
      </c>
      <c r="F1847" s="846">
        <v>350</v>
      </c>
      <c r="G1847" s="846">
        <v>346</v>
      </c>
      <c r="H1847" s="846">
        <v>346</v>
      </c>
      <c r="I1847" s="838">
        <f t="shared" si="209"/>
        <v>100</v>
      </c>
    </row>
    <row r="1848" spans="1:9" ht="14.25" x14ac:dyDescent="0.2">
      <c r="A1848" s="431"/>
      <c r="B1848" s="750"/>
      <c r="C1848" s="750"/>
      <c r="D1848" s="552" t="s">
        <v>570</v>
      </c>
      <c r="E1848" s="455" t="s">
        <v>71</v>
      </c>
      <c r="F1848" s="833">
        <v>350</v>
      </c>
      <c r="G1848" s="833">
        <v>346</v>
      </c>
      <c r="H1848" s="833">
        <v>346</v>
      </c>
      <c r="I1848" s="828">
        <f t="shared" si="209"/>
        <v>100</v>
      </c>
    </row>
    <row r="1849" spans="1:9" ht="15" x14ac:dyDescent="0.25">
      <c r="A1849" s="431">
        <v>1174</v>
      </c>
      <c r="B1849" s="750">
        <v>3142</v>
      </c>
      <c r="C1849" s="750">
        <v>5336</v>
      </c>
      <c r="D1849" s="552"/>
      <c r="E1849" s="672" t="s">
        <v>2054</v>
      </c>
      <c r="F1849" s="833"/>
      <c r="G1849" s="846">
        <v>487</v>
      </c>
      <c r="H1849" s="846">
        <v>487</v>
      </c>
      <c r="I1849" s="838">
        <f t="shared" si="209"/>
        <v>100</v>
      </c>
    </row>
    <row r="1850" spans="1:9" ht="18" customHeight="1" x14ac:dyDescent="0.2">
      <c r="A1850" s="431"/>
      <c r="B1850" s="750"/>
      <c r="C1850" s="750"/>
      <c r="D1850" s="552" t="s">
        <v>1124</v>
      </c>
      <c r="E1850" s="455" t="s">
        <v>792</v>
      </c>
      <c r="F1850" s="833"/>
      <c r="G1850" s="833">
        <v>487</v>
      </c>
      <c r="H1850" s="833">
        <v>487</v>
      </c>
      <c r="I1850" s="828">
        <f t="shared" si="209"/>
        <v>100</v>
      </c>
    </row>
    <row r="1851" spans="1:9" ht="18" customHeight="1" x14ac:dyDescent="0.25">
      <c r="A1851" s="431">
        <v>1174</v>
      </c>
      <c r="B1851" s="750">
        <v>3147</v>
      </c>
      <c r="C1851" s="750">
        <v>5331</v>
      </c>
      <c r="D1851" s="552"/>
      <c r="E1851" s="672" t="s">
        <v>951</v>
      </c>
      <c r="F1851" s="846">
        <v>740</v>
      </c>
      <c r="G1851" s="846">
        <v>733</v>
      </c>
      <c r="H1851" s="846">
        <v>733</v>
      </c>
      <c r="I1851" s="838">
        <f t="shared" si="209"/>
        <v>100</v>
      </c>
    </row>
    <row r="1852" spans="1:9" ht="18" customHeight="1" x14ac:dyDescent="0.2">
      <c r="A1852" s="431"/>
      <c r="B1852" s="750"/>
      <c r="C1852" s="750"/>
      <c r="D1852" s="552" t="s">
        <v>570</v>
      </c>
      <c r="E1852" s="455" t="s">
        <v>71</v>
      </c>
      <c r="F1852" s="833">
        <v>740</v>
      </c>
      <c r="G1852" s="833">
        <v>733</v>
      </c>
      <c r="H1852" s="833">
        <v>733</v>
      </c>
      <c r="I1852" s="828">
        <f t="shared" si="209"/>
        <v>100</v>
      </c>
    </row>
    <row r="1853" spans="1:9" ht="15" x14ac:dyDescent="0.25">
      <c r="A1853" s="431">
        <v>1174</v>
      </c>
      <c r="B1853" s="750">
        <v>3147</v>
      </c>
      <c r="C1853" s="750">
        <v>5336</v>
      </c>
      <c r="D1853" s="552"/>
      <c r="E1853" s="672" t="s">
        <v>2054</v>
      </c>
      <c r="F1853" s="833"/>
      <c r="G1853" s="846">
        <v>1410</v>
      </c>
      <c r="H1853" s="846">
        <v>1410</v>
      </c>
      <c r="I1853" s="838">
        <f t="shared" si="209"/>
        <v>100</v>
      </c>
    </row>
    <row r="1854" spans="1:9" ht="14.25" x14ac:dyDescent="0.2">
      <c r="A1854" s="431"/>
      <c r="B1854" s="750"/>
      <c r="C1854" s="750"/>
      <c r="D1854" s="552" t="s">
        <v>1124</v>
      </c>
      <c r="E1854" s="455" t="s">
        <v>792</v>
      </c>
      <c r="F1854" s="833"/>
      <c r="G1854" s="833">
        <v>1410</v>
      </c>
      <c r="H1854" s="833">
        <v>1410</v>
      </c>
      <c r="I1854" s="828">
        <f t="shared" si="209"/>
        <v>100</v>
      </c>
    </row>
    <row r="1855" spans="1:9" ht="15" x14ac:dyDescent="0.25">
      <c r="A1855" s="431">
        <v>1174</v>
      </c>
      <c r="B1855" s="750">
        <v>3792</v>
      </c>
      <c r="C1855" s="750">
        <v>5331</v>
      </c>
      <c r="D1855" s="552"/>
      <c r="E1855" s="672" t="s">
        <v>951</v>
      </c>
      <c r="F1855" s="833"/>
      <c r="G1855" s="846">
        <v>13</v>
      </c>
      <c r="H1855" s="846">
        <v>13</v>
      </c>
      <c r="I1855" s="838">
        <f t="shared" si="209"/>
        <v>100</v>
      </c>
    </row>
    <row r="1856" spans="1:9" ht="15" thickBot="1" x14ac:dyDescent="0.25">
      <c r="A1856" s="431"/>
      <c r="B1856" s="750"/>
      <c r="C1856" s="750"/>
      <c r="D1856" s="1059" t="s">
        <v>1319</v>
      </c>
      <c r="E1856" s="1161" t="s">
        <v>369</v>
      </c>
      <c r="F1856" s="1281"/>
      <c r="G1856" s="451">
        <v>13</v>
      </c>
      <c r="H1856" s="316">
        <v>13</v>
      </c>
      <c r="I1856" s="1074">
        <v>0</v>
      </c>
    </row>
    <row r="1857" spans="1:20" ht="16.5" thickTop="1" thickBot="1" x14ac:dyDescent="0.3">
      <c r="A1857" s="2672" t="s">
        <v>1105</v>
      </c>
      <c r="B1857" s="2673"/>
      <c r="C1857" s="2673"/>
      <c r="D1857" s="2673"/>
      <c r="E1857" s="2673"/>
      <c r="F1857" s="824">
        <f>F1834+F1847+F1851</f>
        <v>6046</v>
      </c>
      <c r="G1857" s="824">
        <f>G1832+G1834+G1839+G1845+G1847+G1849+G1851+G1853+G1855</f>
        <v>28783</v>
      </c>
      <c r="H1857" s="824">
        <f>H1832+H1834+H1839+H1845+H1847+H1849+H1851+H1853+H1855</f>
        <v>28783</v>
      </c>
      <c r="I1857" s="825">
        <f>(H1857/G1857)*100</f>
        <v>100</v>
      </c>
      <c r="R1857" s="382">
        <f>F1857</f>
        <v>6046</v>
      </c>
      <c r="S1857" s="382">
        <f>G1857</f>
        <v>28783</v>
      </c>
      <c r="T1857" s="382">
        <f>H1857</f>
        <v>28783</v>
      </c>
    </row>
    <row r="1858" spans="1:20" s="383" customFormat="1" ht="13.5" thickTop="1" x14ac:dyDescent="0.2">
      <c r="A1858" s="381"/>
      <c r="B1858" s="643"/>
      <c r="C1858" s="381"/>
      <c r="D1858" s="814"/>
      <c r="E1858" s="381"/>
      <c r="F1858" s="382"/>
      <c r="G1858" s="382"/>
      <c r="H1858" s="382"/>
      <c r="I1858" s="1390"/>
    </row>
    <row r="1859" spans="1:20" s="383" customFormat="1" x14ac:dyDescent="0.2">
      <c r="A1859" s="381"/>
      <c r="B1859" s="643"/>
      <c r="C1859" s="381"/>
      <c r="D1859" s="814"/>
      <c r="E1859" s="381"/>
      <c r="F1859" s="382"/>
      <c r="G1859" s="382"/>
      <c r="H1859" s="382"/>
      <c r="I1859" s="1390"/>
    </row>
    <row r="1860" spans="1:20" s="383" customFormat="1" x14ac:dyDescent="0.2">
      <c r="A1860" s="381"/>
      <c r="B1860" s="643"/>
      <c r="C1860" s="381"/>
      <c r="D1860" s="814"/>
      <c r="E1860" s="381"/>
      <c r="F1860" s="382"/>
      <c r="G1860" s="382"/>
      <c r="H1860" s="382"/>
      <c r="I1860" s="1390"/>
    </row>
    <row r="1861" spans="1:20" ht="13.5" thickBot="1" x14ac:dyDescent="0.25">
      <c r="A1861" s="432" t="s">
        <v>400</v>
      </c>
      <c r="I1861" s="1390" t="s">
        <v>161</v>
      </c>
    </row>
    <row r="1862" spans="1:20" ht="14.25" thickTop="1" thickBot="1" x14ac:dyDescent="0.25">
      <c r="A1862" s="631" t="s">
        <v>624</v>
      </c>
      <c r="B1862" s="774" t="s">
        <v>162</v>
      </c>
      <c r="C1862" s="632" t="s">
        <v>163</v>
      </c>
      <c r="D1862" s="634" t="s">
        <v>705</v>
      </c>
      <c r="E1862" s="634" t="s">
        <v>164</v>
      </c>
      <c r="F1862" s="634" t="s">
        <v>165</v>
      </c>
      <c r="G1862" s="634" t="s">
        <v>881</v>
      </c>
      <c r="H1862" s="634" t="s">
        <v>882</v>
      </c>
      <c r="I1862" s="818" t="s">
        <v>883</v>
      </c>
    </row>
    <row r="1863" spans="1:20" ht="14.25" thickTop="1" thickBot="1" x14ac:dyDescent="0.25">
      <c r="A1863" s="566">
        <v>1</v>
      </c>
      <c r="B1863" s="567">
        <v>2</v>
      </c>
      <c r="C1863" s="567">
        <v>3</v>
      </c>
      <c r="D1863" s="567">
        <v>4</v>
      </c>
      <c r="E1863" s="567">
        <v>5</v>
      </c>
      <c r="F1863" s="541">
        <v>6</v>
      </c>
      <c r="G1863" s="541">
        <v>7</v>
      </c>
      <c r="H1863" s="542">
        <v>8</v>
      </c>
      <c r="I1863" s="636" t="s">
        <v>762</v>
      </c>
    </row>
    <row r="1864" spans="1:20" ht="15.75" thickTop="1" x14ac:dyDescent="0.25">
      <c r="A1864" s="1402">
        <v>1175</v>
      </c>
      <c r="B1864" s="847">
        <v>3122</v>
      </c>
      <c r="C1864" s="847">
        <v>5331</v>
      </c>
      <c r="D1864" s="852"/>
      <c r="E1864" s="886" t="s">
        <v>951</v>
      </c>
      <c r="F1864" s="845">
        <f>F1865+F1866</f>
        <v>1968</v>
      </c>
      <c r="G1864" s="845">
        <f>G1865+G1866</f>
        <v>2011</v>
      </c>
      <c r="H1864" s="845">
        <f>H1865+H1866</f>
        <v>2011</v>
      </c>
      <c r="I1864" s="849">
        <f>(H1864/G1864)*100</f>
        <v>100</v>
      </c>
    </row>
    <row r="1865" spans="1:20" ht="14.25" x14ac:dyDescent="0.2">
      <c r="A1865" s="431"/>
      <c r="B1865" s="673"/>
      <c r="C1865" s="673"/>
      <c r="D1865" s="707" t="s">
        <v>575</v>
      </c>
      <c r="E1865" s="1478" t="s">
        <v>793</v>
      </c>
      <c r="F1865" s="827">
        <v>370</v>
      </c>
      <c r="G1865" s="827">
        <v>429</v>
      </c>
      <c r="H1865" s="827">
        <v>429</v>
      </c>
      <c r="I1865" s="823">
        <f>(H1865/G1865)*100</f>
        <v>100</v>
      </c>
    </row>
    <row r="1866" spans="1:20" ht="14.25" x14ac:dyDescent="0.2">
      <c r="A1866" s="431"/>
      <c r="B1866" s="673"/>
      <c r="C1866" s="673"/>
      <c r="D1866" s="552" t="s">
        <v>570</v>
      </c>
      <c r="E1866" s="455" t="s">
        <v>71</v>
      </c>
      <c r="F1866" s="827">
        <v>1598</v>
      </c>
      <c r="G1866" s="827">
        <v>1582</v>
      </c>
      <c r="H1866" s="827">
        <v>1582</v>
      </c>
      <c r="I1866" s="823">
        <v>100</v>
      </c>
    </row>
    <row r="1867" spans="1:20" ht="15" x14ac:dyDescent="0.25">
      <c r="A1867" s="431">
        <v>1175</v>
      </c>
      <c r="B1867" s="673">
        <v>3122</v>
      </c>
      <c r="C1867" s="673">
        <v>5336</v>
      </c>
      <c r="D1867" s="2543"/>
      <c r="E1867" s="672" t="s">
        <v>2054</v>
      </c>
      <c r="F1867" s="827"/>
      <c r="G1867" s="851">
        <f>G1868+G1871+G1873+G1874</f>
        <v>9941</v>
      </c>
      <c r="H1867" s="851">
        <f>H1868+H1871+H1873+H1874</f>
        <v>9941</v>
      </c>
      <c r="I1867" s="853">
        <v>100</v>
      </c>
    </row>
    <row r="1868" spans="1:20" ht="14.25" x14ac:dyDescent="0.2">
      <c r="A1868" s="431"/>
      <c r="B1868" s="673"/>
      <c r="C1868" s="673"/>
      <c r="D1868" s="2660" t="s">
        <v>1429</v>
      </c>
      <c r="E1868" s="2674" t="s">
        <v>1448</v>
      </c>
      <c r="F1868" s="827"/>
      <c r="G1868" s="827">
        <v>53</v>
      </c>
      <c r="H1868" s="827">
        <v>53</v>
      </c>
      <c r="I1868" s="823">
        <v>100</v>
      </c>
    </row>
    <row r="1869" spans="1:20" ht="14.25" x14ac:dyDescent="0.2">
      <c r="A1869" s="431"/>
      <c r="B1869" s="673"/>
      <c r="C1869" s="673"/>
      <c r="D1869" s="2661"/>
      <c r="E1869" s="2675"/>
      <c r="F1869" s="827"/>
      <c r="G1869" s="827"/>
      <c r="H1869" s="827"/>
      <c r="I1869" s="823"/>
    </row>
    <row r="1870" spans="1:20" ht="14.25" x14ac:dyDescent="0.2">
      <c r="A1870" s="431"/>
      <c r="B1870" s="673"/>
      <c r="C1870" s="673"/>
      <c r="D1870" s="2661"/>
      <c r="E1870" s="2675"/>
      <c r="F1870" s="827"/>
      <c r="G1870" s="827"/>
      <c r="H1870" s="827"/>
      <c r="I1870" s="823"/>
    </row>
    <row r="1871" spans="1:20" ht="14.25" customHeight="1" x14ac:dyDescent="0.2">
      <c r="A1871" s="431"/>
      <c r="B1871" s="673"/>
      <c r="C1871" s="673"/>
      <c r="D1871" s="1068" t="s">
        <v>1911</v>
      </c>
      <c r="E1871" s="2671" t="s">
        <v>2051</v>
      </c>
      <c r="F1871" s="827"/>
      <c r="G1871" s="837">
        <v>11</v>
      </c>
      <c r="H1871" s="837">
        <v>11</v>
      </c>
      <c r="I1871" s="823">
        <v>29</v>
      </c>
    </row>
    <row r="1872" spans="1:20" ht="15" x14ac:dyDescent="0.25">
      <c r="A1872" s="431"/>
      <c r="B1872" s="673"/>
      <c r="C1872" s="673"/>
      <c r="D1872" s="1068"/>
      <c r="E1872" s="2671"/>
      <c r="F1872" s="827"/>
      <c r="G1872" s="846"/>
      <c r="H1872" s="846"/>
      <c r="I1872" s="853"/>
    </row>
    <row r="1873" spans="1:20" ht="15" x14ac:dyDescent="0.2">
      <c r="A1873" s="431"/>
      <c r="B1873" s="673"/>
      <c r="C1873" s="673"/>
      <c r="D1873" s="1068" t="s">
        <v>1913</v>
      </c>
      <c r="E1873" s="2113" t="s">
        <v>2052</v>
      </c>
      <c r="F1873" s="2530"/>
      <c r="G1873" s="2531">
        <v>62</v>
      </c>
      <c r="H1873" s="2531">
        <v>62</v>
      </c>
      <c r="I1873" s="376">
        <f t="shared" ref="I1873" si="212">(H1873/G1873)*100</f>
        <v>100</v>
      </c>
    </row>
    <row r="1874" spans="1:20" ht="14.25" x14ac:dyDescent="0.2">
      <c r="A1874" s="431"/>
      <c r="B1874" s="673"/>
      <c r="C1874" s="673"/>
      <c r="D1874" s="552" t="s">
        <v>1124</v>
      </c>
      <c r="E1874" s="455" t="s">
        <v>792</v>
      </c>
      <c r="F1874" s="827"/>
      <c r="G1874" s="827">
        <v>9815</v>
      </c>
      <c r="H1874" s="827">
        <v>9815</v>
      </c>
      <c r="I1874" s="823">
        <v>100</v>
      </c>
    </row>
    <row r="1875" spans="1:20" ht="15" x14ac:dyDescent="0.25">
      <c r="A1875" s="431">
        <v>1175</v>
      </c>
      <c r="B1875" s="750">
        <v>3142</v>
      </c>
      <c r="C1875" s="750">
        <v>5331</v>
      </c>
      <c r="D1875" s="859"/>
      <c r="E1875" s="672" t="s">
        <v>951</v>
      </c>
      <c r="F1875" s="835">
        <f>F1876+F1877</f>
        <v>893</v>
      </c>
      <c r="G1875" s="835">
        <f>G1876+G1877</f>
        <v>887</v>
      </c>
      <c r="H1875" s="835">
        <f>H1876+H1877</f>
        <v>887</v>
      </c>
      <c r="I1875" s="836">
        <f t="shared" ref="I1875:I1881" si="213">(H1875/G1875)*100</f>
        <v>100</v>
      </c>
    </row>
    <row r="1876" spans="1:20" ht="14.25" x14ac:dyDescent="0.2">
      <c r="A1876" s="431"/>
      <c r="B1876" s="750"/>
      <c r="C1876" s="750"/>
      <c r="D1876" s="707" t="s">
        <v>575</v>
      </c>
      <c r="E1876" s="1478" t="s">
        <v>793</v>
      </c>
      <c r="F1876" s="833">
        <v>253</v>
      </c>
      <c r="G1876" s="833">
        <v>253</v>
      </c>
      <c r="H1876" s="833">
        <v>253</v>
      </c>
      <c r="I1876" s="828">
        <f t="shared" si="213"/>
        <v>100</v>
      </c>
    </row>
    <row r="1877" spans="1:20" ht="14.25" x14ac:dyDescent="0.2">
      <c r="A1877" s="431"/>
      <c r="B1877" s="750"/>
      <c r="C1877" s="1393"/>
      <c r="D1877" s="552" t="s">
        <v>570</v>
      </c>
      <c r="E1877" s="455" t="s">
        <v>71</v>
      </c>
      <c r="F1877" s="833">
        <v>640</v>
      </c>
      <c r="G1877" s="833">
        <v>634</v>
      </c>
      <c r="H1877" s="833">
        <v>634</v>
      </c>
      <c r="I1877" s="828">
        <f t="shared" si="213"/>
        <v>100</v>
      </c>
    </row>
    <row r="1878" spans="1:20" ht="15" x14ac:dyDescent="0.25">
      <c r="A1878" s="431">
        <v>1175</v>
      </c>
      <c r="B1878" s="750">
        <v>3142</v>
      </c>
      <c r="C1878" s="1393">
        <v>5336</v>
      </c>
      <c r="D1878" s="552"/>
      <c r="E1878" s="672" t="s">
        <v>2054</v>
      </c>
      <c r="F1878" s="833"/>
      <c r="G1878" s="846">
        <v>390</v>
      </c>
      <c r="H1878" s="846">
        <v>390</v>
      </c>
      <c r="I1878" s="838">
        <f t="shared" si="213"/>
        <v>100</v>
      </c>
    </row>
    <row r="1879" spans="1:20" ht="14.25" x14ac:dyDescent="0.2">
      <c r="A1879" s="431"/>
      <c r="B1879" s="750"/>
      <c r="C1879" s="1393"/>
      <c r="D1879" s="552" t="s">
        <v>1124</v>
      </c>
      <c r="E1879" s="455" t="s">
        <v>792</v>
      </c>
      <c r="F1879" s="833"/>
      <c r="G1879" s="833">
        <v>390</v>
      </c>
      <c r="H1879" s="833">
        <v>390</v>
      </c>
      <c r="I1879" s="828">
        <f t="shared" si="213"/>
        <v>100</v>
      </c>
    </row>
    <row r="1880" spans="1:20" ht="15" x14ac:dyDescent="0.25">
      <c r="A1880" s="431">
        <v>1175</v>
      </c>
      <c r="B1880" s="673">
        <v>3293</v>
      </c>
      <c r="C1880" s="1392">
        <v>5336</v>
      </c>
      <c r="D1880" s="829"/>
      <c r="E1880" s="672" t="s">
        <v>2054</v>
      </c>
      <c r="F1880" s="820"/>
      <c r="G1880" s="820">
        <v>13</v>
      </c>
      <c r="H1880" s="820">
        <v>13</v>
      </c>
      <c r="I1880" s="836">
        <f t="shared" si="213"/>
        <v>100</v>
      </c>
    </row>
    <row r="1881" spans="1:20" ht="15.75" thickBot="1" x14ac:dyDescent="0.3">
      <c r="A1881" s="431"/>
      <c r="B1881" s="673"/>
      <c r="C1881" s="1392"/>
      <c r="D1881" s="1325" t="s">
        <v>1127</v>
      </c>
      <c r="E1881" s="1289" t="s">
        <v>1603</v>
      </c>
      <c r="F1881" s="820"/>
      <c r="G1881" s="356">
        <v>13</v>
      </c>
      <c r="H1881" s="356">
        <v>13</v>
      </c>
      <c r="I1881" s="828">
        <f t="shared" si="213"/>
        <v>100</v>
      </c>
    </row>
    <row r="1882" spans="1:20" ht="16.5" thickTop="1" thickBot="1" x14ac:dyDescent="0.3">
      <c r="A1882" s="2672" t="s">
        <v>1105</v>
      </c>
      <c r="B1882" s="2673"/>
      <c r="C1882" s="2673"/>
      <c r="D1882" s="2673"/>
      <c r="E1882" s="2673"/>
      <c r="F1882" s="824">
        <f>F1864+F1875</f>
        <v>2861</v>
      </c>
      <c r="G1882" s="824">
        <f>G1864+G1867+G1875+G1878+G1880</f>
        <v>13242</v>
      </c>
      <c r="H1882" s="824">
        <f>H1864+H1867+H1875+H1878+H1880</f>
        <v>13242</v>
      </c>
      <c r="I1882" s="825">
        <f>(H1882/G1882)*100</f>
        <v>100</v>
      </c>
      <c r="R1882" s="382">
        <f>F1882</f>
        <v>2861</v>
      </c>
      <c r="S1882" s="382">
        <f>G1882</f>
        <v>13242</v>
      </c>
      <c r="T1882" s="382">
        <f>H1882</f>
        <v>13242</v>
      </c>
    </row>
    <row r="1883" spans="1:20" s="383" customFormat="1" ht="13.5" thickTop="1" x14ac:dyDescent="0.2">
      <c r="A1883" s="381"/>
      <c r="B1883" s="643"/>
      <c r="C1883" s="381"/>
      <c r="D1883" s="814"/>
      <c r="E1883" s="381"/>
      <c r="F1883" s="382"/>
      <c r="G1883" s="382"/>
      <c r="H1883" s="382"/>
      <c r="I1883" s="1390"/>
    </row>
    <row r="1884" spans="1:20" s="383" customFormat="1" x14ac:dyDescent="0.2">
      <c r="A1884" s="381"/>
      <c r="B1884" s="643"/>
      <c r="C1884" s="381"/>
      <c r="D1884" s="814"/>
      <c r="E1884" s="381"/>
      <c r="F1884" s="382"/>
      <c r="G1884" s="382"/>
      <c r="H1884" s="382"/>
      <c r="I1884" s="1390"/>
    </row>
    <row r="1885" spans="1:20" s="383" customFormat="1" x14ac:dyDescent="0.2">
      <c r="A1885" s="381"/>
      <c r="B1885" s="643"/>
      <c r="C1885" s="381"/>
      <c r="D1885" s="814"/>
      <c r="E1885" s="381"/>
      <c r="F1885" s="382"/>
      <c r="G1885" s="382"/>
      <c r="H1885" s="382"/>
      <c r="I1885" s="1390"/>
    </row>
    <row r="1886" spans="1:20" ht="13.5" thickBot="1" x14ac:dyDescent="0.25">
      <c r="A1886" s="432" t="s">
        <v>859</v>
      </c>
      <c r="I1886" s="1390" t="s">
        <v>161</v>
      </c>
    </row>
    <row r="1887" spans="1:20" ht="14.25" thickTop="1" thickBot="1" x14ac:dyDescent="0.25">
      <c r="A1887" s="631" t="s">
        <v>624</v>
      </c>
      <c r="B1887" s="774" t="s">
        <v>162</v>
      </c>
      <c r="C1887" s="632" t="s">
        <v>163</v>
      </c>
      <c r="D1887" s="634" t="s">
        <v>705</v>
      </c>
      <c r="E1887" s="634" t="s">
        <v>164</v>
      </c>
      <c r="F1887" s="634" t="s">
        <v>165</v>
      </c>
      <c r="G1887" s="634" t="s">
        <v>881</v>
      </c>
      <c r="H1887" s="634" t="s">
        <v>882</v>
      </c>
      <c r="I1887" s="818" t="s">
        <v>883</v>
      </c>
    </row>
    <row r="1888" spans="1:20" ht="14.25" thickTop="1" thickBot="1" x14ac:dyDescent="0.25">
      <c r="A1888" s="566">
        <v>1</v>
      </c>
      <c r="B1888" s="567">
        <v>2</v>
      </c>
      <c r="C1888" s="567">
        <v>3</v>
      </c>
      <c r="D1888" s="567">
        <v>4</v>
      </c>
      <c r="E1888" s="567">
        <v>5</v>
      </c>
      <c r="F1888" s="541">
        <v>6</v>
      </c>
      <c r="G1888" s="541">
        <v>7</v>
      </c>
      <c r="H1888" s="542">
        <v>8</v>
      </c>
      <c r="I1888" s="636" t="s">
        <v>762</v>
      </c>
    </row>
    <row r="1889" spans="1:9" ht="15.75" thickTop="1" x14ac:dyDescent="0.25">
      <c r="A1889" s="1402">
        <v>1200</v>
      </c>
      <c r="B1889" s="847">
        <v>3122</v>
      </c>
      <c r="C1889" s="847">
        <v>5336</v>
      </c>
      <c r="D1889" s="852"/>
      <c r="E1889" s="672" t="s">
        <v>2054</v>
      </c>
      <c r="F1889" s="1408"/>
      <c r="G1889" s="413">
        <v>1118</v>
      </c>
      <c r="H1889" s="413">
        <v>1118</v>
      </c>
      <c r="I1889" s="849">
        <f>(H1889/G1889)*100</f>
        <v>100</v>
      </c>
    </row>
    <row r="1890" spans="1:9" ht="14.25" x14ac:dyDescent="0.2">
      <c r="A1890" s="866"/>
      <c r="B1890" s="1310"/>
      <c r="C1890" s="1310"/>
      <c r="D1890" s="552" t="s">
        <v>1124</v>
      </c>
      <c r="E1890" s="455" t="s">
        <v>792</v>
      </c>
      <c r="F1890" s="1491"/>
      <c r="G1890" s="1387">
        <v>1118</v>
      </c>
      <c r="H1890" s="1490">
        <v>1118</v>
      </c>
      <c r="I1890" s="823">
        <f>(H1890/G1890)*100</f>
        <v>100</v>
      </c>
    </row>
    <row r="1891" spans="1:9" ht="14.25" customHeight="1" x14ac:dyDescent="0.25">
      <c r="A1891" s="431">
        <v>1200</v>
      </c>
      <c r="B1891" s="673">
        <v>3123</v>
      </c>
      <c r="C1891" s="673">
        <v>5331</v>
      </c>
      <c r="D1891" s="819"/>
      <c r="E1891" s="792" t="s">
        <v>951</v>
      </c>
      <c r="F1891" s="820">
        <f>F1892+F1893+F1894</f>
        <v>3616</v>
      </c>
      <c r="G1891" s="820">
        <f>G1892+G1893+G1894</f>
        <v>3769</v>
      </c>
      <c r="H1891" s="820">
        <f>H1892+H1893+H1894</f>
        <v>3769</v>
      </c>
      <c r="I1891" s="821">
        <f t="shared" ref="I1891:I1907" si="214">(H1891/G1891)*100</f>
        <v>100</v>
      </c>
    </row>
    <row r="1892" spans="1:9" ht="14.25" x14ac:dyDescent="0.2">
      <c r="A1892" s="431"/>
      <c r="B1892" s="673"/>
      <c r="C1892" s="673"/>
      <c r="D1892" s="707" t="s">
        <v>575</v>
      </c>
      <c r="E1892" s="1478" t="s">
        <v>793</v>
      </c>
      <c r="F1892" s="827">
        <v>286</v>
      </c>
      <c r="G1892" s="827">
        <v>334</v>
      </c>
      <c r="H1892" s="827">
        <v>334</v>
      </c>
      <c r="I1892" s="823">
        <f t="shared" si="214"/>
        <v>100</v>
      </c>
    </row>
    <row r="1893" spans="1:9" ht="14.25" x14ac:dyDescent="0.2">
      <c r="A1893" s="431"/>
      <c r="B1893" s="673"/>
      <c r="C1893" s="673"/>
      <c r="D1893" s="552" t="s">
        <v>570</v>
      </c>
      <c r="E1893" s="455" t="s">
        <v>71</v>
      </c>
      <c r="F1893" s="827">
        <v>3330</v>
      </c>
      <c r="G1893" s="827">
        <v>3297</v>
      </c>
      <c r="H1893" s="827">
        <v>3297</v>
      </c>
      <c r="I1893" s="823">
        <f t="shared" si="214"/>
        <v>100</v>
      </c>
    </row>
    <row r="1894" spans="1:9" ht="14.25" x14ac:dyDescent="0.2">
      <c r="A1894" s="431"/>
      <c r="B1894" s="673"/>
      <c r="C1894" s="673"/>
      <c r="D1894" s="1069" t="s">
        <v>924</v>
      </c>
      <c r="E1894" s="1161" t="s">
        <v>1213</v>
      </c>
      <c r="F1894" s="827"/>
      <c r="G1894" s="827">
        <v>138</v>
      </c>
      <c r="H1894" s="827">
        <v>138</v>
      </c>
      <c r="I1894" s="823">
        <f t="shared" si="214"/>
        <v>100</v>
      </c>
    </row>
    <row r="1895" spans="1:9" ht="15" x14ac:dyDescent="0.25">
      <c r="A1895" s="431">
        <v>1200</v>
      </c>
      <c r="B1895" s="673">
        <v>3123</v>
      </c>
      <c r="C1895" s="673">
        <v>5336</v>
      </c>
      <c r="D1895" s="1069"/>
      <c r="E1895" s="672" t="s">
        <v>2054</v>
      </c>
      <c r="F1895" s="827"/>
      <c r="G1895" s="851">
        <f>G1896+G1898+G1899</f>
        <v>9390</v>
      </c>
      <c r="H1895" s="851">
        <f>H1896+H1898+H1899</f>
        <v>9390</v>
      </c>
      <c r="I1895" s="853">
        <f t="shared" si="214"/>
        <v>100</v>
      </c>
    </row>
    <row r="1896" spans="1:9" ht="14.25" customHeight="1" x14ac:dyDescent="0.2">
      <c r="A1896" s="431"/>
      <c r="B1896" s="673"/>
      <c r="C1896" s="673"/>
      <c r="D1896" s="1068" t="s">
        <v>1911</v>
      </c>
      <c r="E1896" s="2671" t="s">
        <v>2051</v>
      </c>
      <c r="F1896" s="827"/>
      <c r="G1896" s="837">
        <v>14</v>
      </c>
      <c r="H1896" s="837">
        <v>14</v>
      </c>
      <c r="I1896" s="823">
        <v>29</v>
      </c>
    </row>
    <row r="1897" spans="1:9" ht="15" x14ac:dyDescent="0.25">
      <c r="A1897" s="431"/>
      <c r="B1897" s="673"/>
      <c r="C1897" s="673"/>
      <c r="D1897" s="1068"/>
      <c r="E1897" s="2671"/>
      <c r="F1897" s="827"/>
      <c r="G1897" s="846"/>
      <c r="H1897" s="846"/>
      <c r="I1897" s="853"/>
    </row>
    <row r="1898" spans="1:9" ht="15" x14ac:dyDescent="0.2">
      <c r="A1898" s="431"/>
      <c r="B1898" s="673"/>
      <c r="C1898" s="673"/>
      <c r="D1898" s="1068" t="s">
        <v>1913</v>
      </c>
      <c r="E1898" s="2113" t="s">
        <v>2052</v>
      </c>
      <c r="F1898" s="2530"/>
      <c r="G1898" s="2531">
        <v>71</v>
      </c>
      <c r="H1898" s="2531">
        <v>71</v>
      </c>
      <c r="I1898" s="376">
        <f t="shared" ref="I1898" si="215">(H1898/G1898)*100</f>
        <v>100</v>
      </c>
    </row>
    <row r="1899" spans="1:9" ht="15" thickBot="1" x14ac:dyDescent="0.25">
      <c r="A1899" s="1394"/>
      <c r="B1899" s="674"/>
      <c r="C1899" s="1400"/>
      <c r="D1899" s="718" t="s">
        <v>1124</v>
      </c>
      <c r="E1899" s="456" t="s">
        <v>792</v>
      </c>
      <c r="F1899" s="871"/>
      <c r="G1899" s="871">
        <v>9305</v>
      </c>
      <c r="H1899" s="871">
        <v>9305</v>
      </c>
      <c r="I1899" s="855">
        <f t="shared" si="214"/>
        <v>100</v>
      </c>
    </row>
    <row r="1900" spans="1:9" ht="14.25" thickTop="1" thickBot="1" x14ac:dyDescent="0.25">
      <c r="A1900" s="432"/>
      <c r="I1900" s="1390" t="s">
        <v>161</v>
      </c>
    </row>
    <row r="1901" spans="1:9" ht="14.25" thickTop="1" thickBot="1" x14ac:dyDescent="0.25">
      <c r="A1901" s="631" t="s">
        <v>624</v>
      </c>
      <c r="B1901" s="774" t="s">
        <v>162</v>
      </c>
      <c r="C1901" s="632" t="s">
        <v>163</v>
      </c>
      <c r="D1901" s="634" t="s">
        <v>705</v>
      </c>
      <c r="E1901" s="634" t="s">
        <v>164</v>
      </c>
      <c r="F1901" s="634" t="s">
        <v>165</v>
      </c>
      <c r="G1901" s="634" t="s">
        <v>881</v>
      </c>
      <c r="H1901" s="634" t="s">
        <v>882</v>
      </c>
      <c r="I1901" s="818" t="s">
        <v>883</v>
      </c>
    </row>
    <row r="1902" spans="1:9" ht="14.25" thickTop="1" thickBot="1" x14ac:dyDescent="0.25">
      <c r="A1902" s="566">
        <v>1</v>
      </c>
      <c r="B1902" s="567">
        <v>2</v>
      </c>
      <c r="C1902" s="567">
        <v>3</v>
      </c>
      <c r="D1902" s="567">
        <v>4</v>
      </c>
      <c r="E1902" s="567">
        <v>5</v>
      </c>
      <c r="F1902" s="541">
        <v>6</v>
      </c>
      <c r="G1902" s="541">
        <v>7</v>
      </c>
      <c r="H1902" s="542">
        <v>8</v>
      </c>
      <c r="I1902" s="636" t="s">
        <v>762</v>
      </c>
    </row>
    <row r="1903" spans="1:9" ht="15.75" thickTop="1" x14ac:dyDescent="0.25">
      <c r="A1903" s="431">
        <v>1200</v>
      </c>
      <c r="B1903" s="750">
        <v>3147</v>
      </c>
      <c r="C1903" s="750">
        <v>5331</v>
      </c>
      <c r="D1903" s="859"/>
      <c r="E1903" s="672" t="s">
        <v>951</v>
      </c>
      <c r="F1903" s="835">
        <f>F1904+F1905+F1907</f>
        <v>528</v>
      </c>
      <c r="G1903" s="835">
        <f>G1904+G1905</f>
        <v>526</v>
      </c>
      <c r="H1903" s="835">
        <f>H1904+H1905</f>
        <v>526</v>
      </c>
      <c r="I1903" s="836">
        <f t="shared" si="214"/>
        <v>100</v>
      </c>
    </row>
    <row r="1904" spans="1:9" ht="14.25" x14ac:dyDescent="0.2">
      <c r="A1904" s="431"/>
      <c r="B1904" s="750"/>
      <c r="C1904" s="750"/>
      <c r="D1904" s="707" t="s">
        <v>575</v>
      </c>
      <c r="E1904" s="1478" t="s">
        <v>793</v>
      </c>
      <c r="F1904" s="833">
        <v>299</v>
      </c>
      <c r="G1904" s="833">
        <v>299</v>
      </c>
      <c r="H1904" s="833">
        <v>299</v>
      </c>
      <c r="I1904" s="828">
        <f t="shared" si="214"/>
        <v>100</v>
      </c>
    </row>
    <row r="1905" spans="1:20" ht="13.5" customHeight="1" x14ac:dyDescent="0.2">
      <c r="A1905" s="431"/>
      <c r="B1905" s="750"/>
      <c r="C1905" s="750"/>
      <c r="D1905" s="552" t="s">
        <v>570</v>
      </c>
      <c r="E1905" s="455" t="s">
        <v>71</v>
      </c>
      <c r="F1905" s="833">
        <v>229</v>
      </c>
      <c r="G1905" s="833">
        <v>227</v>
      </c>
      <c r="H1905" s="833">
        <v>227</v>
      </c>
      <c r="I1905" s="828">
        <f t="shared" si="214"/>
        <v>100</v>
      </c>
    </row>
    <row r="1906" spans="1:20" ht="15" x14ac:dyDescent="0.25">
      <c r="A1906" s="431">
        <v>1200</v>
      </c>
      <c r="B1906" s="750">
        <v>3147</v>
      </c>
      <c r="C1906" s="750">
        <v>5336</v>
      </c>
      <c r="D1906" s="552"/>
      <c r="E1906" s="672" t="s">
        <v>2054</v>
      </c>
      <c r="F1906" s="833"/>
      <c r="G1906" s="846">
        <v>1135</v>
      </c>
      <c r="H1906" s="846">
        <v>1135</v>
      </c>
      <c r="I1906" s="838">
        <f t="shared" si="214"/>
        <v>100</v>
      </c>
    </row>
    <row r="1907" spans="1:20" ht="12.75" customHeight="1" thickBot="1" x14ac:dyDescent="0.25">
      <c r="A1907" s="431"/>
      <c r="B1907" s="750"/>
      <c r="C1907" s="1393"/>
      <c r="D1907" s="552" t="s">
        <v>1124</v>
      </c>
      <c r="E1907" s="455" t="s">
        <v>792</v>
      </c>
      <c r="F1907" s="833"/>
      <c r="G1907" s="833">
        <v>1135</v>
      </c>
      <c r="H1907" s="833">
        <v>1135</v>
      </c>
      <c r="I1907" s="828">
        <f t="shared" si="214"/>
        <v>100</v>
      </c>
    </row>
    <row r="1908" spans="1:20" s="107" customFormat="1" ht="16.5" thickTop="1" thickBot="1" x14ac:dyDescent="0.3">
      <c r="A1908" s="2672" t="s">
        <v>1105</v>
      </c>
      <c r="B1908" s="2673"/>
      <c r="C1908" s="2673"/>
      <c r="D1908" s="2673"/>
      <c r="E1908" s="2673"/>
      <c r="F1908" s="824">
        <f>F1891+F1903</f>
        <v>4144</v>
      </c>
      <c r="G1908" s="824">
        <f>G1889+G1891+G1895+G1903+G1906</f>
        <v>15938</v>
      </c>
      <c r="H1908" s="824">
        <f>H1889+H1891+H1895+H1903+H1906</f>
        <v>15938</v>
      </c>
      <c r="I1908" s="825">
        <f>(H1908/G1908)*100</f>
        <v>100</v>
      </c>
      <c r="R1908" s="382">
        <f>F1908</f>
        <v>4144</v>
      </c>
      <c r="S1908" s="382">
        <f>G1908</f>
        <v>15938</v>
      </c>
      <c r="T1908" s="382">
        <f>H1908</f>
        <v>15938</v>
      </c>
    </row>
    <row r="1909" spans="1:20" s="383" customFormat="1" ht="13.5" thickTop="1" x14ac:dyDescent="0.2">
      <c r="A1909" s="381"/>
      <c r="B1909" s="643"/>
      <c r="C1909" s="381"/>
      <c r="D1909" s="814"/>
      <c r="E1909" s="381"/>
      <c r="F1909" s="382"/>
      <c r="G1909" s="382"/>
      <c r="H1909" s="382"/>
      <c r="I1909" s="1390"/>
    </row>
    <row r="1910" spans="1:20" s="383" customFormat="1" x14ac:dyDescent="0.2">
      <c r="A1910" s="381"/>
      <c r="B1910" s="643"/>
      <c r="C1910" s="381"/>
      <c r="D1910" s="814"/>
      <c r="E1910" s="381"/>
      <c r="F1910" s="382"/>
      <c r="G1910" s="382"/>
      <c r="H1910" s="382"/>
      <c r="I1910" s="1390"/>
    </row>
    <row r="1911" spans="1:20" s="383" customFormat="1" x14ac:dyDescent="0.2">
      <c r="A1911" s="381"/>
      <c r="B1911" s="643"/>
      <c r="C1911" s="381"/>
      <c r="D1911" s="814"/>
      <c r="E1911" s="381"/>
      <c r="F1911" s="382"/>
      <c r="G1911" s="382"/>
      <c r="H1911" s="382"/>
      <c r="I1911" s="1390"/>
    </row>
    <row r="1912" spans="1:20" s="383" customFormat="1" x14ac:dyDescent="0.2">
      <c r="A1912" s="381"/>
      <c r="B1912" s="643"/>
      <c r="C1912" s="381"/>
      <c r="D1912" s="814"/>
      <c r="E1912" s="381"/>
      <c r="F1912" s="382"/>
      <c r="G1912" s="382"/>
      <c r="H1912" s="382"/>
      <c r="I1912" s="1390"/>
    </row>
    <row r="1913" spans="1:20" ht="13.5" thickBot="1" x14ac:dyDescent="0.25">
      <c r="A1913" s="432" t="s">
        <v>129</v>
      </c>
      <c r="I1913" s="1390" t="s">
        <v>161</v>
      </c>
    </row>
    <row r="1914" spans="1:20" ht="25.5" customHeight="1" thickTop="1" thickBot="1" x14ac:dyDescent="0.25">
      <c r="A1914" s="631" t="s">
        <v>624</v>
      </c>
      <c r="B1914" s="774" t="s">
        <v>162</v>
      </c>
      <c r="C1914" s="632" t="s">
        <v>163</v>
      </c>
      <c r="D1914" s="634" t="s">
        <v>705</v>
      </c>
      <c r="E1914" s="634" t="s">
        <v>164</v>
      </c>
      <c r="F1914" s="634" t="s">
        <v>165</v>
      </c>
      <c r="G1914" s="634" t="s">
        <v>881</v>
      </c>
      <c r="H1914" s="634" t="s">
        <v>882</v>
      </c>
      <c r="I1914" s="818" t="s">
        <v>883</v>
      </c>
    </row>
    <row r="1915" spans="1:20" ht="14.25" thickTop="1" thickBot="1" x14ac:dyDescent="0.25">
      <c r="A1915" s="566">
        <v>1</v>
      </c>
      <c r="B1915" s="567">
        <v>2</v>
      </c>
      <c r="C1915" s="567">
        <v>3</v>
      </c>
      <c r="D1915" s="567">
        <v>4</v>
      </c>
      <c r="E1915" s="567">
        <v>5</v>
      </c>
      <c r="F1915" s="541">
        <v>6</v>
      </c>
      <c r="G1915" s="541">
        <v>7</v>
      </c>
      <c r="H1915" s="542">
        <v>8</v>
      </c>
      <c r="I1915" s="636" t="s">
        <v>762</v>
      </c>
    </row>
    <row r="1916" spans="1:20" ht="15.75" thickTop="1" x14ac:dyDescent="0.25">
      <c r="A1916" s="431">
        <v>1201</v>
      </c>
      <c r="B1916" s="673">
        <v>3122</v>
      </c>
      <c r="C1916" s="673">
        <v>5336</v>
      </c>
      <c r="D1916" s="819"/>
      <c r="E1916" s="672" t="s">
        <v>2054</v>
      </c>
      <c r="F1916" s="820"/>
      <c r="G1916" s="820">
        <v>515</v>
      </c>
      <c r="H1916" s="820">
        <v>515</v>
      </c>
      <c r="I1916" s="821">
        <f>(H1916/G1916)*100</f>
        <v>100</v>
      </c>
    </row>
    <row r="1917" spans="1:20" ht="14.25" x14ac:dyDescent="0.2">
      <c r="A1917" s="866"/>
      <c r="B1917" s="1310"/>
      <c r="C1917" s="1310"/>
      <c r="D1917" s="552" t="s">
        <v>1124</v>
      </c>
      <c r="E1917" s="455" t="s">
        <v>792</v>
      </c>
      <c r="F1917" s="827"/>
      <c r="G1917" s="827">
        <v>515</v>
      </c>
      <c r="H1917" s="827">
        <v>515</v>
      </c>
      <c r="I1917" s="823">
        <f>(H1917/G1917)*100</f>
        <v>100</v>
      </c>
    </row>
    <row r="1918" spans="1:20" ht="15" x14ac:dyDescent="0.25">
      <c r="A1918" s="431">
        <v>1201</v>
      </c>
      <c r="B1918" s="673">
        <v>3123</v>
      </c>
      <c r="C1918" s="673">
        <v>5331</v>
      </c>
      <c r="D1918" s="819"/>
      <c r="E1918" s="792" t="s">
        <v>951</v>
      </c>
      <c r="F1918" s="820">
        <f>F1919+F1920+F1922</f>
        <v>5441</v>
      </c>
      <c r="G1918" s="820">
        <f>G1919+G1920+G1922+G1921</f>
        <v>6260</v>
      </c>
      <c r="H1918" s="820">
        <f>H1919+H1920+H1922+H1921</f>
        <v>6260</v>
      </c>
      <c r="I1918" s="821">
        <f t="shared" ref="I1918:I1935" si="216">(H1918/G1918)*100</f>
        <v>100</v>
      </c>
    </row>
    <row r="1919" spans="1:20" ht="14.25" x14ac:dyDescent="0.2">
      <c r="A1919" s="431"/>
      <c r="B1919" s="673"/>
      <c r="C1919" s="673"/>
      <c r="D1919" s="707" t="s">
        <v>575</v>
      </c>
      <c r="E1919" s="1478" t="s">
        <v>793</v>
      </c>
      <c r="F1919" s="827">
        <v>2536</v>
      </c>
      <c r="G1919" s="827">
        <v>2700</v>
      </c>
      <c r="H1919" s="827">
        <v>2700</v>
      </c>
      <c r="I1919" s="823">
        <f t="shared" si="216"/>
        <v>100</v>
      </c>
    </row>
    <row r="1920" spans="1:20" ht="14.25" x14ac:dyDescent="0.2">
      <c r="A1920" s="431"/>
      <c r="B1920" s="673"/>
      <c r="C1920" s="673"/>
      <c r="D1920" s="552" t="s">
        <v>570</v>
      </c>
      <c r="E1920" s="455" t="s">
        <v>71</v>
      </c>
      <c r="F1920" s="827">
        <v>2905</v>
      </c>
      <c r="G1920" s="827">
        <v>2855</v>
      </c>
      <c r="H1920" s="827">
        <v>2855</v>
      </c>
      <c r="I1920" s="823">
        <f t="shared" si="216"/>
        <v>100</v>
      </c>
    </row>
    <row r="1921" spans="1:20" ht="14.25" x14ac:dyDescent="0.2">
      <c r="A1921" s="431"/>
      <c r="B1921" s="673"/>
      <c r="C1921" s="673"/>
      <c r="D1921" s="1059" t="s">
        <v>665</v>
      </c>
      <c r="E1921" s="1278" t="s">
        <v>1294</v>
      </c>
      <c r="F1921" s="827"/>
      <c r="G1921" s="827">
        <v>21</v>
      </c>
      <c r="H1921" s="827">
        <v>21</v>
      </c>
      <c r="I1921" s="823">
        <f t="shared" si="216"/>
        <v>100</v>
      </c>
    </row>
    <row r="1922" spans="1:20" ht="14.25" x14ac:dyDescent="0.2">
      <c r="A1922" s="431"/>
      <c r="B1922" s="673"/>
      <c r="C1922" s="673"/>
      <c r="D1922" s="1069" t="s">
        <v>924</v>
      </c>
      <c r="E1922" s="1161" t="s">
        <v>1213</v>
      </c>
      <c r="F1922" s="827"/>
      <c r="G1922" s="827">
        <v>684</v>
      </c>
      <c r="H1922" s="827">
        <v>684</v>
      </c>
      <c r="I1922" s="823">
        <f t="shared" si="216"/>
        <v>100</v>
      </c>
    </row>
    <row r="1923" spans="1:20" ht="15" x14ac:dyDescent="0.25">
      <c r="A1923" s="431">
        <v>1201</v>
      </c>
      <c r="B1923" s="673">
        <v>3123</v>
      </c>
      <c r="C1923" s="673">
        <v>5336</v>
      </c>
      <c r="D1923" s="1069"/>
      <c r="E1923" s="672" t="s">
        <v>2054</v>
      </c>
      <c r="F1923" s="827"/>
      <c r="G1923" s="851">
        <f>G1928+G1927+G1925+G1924</f>
        <v>19874</v>
      </c>
      <c r="H1923" s="851">
        <f>H1928+H1927+H1925+H1924</f>
        <v>19874</v>
      </c>
      <c r="I1923" s="853">
        <f t="shared" si="216"/>
        <v>100</v>
      </c>
    </row>
    <row r="1924" spans="1:20" ht="14.25" x14ac:dyDescent="0.2">
      <c r="A1924" s="431"/>
      <c r="B1924" s="673"/>
      <c r="C1924" s="673"/>
      <c r="D1924" s="1068" t="s">
        <v>1905</v>
      </c>
      <c r="E1924" s="2529" t="s">
        <v>1827</v>
      </c>
      <c r="F1924" s="314"/>
      <c r="G1924" s="316">
        <v>400</v>
      </c>
      <c r="H1924" s="316">
        <v>400</v>
      </c>
      <c r="I1924" s="1074">
        <f t="shared" si="216"/>
        <v>100</v>
      </c>
    </row>
    <row r="1925" spans="1:20" ht="14.25" customHeight="1" x14ac:dyDescent="0.2">
      <c r="A1925" s="431"/>
      <c r="B1925" s="673"/>
      <c r="C1925" s="673"/>
      <c r="D1925" s="1068" t="s">
        <v>1911</v>
      </c>
      <c r="E1925" s="2671" t="s">
        <v>2051</v>
      </c>
      <c r="F1925" s="827"/>
      <c r="G1925" s="837">
        <v>19</v>
      </c>
      <c r="H1925" s="837">
        <v>19</v>
      </c>
      <c r="I1925" s="823">
        <v>29</v>
      </c>
    </row>
    <row r="1926" spans="1:20" ht="15" x14ac:dyDescent="0.25">
      <c r="A1926" s="431"/>
      <c r="B1926" s="673"/>
      <c r="C1926" s="673"/>
      <c r="D1926" s="1068"/>
      <c r="E1926" s="2671"/>
      <c r="F1926" s="827"/>
      <c r="G1926" s="846"/>
      <c r="H1926" s="846"/>
      <c r="I1926" s="853"/>
    </row>
    <row r="1927" spans="1:20" ht="15" x14ac:dyDescent="0.2">
      <c r="A1927" s="431"/>
      <c r="B1927" s="673"/>
      <c r="C1927" s="673"/>
      <c r="D1927" s="1068" t="s">
        <v>1913</v>
      </c>
      <c r="E1927" s="2113" t="s">
        <v>2052</v>
      </c>
      <c r="F1927" s="2530"/>
      <c r="G1927" s="2531">
        <v>107</v>
      </c>
      <c r="H1927" s="2531">
        <v>107</v>
      </c>
      <c r="I1927" s="376">
        <f t="shared" ref="I1927" si="217">(H1927/G1927)*100</f>
        <v>100</v>
      </c>
    </row>
    <row r="1928" spans="1:20" ht="14.25" x14ac:dyDescent="0.2">
      <c r="A1928" s="431"/>
      <c r="B1928" s="673"/>
      <c r="C1928" s="673"/>
      <c r="D1928" s="552" t="s">
        <v>1124</v>
      </c>
      <c r="E1928" s="455" t="s">
        <v>792</v>
      </c>
      <c r="F1928" s="827"/>
      <c r="G1928" s="827">
        <v>19348</v>
      </c>
      <c r="H1928" s="827">
        <v>19348</v>
      </c>
      <c r="I1928" s="823">
        <f t="shared" si="216"/>
        <v>100</v>
      </c>
    </row>
    <row r="1929" spans="1:20" ht="15" x14ac:dyDescent="0.25">
      <c r="A1929" s="431">
        <v>1201</v>
      </c>
      <c r="B1929" s="750">
        <v>3142</v>
      </c>
      <c r="C1929" s="1393">
        <v>5331</v>
      </c>
      <c r="D1929" s="842"/>
      <c r="E1929" s="672" t="s">
        <v>951</v>
      </c>
      <c r="F1929" s="835">
        <v>200</v>
      </c>
      <c r="G1929" s="835">
        <v>198</v>
      </c>
      <c r="H1929" s="835">
        <v>198</v>
      </c>
      <c r="I1929" s="836">
        <f t="shared" si="216"/>
        <v>100</v>
      </c>
    </row>
    <row r="1930" spans="1:20" ht="14.25" x14ac:dyDescent="0.2">
      <c r="A1930" s="431"/>
      <c r="B1930" s="750"/>
      <c r="C1930" s="1393"/>
      <c r="D1930" s="552" t="s">
        <v>570</v>
      </c>
      <c r="E1930" s="455" t="s">
        <v>71</v>
      </c>
      <c r="F1930" s="833">
        <v>200</v>
      </c>
      <c r="G1930" s="833">
        <v>198</v>
      </c>
      <c r="H1930" s="833">
        <v>198</v>
      </c>
      <c r="I1930" s="828">
        <f t="shared" si="216"/>
        <v>100</v>
      </c>
    </row>
    <row r="1931" spans="1:20" ht="15" x14ac:dyDescent="0.25">
      <c r="A1931" s="431">
        <v>1201</v>
      </c>
      <c r="B1931" s="750">
        <v>3147</v>
      </c>
      <c r="C1931" s="750">
        <v>5331</v>
      </c>
      <c r="D1931" s="859"/>
      <c r="E1931" s="672" t="s">
        <v>951</v>
      </c>
      <c r="F1931" s="835">
        <v>450</v>
      </c>
      <c r="G1931" s="835">
        <v>445</v>
      </c>
      <c r="H1931" s="835">
        <v>445</v>
      </c>
      <c r="I1931" s="836">
        <f t="shared" si="216"/>
        <v>100</v>
      </c>
    </row>
    <row r="1932" spans="1:20" ht="14.25" x14ac:dyDescent="0.2">
      <c r="A1932" s="431"/>
      <c r="B1932" s="750"/>
      <c r="C1932" s="750"/>
      <c r="D1932" s="552" t="s">
        <v>570</v>
      </c>
      <c r="E1932" s="455" t="s">
        <v>71</v>
      </c>
      <c r="F1932" s="833">
        <v>450</v>
      </c>
      <c r="G1932" s="833">
        <v>445</v>
      </c>
      <c r="H1932" s="833">
        <v>445</v>
      </c>
      <c r="I1932" s="828">
        <f t="shared" si="216"/>
        <v>100</v>
      </c>
    </row>
    <row r="1933" spans="1:20" ht="15" x14ac:dyDescent="0.25">
      <c r="A1933" s="431">
        <v>1201</v>
      </c>
      <c r="B1933" s="750">
        <v>3147</v>
      </c>
      <c r="C1933" s="750">
        <v>5336</v>
      </c>
      <c r="D1933" s="552"/>
      <c r="E1933" s="672" t="s">
        <v>2054</v>
      </c>
      <c r="F1933" s="833"/>
      <c r="G1933" s="846">
        <v>1296</v>
      </c>
      <c r="H1933" s="846">
        <v>1296</v>
      </c>
      <c r="I1933" s="838">
        <f t="shared" si="216"/>
        <v>100</v>
      </c>
    </row>
    <row r="1934" spans="1:20" ht="15" thickBot="1" x14ac:dyDescent="0.25">
      <c r="A1934" s="431"/>
      <c r="B1934" s="750"/>
      <c r="C1934" s="1393"/>
      <c r="D1934" s="552" t="s">
        <v>1124</v>
      </c>
      <c r="E1934" s="455" t="s">
        <v>792</v>
      </c>
      <c r="F1934" s="833"/>
      <c r="G1934" s="833">
        <v>1296</v>
      </c>
      <c r="H1934" s="833">
        <v>1296</v>
      </c>
      <c r="I1934" s="828">
        <f t="shared" si="216"/>
        <v>100</v>
      </c>
    </row>
    <row r="1935" spans="1:20" ht="16.5" thickTop="1" thickBot="1" x14ac:dyDescent="0.3">
      <c r="A1935" s="2672" t="s">
        <v>1105</v>
      </c>
      <c r="B1935" s="2673"/>
      <c r="C1935" s="2673"/>
      <c r="D1935" s="2673"/>
      <c r="E1935" s="2673"/>
      <c r="F1935" s="824">
        <f>F1918+F1929+F1931</f>
        <v>6091</v>
      </c>
      <c r="G1935" s="824">
        <f>G1916+G1918+G1923+G1929+G1931+G1933</f>
        <v>28588</v>
      </c>
      <c r="H1935" s="824">
        <f>H1916+H1918+H1923+H1929+H1931+H1933</f>
        <v>28588</v>
      </c>
      <c r="I1935" s="825">
        <f t="shared" si="216"/>
        <v>100</v>
      </c>
      <c r="R1935" s="382">
        <f>F1935</f>
        <v>6091</v>
      </c>
      <c r="S1935" s="382">
        <f>G1935</f>
        <v>28588</v>
      </c>
      <c r="T1935" s="382">
        <f>H1935</f>
        <v>28588</v>
      </c>
    </row>
    <row r="1936" spans="1:20" ht="14.25" customHeight="1" thickTop="1" x14ac:dyDescent="0.25">
      <c r="A1936" s="368"/>
      <c r="B1936" s="368"/>
      <c r="C1936" s="368"/>
      <c r="D1936" s="368"/>
      <c r="E1936" s="368"/>
      <c r="F1936" s="181"/>
      <c r="G1936" s="181"/>
      <c r="H1936" s="181"/>
      <c r="I1936" s="210"/>
      <c r="R1936" s="382"/>
      <c r="S1936" s="382"/>
      <c r="T1936" s="382"/>
    </row>
    <row r="1937" spans="1:20" ht="14.25" customHeight="1" x14ac:dyDescent="0.25">
      <c r="A1937" s="368"/>
      <c r="B1937" s="368"/>
      <c r="C1937" s="368"/>
      <c r="D1937" s="368"/>
      <c r="E1937" s="368"/>
      <c r="F1937" s="181"/>
      <c r="G1937" s="181"/>
      <c r="H1937" s="181"/>
      <c r="I1937" s="210"/>
      <c r="R1937" s="382"/>
      <c r="S1937" s="382"/>
      <c r="T1937" s="382"/>
    </row>
    <row r="1938" spans="1:20" ht="15" x14ac:dyDescent="0.25">
      <c r="A1938" s="368"/>
      <c r="B1938" s="368"/>
      <c r="C1938" s="368"/>
      <c r="D1938" s="368"/>
      <c r="E1938" s="368"/>
      <c r="F1938" s="181"/>
      <c r="G1938" s="181"/>
      <c r="H1938" s="181"/>
      <c r="I1938" s="210"/>
      <c r="R1938" s="382"/>
      <c r="S1938" s="382"/>
      <c r="T1938" s="382"/>
    </row>
    <row r="1939" spans="1:20" ht="15.75" customHeight="1" thickBot="1" x14ac:dyDescent="0.25">
      <c r="A1939" s="432" t="s">
        <v>1450</v>
      </c>
      <c r="I1939" s="1390" t="s">
        <v>161</v>
      </c>
    </row>
    <row r="1940" spans="1:20" ht="14.25" thickTop="1" thickBot="1" x14ac:dyDescent="0.25">
      <c r="A1940" s="631" t="s">
        <v>624</v>
      </c>
      <c r="B1940" s="774" t="s">
        <v>162</v>
      </c>
      <c r="C1940" s="632" t="s">
        <v>163</v>
      </c>
      <c r="D1940" s="634" t="s">
        <v>705</v>
      </c>
      <c r="E1940" s="634" t="s">
        <v>164</v>
      </c>
      <c r="F1940" s="634" t="s">
        <v>165</v>
      </c>
      <c r="G1940" s="634" t="s">
        <v>881</v>
      </c>
      <c r="H1940" s="634" t="s">
        <v>882</v>
      </c>
      <c r="I1940" s="818" t="s">
        <v>883</v>
      </c>
    </row>
    <row r="1941" spans="1:20" ht="14.25" thickTop="1" thickBot="1" x14ac:dyDescent="0.25">
      <c r="A1941" s="566">
        <v>1</v>
      </c>
      <c r="B1941" s="567">
        <v>2</v>
      </c>
      <c r="C1941" s="567">
        <v>3</v>
      </c>
      <c r="D1941" s="567">
        <v>4</v>
      </c>
      <c r="E1941" s="567">
        <v>5</v>
      </c>
      <c r="F1941" s="541">
        <v>6</v>
      </c>
      <c r="G1941" s="541">
        <v>7</v>
      </c>
      <c r="H1941" s="542">
        <v>8</v>
      </c>
      <c r="I1941" s="636" t="s">
        <v>762</v>
      </c>
    </row>
    <row r="1942" spans="1:20" ht="15.75" thickTop="1" x14ac:dyDescent="0.25">
      <c r="A1942" s="1402">
        <v>1202</v>
      </c>
      <c r="B1942" s="847">
        <v>3122</v>
      </c>
      <c r="C1942" s="847">
        <v>5331</v>
      </c>
      <c r="D1942" s="852"/>
      <c r="E1942" s="886" t="s">
        <v>951</v>
      </c>
      <c r="F1942" s="845">
        <f>F1943+F1944</f>
        <v>3771</v>
      </c>
      <c r="G1942" s="845">
        <f>G1943+G1944</f>
        <v>3855</v>
      </c>
      <c r="H1942" s="845">
        <f>H1943+H1944</f>
        <v>3855</v>
      </c>
      <c r="I1942" s="849">
        <f t="shared" ref="I1942:I1962" si="218">(H1942/G1942)*100</f>
        <v>100</v>
      </c>
    </row>
    <row r="1943" spans="1:20" ht="14.25" x14ac:dyDescent="0.2">
      <c r="A1943" s="431"/>
      <c r="B1943" s="673"/>
      <c r="C1943" s="673"/>
      <c r="D1943" s="707" t="s">
        <v>575</v>
      </c>
      <c r="E1943" s="1478" t="s">
        <v>793</v>
      </c>
      <c r="F1943" s="827">
        <v>940</v>
      </c>
      <c r="G1943" s="827">
        <v>1052</v>
      </c>
      <c r="H1943" s="827">
        <v>1052</v>
      </c>
      <c r="I1943" s="823">
        <f t="shared" si="218"/>
        <v>100</v>
      </c>
    </row>
    <row r="1944" spans="1:20" ht="14.25" x14ac:dyDescent="0.2">
      <c r="A1944" s="431"/>
      <c r="B1944" s="673"/>
      <c r="C1944" s="673"/>
      <c r="D1944" s="552" t="s">
        <v>570</v>
      </c>
      <c r="E1944" s="455" t="s">
        <v>71</v>
      </c>
      <c r="F1944" s="827">
        <v>2831</v>
      </c>
      <c r="G1944" s="827">
        <v>2803</v>
      </c>
      <c r="H1944" s="827">
        <v>2803</v>
      </c>
      <c r="I1944" s="823">
        <f t="shared" si="218"/>
        <v>100</v>
      </c>
    </row>
    <row r="1945" spans="1:20" ht="15" x14ac:dyDescent="0.25">
      <c r="A1945" s="431">
        <v>1202</v>
      </c>
      <c r="B1945" s="673">
        <v>3122</v>
      </c>
      <c r="C1945" s="673">
        <v>5336</v>
      </c>
      <c r="D1945" s="2543"/>
      <c r="E1945" s="672" t="s">
        <v>2054</v>
      </c>
      <c r="F1945" s="827"/>
      <c r="G1945" s="851">
        <f>G1946+G1949+G1950+G1952+G1953</f>
        <v>14128</v>
      </c>
      <c r="H1945" s="851">
        <f>H1946+H1949+H1950+H1952+H1953</f>
        <v>14128</v>
      </c>
      <c r="I1945" s="853">
        <f t="shared" si="218"/>
        <v>100</v>
      </c>
    </row>
    <row r="1946" spans="1:20" ht="14.25" customHeight="1" x14ac:dyDescent="0.2">
      <c r="A1946" s="431"/>
      <c r="B1946" s="673"/>
      <c r="C1946" s="673"/>
      <c r="D1946" s="2660" t="s">
        <v>1429</v>
      </c>
      <c r="E1946" s="2670" t="s">
        <v>1448</v>
      </c>
      <c r="F1946" s="827"/>
      <c r="G1946" s="827">
        <v>99</v>
      </c>
      <c r="H1946" s="827">
        <v>99</v>
      </c>
      <c r="I1946" s="823">
        <f t="shared" ref="I1946" si="219">(H1946/G1946)*100</f>
        <v>100</v>
      </c>
    </row>
    <row r="1947" spans="1:20" ht="14.25" x14ac:dyDescent="0.2">
      <c r="A1947" s="431"/>
      <c r="B1947" s="673"/>
      <c r="C1947" s="673"/>
      <c r="D1947" s="2661"/>
      <c r="E1947" s="2661"/>
      <c r="F1947" s="827"/>
      <c r="G1947" s="827"/>
      <c r="H1947" s="827"/>
      <c r="I1947" s="823"/>
    </row>
    <row r="1948" spans="1:20" ht="14.25" x14ac:dyDescent="0.2">
      <c r="A1948" s="431"/>
      <c r="B1948" s="673"/>
      <c r="C1948" s="673"/>
      <c r="D1948" s="2661"/>
      <c r="E1948" s="2661"/>
      <c r="F1948" s="827"/>
      <c r="G1948" s="827"/>
      <c r="H1948" s="827"/>
      <c r="I1948" s="823"/>
    </row>
    <row r="1949" spans="1:20" ht="14.25" x14ac:dyDescent="0.2">
      <c r="A1949" s="431"/>
      <c r="B1949" s="673"/>
      <c r="C1949" s="673"/>
      <c r="D1949" s="1068" t="s">
        <v>1504</v>
      </c>
      <c r="E1949" s="2113" t="s">
        <v>1604</v>
      </c>
      <c r="F1949" s="314"/>
      <c r="G1949" s="316">
        <v>10</v>
      </c>
      <c r="H1949" s="316">
        <v>10</v>
      </c>
      <c r="I1949" s="1074">
        <f t="shared" ref="I1949" si="220">(H1949/G1949)*100</f>
        <v>100</v>
      </c>
    </row>
    <row r="1950" spans="1:20" ht="14.25" x14ac:dyDescent="0.2">
      <c r="A1950" s="431"/>
      <c r="B1950" s="673"/>
      <c r="C1950" s="673"/>
      <c r="D1950" s="1068" t="s">
        <v>1911</v>
      </c>
      <c r="E1950" s="2671" t="s">
        <v>2051</v>
      </c>
      <c r="F1950" s="827"/>
      <c r="G1950" s="837">
        <v>20</v>
      </c>
      <c r="H1950" s="837">
        <v>20</v>
      </c>
      <c r="I1950" s="823">
        <v>29</v>
      </c>
    </row>
    <row r="1951" spans="1:20" ht="15" x14ac:dyDescent="0.25">
      <c r="A1951" s="431"/>
      <c r="B1951" s="673"/>
      <c r="C1951" s="673"/>
      <c r="D1951" s="1068"/>
      <c r="E1951" s="2671"/>
      <c r="F1951" s="827"/>
      <c r="G1951" s="846"/>
      <c r="H1951" s="846"/>
      <c r="I1951" s="853"/>
    </row>
    <row r="1952" spans="1:20" ht="15" x14ac:dyDescent="0.2">
      <c r="A1952" s="431"/>
      <c r="B1952" s="673"/>
      <c r="C1952" s="673"/>
      <c r="D1952" s="1068" t="s">
        <v>1913</v>
      </c>
      <c r="E1952" s="2113" t="s">
        <v>2052</v>
      </c>
      <c r="F1952" s="2530"/>
      <c r="G1952" s="2531">
        <v>104</v>
      </c>
      <c r="H1952" s="2531">
        <v>104</v>
      </c>
      <c r="I1952" s="376">
        <f t="shared" ref="I1952" si="221">(H1952/G1952)*100</f>
        <v>100</v>
      </c>
    </row>
    <row r="1953" spans="1:20" ht="14.25" x14ac:dyDescent="0.2">
      <c r="A1953" s="431"/>
      <c r="B1953" s="673"/>
      <c r="C1953" s="1392"/>
      <c r="D1953" s="552" t="s">
        <v>1124</v>
      </c>
      <c r="E1953" s="455" t="s">
        <v>792</v>
      </c>
      <c r="F1953" s="827"/>
      <c r="G1953" s="827">
        <v>13895</v>
      </c>
      <c r="H1953" s="827">
        <v>13895</v>
      </c>
      <c r="I1953" s="823">
        <f t="shared" si="218"/>
        <v>100</v>
      </c>
    </row>
    <row r="1954" spans="1:20" ht="15" x14ac:dyDescent="0.25">
      <c r="A1954" s="431">
        <v>1202</v>
      </c>
      <c r="B1954" s="750">
        <v>3123</v>
      </c>
      <c r="C1954" s="750">
        <v>5331</v>
      </c>
      <c r="D1954" s="859"/>
      <c r="E1954" s="672" t="s">
        <v>951</v>
      </c>
      <c r="F1954" s="835">
        <v>650</v>
      </c>
      <c r="G1954" s="835">
        <v>643</v>
      </c>
      <c r="H1954" s="835">
        <v>643</v>
      </c>
      <c r="I1954" s="836">
        <f t="shared" si="218"/>
        <v>100</v>
      </c>
    </row>
    <row r="1955" spans="1:20" ht="14.25" x14ac:dyDescent="0.2">
      <c r="A1955" s="431"/>
      <c r="B1955" s="750"/>
      <c r="C1955" s="750"/>
      <c r="D1955" s="552" t="s">
        <v>570</v>
      </c>
      <c r="E1955" s="455" t="s">
        <v>71</v>
      </c>
      <c r="F1955" s="837">
        <v>650</v>
      </c>
      <c r="G1955" s="833">
        <v>643</v>
      </c>
      <c r="H1955" s="833">
        <v>643</v>
      </c>
      <c r="I1955" s="828">
        <f t="shared" si="218"/>
        <v>100</v>
      </c>
    </row>
    <row r="1956" spans="1:20" ht="15" x14ac:dyDescent="0.25">
      <c r="A1956" s="431">
        <v>1202</v>
      </c>
      <c r="B1956" s="750">
        <v>3123</v>
      </c>
      <c r="C1956" s="750">
        <v>5336</v>
      </c>
      <c r="D1956" s="552"/>
      <c r="E1956" s="672" t="s">
        <v>2054</v>
      </c>
      <c r="F1956" s="837"/>
      <c r="G1956" s="846">
        <v>958</v>
      </c>
      <c r="H1956" s="846">
        <v>958</v>
      </c>
      <c r="I1956" s="838">
        <f t="shared" si="218"/>
        <v>100</v>
      </c>
    </row>
    <row r="1957" spans="1:20" ht="14.25" x14ac:dyDescent="0.2">
      <c r="A1957" s="431"/>
      <c r="B1957" s="750"/>
      <c r="C1957" s="750"/>
      <c r="D1957" s="552" t="s">
        <v>1124</v>
      </c>
      <c r="E1957" s="455" t="s">
        <v>792</v>
      </c>
      <c r="F1957" s="833"/>
      <c r="G1957" s="833">
        <v>958</v>
      </c>
      <c r="H1957" s="833">
        <v>958</v>
      </c>
      <c r="I1957" s="828">
        <f t="shared" si="218"/>
        <v>100</v>
      </c>
    </row>
    <row r="1958" spans="1:20" ht="15" x14ac:dyDescent="0.25">
      <c r="A1958" s="431">
        <v>1202</v>
      </c>
      <c r="B1958" s="750">
        <v>3142</v>
      </c>
      <c r="C1958" s="750">
        <v>5336</v>
      </c>
      <c r="D1958" s="552"/>
      <c r="E1958" s="672" t="s">
        <v>2054</v>
      </c>
      <c r="F1958" s="833"/>
      <c r="G1958" s="846">
        <v>149</v>
      </c>
      <c r="H1958" s="846">
        <v>149</v>
      </c>
      <c r="I1958" s="838">
        <f t="shared" si="218"/>
        <v>100</v>
      </c>
    </row>
    <row r="1959" spans="1:20" ht="14.25" x14ac:dyDescent="0.2">
      <c r="A1959" s="431"/>
      <c r="B1959" s="750"/>
      <c r="C1959" s="750"/>
      <c r="D1959" s="552" t="s">
        <v>1124</v>
      </c>
      <c r="E1959" s="455" t="s">
        <v>792</v>
      </c>
      <c r="F1959" s="833"/>
      <c r="G1959" s="833">
        <v>149</v>
      </c>
      <c r="H1959" s="833">
        <v>149</v>
      </c>
      <c r="I1959" s="828">
        <f t="shared" si="218"/>
        <v>100</v>
      </c>
    </row>
    <row r="1960" spans="1:20" ht="15" x14ac:dyDescent="0.25">
      <c r="A1960" s="431">
        <v>1202</v>
      </c>
      <c r="B1960" s="750">
        <v>3147</v>
      </c>
      <c r="C1960" s="1393">
        <v>5331</v>
      </c>
      <c r="D1960" s="842"/>
      <c r="E1960" s="672" t="s">
        <v>951</v>
      </c>
      <c r="F1960" s="846">
        <v>850</v>
      </c>
      <c r="G1960" s="846">
        <v>841</v>
      </c>
      <c r="H1960" s="846">
        <v>841</v>
      </c>
      <c r="I1960" s="836">
        <f t="shared" si="218"/>
        <v>100</v>
      </c>
    </row>
    <row r="1961" spans="1:20" ht="15" customHeight="1" x14ac:dyDescent="0.2">
      <c r="A1961" s="431"/>
      <c r="B1961" s="750"/>
      <c r="C1961" s="1393"/>
      <c r="D1961" s="552" t="s">
        <v>570</v>
      </c>
      <c r="E1961" s="455" t="s">
        <v>71</v>
      </c>
      <c r="F1961" s="833">
        <v>850</v>
      </c>
      <c r="G1961" s="833">
        <v>841</v>
      </c>
      <c r="H1961" s="833">
        <v>841</v>
      </c>
      <c r="I1961" s="828">
        <f t="shared" si="218"/>
        <v>100</v>
      </c>
    </row>
    <row r="1962" spans="1:20" ht="15" x14ac:dyDescent="0.25">
      <c r="A1962" s="431">
        <v>1202</v>
      </c>
      <c r="B1962" s="750">
        <v>3147</v>
      </c>
      <c r="C1962" s="1393">
        <v>5336</v>
      </c>
      <c r="D1962" s="552"/>
      <c r="E1962" s="672" t="s">
        <v>2054</v>
      </c>
      <c r="F1962" s="846"/>
      <c r="G1962" s="846">
        <v>4551</v>
      </c>
      <c r="H1962" s="846">
        <v>4551</v>
      </c>
      <c r="I1962" s="836">
        <f t="shared" si="218"/>
        <v>100</v>
      </c>
    </row>
    <row r="1963" spans="1:20" ht="15" thickBot="1" x14ac:dyDescent="0.25">
      <c r="A1963" s="431"/>
      <c r="B1963" s="750"/>
      <c r="C1963" s="1393"/>
      <c r="D1963" s="552" t="s">
        <v>1124</v>
      </c>
      <c r="E1963" s="455" t="s">
        <v>792</v>
      </c>
      <c r="F1963" s="833"/>
      <c r="G1963" s="833">
        <v>4551</v>
      </c>
      <c r="H1963" s="833">
        <v>4551</v>
      </c>
      <c r="I1963" s="828">
        <f>(H1963/G1963)*100</f>
        <v>100</v>
      </c>
    </row>
    <row r="1964" spans="1:20" ht="16.5" thickTop="1" thickBot="1" x14ac:dyDescent="0.3">
      <c r="A1964" s="2672" t="s">
        <v>1105</v>
      </c>
      <c r="B1964" s="2673"/>
      <c r="C1964" s="2673"/>
      <c r="D1964" s="2673"/>
      <c r="E1964" s="2673"/>
      <c r="F1964" s="824">
        <f>F1942+F1954+F1960</f>
        <v>5271</v>
      </c>
      <c r="G1964" s="824">
        <f>G1942+G1945+G1954+G1956+G1958+G1960+G1962</f>
        <v>25125</v>
      </c>
      <c r="H1964" s="824">
        <f>H1942+H1945+H1954+H1956+H1958+H1960+H1962</f>
        <v>25125</v>
      </c>
      <c r="I1964" s="825">
        <f>(H1964/G1964)*100</f>
        <v>100</v>
      </c>
      <c r="R1964" s="382">
        <f>F1964</f>
        <v>5271</v>
      </c>
      <c r="S1964" s="382">
        <f>G1964</f>
        <v>25125</v>
      </c>
      <c r="T1964" s="382">
        <f>H1964</f>
        <v>25125</v>
      </c>
    </row>
    <row r="1965" spans="1:20" ht="12.75" customHeight="1" thickTop="1" x14ac:dyDescent="0.25">
      <c r="A1965" s="368"/>
      <c r="B1965" s="368"/>
      <c r="C1965" s="368"/>
      <c r="D1965" s="368"/>
      <c r="E1965" s="368"/>
      <c r="F1965" s="181"/>
      <c r="G1965" s="181"/>
      <c r="H1965" s="181"/>
      <c r="I1965" s="210"/>
      <c r="R1965" s="382"/>
      <c r="S1965" s="382"/>
      <c r="T1965" s="382"/>
    </row>
    <row r="1966" spans="1:20" ht="12.75" customHeight="1" x14ac:dyDescent="0.25">
      <c r="A1966" s="368"/>
      <c r="B1966" s="368"/>
      <c r="C1966" s="368"/>
      <c r="D1966" s="368"/>
      <c r="E1966" s="368"/>
      <c r="F1966" s="181"/>
      <c r="G1966" s="181"/>
      <c r="H1966" s="181"/>
      <c r="I1966" s="210"/>
      <c r="R1966" s="382"/>
      <c r="S1966" s="382"/>
      <c r="T1966" s="382"/>
    </row>
    <row r="1967" spans="1:20" ht="12.75" customHeight="1" x14ac:dyDescent="0.25">
      <c r="A1967" s="368"/>
      <c r="B1967" s="368"/>
      <c r="C1967" s="368"/>
      <c r="D1967" s="368"/>
      <c r="E1967" s="368"/>
      <c r="F1967" s="181"/>
      <c r="G1967" s="181"/>
      <c r="H1967" s="181"/>
      <c r="I1967" s="210"/>
      <c r="R1967" s="382"/>
      <c r="S1967" s="382"/>
      <c r="T1967" s="382"/>
    </row>
    <row r="1968" spans="1:20" ht="12.75" customHeight="1" x14ac:dyDescent="0.25">
      <c r="A1968" s="368"/>
      <c r="B1968" s="368"/>
      <c r="C1968" s="368"/>
      <c r="D1968" s="368"/>
      <c r="E1968" s="368"/>
      <c r="F1968" s="181"/>
      <c r="G1968" s="181"/>
      <c r="H1968" s="181"/>
      <c r="I1968" s="210"/>
      <c r="R1968" s="382"/>
      <c r="S1968" s="382"/>
      <c r="T1968" s="382"/>
    </row>
    <row r="1969" spans="1:20" ht="12.75" customHeight="1" x14ac:dyDescent="0.25">
      <c r="A1969" s="368"/>
      <c r="B1969" s="368"/>
      <c r="C1969" s="368"/>
      <c r="D1969" s="368"/>
      <c r="E1969" s="368"/>
      <c r="F1969" s="181"/>
      <c r="G1969" s="181"/>
      <c r="H1969" s="181"/>
      <c r="I1969" s="210"/>
      <c r="R1969" s="382"/>
      <c r="S1969" s="382"/>
      <c r="T1969" s="382"/>
    </row>
    <row r="1970" spans="1:20" ht="12.75" customHeight="1" x14ac:dyDescent="0.25">
      <c r="A1970" s="368"/>
      <c r="B1970" s="368"/>
      <c r="C1970" s="368"/>
      <c r="D1970" s="368"/>
      <c r="E1970" s="368"/>
      <c r="F1970" s="181"/>
      <c r="G1970" s="181"/>
      <c r="H1970" s="181"/>
      <c r="I1970" s="210"/>
      <c r="R1970" s="382"/>
      <c r="S1970" s="382"/>
      <c r="T1970" s="382"/>
    </row>
    <row r="1971" spans="1:20" ht="12.75" customHeight="1" x14ac:dyDescent="0.25">
      <c r="A1971" s="368"/>
      <c r="B1971" s="368"/>
      <c r="C1971" s="368"/>
      <c r="D1971" s="368"/>
      <c r="E1971" s="368"/>
      <c r="F1971" s="181"/>
      <c r="G1971" s="181"/>
      <c r="H1971" s="181"/>
      <c r="I1971" s="210"/>
      <c r="R1971" s="382"/>
      <c r="S1971" s="382"/>
      <c r="T1971" s="382"/>
    </row>
    <row r="1972" spans="1:20" ht="13.5" thickBot="1" x14ac:dyDescent="0.25">
      <c r="A1972" s="432" t="s">
        <v>319</v>
      </c>
      <c r="I1972" s="1390" t="s">
        <v>161</v>
      </c>
    </row>
    <row r="1973" spans="1:20" ht="14.25" thickTop="1" thickBot="1" x14ac:dyDescent="0.25">
      <c r="A1973" s="631" t="s">
        <v>624</v>
      </c>
      <c r="B1973" s="774" t="s">
        <v>162</v>
      </c>
      <c r="C1973" s="632" t="s">
        <v>163</v>
      </c>
      <c r="D1973" s="634" t="s">
        <v>705</v>
      </c>
      <c r="E1973" s="634" t="s">
        <v>164</v>
      </c>
      <c r="F1973" s="634" t="s">
        <v>165</v>
      </c>
      <c r="G1973" s="634" t="s">
        <v>881</v>
      </c>
      <c r="H1973" s="634" t="s">
        <v>882</v>
      </c>
      <c r="I1973" s="818" t="s">
        <v>883</v>
      </c>
    </row>
    <row r="1974" spans="1:20" ht="14.25" thickTop="1" thickBot="1" x14ac:dyDescent="0.25">
      <c r="A1974" s="566">
        <v>1</v>
      </c>
      <c r="B1974" s="567">
        <v>2</v>
      </c>
      <c r="C1974" s="567">
        <v>3</v>
      </c>
      <c r="D1974" s="567">
        <v>4</v>
      </c>
      <c r="E1974" s="567">
        <v>5</v>
      </c>
      <c r="F1974" s="541">
        <v>6</v>
      </c>
      <c r="G1974" s="541">
        <v>7</v>
      </c>
      <c r="H1974" s="542">
        <v>8</v>
      </c>
      <c r="I1974" s="636" t="s">
        <v>762</v>
      </c>
    </row>
    <row r="1975" spans="1:20" ht="15.75" thickTop="1" x14ac:dyDescent="0.25">
      <c r="A1975" s="1402">
        <v>1204</v>
      </c>
      <c r="B1975" s="847">
        <v>3122</v>
      </c>
      <c r="C1975" s="847">
        <v>5336</v>
      </c>
      <c r="D1975" s="852"/>
      <c r="E1975" s="672" t="s">
        <v>2054</v>
      </c>
      <c r="F1975" s="845"/>
      <c r="G1975" s="845">
        <v>4010</v>
      </c>
      <c r="H1975" s="845">
        <v>4010</v>
      </c>
      <c r="I1975" s="849">
        <f>(H1975/G1975)*100</f>
        <v>100</v>
      </c>
    </row>
    <row r="1976" spans="1:20" ht="14.25" x14ac:dyDescent="0.2">
      <c r="A1976" s="431"/>
      <c r="B1976" s="673"/>
      <c r="C1976" s="1392"/>
      <c r="D1976" s="552" t="s">
        <v>1124</v>
      </c>
      <c r="E1976" s="455" t="s">
        <v>792</v>
      </c>
      <c r="F1976" s="827"/>
      <c r="G1976" s="827">
        <v>4010</v>
      </c>
      <c r="H1976" s="827">
        <v>4010</v>
      </c>
      <c r="I1976" s="823">
        <f t="shared" ref="I1976:I2005" si="222">(H1976/G1976)*100</f>
        <v>100</v>
      </c>
    </row>
    <row r="1977" spans="1:20" ht="15" x14ac:dyDescent="0.25">
      <c r="A1977" s="431">
        <v>1204</v>
      </c>
      <c r="B1977" s="750">
        <v>3123</v>
      </c>
      <c r="C1977" s="1393">
        <v>5331</v>
      </c>
      <c r="D1977" s="568"/>
      <c r="E1977" s="672" t="s">
        <v>951</v>
      </c>
      <c r="F1977" s="846">
        <f>F1978+F1979+F1980</f>
        <v>9486</v>
      </c>
      <c r="G1977" s="846">
        <f>G1978+G1979+G1980</f>
        <v>10203</v>
      </c>
      <c r="H1977" s="846">
        <f>H1978+H1979+H1980</f>
        <v>10203</v>
      </c>
      <c r="I1977" s="836">
        <f t="shared" si="222"/>
        <v>100</v>
      </c>
    </row>
    <row r="1978" spans="1:20" ht="14.25" x14ac:dyDescent="0.2">
      <c r="A1978" s="431"/>
      <c r="B1978" s="750"/>
      <c r="C1978" s="1393"/>
      <c r="D1978" s="707" t="s">
        <v>575</v>
      </c>
      <c r="E1978" s="1478" t="s">
        <v>793</v>
      </c>
      <c r="F1978" s="833">
        <v>2956</v>
      </c>
      <c r="G1978" s="833">
        <v>3049</v>
      </c>
      <c r="H1978" s="833">
        <v>3049</v>
      </c>
      <c r="I1978" s="828">
        <f t="shared" si="222"/>
        <v>100</v>
      </c>
    </row>
    <row r="1979" spans="1:20" ht="14.25" x14ac:dyDescent="0.2">
      <c r="A1979" s="431"/>
      <c r="B1979" s="750"/>
      <c r="C1979" s="1393"/>
      <c r="D1979" s="552" t="s">
        <v>570</v>
      </c>
      <c r="E1979" s="455" t="s">
        <v>71</v>
      </c>
      <c r="F1979" s="833">
        <v>6530</v>
      </c>
      <c r="G1979" s="833">
        <v>6465</v>
      </c>
      <c r="H1979" s="833">
        <v>6465</v>
      </c>
      <c r="I1979" s="828">
        <f t="shared" si="222"/>
        <v>100</v>
      </c>
    </row>
    <row r="1980" spans="1:20" ht="14.25" x14ac:dyDescent="0.2">
      <c r="A1980" s="431"/>
      <c r="B1980" s="750"/>
      <c r="C1980" s="1393"/>
      <c r="D1980" s="1069" t="s">
        <v>924</v>
      </c>
      <c r="E1980" s="1161" t="s">
        <v>1213</v>
      </c>
      <c r="F1980" s="833"/>
      <c r="G1980" s="833">
        <v>689</v>
      </c>
      <c r="H1980" s="833">
        <v>689</v>
      </c>
      <c r="I1980" s="828">
        <f t="shared" si="222"/>
        <v>100</v>
      </c>
    </row>
    <row r="1981" spans="1:20" ht="15" x14ac:dyDescent="0.25">
      <c r="A1981" s="431">
        <v>1204</v>
      </c>
      <c r="B1981" s="750">
        <v>3123</v>
      </c>
      <c r="C1981" s="1393">
        <v>5336</v>
      </c>
      <c r="D1981" s="2541"/>
      <c r="E1981" s="672" t="s">
        <v>2054</v>
      </c>
      <c r="F1981" s="833"/>
      <c r="G1981" s="846">
        <f>G1982+G1983+G1986+G1988+G1989</f>
        <v>34795</v>
      </c>
      <c r="H1981" s="846">
        <f>H1982+H1983+H1986+H1988+H1989</f>
        <v>34795</v>
      </c>
      <c r="I1981" s="838">
        <f t="shared" si="222"/>
        <v>100</v>
      </c>
    </row>
    <row r="1982" spans="1:20" ht="14.25" x14ac:dyDescent="0.2">
      <c r="A1982" s="431"/>
      <c r="B1982" s="750"/>
      <c r="C1982" s="1393"/>
      <c r="D1982" s="1068" t="s">
        <v>1905</v>
      </c>
      <c r="E1982" s="2529" t="s">
        <v>1827</v>
      </c>
      <c r="F1982" s="314"/>
      <c r="G1982" s="316">
        <v>1246</v>
      </c>
      <c r="H1982" s="316">
        <v>1246</v>
      </c>
      <c r="I1982" s="1074">
        <f t="shared" si="222"/>
        <v>100</v>
      </c>
    </row>
    <row r="1983" spans="1:20" ht="14.25" x14ac:dyDescent="0.2">
      <c r="A1983" s="431"/>
      <c r="B1983" s="750"/>
      <c r="C1983" s="1393"/>
      <c r="D1983" s="1068" t="s">
        <v>1909</v>
      </c>
      <c r="E1983" s="2694" t="s">
        <v>2058</v>
      </c>
      <c r="F1983" s="314"/>
      <c r="G1983" s="316">
        <v>259</v>
      </c>
      <c r="H1983" s="316">
        <v>259</v>
      </c>
      <c r="I1983" s="1074">
        <f t="shared" si="222"/>
        <v>100</v>
      </c>
    </row>
    <row r="1984" spans="1:20" ht="14.25" x14ac:dyDescent="0.2">
      <c r="A1984" s="431"/>
      <c r="B1984" s="750"/>
      <c r="C1984" s="1393"/>
      <c r="D1984" s="1068"/>
      <c r="E1984" s="2694"/>
      <c r="F1984" s="314"/>
      <c r="G1984" s="316"/>
      <c r="H1984" s="316"/>
      <c r="I1984" s="1074"/>
    </row>
    <row r="1985" spans="1:9" ht="14.25" x14ac:dyDescent="0.2">
      <c r="A1985" s="431"/>
      <c r="B1985" s="750"/>
      <c r="C1985" s="1393"/>
      <c r="D1985" s="1068"/>
      <c r="E1985" s="2694"/>
      <c r="F1985" s="314"/>
      <c r="G1985" s="316"/>
      <c r="H1985" s="316"/>
      <c r="I1985" s="1074"/>
    </row>
    <row r="1986" spans="1:9" ht="14.25" x14ac:dyDescent="0.2">
      <c r="A1986" s="431"/>
      <c r="B1986" s="750"/>
      <c r="C1986" s="1393"/>
      <c r="D1986" s="1068" t="s">
        <v>1911</v>
      </c>
      <c r="E1986" s="2671" t="s">
        <v>2051</v>
      </c>
      <c r="F1986" s="827"/>
      <c r="G1986" s="837">
        <v>48</v>
      </c>
      <c r="H1986" s="837">
        <v>48</v>
      </c>
      <c r="I1986" s="823">
        <v>29</v>
      </c>
    </row>
    <row r="1987" spans="1:9" ht="15" x14ac:dyDescent="0.25">
      <c r="A1987" s="431"/>
      <c r="B1987" s="750"/>
      <c r="C1987" s="1393"/>
      <c r="D1987" s="1068"/>
      <c r="E1987" s="2671"/>
      <c r="F1987" s="827"/>
      <c r="G1987" s="846"/>
      <c r="H1987" s="846"/>
      <c r="I1987" s="853"/>
    </row>
    <row r="1988" spans="1:9" ht="15" x14ac:dyDescent="0.2">
      <c r="A1988" s="431"/>
      <c r="B1988" s="750"/>
      <c r="C1988" s="1393"/>
      <c r="D1988" s="1068" t="s">
        <v>1913</v>
      </c>
      <c r="E1988" s="2113" t="s">
        <v>2052</v>
      </c>
      <c r="F1988" s="2530"/>
      <c r="G1988" s="2531">
        <v>254</v>
      </c>
      <c r="H1988" s="2531">
        <v>254</v>
      </c>
      <c r="I1988" s="376">
        <f t="shared" ref="I1988" si="223">(H1988/G1988)*100</f>
        <v>100</v>
      </c>
    </row>
    <row r="1989" spans="1:9" ht="14.25" x14ac:dyDescent="0.2">
      <c r="A1989" s="431"/>
      <c r="B1989" s="750"/>
      <c r="C1989" s="1393"/>
      <c r="D1989" s="552" t="s">
        <v>1124</v>
      </c>
      <c r="E1989" s="455" t="s">
        <v>792</v>
      </c>
      <c r="F1989" s="833"/>
      <c r="G1989" s="833">
        <v>32988</v>
      </c>
      <c r="H1989" s="833">
        <v>32988</v>
      </c>
      <c r="I1989" s="828">
        <f t="shared" si="222"/>
        <v>100</v>
      </c>
    </row>
    <row r="1990" spans="1:9" ht="15" x14ac:dyDescent="0.25">
      <c r="A1990" s="431">
        <v>1204</v>
      </c>
      <c r="B1990" s="750">
        <v>3124</v>
      </c>
      <c r="C1990" s="750">
        <v>5331</v>
      </c>
      <c r="D1990" s="859"/>
      <c r="E1990" s="672" t="s">
        <v>951</v>
      </c>
      <c r="F1990" s="835"/>
      <c r="G1990" s="835">
        <v>77</v>
      </c>
      <c r="H1990" s="835">
        <v>77</v>
      </c>
      <c r="I1990" s="836">
        <f t="shared" si="222"/>
        <v>100</v>
      </c>
    </row>
    <row r="1991" spans="1:9" ht="14.25" x14ac:dyDescent="0.2">
      <c r="A1991" s="431"/>
      <c r="B1991" s="750"/>
      <c r="C1991" s="1393"/>
      <c r="D1991" s="1069" t="s">
        <v>924</v>
      </c>
      <c r="E1991" s="1161" t="s">
        <v>1213</v>
      </c>
      <c r="F1991" s="833"/>
      <c r="G1991" s="837">
        <v>77</v>
      </c>
      <c r="H1991" s="837">
        <v>77</v>
      </c>
      <c r="I1991" s="376">
        <f t="shared" si="222"/>
        <v>100</v>
      </c>
    </row>
    <row r="1992" spans="1:9" ht="15" x14ac:dyDescent="0.25">
      <c r="A1992" s="431">
        <v>1204</v>
      </c>
      <c r="B1992" s="750">
        <v>3124</v>
      </c>
      <c r="C1992" s="1393">
        <v>5336</v>
      </c>
      <c r="D1992" s="1069"/>
      <c r="E1992" s="672" t="s">
        <v>2054</v>
      </c>
      <c r="F1992" s="833"/>
      <c r="G1992" s="846">
        <v>1619</v>
      </c>
      <c r="H1992" s="846">
        <v>1619</v>
      </c>
      <c r="I1992" s="838">
        <f t="shared" si="222"/>
        <v>100</v>
      </c>
    </row>
    <row r="1993" spans="1:9" ht="14.25" x14ac:dyDescent="0.2">
      <c r="A1993" s="431"/>
      <c r="B1993" s="750"/>
      <c r="C1993" s="1393"/>
      <c r="D1993" s="552" t="s">
        <v>1124</v>
      </c>
      <c r="E1993" s="455" t="s">
        <v>792</v>
      </c>
      <c r="F1993" s="833"/>
      <c r="G1993" s="833">
        <v>1619</v>
      </c>
      <c r="H1993" s="833">
        <v>1619</v>
      </c>
      <c r="I1993" s="828">
        <f t="shared" si="222"/>
        <v>100</v>
      </c>
    </row>
    <row r="1994" spans="1:9" ht="15" x14ac:dyDescent="0.25">
      <c r="A1994" s="431">
        <v>1204</v>
      </c>
      <c r="B1994" s="750">
        <v>3141</v>
      </c>
      <c r="C1994" s="1393">
        <v>5336</v>
      </c>
      <c r="D1994" s="568"/>
      <c r="E1994" s="672" t="s">
        <v>2054</v>
      </c>
      <c r="F1994" s="846"/>
      <c r="G1994" s="846">
        <v>119</v>
      </c>
      <c r="H1994" s="846">
        <v>119</v>
      </c>
      <c r="I1994" s="838">
        <f t="shared" si="222"/>
        <v>100</v>
      </c>
    </row>
    <row r="1995" spans="1:9" ht="14.25" x14ac:dyDescent="0.2">
      <c r="A1995" s="431"/>
      <c r="B1995" s="750"/>
      <c r="C1995" s="1393"/>
      <c r="D1995" s="552" t="s">
        <v>1124</v>
      </c>
      <c r="E1995" s="455" t="s">
        <v>792</v>
      </c>
      <c r="F1995" s="833"/>
      <c r="G1995" s="833">
        <v>119</v>
      </c>
      <c r="H1995" s="833">
        <v>119</v>
      </c>
      <c r="I1995" s="828">
        <f t="shared" si="222"/>
        <v>100</v>
      </c>
    </row>
    <row r="1996" spans="1:9" ht="15" x14ac:dyDescent="0.25">
      <c r="A1996" s="431">
        <v>1204</v>
      </c>
      <c r="B1996" s="750">
        <v>3142</v>
      </c>
      <c r="C1996" s="750">
        <v>5331</v>
      </c>
      <c r="D1996" s="859"/>
      <c r="E1996" s="672" t="s">
        <v>951</v>
      </c>
      <c r="F1996" s="835">
        <v>403</v>
      </c>
      <c r="G1996" s="835">
        <v>399</v>
      </c>
      <c r="H1996" s="835">
        <v>399</v>
      </c>
      <c r="I1996" s="836">
        <f t="shared" si="222"/>
        <v>100</v>
      </c>
    </row>
    <row r="1997" spans="1:9" ht="14.25" x14ac:dyDescent="0.2">
      <c r="A1997" s="431"/>
      <c r="B1997" s="750"/>
      <c r="C1997" s="750"/>
      <c r="D1997" s="552" t="s">
        <v>570</v>
      </c>
      <c r="E1997" s="455" t="s">
        <v>71</v>
      </c>
      <c r="F1997" s="833">
        <v>403</v>
      </c>
      <c r="G1997" s="833">
        <v>399</v>
      </c>
      <c r="H1997" s="833">
        <v>399</v>
      </c>
      <c r="I1997" s="828">
        <f t="shared" si="222"/>
        <v>100</v>
      </c>
    </row>
    <row r="1998" spans="1:9" ht="15" x14ac:dyDescent="0.25">
      <c r="A1998" s="431">
        <v>1204</v>
      </c>
      <c r="B1998" s="750">
        <v>3142</v>
      </c>
      <c r="C1998" s="750">
        <v>5336</v>
      </c>
      <c r="D1998" s="552"/>
      <c r="E1998" s="672" t="s">
        <v>2054</v>
      </c>
      <c r="F1998" s="833"/>
      <c r="G1998" s="846">
        <v>1541</v>
      </c>
      <c r="H1998" s="846">
        <v>1541</v>
      </c>
      <c r="I1998" s="838">
        <f t="shared" si="222"/>
        <v>100</v>
      </c>
    </row>
    <row r="1999" spans="1:9" ht="14.25" x14ac:dyDescent="0.2">
      <c r="A1999" s="431"/>
      <c r="B1999" s="750"/>
      <c r="C1999" s="1393"/>
      <c r="D1999" s="552" t="s">
        <v>1124</v>
      </c>
      <c r="E1999" s="455" t="s">
        <v>792</v>
      </c>
      <c r="F1999" s="833"/>
      <c r="G1999" s="833">
        <v>1541</v>
      </c>
      <c r="H1999" s="833">
        <v>1541</v>
      </c>
      <c r="I1999" s="828">
        <f t="shared" si="222"/>
        <v>100</v>
      </c>
    </row>
    <row r="2000" spans="1:9" ht="15" x14ac:dyDescent="0.25">
      <c r="A2000" s="431">
        <v>1204</v>
      </c>
      <c r="B2000" s="673">
        <v>3147</v>
      </c>
      <c r="C2000" s="750">
        <v>5331</v>
      </c>
      <c r="D2000" s="819"/>
      <c r="E2000" s="792" t="s">
        <v>951</v>
      </c>
      <c r="F2000" s="820">
        <v>450</v>
      </c>
      <c r="G2000" s="820">
        <v>445</v>
      </c>
      <c r="H2000" s="820">
        <v>445</v>
      </c>
      <c r="I2000" s="821">
        <f t="shared" si="222"/>
        <v>100</v>
      </c>
    </row>
    <row r="2001" spans="1:27" ht="14.25" x14ac:dyDescent="0.2">
      <c r="A2001" s="431"/>
      <c r="B2001" s="673"/>
      <c r="C2001" s="673"/>
      <c r="D2001" s="552" t="s">
        <v>570</v>
      </c>
      <c r="E2001" s="455" t="s">
        <v>71</v>
      </c>
      <c r="F2001" s="827">
        <v>450</v>
      </c>
      <c r="G2001" s="827">
        <v>445</v>
      </c>
      <c r="H2001" s="827">
        <v>445</v>
      </c>
      <c r="I2001" s="823">
        <f t="shared" si="222"/>
        <v>100</v>
      </c>
    </row>
    <row r="2002" spans="1:27" ht="15" x14ac:dyDescent="0.25">
      <c r="A2002" s="431">
        <v>1204</v>
      </c>
      <c r="B2002" s="673">
        <v>3147</v>
      </c>
      <c r="C2002" s="673">
        <v>5336</v>
      </c>
      <c r="D2002" s="552"/>
      <c r="E2002" s="672" t="s">
        <v>2054</v>
      </c>
      <c r="F2002" s="827"/>
      <c r="G2002" s="851">
        <v>3805</v>
      </c>
      <c r="H2002" s="851">
        <v>3805</v>
      </c>
      <c r="I2002" s="853">
        <f t="shared" si="222"/>
        <v>100</v>
      </c>
    </row>
    <row r="2003" spans="1:27" ht="14.25" x14ac:dyDescent="0.2">
      <c r="A2003" s="431"/>
      <c r="B2003" s="673"/>
      <c r="C2003" s="1392"/>
      <c r="D2003" s="552" t="s">
        <v>1124</v>
      </c>
      <c r="E2003" s="455" t="s">
        <v>792</v>
      </c>
      <c r="F2003" s="827"/>
      <c r="G2003" s="827">
        <v>3805</v>
      </c>
      <c r="H2003" s="827">
        <v>3805</v>
      </c>
      <c r="I2003" s="823">
        <f t="shared" si="222"/>
        <v>100</v>
      </c>
    </row>
    <row r="2004" spans="1:27" ht="15" x14ac:dyDescent="0.25">
      <c r="A2004" s="431">
        <v>1204</v>
      </c>
      <c r="B2004" s="673">
        <v>3293</v>
      </c>
      <c r="C2004" s="1392">
        <v>5336</v>
      </c>
      <c r="D2004" s="829"/>
      <c r="E2004" s="672" t="s">
        <v>2054</v>
      </c>
      <c r="F2004" s="835"/>
      <c r="G2004" s="820">
        <v>7</v>
      </c>
      <c r="H2004" s="820">
        <v>7</v>
      </c>
      <c r="I2004" s="821">
        <f t="shared" si="222"/>
        <v>100</v>
      </c>
      <c r="R2004" s="382"/>
      <c r="S2004" s="382"/>
      <c r="T2004" s="382"/>
    </row>
    <row r="2005" spans="1:27" ht="15.75" thickBot="1" x14ac:dyDescent="0.3">
      <c r="A2005" s="431"/>
      <c r="B2005" s="673"/>
      <c r="C2005" s="1392"/>
      <c r="D2005" s="748" t="s">
        <v>1127</v>
      </c>
      <c r="E2005" s="1493" t="s">
        <v>62</v>
      </c>
      <c r="F2005" s="835"/>
      <c r="G2005" s="827">
        <v>7</v>
      </c>
      <c r="H2005" s="827">
        <v>7</v>
      </c>
      <c r="I2005" s="823">
        <f t="shared" si="222"/>
        <v>100</v>
      </c>
      <c r="R2005" s="382"/>
      <c r="S2005" s="382"/>
      <c r="T2005" s="382"/>
    </row>
    <row r="2006" spans="1:27" ht="16.5" thickTop="1" thickBot="1" x14ac:dyDescent="0.3">
      <c r="A2006" s="2672" t="s">
        <v>1105</v>
      </c>
      <c r="B2006" s="2673"/>
      <c r="C2006" s="2673"/>
      <c r="D2006" s="2673"/>
      <c r="E2006" s="2673"/>
      <c r="F2006" s="824">
        <f>F1977+F1996+F2000</f>
        <v>10339</v>
      </c>
      <c r="G2006" s="824">
        <f>G1975+G1977+G1981+G1990+G1992+G1994+G1996+G1998+G2000+G2002+G2004</f>
        <v>57020</v>
      </c>
      <c r="H2006" s="824">
        <f>H1975+H1977+H1981+H1990+H1992+H1994+H1996+H1998+H2000+H2002+H2004</f>
        <v>57020</v>
      </c>
      <c r="I2006" s="825">
        <f>(H2006/G2006)*100</f>
        <v>100</v>
      </c>
      <c r="J2006" s="382">
        <f>F2006</f>
        <v>10339</v>
      </c>
      <c r="K2006" s="382" t="e">
        <f>G2006+#REF!</f>
        <v>#REF!</v>
      </c>
      <c r="L2006" s="382" t="e">
        <f>H2006+#REF!</f>
        <v>#REF!</v>
      </c>
      <c r="R2006" s="382">
        <f>F2006</f>
        <v>10339</v>
      </c>
      <c r="S2006" s="382">
        <f>G2006</f>
        <v>57020</v>
      </c>
      <c r="T2006" s="382">
        <f>H2006</f>
        <v>57020</v>
      </c>
      <c r="U2006" s="382"/>
      <c r="V2006" s="382"/>
      <c r="W2006" s="382"/>
      <c r="Y2006" s="382"/>
      <c r="Z2006" s="382"/>
      <c r="AA2006" s="382"/>
    </row>
    <row r="2007" spans="1:27" s="107" customFormat="1" ht="13.5" thickTop="1" x14ac:dyDescent="0.2">
      <c r="A2007" s="381"/>
      <c r="B2007" s="643"/>
      <c r="C2007" s="381"/>
      <c r="D2007" s="814"/>
      <c r="E2007" s="381"/>
      <c r="F2007" s="382"/>
      <c r="G2007" s="382"/>
      <c r="H2007" s="382"/>
      <c r="I2007" s="1390"/>
    </row>
    <row r="2008" spans="1:27" s="107" customFormat="1" x14ac:dyDescent="0.2">
      <c r="A2008" s="381"/>
      <c r="B2008" s="643"/>
      <c r="C2008" s="381"/>
      <c r="D2008" s="814"/>
      <c r="E2008" s="381"/>
      <c r="F2008" s="382"/>
      <c r="G2008" s="382"/>
      <c r="H2008" s="382"/>
      <c r="I2008" s="1390"/>
    </row>
    <row r="2009" spans="1:27" s="107" customFormat="1" x14ac:dyDescent="0.2">
      <c r="A2009" s="381"/>
      <c r="B2009" s="643"/>
      <c r="C2009" s="381"/>
      <c r="D2009" s="814"/>
      <c r="E2009" s="381"/>
      <c r="F2009" s="382"/>
      <c r="G2009" s="382"/>
      <c r="H2009" s="382"/>
      <c r="I2009" s="1390"/>
    </row>
    <row r="2010" spans="1:27" ht="13.5" thickBot="1" x14ac:dyDescent="0.25">
      <c r="A2010" s="432" t="s">
        <v>320</v>
      </c>
      <c r="I2010" s="1390" t="s">
        <v>161</v>
      </c>
    </row>
    <row r="2011" spans="1:27" ht="14.25" thickTop="1" thickBot="1" x14ac:dyDescent="0.25">
      <c r="A2011" s="631" t="s">
        <v>624</v>
      </c>
      <c r="B2011" s="774" t="s">
        <v>162</v>
      </c>
      <c r="C2011" s="632" t="s">
        <v>163</v>
      </c>
      <c r="D2011" s="634" t="s">
        <v>705</v>
      </c>
      <c r="E2011" s="634" t="s">
        <v>164</v>
      </c>
      <c r="F2011" s="634" t="s">
        <v>165</v>
      </c>
      <c r="G2011" s="634" t="s">
        <v>881</v>
      </c>
      <c r="H2011" s="634" t="s">
        <v>882</v>
      </c>
      <c r="I2011" s="818" t="s">
        <v>883</v>
      </c>
    </row>
    <row r="2012" spans="1:27" ht="14.25" thickTop="1" thickBot="1" x14ac:dyDescent="0.25">
      <c r="A2012" s="566">
        <v>1</v>
      </c>
      <c r="B2012" s="567">
        <v>2</v>
      </c>
      <c r="C2012" s="567">
        <v>3</v>
      </c>
      <c r="D2012" s="567">
        <v>4</v>
      </c>
      <c r="E2012" s="567">
        <v>5</v>
      </c>
      <c r="F2012" s="541">
        <v>6</v>
      </c>
      <c r="G2012" s="541">
        <v>7</v>
      </c>
      <c r="H2012" s="542">
        <v>8</v>
      </c>
      <c r="I2012" s="636" t="s">
        <v>762</v>
      </c>
    </row>
    <row r="2013" spans="1:27" ht="15.75" thickTop="1" x14ac:dyDescent="0.25">
      <c r="A2013" s="1402">
        <v>1205</v>
      </c>
      <c r="B2013" s="847">
        <v>3122</v>
      </c>
      <c r="C2013" s="847">
        <v>5336</v>
      </c>
      <c r="D2013" s="852"/>
      <c r="E2013" s="672" t="s">
        <v>2054</v>
      </c>
      <c r="F2013" s="845"/>
      <c r="G2013" s="845">
        <v>2521</v>
      </c>
      <c r="H2013" s="845">
        <v>2521</v>
      </c>
      <c r="I2013" s="849">
        <f t="shared" ref="I2013:I2028" si="224">(H2013/G2013)*100</f>
        <v>100</v>
      </c>
    </row>
    <row r="2014" spans="1:27" ht="15" x14ac:dyDescent="0.25">
      <c r="A2014" s="431"/>
      <c r="B2014" s="673"/>
      <c r="C2014" s="673"/>
      <c r="D2014" s="552" t="s">
        <v>1124</v>
      </c>
      <c r="E2014" s="455" t="s">
        <v>792</v>
      </c>
      <c r="F2014" s="820"/>
      <c r="G2014" s="827">
        <v>2521</v>
      </c>
      <c r="H2014" s="827">
        <v>2521</v>
      </c>
      <c r="I2014" s="823">
        <f t="shared" si="224"/>
        <v>100</v>
      </c>
    </row>
    <row r="2015" spans="1:27" ht="18" customHeight="1" x14ac:dyDescent="0.25">
      <c r="A2015" s="431">
        <v>1205</v>
      </c>
      <c r="B2015" s="750">
        <v>3123</v>
      </c>
      <c r="C2015" s="750">
        <v>5331</v>
      </c>
      <c r="D2015" s="859"/>
      <c r="E2015" s="672" t="s">
        <v>951</v>
      </c>
      <c r="F2015" s="835">
        <f>F2016+F2017+F2018</f>
        <v>4548</v>
      </c>
      <c r="G2015" s="835">
        <f>G2016+G2017+G2018</f>
        <v>4654</v>
      </c>
      <c r="H2015" s="835">
        <f>H2016+H2017+H2018</f>
        <v>4654</v>
      </c>
      <c r="I2015" s="853">
        <f t="shared" si="224"/>
        <v>100</v>
      </c>
    </row>
    <row r="2016" spans="1:27" ht="15.75" customHeight="1" x14ac:dyDescent="0.2">
      <c r="A2016" s="431"/>
      <c r="B2016" s="750"/>
      <c r="C2016" s="750"/>
      <c r="D2016" s="707" t="s">
        <v>575</v>
      </c>
      <c r="E2016" s="1478" t="s">
        <v>793</v>
      </c>
      <c r="F2016" s="837">
        <v>890</v>
      </c>
      <c r="G2016" s="833">
        <v>1033</v>
      </c>
      <c r="H2016" s="833">
        <v>1033</v>
      </c>
      <c r="I2016" s="823">
        <f t="shared" si="224"/>
        <v>100</v>
      </c>
    </row>
    <row r="2017" spans="1:27" ht="15.75" customHeight="1" x14ac:dyDescent="0.2">
      <c r="A2017" s="431"/>
      <c r="B2017" s="750"/>
      <c r="C2017" s="750"/>
      <c r="D2017" s="552" t="s">
        <v>570</v>
      </c>
      <c r="E2017" s="455" t="s">
        <v>71</v>
      </c>
      <c r="F2017" s="837">
        <v>3658</v>
      </c>
      <c r="G2017" s="833">
        <v>3486</v>
      </c>
      <c r="H2017" s="833">
        <v>3486</v>
      </c>
      <c r="I2017" s="823">
        <f t="shared" si="224"/>
        <v>100</v>
      </c>
    </row>
    <row r="2018" spans="1:27" ht="15.75" customHeight="1" x14ac:dyDescent="0.2">
      <c r="A2018" s="431"/>
      <c r="B2018" s="750"/>
      <c r="C2018" s="750"/>
      <c r="D2018" s="1059" t="s">
        <v>665</v>
      </c>
      <c r="E2018" s="1278" t="s">
        <v>1294</v>
      </c>
      <c r="F2018" s="837"/>
      <c r="G2018" s="833">
        <v>135</v>
      </c>
      <c r="H2018" s="833">
        <v>135</v>
      </c>
      <c r="I2018" s="823">
        <f t="shared" si="224"/>
        <v>100</v>
      </c>
    </row>
    <row r="2019" spans="1:27" ht="15" x14ac:dyDescent="0.25">
      <c r="A2019" s="431">
        <v>1205</v>
      </c>
      <c r="B2019" s="750">
        <v>3123</v>
      </c>
      <c r="C2019" s="750">
        <v>5336</v>
      </c>
      <c r="D2019" s="552"/>
      <c r="E2019" s="672" t="s">
        <v>2054</v>
      </c>
      <c r="F2019" s="837"/>
      <c r="G2019" s="846">
        <f>G2020+G2022+G2023+G2024</f>
        <v>14198</v>
      </c>
      <c r="H2019" s="846">
        <f>H2020+H2022+H2023+H2024</f>
        <v>14198</v>
      </c>
      <c r="I2019" s="853">
        <f t="shared" si="224"/>
        <v>100</v>
      </c>
    </row>
    <row r="2020" spans="1:27" ht="14.25" x14ac:dyDescent="0.2">
      <c r="A2020" s="431"/>
      <c r="B2020" s="750"/>
      <c r="C2020" s="750"/>
      <c r="D2020" s="1068" t="s">
        <v>1911</v>
      </c>
      <c r="E2020" s="2671" t="s">
        <v>2051</v>
      </c>
      <c r="F2020" s="827"/>
      <c r="G2020" s="837">
        <v>17</v>
      </c>
      <c r="H2020" s="837">
        <v>17</v>
      </c>
      <c r="I2020" s="823">
        <v>29</v>
      </c>
    </row>
    <row r="2021" spans="1:27" ht="15" x14ac:dyDescent="0.25">
      <c r="A2021" s="431"/>
      <c r="B2021" s="750"/>
      <c r="C2021" s="750"/>
      <c r="D2021" s="1068"/>
      <c r="E2021" s="2671"/>
      <c r="F2021" s="827"/>
      <c r="G2021" s="846"/>
      <c r="H2021" s="846"/>
      <c r="I2021" s="853"/>
    </row>
    <row r="2022" spans="1:27" ht="15" x14ac:dyDescent="0.2">
      <c r="A2022" s="431"/>
      <c r="B2022" s="750"/>
      <c r="C2022" s="750"/>
      <c r="D2022" s="1068" t="s">
        <v>1913</v>
      </c>
      <c r="E2022" s="2113" t="s">
        <v>2052</v>
      </c>
      <c r="F2022" s="2530"/>
      <c r="G2022" s="2531">
        <v>86</v>
      </c>
      <c r="H2022" s="2531">
        <v>86</v>
      </c>
      <c r="I2022" s="376">
        <f t="shared" ref="I2022:I2023" si="225">(H2022/G2022)*100</f>
        <v>100</v>
      </c>
    </row>
    <row r="2023" spans="1:27" ht="14.25" x14ac:dyDescent="0.2">
      <c r="A2023" s="431"/>
      <c r="B2023" s="750"/>
      <c r="C2023" s="750"/>
      <c r="D2023" s="1325" t="s">
        <v>1128</v>
      </c>
      <c r="E2023" s="2544" t="s">
        <v>2071</v>
      </c>
      <c r="F2023" s="314"/>
      <c r="G2023" s="316">
        <v>30</v>
      </c>
      <c r="H2023" s="316">
        <v>30</v>
      </c>
      <c r="I2023" s="1074">
        <f t="shared" si="225"/>
        <v>100</v>
      </c>
    </row>
    <row r="2024" spans="1:27" ht="16.5" customHeight="1" x14ac:dyDescent="0.25">
      <c r="A2024" s="431"/>
      <c r="B2024" s="750"/>
      <c r="C2024" s="750"/>
      <c r="D2024" s="552" t="s">
        <v>1124</v>
      </c>
      <c r="E2024" s="455" t="s">
        <v>792</v>
      </c>
      <c r="F2024" s="835"/>
      <c r="G2024" s="833">
        <v>14065</v>
      </c>
      <c r="H2024" s="833">
        <v>14065</v>
      </c>
      <c r="I2024" s="823">
        <f t="shared" si="224"/>
        <v>100</v>
      </c>
    </row>
    <row r="2025" spans="1:27" ht="15" x14ac:dyDescent="0.25">
      <c r="A2025" s="431">
        <v>1205</v>
      </c>
      <c r="B2025" s="750">
        <v>3142</v>
      </c>
      <c r="C2025" s="750">
        <v>5331</v>
      </c>
      <c r="D2025" s="859"/>
      <c r="E2025" s="672" t="s">
        <v>951</v>
      </c>
      <c r="F2025" s="835">
        <v>228</v>
      </c>
      <c r="G2025" s="835">
        <v>226</v>
      </c>
      <c r="H2025" s="835">
        <v>226</v>
      </c>
      <c r="I2025" s="836">
        <f t="shared" si="224"/>
        <v>100</v>
      </c>
    </row>
    <row r="2026" spans="1:27" ht="14.25" x14ac:dyDescent="0.2">
      <c r="A2026" s="431"/>
      <c r="B2026" s="750"/>
      <c r="C2026" s="750"/>
      <c r="D2026" s="552" t="s">
        <v>570</v>
      </c>
      <c r="E2026" s="455" t="s">
        <v>71</v>
      </c>
      <c r="F2026" s="833">
        <v>228</v>
      </c>
      <c r="G2026" s="833">
        <v>226</v>
      </c>
      <c r="H2026" s="833">
        <v>226</v>
      </c>
      <c r="I2026" s="828">
        <f t="shared" si="224"/>
        <v>100</v>
      </c>
    </row>
    <row r="2027" spans="1:27" ht="15" x14ac:dyDescent="0.25">
      <c r="A2027" s="431">
        <v>1205</v>
      </c>
      <c r="B2027" s="750">
        <v>3142</v>
      </c>
      <c r="C2027" s="750">
        <v>5336</v>
      </c>
      <c r="D2027" s="552"/>
      <c r="E2027" s="672" t="s">
        <v>2054</v>
      </c>
      <c r="F2027" s="833"/>
      <c r="G2027" s="846">
        <v>135</v>
      </c>
      <c r="H2027" s="846">
        <v>135</v>
      </c>
      <c r="I2027" s="838">
        <f t="shared" si="224"/>
        <v>100</v>
      </c>
    </row>
    <row r="2028" spans="1:27" ht="15" thickBot="1" x14ac:dyDescent="0.25">
      <c r="A2028" s="431"/>
      <c r="B2028" s="750"/>
      <c r="C2028" s="1393"/>
      <c r="D2028" s="552" t="s">
        <v>1124</v>
      </c>
      <c r="E2028" s="455" t="s">
        <v>792</v>
      </c>
      <c r="F2028" s="833"/>
      <c r="G2028" s="833">
        <v>135</v>
      </c>
      <c r="H2028" s="833">
        <v>135</v>
      </c>
      <c r="I2028" s="828">
        <f t="shared" si="224"/>
        <v>100</v>
      </c>
    </row>
    <row r="2029" spans="1:27" ht="16.5" thickTop="1" thickBot="1" x14ac:dyDescent="0.3">
      <c r="A2029" s="2672" t="s">
        <v>1105</v>
      </c>
      <c r="B2029" s="2673"/>
      <c r="C2029" s="2673"/>
      <c r="D2029" s="2673"/>
      <c r="E2029" s="2673"/>
      <c r="F2029" s="824">
        <f>F2015+F2025</f>
        <v>4776</v>
      </c>
      <c r="G2029" s="824">
        <f>G2013+G2015+G2019+G2025+G2027</f>
        <v>21734</v>
      </c>
      <c r="H2029" s="824">
        <f>H2013+H2015+H2019+H2025+H2027</f>
        <v>21734</v>
      </c>
      <c r="I2029" s="825">
        <f>(H2029/G2029)*100</f>
        <v>100</v>
      </c>
      <c r="J2029" s="382">
        <f>F2029</f>
        <v>4776</v>
      </c>
      <c r="K2029" s="382" t="e">
        <f>G2029+#REF!</f>
        <v>#REF!</v>
      </c>
      <c r="L2029" s="382" t="e">
        <f>H2029+#REF!</f>
        <v>#REF!</v>
      </c>
      <c r="R2029" s="382">
        <f>F2029</f>
        <v>4776</v>
      </c>
      <c r="S2029" s="382">
        <f>G2029</f>
        <v>21734</v>
      </c>
      <c r="T2029" s="382">
        <f>H2029</f>
        <v>21734</v>
      </c>
      <c r="U2029" s="382"/>
      <c r="V2029" s="382"/>
      <c r="W2029" s="382"/>
      <c r="Y2029" s="382"/>
      <c r="Z2029" s="382"/>
      <c r="AA2029" s="382"/>
    </row>
    <row r="2030" spans="1:27" s="383" customFormat="1" ht="13.5" thickTop="1" x14ac:dyDescent="0.2">
      <c r="A2030" s="381"/>
      <c r="B2030" s="643"/>
      <c r="C2030" s="381"/>
      <c r="D2030" s="814"/>
      <c r="E2030" s="381"/>
      <c r="F2030" s="382"/>
      <c r="G2030" s="382"/>
      <c r="H2030" s="382"/>
      <c r="I2030" s="1390"/>
    </row>
    <row r="2031" spans="1:27" s="383" customFormat="1" x14ac:dyDescent="0.2">
      <c r="A2031" s="381"/>
      <c r="B2031" s="643"/>
      <c r="C2031" s="381"/>
      <c r="D2031" s="814"/>
      <c r="E2031" s="381"/>
      <c r="F2031" s="382"/>
      <c r="G2031" s="382"/>
      <c r="H2031" s="382"/>
      <c r="I2031" s="1390"/>
    </row>
    <row r="2032" spans="1:27" s="383" customFormat="1" x14ac:dyDescent="0.2">
      <c r="A2032" s="381"/>
      <c r="B2032" s="643"/>
      <c r="C2032" s="381"/>
      <c r="D2032" s="814"/>
      <c r="E2032" s="381"/>
      <c r="F2032" s="382"/>
      <c r="G2032" s="382"/>
      <c r="H2032" s="382"/>
      <c r="I2032" s="1390"/>
    </row>
    <row r="2033" spans="1:9" ht="13.5" thickBot="1" x14ac:dyDescent="0.25">
      <c r="A2033" s="432" t="s">
        <v>321</v>
      </c>
      <c r="I2033" s="1390" t="s">
        <v>161</v>
      </c>
    </row>
    <row r="2034" spans="1:9" ht="14.25" thickTop="1" thickBot="1" x14ac:dyDescent="0.25">
      <c r="A2034" s="631" t="s">
        <v>624</v>
      </c>
      <c r="B2034" s="774" t="s">
        <v>162</v>
      </c>
      <c r="C2034" s="632" t="s">
        <v>163</v>
      </c>
      <c r="D2034" s="634" t="s">
        <v>705</v>
      </c>
      <c r="E2034" s="634" t="s">
        <v>164</v>
      </c>
      <c r="F2034" s="634" t="s">
        <v>165</v>
      </c>
      <c r="G2034" s="634" t="s">
        <v>881</v>
      </c>
      <c r="H2034" s="634" t="s">
        <v>882</v>
      </c>
      <c r="I2034" s="818" t="s">
        <v>883</v>
      </c>
    </row>
    <row r="2035" spans="1:9" ht="14.25" thickTop="1" thickBot="1" x14ac:dyDescent="0.25">
      <c r="A2035" s="566">
        <v>1</v>
      </c>
      <c r="B2035" s="567">
        <v>2</v>
      </c>
      <c r="C2035" s="567">
        <v>3</v>
      </c>
      <c r="D2035" s="567">
        <v>4</v>
      </c>
      <c r="E2035" s="567">
        <v>5</v>
      </c>
      <c r="F2035" s="541">
        <v>6</v>
      </c>
      <c r="G2035" s="541">
        <v>7</v>
      </c>
      <c r="H2035" s="542">
        <v>8</v>
      </c>
      <c r="I2035" s="636" t="s">
        <v>762</v>
      </c>
    </row>
    <row r="2036" spans="1:9" ht="15.75" thickTop="1" x14ac:dyDescent="0.25">
      <c r="A2036" s="1402">
        <v>1206</v>
      </c>
      <c r="B2036" s="847">
        <v>3122</v>
      </c>
      <c r="C2036" s="847">
        <v>5336</v>
      </c>
      <c r="D2036" s="852"/>
      <c r="E2036" s="672" t="s">
        <v>2054</v>
      </c>
      <c r="F2036" s="845"/>
      <c r="G2036" s="845">
        <v>3098</v>
      </c>
      <c r="H2036" s="845">
        <v>3098</v>
      </c>
      <c r="I2036" s="849">
        <f t="shared" ref="I2036:I2058" si="226">(H2036/G2036)*100</f>
        <v>100</v>
      </c>
    </row>
    <row r="2037" spans="1:9" ht="14.25" x14ac:dyDescent="0.2">
      <c r="A2037" s="431"/>
      <c r="B2037" s="673"/>
      <c r="C2037" s="673"/>
      <c r="D2037" s="552" t="s">
        <v>1124</v>
      </c>
      <c r="E2037" s="455" t="s">
        <v>792</v>
      </c>
      <c r="F2037" s="827"/>
      <c r="G2037" s="827">
        <v>3098</v>
      </c>
      <c r="H2037" s="827">
        <v>3098</v>
      </c>
      <c r="I2037" s="823">
        <f t="shared" si="226"/>
        <v>100</v>
      </c>
    </row>
    <row r="2038" spans="1:9" ht="18" customHeight="1" x14ac:dyDescent="0.25">
      <c r="A2038" s="431">
        <v>1206</v>
      </c>
      <c r="B2038" s="673">
        <v>3123</v>
      </c>
      <c r="C2038" s="673">
        <v>5331</v>
      </c>
      <c r="D2038" s="819"/>
      <c r="E2038" s="792" t="s">
        <v>951</v>
      </c>
      <c r="F2038" s="820">
        <f>F2039+F2040+F2041</f>
        <v>3357</v>
      </c>
      <c r="G2038" s="820">
        <f>G2039+G2040+G2041</f>
        <v>3451</v>
      </c>
      <c r="H2038" s="820">
        <f>H2039+H2040+H2041</f>
        <v>3451</v>
      </c>
      <c r="I2038" s="821">
        <f t="shared" si="226"/>
        <v>100</v>
      </c>
    </row>
    <row r="2039" spans="1:9" ht="16.5" customHeight="1" x14ac:dyDescent="0.2">
      <c r="A2039" s="431"/>
      <c r="B2039" s="673"/>
      <c r="C2039" s="673"/>
      <c r="D2039" s="707" t="s">
        <v>575</v>
      </c>
      <c r="E2039" s="1478" t="s">
        <v>793</v>
      </c>
      <c r="F2039" s="356">
        <v>235</v>
      </c>
      <c r="G2039" s="827">
        <v>235</v>
      </c>
      <c r="H2039" s="827">
        <v>235</v>
      </c>
      <c r="I2039" s="823">
        <f t="shared" si="226"/>
        <v>100</v>
      </c>
    </row>
    <row r="2040" spans="1:9" ht="14.25" x14ac:dyDescent="0.2">
      <c r="A2040" s="431"/>
      <c r="B2040" s="673"/>
      <c r="C2040" s="673"/>
      <c r="D2040" s="552" t="s">
        <v>570</v>
      </c>
      <c r="E2040" s="455" t="s">
        <v>71</v>
      </c>
      <c r="F2040" s="827">
        <v>3122</v>
      </c>
      <c r="G2040" s="827">
        <v>3091</v>
      </c>
      <c r="H2040" s="827">
        <v>3091</v>
      </c>
      <c r="I2040" s="823">
        <f t="shared" si="226"/>
        <v>100</v>
      </c>
    </row>
    <row r="2041" spans="1:9" ht="15" thickBot="1" x14ac:dyDescent="0.25">
      <c r="A2041" s="431"/>
      <c r="B2041" s="673"/>
      <c r="C2041" s="673"/>
      <c r="D2041" s="1069" t="s">
        <v>924</v>
      </c>
      <c r="E2041" s="1161" t="s">
        <v>1213</v>
      </c>
      <c r="F2041" s="827"/>
      <c r="G2041" s="827">
        <v>125</v>
      </c>
      <c r="H2041" s="827">
        <v>125</v>
      </c>
      <c r="I2041" s="823">
        <f t="shared" si="226"/>
        <v>100</v>
      </c>
    </row>
    <row r="2042" spans="1:9" ht="15" thickTop="1" x14ac:dyDescent="0.2">
      <c r="A2042" s="1511"/>
      <c r="B2042" s="654"/>
      <c r="C2042" s="654"/>
      <c r="D2042" s="2443"/>
      <c r="E2042" s="2554"/>
      <c r="F2042" s="1513"/>
      <c r="G2042" s="1513"/>
      <c r="H2042" s="1513"/>
      <c r="I2042" s="1514"/>
    </row>
    <row r="2043" spans="1:9" ht="13.5" thickBot="1" x14ac:dyDescent="0.25">
      <c r="A2043" s="432"/>
      <c r="I2043" s="1390" t="s">
        <v>161</v>
      </c>
    </row>
    <row r="2044" spans="1:9" ht="14.25" thickTop="1" thickBot="1" x14ac:dyDescent="0.25">
      <c r="A2044" s="631" t="s">
        <v>624</v>
      </c>
      <c r="B2044" s="774" t="s">
        <v>162</v>
      </c>
      <c r="C2044" s="632" t="s">
        <v>163</v>
      </c>
      <c r="D2044" s="634" t="s">
        <v>705</v>
      </c>
      <c r="E2044" s="634" t="s">
        <v>164</v>
      </c>
      <c r="F2044" s="634" t="s">
        <v>165</v>
      </c>
      <c r="G2044" s="634" t="s">
        <v>881</v>
      </c>
      <c r="H2044" s="634" t="s">
        <v>882</v>
      </c>
      <c r="I2044" s="818" t="s">
        <v>883</v>
      </c>
    </row>
    <row r="2045" spans="1:9" ht="14.25" thickTop="1" thickBot="1" x14ac:dyDescent="0.25">
      <c r="A2045" s="566">
        <v>1</v>
      </c>
      <c r="B2045" s="567">
        <v>2</v>
      </c>
      <c r="C2045" s="567">
        <v>3</v>
      </c>
      <c r="D2045" s="567">
        <v>4</v>
      </c>
      <c r="E2045" s="567">
        <v>5</v>
      </c>
      <c r="F2045" s="541">
        <v>6</v>
      </c>
      <c r="G2045" s="541">
        <v>7</v>
      </c>
      <c r="H2045" s="542">
        <v>8</v>
      </c>
      <c r="I2045" s="636" t="s">
        <v>762</v>
      </c>
    </row>
    <row r="2046" spans="1:9" ht="15.75" thickTop="1" x14ac:dyDescent="0.25">
      <c r="A2046" s="431">
        <v>1206</v>
      </c>
      <c r="B2046" s="673">
        <v>3123</v>
      </c>
      <c r="C2046" s="673">
        <v>5336</v>
      </c>
      <c r="D2046" s="1069"/>
      <c r="E2046" s="672" t="s">
        <v>2054</v>
      </c>
      <c r="F2046" s="827"/>
      <c r="G2046" s="851">
        <f>G2047+G2048+G2050+G2051</f>
        <v>22609</v>
      </c>
      <c r="H2046" s="851">
        <f>H2047+H2048+H2050+H2051</f>
        <v>22609</v>
      </c>
      <c r="I2046" s="853">
        <f t="shared" si="226"/>
        <v>100</v>
      </c>
    </row>
    <row r="2047" spans="1:9" ht="14.25" x14ac:dyDescent="0.2">
      <c r="A2047" s="431"/>
      <c r="B2047" s="673"/>
      <c r="C2047" s="673"/>
      <c r="D2047" s="1068" t="s">
        <v>1905</v>
      </c>
      <c r="E2047" s="2529" t="s">
        <v>1827</v>
      </c>
      <c r="F2047" s="314"/>
      <c r="G2047" s="316">
        <v>206</v>
      </c>
      <c r="H2047" s="316">
        <v>206</v>
      </c>
      <c r="I2047" s="1074">
        <f t="shared" si="226"/>
        <v>100</v>
      </c>
    </row>
    <row r="2048" spans="1:9" ht="14.25" x14ac:dyDescent="0.2">
      <c r="A2048" s="431"/>
      <c r="B2048" s="673"/>
      <c r="C2048" s="673"/>
      <c r="D2048" s="1068" t="s">
        <v>1911</v>
      </c>
      <c r="E2048" s="2671" t="s">
        <v>2051</v>
      </c>
      <c r="F2048" s="827"/>
      <c r="G2048" s="837">
        <v>29</v>
      </c>
      <c r="H2048" s="837">
        <v>29</v>
      </c>
      <c r="I2048" s="823">
        <v>29</v>
      </c>
    </row>
    <row r="2049" spans="1:20" ht="15" x14ac:dyDescent="0.25">
      <c r="A2049" s="431"/>
      <c r="B2049" s="673"/>
      <c r="C2049" s="673"/>
      <c r="D2049" s="1068"/>
      <c r="E2049" s="2671"/>
      <c r="F2049" s="827"/>
      <c r="G2049" s="846"/>
      <c r="H2049" s="846"/>
      <c r="I2049" s="853"/>
    </row>
    <row r="2050" spans="1:20" ht="15" x14ac:dyDescent="0.2">
      <c r="A2050" s="431"/>
      <c r="B2050" s="673"/>
      <c r="C2050" s="673"/>
      <c r="D2050" s="1068" t="s">
        <v>1913</v>
      </c>
      <c r="E2050" s="2113" t="s">
        <v>2052</v>
      </c>
      <c r="F2050" s="2530"/>
      <c r="G2050" s="2531">
        <v>141</v>
      </c>
      <c r="H2050" s="2531">
        <v>141</v>
      </c>
      <c r="I2050" s="376">
        <f t="shared" ref="I2050" si="227">(H2050/G2050)*100</f>
        <v>100</v>
      </c>
    </row>
    <row r="2051" spans="1:20" ht="14.25" x14ac:dyDescent="0.2">
      <c r="A2051" s="431"/>
      <c r="B2051" s="673"/>
      <c r="C2051" s="673"/>
      <c r="D2051" s="552" t="s">
        <v>1124</v>
      </c>
      <c r="E2051" s="455" t="s">
        <v>792</v>
      </c>
      <c r="F2051" s="827"/>
      <c r="G2051" s="827">
        <v>22233</v>
      </c>
      <c r="H2051" s="827">
        <v>22233</v>
      </c>
      <c r="I2051" s="823">
        <f t="shared" si="226"/>
        <v>100</v>
      </c>
    </row>
    <row r="2052" spans="1:20" ht="15" x14ac:dyDescent="0.25">
      <c r="A2052" s="431">
        <v>1206</v>
      </c>
      <c r="B2052" s="750">
        <v>3142</v>
      </c>
      <c r="C2052" s="750">
        <v>5331</v>
      </c>
      <c r="D2052" s="859"/>
      <c r="E2052" s="672" t="s">
        <v>951</v>
      </c>
      <c r="F2052" s="835">
        <f>F2053+F2054</f>
        <v>430</v>
      </c>
      <c r="G2052" s="835">
        <f>G2053+G2054</f>
        <v>426</v>
      </c>
      <c r="H2052" s="835">
        <f>H2053+H2054</f>
        <v>426</v>
      </c>
      <c r="I2052" s="836">
        <f t="shared" si="226"/>
        <v>100</v>
      </c>
    </row>
    <row r="2053" spans="1:20" ht="14.25" x14ac:dyDescent="0.2">
      <c r="A2053" s="431"/>
      <c r="B2053" s="750"/>
      <c r="C2053" s="750"/>
      <c r="D2053" s="552" t="s">
        <v>570</v>
      </c>
      <c r="E2053" s="455" t="s">
        <v>71</v>
      </c>
      <c r="F2053" s="833">
        <v>400</v>
      </c>
      <c r="G2053" s="833">
        <v>416</v>
      </c>
      <c r="H2053" s="833">
        <v>416</v>
      </c>
      <c r="I2053" s="828">
        <f t="shared" si="226"/>
        <v>100</v>
      </c>
    </row>
    <row r="2054" spans="1:20" ht="14.25" x14ac:dyDescent="0.2">
      <c r="A2054" s="431"/>
      <c r="B2054" s="750"/>
      <c r="C2054" s="750"/>
      <c r="D2054" s="1059" t="s">
        <v>665</v>
      </c>
      <c r="E2054" s="1278" t="s">
        <v>1294</v>
      </c>
      <c r="F2054" s="1311">
        <v>30</v>
      </c>
      <c r="G2054" s="451">
        <v>10</v>
      </c>
      <c r="H2054" s="316">
        <v>10</v>
      </c>
      <c r="I2054" s="1074">
        <f t="shared" si="226"/>
        <v>100</v>
      </c>
    </row>
    <row r="2055" spans="1:20" ht="15" x14ac:dyDescent="0.25">
      <c r="A2055" s="431">
        <v>1206</v>
      </c>
      <c r="B2055" s="750">
        <v>3142</v>
      </c>
      <c r="C2055" s="750">
        <v>5336</v>
      </c>
      <c r="D2055" s="552"/>
      <c r="E2055" s="672" t="s">
        <v>2054</v>
      </c>
      <c r="F2055" s="833"/>
      <c r="G2055" s="846">
        <v>781</v>
      </c>
      <c r="H2055" s="846">
        <v>781</v>
      </c>
      <c r="I2055" s="838">
        <f t="shared" si="226"/>
        <v>100</v>
      </c>
    </row>
    <row r="2056" spans="1:20" ht="14.25" x14ac:dyDescent="0.2">
      <c r="A2056" s="431"/>
      <c r="B2056" s="750"/>
      <c r="C2056" s="1393"/>
      <c r="D2056" s="552" t="s">
        <v>1124</v>
      </c>
      <c r="E2056" s="455" t="s">
        <v>792</v>
      </c>
      <c r="F2056" s="833"/>
      <c r="G2056" s="833">
        <v>781</v>
      </c>
      <c r="H2056" s="833">
        <v>781</v>
      </c>
      <c r="I2056" s="828">
        <f t="shared" si="226"/>
        <v>100</v>
      </c>
    </row>
    <row r="2057" spans="1:20" ht="15" x14ac:dyDescent="0.25">
      <c r="A2057" s="431">
        <v>1206</v>
      </c>
      <c r="B2057" s="673">
        <v>3293</v>
      </c>
      <c r="C2057" s="1392">
        <v>5336</v>
      </c>
      <c r="D2057" s="842"/>
      <c r="E2057" s="672" t="s">
        <v>2054</v>
      </c>
      <c r="F2057" s="846"/>
      <c r="G2057" s="846">
        <v>6</v>
      </c>
      <c r="H2057" s="846">
        <v>6</v>
      </c>
      <c r="I2057" s="838">
        <f t="shared" si="226"/>
        <v>100</v>
      </c>
    </row>
    <row r="2058" spans="1:20" ht="15" thickBot="1" x14ac:dyDescent="0.25">
      <c r="A2058" s="431"/>
      <c r="B2058" s="750"/>
      <c r="C2058" s="1393"/>
      <c r="D2058" s="748" t="s">
        <v>1127</v>
      </c>
      <c r="E2058" s="1493" t="s">
        <v>62</v>
      </c>
      <c r="F2058" s="833"/>
      <c r="G2058" s="833">
        <v>6</v>
      </c>
      <c r="H2058" s="833">
        <v>6</v>
      </c>
      <c r="I2058" s="828">
        <f t="shared" si="226"/>
        <v>100</v>
      </c>
    </row>
    <row r="2059" spans="1:20" s="107" customFormat="1" ht="16.5" thickTop="1" thickBot="1" x14ac:dyDescent="0.3">
      <c r="A2059" s="2672" t="s">
        <v>1105</v>
      </c>
      <c r="B2059" s="2673"/>
      <c r="C2059" s="2673"/>
      <c r="D2059" s="2673"/>
      <c r="E2059" s="2673"/>
      <c r="F2059" s="824">
        <f>F2038+F2052</f>
        <v>3787</v>
      </c>
      <c r="G2059" s="824">
        <f>G2036+G2038+G2046+G2052+G2055+G2057</f>
        <v>30371</v>
      </c>
      <c r="H2059" s="824">
        <f>H2036+H2038+H2046+H2052+H2055+H2057</f>
        <v>30371</v>
      </c>
      <c r="I2059" s="825">
        <f>(H2059/G2059)*100</f>
        <v>100</v>
      </c>
      <c r="R2059" s="382">
        <f>F2059</f>
        <v>3787</v>
      </c>
      <c r="S2059" s="382">
        <f>G2059</f>
        <v>30371</v>
      </c>
      <c r="T2059" s="382">
        <f>H2059</f>
        <v>30371</v>
      </c>
    </row>
    <row r="2060" spans="1:20" s="383" customFormat="1" ht="13.5" thickTop="1" x14ac:dyDescent="0.2">
      <c r="A2060" s="381"/>
      <c r="B2060" s="643"/>
      <c r="C2060" s="381"/>
      <c r="D2060" s="814"/>
      <c r="E2060" s="381"/>
      <c r="F2060" s="382"/>
      <c r="G2060" s="382"/>
      <c r="H2060" s="382"/>
      <c r="I2060" s="1390"/>
    </row>
    <row r="2061" spans="1:20" s="383" customFormat="1" x14ac:dyDescent="0.2">
      <c r="A2061" s="381"/>
      <c r="B2061" s="643"/>
      <c r="C2061" s="381"/>
      <c r="D2061" s="814"/>
      <c r="E2061" s="381"/>
      <c r="F2061" s="382"/>
      <c r="G2061" s="382"/>
      <c r="H2061" s="382"/>
      <c r="I2061" s="1390"/>
    </row>
    <row r="2062" spans="1:20" s="383" customFormat="1" x14ac:dyDescent="0.2">
      <c r="A2062" s="381"/>
      <c r="B2062" s="643"/>
      <c r="C2062" s="381"/>
      <c r="D2062" s="814"/>
      <c r="E2062" s="381"/>
      <c r="F2062" s="382"/>
      <c r="G2062" s="382"/>
      <c r="H2062" s="382"/>
      <c r="I2062" s="1390"/>
    </row>
    <row r="2063" spans="1:20" ht="13.5" thickBot="1" x14ac:dyDescent="0.25">
      <c r="A2063" s="432" t="s">
        <v>322</v>
      </c>
      <c r="I2063" s="1390" t="s">
        <v>161</v>
      </c>
    </row>
    <row r="2064" spans="1:20" ht="14.25" thickTop="1" thickBot="1" x14ac:dyDescent="0.25">
      <c r="A2064" s="631" t="s">
        <v>624</v>
      </c>
      <c r="B2064" s="774" t="s">
        <v>162</v>
      </c>
      <c r="C2064" s="632" t="s">
        <v>163</v>
      </c>
      <c r="D2064" s="634" t="s">
        <v>705</v>
      </c>
      <c r="E2064" s="634" t="s">
        <v>164</v>
      </c>
      <c r="F2064" s="634" t="s">
        <v>165</v>
      </c>
      <c r="G2064" s="634" t="s">
        <v>881</v>
      </c>
      <c r="H2064" s="634" t="s">
        <v>882</v>
      </c>
      <c r="I2064" s="818" t="s">
        <v>883</v>
      </c>
    </row>
    <row r="2065" spans="1:9" ht="14.25" thickTop="1" thickBot="1" x14ac:dyDescent="0.25">
      <c r="A2065" s="566">
        <v>1</v>
      </c>
      <c r="B2065" s="567">
        <v>2</v>
      </c>
      <c r="C2065" s="567">
        <v>3</v>
      </c>
      <c r="D2065" s="567">
        <v>4</v>
      </c>
      <c r="E2065" s="567">
        <v>5</v>
      </c>
      <c r="F2065" s="541">
        <v>6</v>
      </c>
      <c r="G2065" s="541">
        <v>7</v>
      </c>
      <c r="H2065" s="542">
        <v>8</v>
      </c>
      <c r="I2065" s="636" t="s">
        <v>762</v>
      </c>
    </row>
    <row r="2066" spans="1:9" ht="14.25" customHeight="1" thickTop="1" x14ac:dyDescent="0.25">
      <c r="A2066" s="431">
        <v>1207</v>
      </c>
      <c r="B2066" s="750">
        <v>3122</v>
      </c>
      <c r="C2066" s="750">
        <v>5336</v>
      </c>
      <c r="D2066" s="2543"/>
      <c r="E2066" s="672" t="s">
        <v>2054</v>
      </c>
      <c r="F2066" s="827"/>
      <c r="G2066" s="851">
        <f>G2067+G2070</f>
        <v>5808</v>
      </c>
      <c r="H2066" s="851">
        <f>H2067+H2070</f>
        <v>5808</v>
      </c>
      <c r="I2066" s="821">
        <f t="shared" ref="I2066:I2091" si="228">(H2066/G2066)*100</f>
        <v>100</v>
      </c>
    </row>
    <row r="2067" spans="1:9" ht="15.75" customHeight="1" x14ac:dyDescent="0.25">
      <c r="A2067" s="431"/>
      <c r="B2067" s="750"/>
      <c r="C2067" s="750"/>
      <c r="D2067" s="2660" t="s">
        <v>1429</v>
      </c>
      <c r="E2067" s="2674" t="s">
        <v>1448</v>
      </c>
      <c r="F2067" s="820"/>
      <c r="G2067" s="356">
        <v>87</v>
      </c>
      <c r="H2067" s="356">
        <v>87</v>
      </c>
      <c r="I2067" s="823">
        <f>(H2067/G2067)*100</f>
        <v>100</v>
      </c>
    </row>
    <row r="2068" spans="1:9" ht="15" customHeight="1" x14ac:dyDescent="0.25">
      <c r="A2068" s="431"/>
      <c r="B2068" s="750"/>
      <c r="C2068" s="750"/>
      <c r="D2068" s="2661"/>
      <c r="E2068" s="2675"/>
      <c r="F2068" s="820"/>
      <c r="G2068" s="356"/>
      <c r="H2068" s="356"/>
      <c r="I2068" s="823"/>
    </row>
    <row r="2069" spans="1:9" ht="14.25" customHeight="1" x14ac:dyDescent="0.2">
      <c r="A2069" s="431"/>
      <c r="B2069" s="750"/>
      <c r="C2069" s="750"/>
      <c r="D2069" s="2661"/>
      <c r="E2069" s="2675"/>
      <c r="F2069" s="827"/>
      <c r="G2069" s="827"/>
      <c r="H2069" s="827"/>
      <c r="I2069" s="823"/>
    </row>
    <row r="2070" spans="1:9" ht="14.25" x14ac:dyDescent="0.2">
      <c r="A2070" s="431"/>
      <c r="B2070" s="750"/>
      <c r="C2070" s="750"/>
      <c r="D2070" s="552" t="s">
        <v>1124</v>
      </c>
      <c r="E2070" s="455" t="s">
        <v>792</v>
      </c>
      <c r="F2070" s="827"/>
      <c r="G2070" s="827">
        <v>5721</v>
      </c>
      <c r="H2070" s="827">
        <v>5721</v>
      </c>
      <c r="I2070" s="823">
        <f t="shared" si="228"/>
        <v>100</v>
      </c>
    </row>
    <row r="2071" spans="1:9" ht="15" x14ac:dyDescent="0.25">
      <c r="A2071" s="431">
        <v>1207</v>
      </c>
      <c r="B2071" s="673">
        <v>3123</v>
      </c>
      <c r="C2071" s="673">
        <v>5331</v>
      </c>
      <c r="D2071" s="819"/>
      <c r="E2071" s="792" t="s">
        <v>951</v>
      </c>
      <c r="F2071" s="820">
        <f>F2072+F2073+F2075</f>
        <v>3228</v>
      </c>
      <c r="G2071" s="820">
        <f>G2072+G2073+G2074+G2075</f>
        <v>3470</v>
      </c>
      <c r="H2071" s="820">
        <f>H2072+H2073+H2074+H2075</f>
        <v>3470</v>
      </c>
      <c r="I2071" s="821">
        <f t="shared" si="228"/>
        <v>100</v>
      </c>
    </row>
    <row r="2072" spans="1:9" ht="14.25" x14ac:dyDescent="0.2">
      <c r="A2072" s="431"/>
      <c r="B2072" s="673"/>
      <c r="C2072" s="673"/>
      <c r="D2072" s="707" t="s">
        <v>575</v>
      </c>
      <c r="E2072" s="1478" t="s">
        <v>793</v>
      </c>
      <c r="F2072" s="827">
        <v>752</v>
      </c>
      <c r="G2072" s="827">
        <v>820</v>
      </c>
      <c r="H2072" s="827">
        <v>820</v>
      </c>
      <c r="I2072" s="823">
        <f t="shared" si="228"/>
        <v>100</v>
      </c>
    </row>
    <row r="2073" spans="1:9" ht="14.25" x14ac:dyDescent="0.2">
      <c r="A2073" s="431"/>
      <c r="B2073" s="673"/>
      <c r="C2073" s="673"/>
      <c r="D2073" s="552" t="s">
        <v>570</v>
      </c>
      <c r="E2073" s="455" t="s">
        <v>71</v>
      </c>
      <c r="F2073" s="827">
        <v>2476</v>
      </c>
      <c r="G2073" s="827">
        <v>2424</v>
      </c>
      <c r="H2073" s="827">
        <v>2424</v>
      </c>
      <c r="I2073" s="823">
        <f t="shared" si="228"/>
        <v>100</v>
      </c>
    </row>
    <row r="2074" spans="1:9" ht="14.25" x14ac:dyDescent="0.2">
      <c r="A2074" s="431"/>
      <c r="B2074" s="673"/>
      <c r="C2074" s="673"/>
      <c r="D2074" s="1059" t="s">
        <v>665</v>
      </c>
      <c r="E2074" s="1278" t="s">
        <v>1294</v>
      </c>
      <c r="F2074" s="1311">
        <v>30</v>
      </c>
      <c r="G2074" s="451">
        <v>27</v>
      </c>
      <c r="H2074" s="316">
        <v>27</v>
      </c>
      <c r="I2074" s="1074">
        <f t="shared" si="228"/>
        <v>100</v>
      </c>
    </row>
    <row r="2075" spans="1:9" ht="14.25" x14ac:dyDescent="0.2">
      <c r="A2075" s="431"/>
      <c r="B2075" s="673"/>
      <c r="C2075" s="673"/>
      <c r="D2075" s="1069" t="s">
        <v>924</v>
      </c>
      <c r="E2075" s="1161" t="s">
        <v>1213</v>
      </c>
      <c r="F2075" s="827"/>
      <c r="G2075" s="827">
        <v>199</v>
      </c>
      <c r="H2075" s="827">
        <v>199</v>
      </c>
      <c r="I2075" s="823">
        <f t="shared" si="228"/>
        <v>100</v>
      </c>
    </row>
    <row r="2076" spans="1:9" ht="15" x14ac:dyDescent="0.25">
      <c r="A2076" s="431">
        <v>1207</v>
      </c>
      <c r="B2076" s="673">
        <v>3123</v>
      </c>
      <c r="C2076" s="673">
        <v>5336</v>
      </c>
      <c r="D2076" s="2542"/>
      <c r="E2076" s="672" t="s">
        <v>2054</v>
      </c>
      <c r="F2076" s="827"/>
      <c r="G2076" s="851">
        <f>G2077+G2078+G2080+G2081</f>
        <v>20769</v>
      </c>
      <c r="H2076" s="851">
        <f>H2077+H2078+H2080+H2081</f>
        <v>20769</v>
      </c>
      <c r="I2076" s="853">
        <f t="shared" si="228"/>
        <v>100</v>
      </c>
    </row>
    <row r="2077" spans="1:9" ht="14.25" x14ac:dyDescent="0.2">
      <c r="A2077" s="431"/>
      <c r="B2077" s="673"/>
      <c r="C2077" s="673"/>
      <c r="D2077" s="1068" t="s">
        <v>1905</v>
      </c>
      <c r="E2077" s="2529" t="s">
        <v>1827</v>
      </c>
      <c r="F2077" s="314"/>
      <c r="G2077" s="316">
        <v>514</v>
      </c>
      <c r="H2077" s="316">
        <v>514</v>
      </c>
      <c r="I2077" s="1074">
        <f t="shared" si="228"/>
        <v>100</v>
      </c>
    </row>
    <row r="2078" spans="1:9" ht="14.25" customHeight="1" x14ac:dyDescent="0.2">
      <c r="A2078" s="431"/>
      <c r="B2078" s="673"/>
      <c r="C2078" s="673"/>
      <c r="D2078" s="1068" t="s">
        <v>1911</v>
      </c>
      <c r="E2078" s="2671" t="s">
        <v>2051</v>
      </c>
      <c r="F2078" s="827"/>
      <c r="G2078" s="837">
        <v>30</v>
      </c>
      <c r="H2078" s="837">
        <v>30</v>
      </c>
      <c r="I2078" s="823">
        <v>29</v>
      </c>
    </row>
    <row r="2079" spans="1:9" ht="15" x14ac:dyDescent="0.25">
      <c r="A2079" s="431"/>
      <c r="B2079" s="673"/>
      <c r="C2079" s="673"/>
      <c r="D2079" s="1068"/>
      <c r="E2079" s="2671"/>
      <c r="F2079" s="827"/>
      <c r="G2079" s="846"/>
      <c r="H2079" s="846"/>
      <c r="I2079" s="853"/>
    </row>
    <row r="2080" spans="1:9" ht="15" x14ac:dyDescent="0.2">
      <c r="A2080" s="431"/>
      <c r="B2080" s="673"/>
      <c r="C2080" s="673"/>
      <c r="D2080" s="1068" t="s">
        <v>1913</v>
      </c>
      <c r="E2080" s="2113" t="s">
        <v>2052</v>
      </c>
      <c r="F2080" s="2530"/>
      <c r="G2080" s="2531">
        <v>172</v>
      </c>
      <c r="H2080" s="2531">
        <v>172</v>
      </c>
      <c r="I2080" s="376">
        <f t="shared" ref="I2080" si="229">(H2080/G2080)*100</f>
        <v>100</v>
      </c>
    </row>
    <row r="2081" spans="1:20" ht="14.25" x14ac:dyDescent="0.2">
      <c r="A2081" s="431"/>
      <c r="B2081" s="673"/>
      <c r="C2081" s="1392"/>
      <c r="D2081" s="552" t="s">
        <v>1124</v>
      </c>
      <c r="E2081" s="455" t="s">
        <v>792</v>
      </c>
      <c r="F2081" s="827"/>
      <c r="G2081" s="827">
        <v>20053</v>
      </c>
      <c r="H2081" s="827">
        <v>20053</v>
      </c>
      <c r="I2081" s="823">
        <f t="shared" si="228"/>
        <v>100</v>
      </c>
    </row>
    <row r="2082" spans="1:20" ht="15" x14ac:dyDescent="0.25">
      <c r="A2082" s="431">
        <v>1207</v>
      </c>
      <c r="B2082" s="750">
        <v>3142</v>
      </c>
      <c r="C2082" s="750">
        <v>5331</v>
      </c>
      <c r="D2082" s="859"/>
      <c r="E2082" s="672" t="s">
        <v>951</v>
      </c>
      <c r="F2082" s="835">
        <f>F2083+F2084</f>
        <v>73</v>
      </c>
      <c r="G2082" s="835">
        <f>G2083+G2084</f>
        <v>72</v>
      </c>
      <c r="H2082" s="835">
        <f>H2083+H2084</f>
        <v>72</v>
      </c>
      <c r="I2082" s="836">
        <f t="shared" si="228"/>
        <v>100</v>
      </c>
    </row>
    <row r="2083" spans="1:20" ht="14.25" x14ac:dyDescent="0.2">
      <c r="A2083" s="431"/>
      <c r="B2083" s="750"/>
      <c r="C2083" s="750"/>
      <c r="D2083" s="707" t="s">
        <v>575</v>
      </c>
      <c r="E2083" s="1478" t="s">
        <v>793</v>
      </c>
      <c r="F2083" s="837">
        <v>6</v>
      </c>
      <c r="G2083" s="837">
        <v>6</v>
      </c>
      <c r="H2083" s="837">
        <v>6</v>
      </c>
      <c r="I2083" s="828">
        <f t="shared" si="228"/>
        <v>100</v>
      </c>
    </row>
    <row r="2084" spans="1:20" ht="14.25" x14ac:dyDescent="0.2">
      <c r="A2084" s="431"/>
      <c r="B2084" s="750"/>
      <c r="C2084" s="750"/>
      <c r="D2084" s="552" t="s">
        <v>570</v>
      </c>
      <c r="E2084" s="455" t="s">
        <v>71</v>
      </c>
      <c r="F2084" s="833">
        <v>67</v>
      </c>
      <c r="G2084" s="833">
        <v>66</v>
      </c>
      <c r="H2084" s="833">
        <v>66</v>
      </c>
      <c r="I2084" s="828">
        <f t="shared" si="228"/>
        <v>100</v>
      </c>
    </row>
    <row r="2085" spans="1:20" ht="18" customHeight="1" x14ac:dyDescent="0.25">
      <c r="A2085" s="431">
        <v>1207</v>
      </c>
      <c r="B2085" s="750">
        <v>3142</v>
      </c>
      <c r="C2085" s="750">
        <v>5336</v>
      </c>
      <c r="D2085" s="552"/>
      <c r="E2085" s="672" t="s">
        <v>2054</v>
      </c>
      <c r="F2085" s="833"/>
      <c r="G2085" s="846">
        <v>14</v>
      </c>
      <c r="H2085" s="846">
        <v>14</v>
      </c>
      <c r="I2085" s="838">
        <f t="shared" si="228"/>
        <v>100</v>
      </c>
    </row>
    <row r="2086" spans="1:20" ht="18" customHeight="1" x14ac:dyDescent="0.2">
      <c r="A2086" s="431"/>
      <c r="B2086" s="750"/>
      <c r="C2086" s="1393"/>
      <c r="D2086" s="552" t="s">
        <v>1124</v>
      </c>
      <c r="E2086" s="455" t="s">
        <v>792</v>
      </c>
      <c r="F2086" s="833"/>
      <c r="G2086" s="833">
        <v>14</v>
      </c>
      <c r="H2086" s="833">
        <v>14</v>
      </c>
      <c r="I2086" s="828">
        <f t="shared" si="228"/>
        <v>100</v>
      </c>
    </row>
    <row r="2087" spans="1:20" ht="15" customHeight="1" x14ac:dyDescent="0.25">
      <c r="A2087" s="431">
        <v>1207</v>
      </c>
      <c r="B2087" s="750">
        <v>3147</v>
      </c>
      <c r="C2087" s="750">
        <v>5331</v>
      </c>
      <c r="D2087" s="859"/>
      <c r="E2087" s="672" t="s">
        <v>951</v>
      </c>
      <c r="F2087" s="835">
        <f>F2088+F2089</f>
        <v>670</v>
      </c>
      <c r="G2087" s="835">
        <f>G2088+G2089</f>
        <v>664</v>
      </c>
      <c r="H2087" s="835">
        <f>H2088+H2089</f>
        <v>664</v>
      </c>
      <c r="I2087" s="836">
        <f t="shared" si="228"/>
        <v>100</v>
      </c>
    </row>
    <row r="2088" spans="1:20" ht="14.25" x14ac:dyDescent="0.2">
      <c r="A2088" s="431"/>
      <c r="B2088" s="750"/>
      <c r="C2088" s="750"/>
      <c r="D2088" s="707" t="s">
        <v>575</v>
      </c>
      <c r="E2088" s="1478" t="s">
        <v>793</v>
      </c>
      <c r="F2088" s="833">
        <v>116</v>
      </c>
      <c r="G2088" s="833">
        <v>116</v>
      </c>
      <c r="H2088" s="833">
        <v>116</v>
      </c>
      <c r="I2088" s="828">
        <f t="shared" si="228"/>
        <v>100</v>
      </c>
    </row>
    <row r="2089" spans="1:20" ht="14.25" x14ac:dyDescent="0.2">
      <c r="A2089" s="431"/>
      <c r="B2089" s="750"/>
      <c r="C2089" s="750"/>
      <c r="D2089" s="552" t="s">
        <v>570</v>
      </c>
      <c r="E2089" s="455" t="s">
        <v>71</v>
      </c>
      <c r="F2089" s="833">
        <v>554</v>
      </c>
      <c r="G2089" s="833">
        <v>548</v>
      </c>
      <c r="H2089" s="833">
        <v>548</v>
      </c>
      <c r="I2089" s="828">
        <f t="shared" si="228"/>
        <v>100</v>
      </c>
    </row>
    <row r="2090" spans="1:20" ht="15" x14ac:dyDescent="0.25">
      <c r="A2090" s="431">
        <v>1207</v>
      </c>
      <c r="B2090" s="750">
        <v>3147</v>
      </c>
      <c r="C2090" s="750">
        <v>5336</v>
      </c>
      <c r="D2090" s="552"/>
      <c r="E2090" s="672" t="s">
        <v>2054</v>
      </c>
      <c r="F2090" s="833"/>
      <c r="G2090" s="846">
        <v>1688</v>
      </c>
      <c r="H2090" s="846">
        <v>1688</v>
      </c>
      <c r="I2090" s="838">
        <f t="shared" si="228"/>
        <v>100</v>
      </c>
    </row>
    <row r="2091" spans="1:20" ht="15" thickBot="1" x14ac:dyDescent="0.25">
      <c r="A2091" s="431"/>
      <c r="B2091" s="750"/>
      <c r="C2091" s="1393"/>
      <c r="D2091" s="552" t="s">
        <v>1124</v>
      </c>
      <c r="E2091" s="455" t="s">
        <v>792</v>
      </c>
      <c r="F2091" s="833"/>
      <c r="G2091" s="833">
        <v>1688</v>
      </c>
      <c r="H2091" s="833">
        <v>1688</v>
      </c>
      <c r="I2091" s="828">
        <f t="shared" si="228"/>
        <v>100</v>
      </c>
    </row>
    <row r="2092" spans="1:20" s="107" customFormat="1" ht="16.5" thickTop="1" thickBot="1" x14ac:dyDescent="0.3">
      <c r="A2092" s="2672" t="s">
        <v>1105</v>
      </c>
      <c r="B2092" s="2673"/>
      <c r="C2092" s="2673"/>
      <c r="D2092" s="2673"/>
      <c r="E2092" s="2673"/>
      <c r="F2092" s="824">
        <f>F2071+F2082+F2087</f>
        <v>3971</v>
      </c>
      <c r="G2092" s="824">
        <f>G2066+G2071+G2076+G2082+G2085+G2087+G2090</f>
        <v>32485</v>
      </c>
      <c r="H2092" s="824">
        <f>H2066+H2071+H2076+H2082+H2085+H2087+H2090</f>
        <v>32485</v>
      </c>
      <c r="I2092" s="825">
        <f>(H2092/G2092)*100</f>
        <v>100</v>
      </c>
      <c r="R2092" s="382">
        <f>F2092</f>
        <v>3971</v>
      </c>
      <c r="S2092" s="382">
        <f>G2092</f>
        <v>32485</v>
      </c>
      <c r="T2092" s="382">
        <f>H2092</f>
        <v>32485</v>
      </c>
    </row>
    <row r="2093" spans="1:20" s="383" customFormat="1" ht="15.75" thickTop="1" x14ac:dyDescent="0.25">
      <c r="A2093" s="368"/>
      <c r="B2093" s="368"/>
      <c r="C2093" s="368"/>
      <c r="D2093" s="368"/>
      <c r="E2093" s="368"/>
      <c r="F2093" s="181"/>
      <c r="G2093" s="181"/>
      <c r="H2093" s="181"/>
      <c r="I2093" s="210"/>
    </row>
    <row r="2094" spans="1:20" s="383" customFormat="1" ht="15" x14ac:dyDescent="0.25">
      <c r="A2094" s="368"/>
      <c r="B2094" s="368"/>
      <c r="C2094" s="368"/>
      <c r="D2094" s="368"/>
      <c r="E2094" s="368"/>
      <c r="F2094" s="181"/>
      <c r="G2094" s="181"/>
      <c r="H2094" s="181"/>
      <c r="I2094" s="210"/>
    </row>
    <row r="2095" spans="1:20" s="383" customFormat="1" ht="15" x14ac:dyDescent="0.25">
      <c r="A2095" s="368"/>
      <c r="B2095" s="368"/>
      <c r="C2095" s="368"/>
      <c r="D2095" s="368"/>
      <c r="E2095" s="368"/>
      <c r="F2095" s="181"/>
      <c r="G2095" s="181"/>
      <c r="H2095" s="181"/>
      <c r="I2095" s="210"/>
    </row>
    <row r="2096" spans="1:20" ht="13.5" thickBot="1" x14ac:dyDescent="0.25">
      <c r="A2096" s="432" t="s">
        <v>1451</v>
      </c>
      <c r="I2096" s="1390" t="s">
        <v>161</v>
      </c>
    </row>
    <row r="2097" spans="1:9" ht="14.25" thickTop="1" thickBot="1" x14ac:dyDescent="0.25">
      <c r="A2097" s="631" t="s">
        <v>624</v>
      </c>
      <c r="B2097" s="774" t="s">
        <v>162</v>
      </c>
      <c r="C2097" s="632" t="s">
        <v>163</v>
      </c>
      <c r="D2097" s="634" t="s">
        <v>705</v>
      </c>
      <c r="E2097" s="634" t="s">
        <v>164</v>
      </c>
      <c r="F2097" s="634" t="s">
        <v>165</v>
      </c>
      <c r="G2097" s="634" t="s">
        <v>881</v>
      </c>
      <c r="H2097" s="634" t="s">
        <v>882</v>
      </c>
      <c r="I2097" s="818" t="s">
        <v>883</v>
      </c>
    </row>
    <row r="2098" spans="1:9" ht="14.25" thickTop="1" thickBot="1" x14ac:dyDescent="0.25">
      <c r="A2098" s="566">
        <v>1</v>
      </c>
      <c r="B2098" s="567">
        <v>2</v>
      </c>
      <c r="C2098" s="567">
        <v>3</v>
      </c>
      <c r="D2098" s="567">
        <v>4</v>
      </c>
      <c r="E2098" s="567">
        <v>5</v>
      </c>
      <c r="F2098" s="541">
        <v>6</v>
      </c>
      <c r="G2098" s="541">
        <v>7</v>
      </c>
      <c r="H2098" s="542">
        <v>8</v>
      </c>
      <c r="I2098" s="636" t="s">
        <v>762</v>
      </c>
    </row>
    <row r="2099" spans="1:9" ht="15.75" thickTop="1" x14ac:dyDescent="0.25">
      <c r="A2099" s="1402">
        <v>1208</v>
      </c>
      <c r="B2099" s="847">
        <v>3122</v>
      </c>
      <c r="C2099" s="847">
        <v>5336</v>
      </c>
      <c r="D2099" s="852"/>
      <c r="E2099" s="672" t="s">
        <v>2054</v>
      </c>
      <c r="F2099" s="845"/>
      <c r="G2099" s="845">
        <v>1711</v>
      </c>
      <c r="H2099" s="845">
        <v>1711</v>
      </c>
      <c r="I2099" s="849">
        <f>(H2099/G2099)*100</f>
        <v>100</v>
      </c>
    </row>
    <row r="2100" spans="1:9" ht="14.25" x14ac:dyDescent="0.2">
      <c r="A2100" s="431"/>
      <c r="B2100" s="673"/>
      <c r="C2100" s="673"/>
      <c r="D2100" s="552" t="s">
        <v>1124</v>
      </c>
      <c r="E2100" s="455" t="s">
        <v>792</v>
      </c>
      <c r="F2100" s="827"/>
      <c r="G2100" s="827">
        <v>1711</v>
      </c>
      <c r="H2100" s="827">
        <v>1711</v>
      </c>
      <c r="I2100" s="823">
        <f>(H2100/G2100)*100</f>
        <v>100</v>
      </c>
    </row>
    <row r="2101" spans="1:9" ht="15" x14ac:dyDescent="0.25">
      <c r="A2101" s="431">
        <v>1208</v>
      </c>
      <c r="B2101" s="673">
        <v>3123</v>
      </c>
      <c r="C2101" s="673">
        <v>5331</v>
      </c>
      <c r="D2101" s="819"/>
      <c r="E2101" s="792" t="s">
        <v>951</v>
      </c>
      <c r="F2101" s="820">
        <f>F2102+F2103+F2104+F2105</f>
        <v>4132</v>
      </c>
      <c r="G2101" s="820">
        <f>G2102+G2103+G2104+G2105</f>
        <v>4187</v>
      </c>
      <c r="H2101" s="820">
        <f>H2102+H2103+H2104+H2105</f>
        <v>4187</v>
      </c>
      <c r="I2101" s="821">
        <f t="shared" ref="I2101:I2117" si="230">(H2101/G2101)*100</f>
        <v>100</v>
      </c>
    </row>
    <row r="2102" spans="1:9" ht="14.25" x14ac:dyDescent="0.2">
      <c r="A2102" s="431"/>
      <c r="B2102" s="673"/>
      <c r="C2102" s="673"/>
      <c r="D2102" s="707" t="s">
        <v>575</v>
      </c>
      <c r="E2102" s="1478" t="s">
        <v>793</v>
      </c>
      <c r="F2102" s="827">
        <v>432</v>
      </c>
      <c r="G2102" s="827">
        <v>454</v>
      </c>
      <c r="H2102" s="827">
        <v>454</v>
      </c>
      <c r="I2102" s="823">
        <f t="shared" si="230"/>
        <v>100</v>
      </c>
    </row>
    <row r="2103" spans="1:9" ht="14.25" x14ac:dyDescent="0.2">
      <c r="A2103" s="431"/>
      <c r="B2103" s="673"/>
      <c r="C2103" s="673"/>
      <c r="D2103" s="552" t="s">
        <v>570</v>
      </c>
      <c r="E2103" s="455" t="s">
        <v>71</v>
      </c>
      <c r="F2103" s="827">
        <v>3700</v>
      </c>
      <c r="G2103" s="827">
        <v>3606</v>
      </c>
      <c r="H2103" s="827">
        <v>3606</v>
      </c>
      <c r="I2103" s="823">
        <f t="shared" si="230"/>
        <v>100</v>
      </c>
    </row>
    <row r="2104" spans="1:9" ht="14.25" x14ac:dyDescent="0.2">
      <c r="A2104" s="431"/>
      <c r="B2104" s="750"/>
      <c r="C2104" s="750"/>
      <c r="D2104" s="1059" t="s">
        <v>665</v>
      </c>
      <c r="E2104" s="1278" t="s">
        <v>1294</v>
      </c>
      <c r="F2104" s="1311"/>
      <c r="G2104" s="451">
        <v>20</v>
      </c>
      <c r="H2104" s="316">
        <v>20</v>
      </c>
      <c r="I2104" s="1074">
        <f t="shared" si="230"/>
        <v>100</v>
      </c>
    </row>
    <row r="2105" spans="1:9" ht="14.25" x14ac:dyDescent="0.2">
      <c r="A2105" s="431"/>
      <c r="B2105" s="750"/>
      <c r="C2105" s="750"/>
      <c r="D2105" s="1069" t="s">
        <v>924</v>
      </c>
      <c r="E2105" s="1161" t="s">
        <v>1213</v>
      </c>
      <c r="F2105" s="833"/>
      <c r="G2105" s="833">
        <v>107</v>
      </c>
      <c r="H2105" s="833">
        <v>107</v>
      </c>
      <c r="I2105" s="828">
        <f t="shared" si="230"/>
        <v>100</v>
      </c>
    </row>
    <row r="2106" spans="1:9" ht="15" x14ac:dyDescent="0.25">
      <c r="A2106" s="431">
        <v>1208</v>
      </c>
      <c r="B2106" s="750">
        <v>3123</v>
      </c>
      <c r="C2106" s="750">
        <v>5336</v>
      </c>
      <c r="D2106" s="1069"/>
      <c r="E2106" s="672" t="s">
        <v>2054</v>
      </c>
      <c r="F2106" s="833"/>
      <c r="G2106" s="846">
        <f>G2107+G2108+G2110+G2111</f>
        <v>13163</v>
      </c>
      <c r="H2106" s="846">
        <f>H2107+H2108+H2110+H2111</f>
        <v>13163</v>
      </c>
      <c r="I2106" s="838">
        <f t="shared" si="230"/>
        <v>100</v>
      </c>
    </row>
    <row r="2107" spans="1:9" ht="14.25" x14ac:dyDescent="0.2">
      <c r="A2107" s="431"/>
      <c r="B2107" s="750"/>
      <c r="C2107" s="750"/>
      <c r="D2107" s="1068" t="s">
        <v>1905</v>
      </c>
      <c r="E2107" s="2529" t="s">
        <v>1827</v>
      </c>
      <c r="F2107" s="314"/>
      <c r="G2107" s="316">
        <v>519</v>
      </c>
      <c r="H2107" s="316">
        <v>519</v>
      </c>
      <c r="I2107" s="1074">
        <f t="shared" si="230"/>
        <v>100</v>
      </c>
    </row>
    <row r="2108" spans="1:9" ht="14.25" customHeight="1" x14ac:dyDescent="0.2">
      <c r="A2108" s="431"/>
      <c r="B2108" s="750"/>
      <c r="C2108" s="750"/>
      <c r="D2108" s="1068" t="s">
        <v>1911</v>
      </c>
      <c r="E2108" s="2671" t="s">
        <v>2051</v>
      </c>
      <c r="F2108" s="827"/>
      <c r="G2108" s="837">
        <v>18</v>
      </c>
      <c r="H2108" s="837">
        <v>18</v>
      </c>
      <c r="I2108" s="823">
        <v>29</v>
      </c>
    </row>
    <row r="2109" spans="1:9" ht="15" x14ac:dyDescent="0.25">
      <c r="A2109" s="431"/>
      <c r="B2109" s="750"/>
      <c r="C2109" s="750"/>
      <c r="D2109" s="1068"/>
      <c r="E2109" s="2671"/>
      <c r="F2109" s="827"/>
      <c r="G2109" s="846"/>
      <c r="H2109" s="846"/>
      <c r="I2109" s="853"/>
    </row>
    <row r="2110" spans="1:9" ht="15" x14ac:dyDescent="0.2">
      <c r="A2110" s="431"/>
      <c r="B2110" s="750"/>
      <c r="C2110" s="750"/>
      <c r="D2110" s="1068" t="s">
        <v>1913</v>
      </c>
      <c r="E2110" s="2113" t="s">
        <v>2052</v>
      </c>
      <c r="F2110" s="2530"/>
      <c r="G2110" s="2531">
        <v>81</v>
      </c>
      <c r="H2110" s="2531">
        <v>81</v>
      </c>
      <c r="I2110" s="376">
        <f t="shared" ref="I2110" si="231">(H2110/G2110)*100</f>
        <v>100</v>
      </c>
    </row>
    <row r="2111" spans="1:9" ht="14.25" x14ac:dyDescent="0.2">
      <c r="A2111" s="431"/>
      <c r="B2111" s="750"/>
      <c r="C2111" s="1393"/>
      <c r="D2111" s="552" t="s">
        <v>1124</v>
      </c>
      <c r="E2111" s="455" t="s">
        <v>792</v>
      </c>
      <c r="F2111" s="833"/>
      <c r="G2111" s="833">
        <v>12545</v>
      </c>
      <c r="H2111" s="833">
        <v>12545</v>
      </c>
      <c r="I2111" s="828">
        <f t="shared" si="230"/>
        <v>100</v>
      </c>
    </row>
    <row r="2112" spans="1:9" ht="14.25" customHeight="1" x14ac:dyDescent="0.25">
      <c r="A2112" s="431">
        <v>1208</v>
      </c>
      <c r="B2112" s="750">
        <v>3141</v>
      </c>
      <c r="C2112" s="1393">
        <v>5336</v>
      </c>
      <c r="D2112" s="568"/>
      <c r="E2112" s="672" t="s">
        <v>2054</v>
      </c>
      <c r="F2112" s="846"/>
      <c r="G2112" s="846">
        <v>655</v>
      </c>
      <c r="H2112" s="846">
        <v>655</v>
      </c>
      <c r="I2112" s="838">
        <f t="shared" si="230"/>
        <v>100</v>
      </c>
    </row>
    <row r="2113" spans="1:9" ht="15" thickBot="1" x14ac:dyDescent="0.25">
      <c r="A2113" s="1394"/>
      <c r="B2113" s="891"/>
      <c r="C2113" s="1395"/>
      <c r="D2113" s="718" t="s">
        <v>1124</v>
      </c>
      <c r="E2113" s="456" t="s">
        <v>792</v>
      </c>
      <c r="F2113" s="892"/>
      <c r="G2113" s="892">
        <v>655</v>
      </c>
      <c r="H2113" s="892">
        <v>655</v>
      </c>
      <c r="I2113" s="872">
        <f t="shared" si="230"/>
        <v>100</v>
      </c>
    </row>
    <row r="2114" spans="1:9" ht="14.25" thickTop="1" thickBot="1" x14ac:dyDescent="0.25">
      <c r="A2114" s="432"/>
      <c r="I2114" s="1390" t="s">
        <v>161</v>
      </c>
    </row>
    <row r="2115" spans="1:9" ht="14.25" thickTop="1" thickBot="1" x14ac:dyDescent="0.25">
      <c r="A2115" s="631" t="s">
        <v>624</v>
      </c>
      <c r="B2115" s="774" t="s">
        <v>162</v>
      </c>
      <c r="C2115" s="632" t="s">
        <v>163</v>
      </c>
      <c r="D2115" s="634" t="s">
        <v>705</v>
      </c>
      <c r="E2115" s="634" t="s">
        <v>164</v>
      </c>
      <c r="F2115" s="634" t="s">
        <v>165</v>
      </c>
      <c r="G2115" s="634" t="s">
        <v>881</v>
      </c>
      <c r="H2115" s="634" t="s">
        <v>882</v>
      </c>
      <c r="I2115" s="818" t="s">
        <v>883</v>
      </c>
    </row>
    <row r="2116" spans="1:9" ht="14.25" thickTop="1" thickBot="1" x14ac:dyDescent="0.25">
      <c r="A2116" s="566">
        <v>1</v>
      </c>
      <c r="B2116" s="567">
        <v>2</v>
      </c>
      <c r="C2116" s="567">
        <v>3</v>
      </c>
      <c r="D2116" s="567">
        <v>4</v>
      </c>
      <c r="E2116" s="567">
        <v>5</v>
      </c>
      <c r="F2116" s="541">
        <v>6</v>
      </c>
      <c r="G2116" s="541">
        <v>7</v>
      </c>
      <c r="H2116" s="542">
        <v>8</v>
      </c>
      <c r="I2116" s="636" t="s">
        <v>762</v>
      </c>
    </row>
    <row r="2117" spans="1:9" ht="15.75" thickTop="1" x14ac:dyDescent="0.25">
      <c r="A2117" s="431">
        <v>1208</v>
      </c>
      <c r="B2117" s="750">
        <v>3142</v>
      </c>
      <c r="C2117" s="1393">
        <v>5331</v>
      </c>
      <c r="D2117" s="842"/>
      <c r="E2117" s="672" t="s">
        <v>951</v>
      </c>
      <c r="F2117" s="835">
        <f>F2118+F2119</f>
        <v>700</v>
      </c>
      <c r="G2117" s="835">
        <f>G2118+G2119</f>
        <v>696</v>
      </c>
      <c r="H2117" s="835">
        <f>H2118+H2119</f>
        <v>696</v>
      </c>
      <c r="I2117" s="836">
        <f t="shared" si="230"/>
        <v>100</v>
      </c>
    </row>
    <row r="2118" spans="1:9" ht="14.25" x14ac:dyDescent="0.2">
      <c r="A2118" s="431"/>
      <c r="B2118" s="750"/>
      <c r="C2118" s="1393"/>
      <c r="D2118" s="707" t="s">
        <v>575</v>
      </c>
      <c r="E2118" s="1478" t="s">
        <v>793</v>
      </c>
      <c r="F2118" s="833">
        <v>261</v>
      </c>
      <c r="G2118" s="833">
        <v>261</v>
      </c>
      <c r="H2118" s="833">
        <v>261</v>
      </c>
      <c r="I2118" s="828">
        <v>100</v>
      </c>
    </row>
    <row r="2119" spans="1:9" ht="14.25" x14ac:dyDescent="0.2">
      <c r="A2119" s="431"/>
      <c r="B2119" s="750"/>
      <c r="C2119" s="1393"/>
      <c r="D2119" s="552" t="s">
        <v>570</v>
      </c>
      <c r="E2119" s="455" t="s">
        <v>71</v>
      </c>
      <c r="F2119" s="833">
        <v>439</v>
      </c>
      <c r="G2119" s="833">
        <v>435</v>
      </c>
      <c r="H2119" s="833">
        <v>435</v>
      </c>
      <c r="I2119" s="828">
        <v>100</v>
      </c>
    </row>
    <row r="2120" spans="1:9" ht="15" x14ac:dyDescent="0.25">
      <c r="A2120" s="431">
        <v>1208</v>
      </c>
      <c r="B2120" s="750">
        <v>3142</v>
      </c>
      <c r="C2120" s="1393">
        <v>5336</v>
      </c>
      <c r="D2120" s="552"/>
      <c r="E2120" s="672" t="s">
        <v>2054</v>
      </c>
      <c r="F2120" s="833"/>
      <c r="G2120" s="846">
        <v>1181</v>
      </c>
      <c r="H2120" s="846">
        <v>1181</v>
      </c>
      <c r="I2120" s="836">
        <f>(H2120/G2120)*100</f>
        <v>100</v>
      </c>
    </row>
    <row r="2121" spans="1:9" ht="14.25" x14ac:dyDescent="0.2">
      <c r="A2121" s="431"/>
      <c r="B2121" s="750"/>
      <c r="C2121" s="1393"/>
      <c r="D2121" s="552" t="s">
        <v>1124</v>
      </c>
      <c r="E2121" s="455" t="s">
        <v>792</v>
      </c>
      <c r="F2121" s="833"/>
      <c r="G2121" s="833">
        <v>1181</v>
      </c>
      <c r="H2121" s="833">
        <v>1181</v>
      </c>
      <c r="I2121" s="828">
        <v>100</v>
      </c>
    </row>
    <row r="2122" spans="1:9" ht="15" x14ac:dyDescent="0.25">
      <c r="A2122" s="431">
        <v>1208</v>
      </c>
      <c r="B2122" s="750">
        <v>3147</v>
      </c>
      <c r="C2122" s="750">
        <v>5331</v>
      </c>
      <c r="D2122" s="859"/>
      <c r="E2122" s="672" t="s">
        <v>951</v>
      </c>
      <c r="F2122" s="835">
        <f>F2123+F2124</f>
        <v>700</v>
      </c>
      <c r="G2122" s="835">
        <f>G2123+G2124</f>
        <v>695</v>
      </c>
      <c r="H2122" s="835">
        <f>H2123+H2124</f>
        <v>695</v>
      </c>
      <c r="I2122" s="836">
        <f t="shared" ref="I2122:I2128" si="232">(H2122/G2122)*100</f>
        <v>100</v>
      </c>
    </row>
    <row r="2123" spans="1:9" ht="14.25" x14ac:dyDescent="0.2">
      <c r="A2123" s="431"/>
      <c r="B2123" s="750"/>
      <c r="C2123" s="750"/>
      <c r="D2123" s="707" t="s">
        <v>575</v>
      </c>
      <c r="E2123" s="1478" t="s">
        <v>793</v>
      </c>
      <c r="F2123" s="833">
        <v>250</v>
      </c>
      <c r="G2123" s="833">
        <v>250</v>
      </c>
      <c r="H2123" s="833">
        <v>250</v>
      </c>
      <c r="I2123" s="828">
        <f t="shared" si="232"/>
        <v>100</v>
      </c>
    </row>
    <row r="2124" spans="1:9" ht="14.25" x14ac:dyDescent="0.2">
      <c r="A2124" s="431"/>
      <c r="B2124" s="750"/>
      <c r="C2124" s="750"/>
      <c r="D2124" s="552" t="s">
        <v>570</v>
      </c>
      <c r="E2124" s="455" t="s">
        <v>71</v>
      </c>
      <c r="F2124" s="833">
        <v>450</v>
      </c>
      <c r="G2124" s="833">
        <v>445</v>
      </c>
      <c r="H2124" s="833">
        <v>445</v>
      </c>
      <c r="I2124" s="828">
        <f t="shared" si="232"/>
        <v>100</v>
      </c>
    </row>
    <row r="2125" spans="1:9" ht="18" customHeight="1" x14ac:dyDescent="0.25">
      <c r="A2125" s="431">
        <v>1208</v>
      </c>
      <c r="B2125" s="750">
        <v>3147</v>
      </c>
      <c r="C2125" s="750">
        <v>5336</v>
      </c>
      <c r="D2125" s="1403"/>
      <c r="E2125" s="672" t="s">
        <v>2054</v>
      </c>
      <c r="F2125" s="833"/>
      <c r="G2125" s="846">
        <v>2836</v>
      </c>
      <c r="H2125" s="846">
        <v>2836</v>
      </c>
      <c r="I2125" s="838">
        <f t="shared" si="232"/>
        <v>100</v>
      </c>
    </row>
    <row r="2126" spans="1:9" ht="18" customHeight="1" x14ac:dyDescent="0.2">
      <c r="A2126" s="431"/>
      <c r="B2126" s="750"/>
      <c r="C2126" s="750"/>
      <c r="D2126" s="552" t="s">
        <v>1124</v>
      </c>
      <c r="E2126" s="455" t="s">
        <v>792</v>
      </c>
      <c r="F2126" s="833"/>
      <c r="G2126" s="833">
        <v>2836</v>
      </c>
      <c r="H2126" s="833">
        <v>2836</v>
      </c>
      <c r="I2126" s="828">
        <f t="shared" si="232"/>
        <v>100</v>
      </c>
    </row>
    <row r="2127" spans="1:9" ht="18" customHeight="1" x14ac:dyDescent="0.25">
      <c r="A2127" s="431">
        <v>1208</v>
      </c>
      <c r="B2127" s="673">
        <v>3293</v>
      </c>
      <c r="C2127" s="1392">
        <v>5336</v>
      </c>
      <c r="D2127" s="829"/>
      <c r="E2127" s="672" t="s">
        <v>2054</v>
      </c>
      <c r="F2127" s="846"/>
      <c r="G2127" s="846">
        <v>13</v>
      </c>
      <c r="H2127" s="846">
        <v>13</v>
      </c>
      <c r="I2127" s="838">
        <f t="shared" si="232"/>
        <v>100</v>
      </c>
    </row>
    <row r="2128" spans="1:9" ht="15" thickBot="1" x14ac:dyDescent="0.25">
      <c r="A2128" s="431"/>
      <c r="B2128" s="750"/>
      <c r="C2128" s="750"/>
      <c r="D2128" s="748" t="s">
        <v>1127</v>
      </c>
      <c r="E2128" s="1493" t="s">
        <v>62</v>
      </c>
      <c r="F2128" s="833"/>
      <c r="G2128" s="833">
        <v>13</v>
      </c>
      <c r="H2128" s="833">
        <v>13</v>
      </c>
      <c r="I2128" s="828">
        <f t="shared" si="232"/>
        <v>100</v>
      </c>
    </row>
    <row r="2129" spans="1:20" ht="16.5" thickTop="1" thickBot="1" x14ac:dyDescent="0.3">
      <c r="A2129" s="2672" t="s">
        <v>1105</v>
      </c>
      <c r="B2129" s="2673"/>
      <c r="C2129" s="2673"/>
      <c r="D2129" s="2673"/>
      <c r="E2129" s="2673"/>
      <c r="F2129" s="824">
        <f>F2099+F2101+F2106+F2112+F2117+F2120+F2122+F2125+F2127</f>
        <v>5532</v>
      </c>
      <c r="G2129" s="824">
        <f>G2099+G2101+G2106+G2112+G2117+G2120+G2122+G2125+G2127</f>
        <v>25137</v>
      </c>
      <c r="H2129" s="824">
        <f>H2099+H2101+H2106+H2112+H2117+H2120+H2122+H2125+H2127</f>
        <v>25137</v>
      </c>
      <c r="I2129" s="825">
        <f>(H2129/G2129)*100</f>
        <v>100</v>
      </c>
      <c r="R2129" s="382">
        <f>F2129</f>
        <v>5532</v>
      </c>
      <c r="S2129" s="382">
        <f>G2129</f>
        <v>25137</v>
      </c>
      <c r="T2129" s="382">
        <f>H2129</f>
        <v>25137</v>
      </c>
    </row>
    <row r="2130" spans="1:20" s="383" customFormat="1" ht="12" customHeight="1" thickTop="1" x14ac:dyDescent="0.2">
      <c r="A2130" s="381"/>
      <c r="B2130" s="643"/>
      <c r="C2130" s="381"/>
      <c r="D2130" s="814"/>
      <c r="E2130" s="381"/>
      <c r="F2130" s="382"/>
      <c r="G2130" s="382"/>
      <c r="H2130" s="382"/>
      <c r="I2130" s="1390"/>
    </row>
    <row r="2131" spans="1:20" s="383" customFormat="1" ht="12" customHeight="1" x14ac:dyDescent="0.2">
      <c r="A2131" s="381"/>
      <c r="B2131" s="643"/>
      <c r="C2131" s="381"/>
      <c r="D2131" s="814"/>
      <c r="E2131" s="381"/>
      <c r="F2131" s="382"/>
      <c r="G2131" s="382"/>
      <c r="H2131" s="382"/>
      <c r="I2131" s="1390"/>
    </row>
    <row r="2132" spans="1:20" s="383" customFormat="1" ht="12" customHeight="1" x14ac:dyDescent="0.2">
      <c r="A2132" s="381"/>
      <c r="B2132" s="643"/>
      <c r="C2132" s="381"/>
      <c r="D2132" s="814"/>
      <c r="E2132" s="381"/>
      <c r="F2132" s="382"/>
      <c r="G2132" s="382"/>
      <c r="H2132" s="382"/>
      <c r="I2132" s="1390"/>
    </row>
    <row r="2133" spans="1:20" s="383" customFormat="1" ht="12" customHeight="1" x14ac:dyDescent="0.2">
      <c r="A2133" s="381"/>
      <c r="B2133" s="643"/>
      <c r="C2133" s="381"/>
      <c r="D2133" s="814"/>
      <c r="E2133" s="381"/>
      <c r="F2133" s="382"/>
      <c r="G2133" s="382"/>
      <c r="H2133" s="382"/>
      <c r="I2133" s="1390"/>
    </row>
    <row r="2134" spans="1:20" ht="13.5" thickBot="1" x14ac:dyDescent="0.25">
      <c r="A2134" s="432" t="s">
        <v>340</v>
      </c>
      <c r="I2134" s="1390" t="s">
        <v>161</v>
      </c>
    </row>
    <row r="2135" spans="1:20" ht="14.25" thickTop="1" thickBot="1" x14ac:dyDescent="0.25">
      <c r="A2135" s="631" t="s">
        <v>624</v>
      </c>
      <c r="B2135" s="774" t="s">
        <v>162</v>
      </c>
      <c r="C2135" s="632" t="s">
        <v>163</v>
      </c>
      <c r="D2135" s="634" t="s">
        <v>705</v>
      </c>
      <c r="E2135" s="634" t="s">
        <v>164</v>
      </c>
      <c r="F2135" s="634" t="s">
        <v>165</v>
      </c>
      <c r="G2135" s="634" t="s">
        <v>881</v>
      </c>
      <c r="H2135" s="634" t="s">
        <v>882</v>
      </c>
      <c r="I2135" s="818" t="s">
        <v>883</v>
      </c>
    </row>
    <row r="2136" spans="1:20" ht="14.25" thickTop="1" thickBot="1" x14ac:dyDescent="0.25">
      <c r="A2136" s="566">
        <v>1</v>
      </c>
      <c r="B2136" s="567">
        <v>2</v>
      </c>
      <c r="C2136" s="567">
        <v>3</v>
      </c>
      <c r="D2136" s="567">
        <v>4</v>
      </c>
      <c r="E2136" s="567">
        <v>5</v>
      </c>
      <c r="F2136" s="541">
        <v>6</v>
      </c>
      <c r="G2136" s="541">
        <v>7</v>
      </c>
      <c r="H2136" s="542">
        <v>8</v>
      </c>
      <c r="I2136" s="636" t="s">
        <v>762</v>
      </c>
    </row>
    <row r="2137" spans="1:20" ht="15.75" thickTop="1" x14ac:dyDescent="0.25">
      <c r="A2137" s="1402">
        <v>1212</v>
      </c>
      <c r="B2137" s="847">
        <v>3122</v>
      </c>
      <c r="C2137" s="847">
        <v>5336</v>
      </c>
      <c r="D2137" s="852"/>
      <c r="E2137" s="672" t="s">
        <v>2054</v>
      </c>
      <c r="F2137" s="845"/>
      <c r="G2137" s="845">
        <v>1953</v>
      </c>
      <c r="H2137" s="845">
        <v>1953</v>
      </c>
      <c r="I2137" s="849">
        <f>(H2137/G2137)*100</f>
        <v>100</v>
      </c>
    </row>
    <row r="2138" spans="1:20" ht="14.25" x14ac:dyDescent="0.2">
      <c r="A2138" s="431"/>
      <c r="B2138" s="673"/>
      <c r="C2138" s="673"/>
      <c r="D2138" s="552" t="s">
        <v>1124</v>
      </c>
      <c r="E2138" s="455" t="s">
        <v>792</v>
      </c>
      <c r="F2138" s="827"/>
      <c r="G2138" s="827">
        <v>1953</v>
      </c>
      <c r="H2138" s="827">
        <v>1953</v>
      </c>
      <c r="I2138" s="823">
        <f>(H2138/G2138)*100</f>
        <v>100</v>
      </c>
    </row>
    <row r="2139" spans="1:20" ht="15" x14ac:dyDescent="0.25">
      <c r="A2139" s="431">
        <v>1212</v>
      </c>
      <c r="B2139" s="673">
        <v>3123</v>
      </c>
      <c r="C2139" s="673">
        <v>5331</v>
      </c>
      <c r="D2139" s="819"/>
      <c r="E2139" s="792" t="s">
        <v>951</v>
      </c>
      <c r="F2139" s="820">
        <f>F2140+F2141+F2142</f>
        <v>3051</v>
      </c>
      <c r="G2139" s="820">
        <f>G2140+G2141+G2142</f>
        <v>3054</v>
      </c>
      <c r="H2139" s="820">
        <f>H2140+H2141+H2142</f>
        <v>3054</v>
      </c>
      <c r="I2139" s="821">
        <f t="shared" ref="I2139:I2152" si="233">(H2139/G2139)*100</f>
        <v>100</v>
      </c>
    </row>
    <row r="2140" spans="1:20" ht="14.25" x14ac:dyDescent="0.2">
      <c r="A2140" s="431"/>
      <c r="B2140" s="673"/>
      <c r="C2140" s="673"/>
      <c r="D2140" s="707" t="s">
        <v>575</v>
      </c>
      <c r="E2140" s="1478" t="s">
        <v>793</v>
      </c>
      <c r="F2140" s="827">
        <v>315</v>
      </c>
      <c r="G2140" s="827">
        <v>315</v>
      </c>
      <c r="H2140" s="827">
        <v>315</v>
      </c>
      <c r="I2140" s="823">
        <f t="shared" si="233"/>
        <v>100</v>
      </c>
    </row>
    <row r="2141" spans="1:20" ht="14.25" x14ac:dyDescent="0.2">
      <c r="A2141" s="431"/>
      <c r="B2141" s="673"/>
      <c r="C2141" s="673"/>
      <c r="D2141" s="552" t="s">
        <v>570</v>
      </c>
      <c r="E2141" s="455" t="s">
        <v>71</v>
      </c>
      <c r="F2141" s="827">
        <v>2736</v>
      </c>
      <c r="G2141" s="827">
        <v>2709</v>
      </c>
      <c r="H2141" s="827">
        <v>2709</v>
      </c>
      <c r="I2141" s="823">
        <f t="shared" si="233"/>
        <v>100</v>
      </c>
    </row>
    <row r="2142" spans="1:20" ht="14.25" x14ac:dyDescent="0.2">
      <c r="A2142" s="431"/>
      <c r="B2142" s="673"/>
      <c r="C2142" s="673"/>
      <c r="D2142" s="1069" t="s">
        <v>924</v>
      </c>
      <c r="E2142" s="1161" t="s">
        <v>1213</v>
      </c>
      <c r="F2142" s="827"/>
      <c r="G2142" s="827">
        <v>30</v>
      </c>
      <c r="H2142" s="827">
        <v>30</v>
      </c>
      <c r="I2142" s="823">
        <f t="shared" si="233"/>
        <v>100</v>
      </c>
    </row>
    <row r="2143" spans="1:20" ht="15" x14ac:dyDescent="0.25">
      <c r="A2143" s="431">
        <v>1212</v>
      </c>
      <c r="B2143" s="673">
        <v>3123</v>
      </c>
      <c r="C2143" s="673">
        <v>5336</v>
      </c>
      <c r="D2143" s="1069"/>
      <c r="E2143" s="672" t="s">
        <v>2054</v>
      </c>
      <c r="F2143" s="827"/>
      <c r="G2143" s="851">
        <f>G2144+G2145+G2147+G2148</f>
        <v>15496</v>
      </c>
      <c r="H2143" s="851">
        <f>H2144+H2145+H2147+H2148</f>
        <v>15496</v>
      </c>
      <c r="I2143" s="853">
        <f t="shared" si="233"/>
        <v>100</v>
      </c>
    </row>
    <row r="2144" spans="1:20" ht="14.25" x14ac:dyDescent="0.2">
      <c r="A2144" s="431"/>
      <c r="B2144" s="673"/>
      <c r="C2144" s="673"/>
      <c r="D2144" s="1068" t="s">
        <v>1905</v>
      </c>
      <c r="E2144" s="2529" t="s">
        <v>1827</v>
      </c>
      <c r="F2144" s="314"/>
      <c r="G2144" s="316">
        <v>207</v>
      </c>
      <c r="H2144" s="316">
        <v>207</v>
      </c>
      <c r="I2144" s="1074">
        <f t="shared" si="233"/>
        <v>100</v>
      </c>
    </row>
    <row r="2145" spans="1:20" ht="14.25" customHeight="1" x14ac:dyDescent="0.2">
      <c r="A2145" s="431"/>
      <c r="B2145" s="673"/>
      <c r="C2145" s="673"/>
      <c r="D2145" s="1068" t="s">
        <v>1911</v>
      </c>
      <c r="E2145" s="2671" t="s">
        <v>2051</v>
      </c>
      <c r="F2145" s="827"/>
      <c r="G2145" s="837">
        <v>22</v>
      </c>
      <c r="H2145" s="837">
        <v>22</v>
      </c>
      <c r="I2145" s="823">
        <v>29</v>
      </c>
    </row>
    <row r="2146" spans="1:20" ht="15" x14ac:dyDescent="0.25">
      <c r="A2146" s="431"/>
      <c r="B2146" s="673"/>
      <c r="C2146" s="673"/>
      <c r="D2146" s="1068"/>
      <c r="E2146" s="2671"/>
      <c r="F2146" s="827"/>
      <c r="G2146" s="846"/>
      <c r="H2146" s="846"/>
      <c r="I2146" s="853"/>
    </row>
    <row r="2147" spans="1:20" ht="15" x14ac:dyDescent="0.2">
      <c r="A2147" s="431"/>
      <c r="B2147" s="673"/>
      <c r="C2147" s="673"/>
      <c r="D2147" s="1068" t="s">
        <v>1913</v>
      </c>
      <c r="E2147" s="2113" t="s">
        <v>2052</v>
      </c>
      <c r="F2147" s="2530"/>
      <c r="G2147" s="2531">
        <v>88</v>
      </c>
      <c r="H2147" s="2531">
        <v>88</v>
      </c>
      <c r="I2147" s="376">
        <f t="shared" ref="I2147" si="234">(H2147/G2147)*100</f>
        <v>100</v>
      </c>
    </row>
    <row r="2148" spans="1:20" ht="14.25" x14ac:dyDescent="0.2">
      <c r="A2148" s="431"/>
      <c r="B2148" s="673"/>
      <c r="C2148" s="673"/>
      <c r="D2148" s="552" t="s">
        <v>1124</v>
      </c>
      <c r="E2148" s="455" t="s">
        <v>792</v>
      </c>
      <c r="F2148" s="827"/>
      <c r="G2148" s="827">
        <v>15179</v>
      </c>
      <c r="H2148" s="827">
        <v>15179</v>
      </c>
      <c r="I2148" s="823">
        <f t="shared" si="233"/>
        <v>100</v>
      </c>
    </row>
    <row r="2149" spans="1:20" ht="15" x14ac:dyDescent="0.25">
      <c r="A2149" s="431">
        <v>1212</v>
      </c>
      <c r="B2149" s="750">
        <v>3142</v>
      </c>
      <c r="C2149" s="750">
        <v>5331</v>
      </c>
      <c r="D2149" s="859"/>
      <c r="E2149" s="672" t="s">
        <v>951</v>
      </c>
      <c r="F2149" s="835">
        <v>200</v>
      </c>
      <c r="G2149" s="835">
        <v>198</v>
      </c>
      <c r="H2149" s="835">
        <v>198</v>
      </c>
      <c r="I2149" s="836">
        <f t="shared" si="233"/>
        <v>100</v>
      </c>
    </row>
    <row r="2150" spans="1:20" ht="14.25" x14ac:dyDescent="0.2">
      <c r="A2150" s="431"/>
      <c r="B2150" s="750"/>
      <c r="C2150" s="750"/>
      <c r="D2150" s="552" t="s">
        <v>570</v>
      </c>
      <c r="E2150" s="455" t="s">
        <v>71</v>
      </c>
      <c r="F2150" s="833">
        <v>200</v>
      </c>
      <c r="G2150" s="833">
        <v>198</v>
      </c>
      <c r="H2150" s="833">
        <v>198</v>
      </c>
      <c r="I2150" s="828">
        <f t="shared" si="233"/>
        <v>100</v>
      </c>
    </row>
    <row r="2151" spans="1:20" ht="15" x14ac:dyDescent="0.25">
      <c r="A2151" s="431">
        <v>1212</v>
      </c>
      <c r="B2151" s="750">
        <v>3293</v>
      </c>
      <c r="C2151" s="673">
        <v>5336</v>
      </c>
      <c r="D2151" s="1069"/>
      <c r="E2151" s="672" t="s">
        <v>2054</v>
      </c>
      <c r="F2151" s="846"/>
      <c r="G2151" s="846">
        <v>3</v>
      </c>
      <c r="H2151" s="846">
        <v>3</v>
      </c>
      <c r="I2151" s="838">
        <f t="shared" si="233"/>
        <v>100</v>
      </c>
    </row>
    <row r="2152" spans="1:20" ht="13.5" customHeight="1" thickBot="1" x14ac:dyDescent="0.25">
      <c r="A2152" s="431"/>
      <c r="B2152" s="750"/>
      <c r="C2152" s="750"/>
      <c r="D2152" s="748" t="s">
        <v>1127</v>
      </c>
      <c r="E2152" s="1493" t="s">
        <v>62</v>
      </c>
      <c r="F2152" s="833"/>
      <c r="G2152" s="833">
        <v>3</v>
      </c>
      <c r="H2152" s="833">
        <v>3</v>
      </c>
      <c r="I2152" s="828">
        <f t="shared" si="233"/>
        <v>100</v>
      </c>
    </row>
    <row r="2153" spans="1:20" ht="16.5" thickTop="1" thickBot="1" x14ac:dyDescent="0.3">
      <c r="A2153" s="2672" t="s">
        <v>1105</v>
      </c>
      <c r="B2153" s="2673"/>
      <c r="C2153" s="2673"/>
      <c r="D2153" s="2673"/>
      <c r="E2153" s="2673"/>
      <c r="F2153" s="824">
        <f>F2139+F2149</f>
        <v>3251</v>
      </c>
      <c r="G2153" s="824">
        <f>G2137+G2139+G2143+G2149+G2151</f>
        <v>20704</v>
      </c>
      <c r="H2153" s="824">
        <f>H2137+H2139+H2143+H2149+H2151</f>
        <v>20704</v>
      </c>
      <c r="I2153" s="825">
        <f>(H2153/G2153)*100</f>
        <v>100</v>
      </c>
      <c r="R2153" s="382">
        <f>F2153</f>
        <v>3251</v>
      </c>
      <c r="S2153" s="382">
        <f>G2153</f>
        <v>20704</v>
      </c>
      <c r="T2153" s="382">
        <f>H2153</f>
        <v>20704</v>
      </c>
    </row>
    <row r="2154" spans="1:20" s="107" customFormat="1" ht="13.5" thickTop="1" x14ac:dyDescent="0.2">
      <c r="A2154" s="381"/>
      <c r="B2154" s="643"/>
      <c r="C2154" s="381"/>
      <c r="D2154" s="814"/>
      <c r="E2154" s="381"/>
      <c r="F2154" s="382"/>
      <c r="G2154" s="382"/>
      <c r="H2154" s="382"/>
      <c r="I2154" s="1390"/>
    </row>
    <row r="2155" spans="1:20" s="107" customFormat="1" x14ac:dyDescent="0.2">
      <c r="A2155" s="381"/>
      <c r="B2155" s="643"/>
      <c r="C2155" s="381"/>
      <c r="D2155" s="814"/>
      <c r="E2155" s="381"/>
      <c r="F2155" s="382"/>
      <c r="G2155" s="382"/>
      <c r="H2155" s="382"/>
      <c r="I2155" s="1390"/>
    </row>
    <row r="2156" spans="1:20" s="107" customFormat="1" x14ac:dyDescent="0.2">
      <c r="A2156" s="381"/>
      <c r="B2156" s="643"/>
      <c r="C2156" s="381"/>
      <c r="D2156" s="814"/>
      <c r="E2156" s="381"/>
      <c r="F2156" s="382"/>
      <c r="G2156" s="382"/>
      <c r="H2156" s="382"/>
      <c r="I2156" s="1390"/>
    </row>
    <row r="2158" spans="1:20" ht="13.5" thickBot="1" x14ac:dyDescent="0.25">
      <c r="A2158" s="432" t="s">
        <v>323</v>
      </c>
      <c r="I2158" s="1390" t="s">
        <v>161</v>
      </c>
    </row>
    <row r="2159" spans="1:20" ht="14.25" thickTop="1" thickBot="1" x14ac:dyDescent="0.25">
      <c r="A2159" s="631" t="s">
        <v>624</v>
      </c>
      <c r="B2159" s="774" t="s">
        <v>162</v>
      </c>
      <c r="C2159" s="632" t="s">
        <v>163</v>
      </c>
      <c r="D2159" s="634" t="s">
        <v>705</v>
      </c>
      <c r="E2159" s="634" t="s">
        <v>164</v>
      </c>
      <c r="F2159" s="634" t="s">
        <v>165</v>
      </c>
      <c r="G2159" s="634" t="s">
        <v>881</v>
      </c>
      <c r="H2159" s="634" t="s">
        <v>882</v>
      </c>
      <c r="I2159" s="818" t="s">
        <v>883</v>
      </c>
    </row>
    <row r="2160" spans="1:20" ht="14.25" thickTop="1" thickBot="1" x14ac:dyDescent="0.25">
      <c r="A2160" s="566">
        <v>1</v>
      </c>
      <c r="B2160" s="567">
        <v>2</v>
      </c>
      <c r="C2160" s="567">
        <v>3</v>
      </c>
      <c r="D2160" s="567">
        <v>4</v>
      </c>
      <c r="E2160" s="567">
        <v>5</v>
      </c>
      <c r="F2160" s="541">
        <v>6</v>
      </c>
      <c r="G2160" s="541">
        <v>7</v>
      </c>
      <c r="H2160" s="542">
        <v>8</v>
      </c>
      <c r="I2160" s="636" t="s">
        <v>762</v>
      </c>
    </row>
    <row r="2161" spans="1:9" ht="15.75" thickTop="1" x14ac:dyDescent="0.25">
      <c r="A2161" s="1402">
        <v>1216</v>
      </c>
      <c r="B2161" s="847">
        <v>3123</v>
      </c>
      <c r="C2161" s="847">
        <v>5331</v>
      </c>
      <c r="D2161" s="852"/>
      <c r="E2161" s="886" t="s">
        <v>951</v>
      </c>
      <c r="F2161" s="845">
        <f>F2162+F2163+F2164</f>
        <v>1717</v>
      </c>
      <c r="G2161" s="845">
        <f>G2162+G2163+G2164</f>
        <v>1987</v>
      </c>
      <c r="H2161" s="845">
        <f>H2162+H2163+H2164</f>
        <v>1987</v>
      </c>
      <c r="I2161" s="849">
        <f t="shared" ref="I2161:I2179" si="235">(H2161/G2161)*100</f>
        <v>100</v>
      </c>
    </row>
    <row r="2162" spans="1:9" ht="14.25" x14ac:dyDescent="0.2">
      <c r="A2162" s="431"/>
      <c r="B2162" s="673"/>
      <c r="C2162" s="673"/>
      <c r="D2162" s="707" t="s">
        <v>575</v>
      </c>
      <c r="E2162" s="1478" t="s">
        <v>793</v>
      </c>
      <c r="F2162" s="827">
        <v>326</v>
      </c>
      <c r="G2162" s="827">
        <v>349</v>
      </c>
      <c r="H2162" s="827">
        <v>349</v>
      </c>
      <c r="I2162" s="823">
        <f t="shared" si="235"/>
        <v>100</v>
      </c>
    </row>
    <row r="2163" spans="1:9" ht="14.25" x14ac:dyDescent="0.2">
      <c r="A2163" s="431"/>
      <c r="B2163" s="673"/>
      <c r="C2163" s="673"/>
      <c r="D2163" s="552" t="s">
        <v>570</v>
      </c>
      <c r="E2163" s="455" t="s">
        <v>71</v>
      </c>
      <c r="F2163" s="827">
        <v>1391</v>
      </c>
      <c r="G2163" s="827">
        <v>1377</v>
      </c>
      <c r="H2163" s="827">
        <v>1377</v>
      </c>
      <c r="I2163" s="823">
        <f t="shared" si="235"/>
        <v>100</v>
      </c>
    </row>
    <row r="2164" spans="1:9" ht="14.25" x14ac:dyDescent="0.2">
      <c r="A2164" s="431"/>
      <c r="B2164" s="673"/>
      <c r="C2164" s="673"/>
      <c r="D2164" s="1069" t="s">
        <v>924</v>
      </c>
      <c r="E2164" s="1161" t="s">
        <v>1213</v>
      </c>
      <c r="F2164" s="827"/>
      <c r="G2164" s="827">
        <v>261</v>
      </c>
      <c r="H2164" s="827">
        <v>261</v>
      </c>
      <c r="I2164" s="823">
        <f t="shared" si="235"/>
        <v>100</v>
      </c>
    </row>
    <row r="2165" spans="1:9" ht="15" x14ac:dyDescent="0.25">
      <c r="A2165" s="431">
        <v>1216</v>
      </c>
      <c r="B2165" s="673">
        <v>3123</v>
      </c>
      <c r="C2165" s="673">
        <v>5336</v>
      </c>
      <c r="D2165" s="2541"/>
      <c r="E2165" s="672" t="s">
        <v>2054</v>
      </c>
      <c r="F2165" s="827"/>
      <c r="G2165" s="851">
        <f>G2166+G2167+G2169+G2170</f>
        <v>9549</v>
      </c>
      <c r="H2165" s="851">
        <f>H2166+H2167+H2169+H2170</f>
        <v>9549</v>
      </c>
      <c r="I2165" s="853">
        <f t="shared" si="235"/>
        <v>100</v>
      </c>
    </row>
    <row r="2166" spans="1:9" ht="14.25" x14ac:dyDescent="0.2">
      <c r="A2166" s="431"/>
      <c r="B2166" s="673"/>
      <c r="C2166" s="673"/>
      <c r="D2166" s="1068" t="s">
        <v>1905</v>
      </c>
      <c r="E2166" s="2529" t="s">
        <v>1827</v>
      </c>
      <c r="F2166" s="314"/>
      <c r="G2166" s="316">
        <v>74</v>
      </c>
      <c r="H2166" s="316">
        <v>74</v>
      </c>
      <c r="I2166" s="1074">
        <f t="shared" si="235"/>
        <v>100</v>
      </c>
    </row>
    <row r="2167" spans="1:9" ht="14.25" customHeight="1" x14ac:dyDescent="0.2">
      <c r="A2167" s="431"/>
      <c r="B2167" s="673"/>
      <c r="C2167" s="673"/>
      <c r="D2167" s="1068" t="s">
        <v>1911</v>
      </c>
      <c r="E2167" s="2671" t="s">
        <v>2051</v>
      </c>
      <c r="F2167" s="827"/>
      <c r="G2167" s="837">
        <v>14</v>
      </c>
      <c r="H2167" s="837">
        <v>14</v>
      </c>
      <c r="I2167" s="823">
        <v>29</v>
      </c>
    </row>
    <row r="2168" spans="1:9" ht="15" x14ac:dyDescent="0.25">
      <c r="A2168" s="431"/>
      <c r="B2168" s="673"/>
      <c r="C2168" s="673"/>
      <c r="D2168" s="1068"/>
      <c r="E2168" s="2671"/>
      <c r="F2168" s="827"/>
      <c r="G2168" s="846"/>
      <c r="H2168" s="846"/>
      <c r="I2168" s="853"/>
    </row>
    <row r="2169" spans="1:9" ht="15" x14ac:dyDescent="0.2">
      <c r="A2169" s="431"/>
      <c r="B2169" s="673"/>
      <c r="C2169" s="673"/>
      <c r="D2169" s="1068" t="s">
        <v>1913</v>
      </c>
      <c r="E2169" s="2113" t="s">
        <v>2052</v>
      </c>
      <c r="F2169" s="2530"/>
      <c r="G2169" s="2531">
        <v>52</v>
      </c>
      <c r="H2169" s="2531">
        <v>52</v>
      </c>
      <c r="I2169" s="376">
        <f t="shared" ref="I2169" si="236">(H2169/G2169)*100</f>
        <v>100</v>
      </c>
    </row>
    <row r="2170" spans="1:9" ht="14.25" x14ac:dyDescent="0.2">
      <c r="A2170" s="431"/>
      <c r="B2170" s="673"/>
      <c r="C2170" s="673"/>
      <c r="D2170" s="552" t="s">
        <v>1124</v>
      </c>
      <c r="E2170" s="455" t="s">
        <v>792</v>
      </c>
      <c r="F2170" s="827"/>
      <c r="G2170" s="827">
        <v>9409</v>
      </c>
      <c r="H2170" s="827">
        <v>9409</v>
      </c>
      <c r="I2170" s="823">
        <f t="shared" si="235"/>
        <v>100</v>
      </c>
    </row>
    <row r="2171" spans="1:9" ht="15" x14ac:dyDescent="0.25">
      <c r="A2171" s="431">
        <v>1216</v>
      </c>
      <c r="B2171" s="750">
        <v>3124</v>
      </c>
      <c r="C2171" s="750">
        <v>5331</v>
      </c>
      <c r="D2171" s="859"/>
      <c r="E2171" s="672" t="s">
        <v>951</v>
      </c>
      <c r="F2171" s="835">
        <f>SUM(F2172:F2175)</f>
        <v>232</v>
      </c>
      <c r="G2171" s="835">
        <f>G2172+G2173</f>
        <v>313</v>
      </c>
      <c r="H2171" s="835">
        <f>H2172+H2173</f>
        <v>313</v>
      </c>
      <c r="I2171" s="836">
        <f t="shared" si="235"/>
        <v>100</v>
      </c>
    </row>
    <row r="2172" spans="1:9" ht="14.25" x14ac:dyDescent="0.2">
      <c r="A2172" s="431"/>
      <c r="B2172" s="750"/>
      <c r="C2172" s="750"/>
      <c r="D2172" s="552" t="s">
        <v>570</v>
      </c>
      <c r="E2172" s="455" t="s">
        <v>71</v>
      </c>
      <c r="F2172" s="833">
        <v>232</v>
      </c>
      <c r="G2172" s="833">
        <v>230</v>
      </c>
      <c r="H2172" s="833">
        <v>230</v>
      </c>
      <c r="I2172" s="828">
        <f t="shared" si="235"/>
        <v>100</v>
      </c>
    </row>
    <row r="2173" spans="1:9" ht="14.25" x14ac:dyDescent="0.2">
      <c r="A2173" s="431"/>
      <c r="B2173" s="750"/>
      <c r="C2173" s="750"/>
      <c r="D2173" s="1069" t="s">
        <v>924</v>
      </c>
      <c r="E2173" s="1161" t="s">
        <v>1213</v>
      </c>
      <c r="F2173" s="833"/>
      <c r="G2173" s="833">
        <v>83</v>
      </c>
      <c r="H2173" s="833">
        <v>83</v>
      </c>
      <c r="I2173" s="828">
        <f t="shared" si="235"/>
        <v>100</v>
      </c>
    </row>
    <row r="2174" spans="1:9" ht="15" x14ac:dyDescent="0.25">
      <c r="A2174" s="431">
        <v>1216</v>
      </c>
      <c r="B2174" s="750">
        <v>3124</v>
      </c>
      <c r="C2174" s="750">
        <v>5336</v>
      </c>
      <c r="D2174" s="1069"/>
      <c r="E2174" s="672" t="s">
        <v>2054</v>
      </c>
      <c r="F2174" s="833"/>
      <c r="G2174" s="846">
        <v>2134</v>
      </c>
      <c r="H2174" s="846">
        <v>2134</v>
      </c>
      <c r="I2174" s="838">
        <f t="shared" si="235"/>
        <v>100</v>
      </c>
    </row>
    <row r="2175" spans="1:9" ht="14.25" x14ac:dyDescent="0.2">
      <c r="A2175" s="431"/>
      <c r="B2175" s="750"/>
      <c r="C2175" s="1393"/>
      <c r="D2175" s="552" t="s">
        <v>1124</v>
      </c>
      <c r="E2175" s="455" t="s">
        <v>792</v>
      </c>
      <c r="F2175" s="833"/>
      <c r="G2175" s="833">
        <v>2134</v>
      </c>
      <c r="H2175" s="833">
        <v>2134</v>
      </c>
      <c r="I2175" s="828">
        <f t="shared" si="235"/>
        <v>100</v>
      </c>
    </row>
    <row r="2176" spans="1:9" ht="15" x14ac:dyDescent="0.25">
      <c r="A2176" s="431">
        <v>1216</v>
      </c>
      <c r="B2176" s="750">
        <v>3142</v>
      </c>
      <c r="C2176" s="750">
        <v>5331</v>
      </c>
      <c r="D2176" s="859"/>
      <c r="E2176" s="672" t="s">
        <v>951</v>
      </c>
      <c r="F2176" s="835">
        <v>166</v>
      </c>
      <c r="G2176" s="835">
        <v>164</v>
      </c>
      <c r="H2176" s="835">
        <v>164</v>
      </c>
      <c r="I2176" s="836">
        <f t="shared" si="235"/>
        <v>100</v>
      </c>
    </row>
    <row r="2177" spans="1:23" ht="14.25" x14ac:dyDescent="0.2">
      <c r="A2177" s="431"/>
      <c r="B2177" s="750"/>
      <c r="C2177" s="750"/>
      <c r="D2177" s="552" t="s">
        <v>570</v>
      </c>
      <c r="E2177" s="455" t="s">
        <v>71</v>
      </c>
      <c r="F2177" s="833">
        <v>166</v>
      </c>
      <c r="G2177" s="833">
        <v>164</v>
      </c>
      <c r="H2177" s="833">
        <v>164</v>
      </c>
      <c r="I2177" s="828">
        <f t="shared" si="235"/>
        <v>100</v>
      </c>
    </row>
    <row r="2178" spans="1:23" ht="15.75" customHeight="1" x14ac:dyDescent="0.25">
      <c r="A2178" s="431">
        <v>1216</v>
      </c>
      <c r="B2178" s="750">
        <v>3142</v>
      </c>
      <c r="C2178" s="750">
        <v>5336</v>
      </c>
      <c r="D2178" s="552"/>
      <c r="E2178" s="672" t="s">
        <v>2054</v>
      </c>
      <c r="F2178" s="833"/>
      <c r="G2178" s="846">
        <v>56</v>
      </c>
      <c r="H2178" s="846">
        <v>56</v>
      </c>
      <c r="I2178" s="838">
        <f t="shared" si="235"/>
        <v>100</v>
      </c>
    </row>
    <row r="2179" spans="1:23" ht="15.75" customHeight="1" thickBot="1" x14ac:dyDescent="0.25">
      <c r="A2179" s="431"/>
      <c r="B2179" s="750"/>
      <c r="C2179" s="750"/>
      <c r="D2179" s="552" t="s">
        <v>1124</v>
      </c>
      <c r="E2179" s="455" t="s">
        <v>792</v>
      </c>
      <c r="F2179" s="833"/>
      <c r="G2179" s="833">
        <v>56</v>
      </c>
      <c r="H2179" s="833">
        <v>56</v>
      </c>
      <c r="I2179" s="828">
        <f t="shared" si="235"/>
        <v>100</v>
      </c>
    </row>
    <row r="2180" spans="1:23" ht="16.5" thickTop="1" thickBot="1" x14ac:dyDescent="0.3">
      <c r="A2180" s="2672" t="s">
        <v>1105</v>
      </c>
      <c r="B2180" s="2673"/>
      <c r="C2180" s="2673"/>
      <c r="D2180" s="2673"/>
      <c r="E2180" s="2673"/>
      <c r="F2180" s="824">
        <f>F2161+F2171+F2176</f>
        <v>2115</v>
      </c>
      <c r="G2180" s="824">
        <f>G2161+G2165+G2171+G2174+G2176+G2178</f>
        <v>14203</v>
      </c>
      <c r="H2180" s="824">
        <f>H2161+H2165+H2171+H2174+H2176+H2178</f>
        <v>14203</v>
      </c>
      <c r="I2180" s="825">
        <f>(H2180/G2180)*100</f>
        <v>100</v>
      </c>
      <c r="J2180" s="382">
        <f>F2180</f>
        <v>2115</v>
      </c>
      <c r="K2180" s="382" t="e">
        <f>G2180+#REF!</f>
        <v>#REF!</v>
      </c>
      <c r="L2180" s="382" t="e">
        <f>H2180+#REF!</f>
        <v>#REF!</v>
      </c>
      <c r="R2180" s="382">
        <f>F2180</f>
        <v>2115</v>
      </c>
      <c r="S2180" s="382">
        <f>G2180</f>
        <v>14203</v>
      </c>
      <c r="T2180" s="382">
        <f>H2180</f>
        <v>14203</v>
      </c>
      <c r="U2180" s="382"/>
      <c r="V2180" s="382"/>
      <c r="W2180" s="382"/>
    </row>
    <row r="2181" spans="1:23" s="383" customFormat="1" ht="13.5" thickTop="1" x14ac:dyDescent="0.2">
      <c r="A2181" s="381"/>
      <c r="B2181" s="643"/>
      <c r="C2181" s="381"/>
      <c r="D2181" s="814"/>
      <c r="E2181" s="381"/>
      <c r="F2181" s="382"/>
      <c r="G2181" s="382"/>
      <c r="H2181" s="382"/>
      <c r="I2181" s="1390"/>
    </row>
    <row r="2182" spans="1:23" s="383" customFormat="1" x14ac:dyDescent="0.2">
      <c r="A2182" s="381"/>
      <c r="B2182" s="643"/>
      <c r="C2182" s="381"/>
      <c r="D2182" s="814"/>
      <c r="E2182" s="381"/>
      <c r="F2182" s="382"/>
      <c r="G2182" s="382"/>
      <c r="H2182" s="382"/>
      <c r="I2182" s="1390"/>
    </row>
    <row r="2183" spans="1:23" s="383" customFormat="1" x14ac:dyDescent="0.2">
      <c r="A2183" s="381"/>
      <c r="B2183" s="643"/>
      <c r="C2183" s="381"/>
      <c r="D2183" s="814"/>
      <c r="E2183" s="381"/>
      <c r="F2183" s="382"/>
      <c r="G2183" s="382"/>
      <c r="H2183" s="382"/>
      <c r="I2183" s="1390"/>
    </row>
    <row r="2184" spans="1:23" s="383" customFormat="1" x14ac:dyDescent="0.2">
      <c r="A2184" s="381"/>
      <c r="B2184" s="643"/>
      <c r="C2184" s="381"/>
      <c r="D2184" s="814"/>
      <c r="E2184" s="381"/>
      <c r="F2184" s="382"/>
      <c r="G2184" s="382"/>
      <c r="H2184" s="382"/>
      <c r="I2184" s="1390"/>
    </row>
    <row r="2185" spans="1:23" s="383" customFormat="1" x14ac:dyDescent="0.2">
      <c r="A2185" s="381"/>
      <c r="B2185" s="643"/>
      <c r="C2185" s="381"/>
      <c r="D2185" s="814"/>
      <c r="E2185" s="381"/>
      <c r="F2185" s="382"/>
      <c r="G2185" s="382"/>
      <c r="H2185" s="382"/>
      <c r="I2185" s="1390"/>
    </row>
    <row r="2186" spans="1:23" ht="13.5" thickBot="1" x14ac:dyDescent="0.25">
      <c r="A2186" s="432" t="s">
        <v>1252</v>
      </c>
      <c r="I2186" s="1390" t="s">
        <v>161</v>
      </c>
    </row>
    <row r="2187" spans="1:23" ht="14.25" thickTop="1" thickBot="1" x14ac:dyDescent="0.25">
      <c r="A2187" s="631" t="s">
        <v>624</v>
      </c>
      <c r="B2187" s="774" t="s">
        <v>162</v>
      </c>
      <c r="C2187" s="632" t="s">
        <v>163</v>
      </c>
      <c r="D2187" s="634" t="s">
        <v>705</v>
      </c>
      <c r="E2187" s="634" t="s">
        <v>164</v>
      </c>
      <c r="F2187" s="634" t="s">
        <v>165</v>
      </c>
      <c r="G2187" s="634" t="s">
        <v>881</v>
      </c>
      <c r="H2187" s="634" t="s">
        <v>882</v>
      </c>
      <c r="I2187" s="818" t="s">
        <v>883</v>
      </c>
    </row>
    <row r="2188" spans="1:23" ht="14.25" thickTop="1" thickBot="1" x14ac:dyDescent="0.25">
      <c r="A2188" s="566">
        <v>1</v>
      </c>
      <c r="B2188" s="567">
        <v>2</v>
      </c>
      <c r="C2188" s="567">
        <v>3</v>
      </c>
      <c r="D2188" s="567">
        <v>4</v>
      </c>
      <c r="E2188" s="567">
        <v>5</v>
      </c>
      <c r="F2188" s="541">
        <v>6</v>
      </c>
      <c r="G2188" s="541">
        <v>7</v>
      </c>
      <c r="H2188" s="542">
        <v>8</v>
      </c>
      <c r="I2188" s="636" t="s">
        <v>762</v>
      </c>
    </row>
    <row r="2189" spans="1:23" ht="15.75" thickTop="1" x14ac:dyDescent="0.25">
      <c r="A2189" s="1402">
        <v>1218</v>
      </c>
      <c r="B2189" s="847">
        <v>3124</v>
      </c>
      <c r="C2189" s="847">
        <v>5331</v>
      </c>
      <c r="D2189" s="852"/>
      <c r="E2189" s="886" t="s">
        <v>951</v>
      </c>
      <c r="F2189" s="845">
        <f>F2190+F2192+F2193</f>
        <v>1294</v>
      </c>
      <c r="G2189" s="845">
        <f>G2190+G2191+G2192+G2193</f>
        <v>1492</v>
      </c>
      <c r="H2189" s="845">
        <f>H2190+H2191+H2192+H2193</f>
        <v>1492</v>
      </c>
      <c r="I2189" s="849">
        <f t="shared" ref="I2189:I2212" si="237">(H2189/G2189)*100</f>
        <v>100</v>
      </c>
    </row>
    <row r="2190" spans="1:23" ht="14.25" x14ac:dyDescent="0.2">
      <c r="A2190" s="431"/>
      <c r="B2190" s="673"/>
      <c r="C2190" s="673"/>
      <c r="D2190" s="707" t="s">
        <v>575</v>
      </c>
      <c r="E2190" s="1478" t="s">
        <v>793</v>
      </c>
      <c r="F2190" s="827">
        <v>148</v>
      </c>
      <c r="G2190" s="827">
        <v>152</v>
      </c>
      <c r="H2190" s="827">
        <v>152</v>
      </c>
      <c r="I2190" s="828">
        <f t="shared" si="237"/>
        <v>100</v>
      </c>
    </row>
    <row r="2191" spans="1:23" ht="14.25" x14ac:dyDescent="0.2">
      <c r="A2191" s="431"/>
      <c r="B2191" s="673"/>
      <c r="C2191" s="673"/>
      <c r="D2191" s="1059" t="s">
        <v>184</v>
      </c>
      <c r="E2191" s="1161" t="s">
        <v>712</v>
      </c>
      <c r="F2191" s="1311"/>
      <c r="G2191" s="451">
        <v>125</v>
      </c>
      <c r="H2191" s="451">
        <v>125</v>
      </c>
      <c r="I2191" s="1074">
        <f t="shared" si="237"/>
        <v>100</v>
      </c>
    </row>
    <row r="2192" spans="1:23" ht="14.25" x14ac:dyDescent="0.2">
      <c r="A2192" s="431"/>
      <c r="B2192" s="673"/>
      <c r="C2192" s="673"/>
      <c r="D2192" s="552" t="s">
        <v>570</v>
      </c>
      <c r="E2192" s="455" t="s">
        <v>71</v>
      </c>
      <c r="F2192" s="827">
        <v>1146</v>
      </c>
      <c r="G2192" s="827">
        <v>1146</v>
      </c>
      <c r="H2192" s="827">
        <v>1146</v>
      </c>
      <c r="I2192" s="828">
        <f t="shared" si="237"/>
        <v>100</v>
      </c>
    </row>
    <row r="2193" spans="1:9" ht="14.25" x14ac:dyDescent="0.2">
      <c r="A2193" s="431"/>
      <c r="B2193" s="673"/>
      <c r="C2193" s="673"/>
      <c r="D2193" s="1069" t="s">
        <v>924</v>
      </c>
      <c r="E2193" s="1161" t="s">
        <v>1213</v>
      </c>
      <c r="F2193" s="827"/>
      <c r="G2193" s="827">
        <v>69</v>
      </c>
      <c r="H2193" s="827">
        <v>69</v>
      </c>
      <c r="I2193" s="828">
        <f t="shared" si="237"/>
        <v>100</v>
      </c>
    </row>
    <row r="2194" spans="1:9" ht="15" x14ac:dyDescent="0.25">
      <c r="A2194" s="431">
        <v>1218</v>
      </c>
      <c r="B2194" s="673">
        <v>3124</v>
      </c>
      <c r="C2194" s="673">
        <v>5336</v>
      </c>
      <c r="D2194" s="1068"/>
      <c r="E2194" s="672" t="s">
        <v>2054</v>
      </c>
      <c r="F2194" s="827"/>
      <c r="G2194" s="851">
        <f>G2195+G2197+G2198</f>
        <v>15158</v>
      </c>
      <c r="H2194" s="851">
        <f>H2195+H2197+H2198</f>
        <v>15158</v>
      </c>
      <c r="I2194" s="838">
        <f t="shared" si="237"/>
        <v>100</v>
      </c>
    </row>
    <row r="2195" spans="1:9" ht="14.25" x14ac:dyDescent="0.2">
      <c r="A2195" s="431"/>
      <c r="B2195" s="673"/>
      <c r="C2195" s="673"/>
      <c r="D2195" s="1068" t="s">
        <v>1911</v>
      </c>
      <c r="E2195" s="2671" t="s">
        <v>2051</v>
      </c>
      <c r="F2195" s="827"/>
      <c r="G2195" s="837">
        <v>15</v>
      </c>
      <c r="H2195" s="837">
        <v>15</v>
      </c>
      <c r="I2195" s="823">
        <v>29</v>
      </c>
    </row>
    <row r="2196" spans="1:9" ht="15" x14ac:dyDescent="0.25">
      <c r="A2196" s="431"/>
      <c r="B2196" s="673"/>
      <c r="C2196" s="673"/>
      <c r="D2196" s="1068"/>
      <c r="E2196" s="2671"/>
      <c r="F2196" s="827"/>
      <c r="G2196" s="846"/>
      <c r="H2196" s="846"/>
      <c r="I2196" s="853"/>
    </row>
    <row r="2197" spans="1:9" ht="15" x14ac:dyDescent="0.2">
      <c r="A2197" s="431"/>
      <c r="B2197" s="673"/>
      <c r="C2197" s="673"/>
      <c r="D2197" s="1068" t="s">
        <v>1913</v>
      </c>
      <c r="E2197" s="2113" t="s">
        <v>2052</v>
      </c>
      <c r="F2197" s="2530"/>
      <c r="G2197" s="2531">
        <v>55</v>
      </c>
      <c r="H2197" s="2531">
        <v>55</v>
      </c>
      <c r="I2197" s="376">
        <f t="shared" ref="I2197" si="238">(H2197/G2197)*100</f>
        <v>100</v>
      </c>
    </row>
    <row r="2198" spans="1:9" ht="14.25" x14ac:dyDescent="0.2">
      <c r="A2198" s="431"/>
      <c r="B2198" s="673"/>
      <c r="C2198" s="673"/>
      <c r="D2198" s="552" t="s">
        <v>1124</v>
      </c>
      <c r="E2198" s="455" t="s">
        <v>792</v>
      </c>
      <c r="F2198" s="827"/>
      <c r="G2198" s="827">
        <v>15088</v>
      </c>
      <c r="H2198" s="827">
        <v>15088</v>
      </c>
      <c r="I2198" s="828">
        <f t="shared" si="237"/>
        <v>100</v>
      </c>
    </row>
    <row r="2199" spans="1:9" ht="15" x14ac:dyDescent="0.25">
      <c r="A2199" s="431">
        <v>1218</v>
      </c>
      <c r="B2199" s="750">
        <v>3141</v>
      </c>
      <c r="C2199" s="750">
        <v>5336</v>
      </c>
      <c r="D2199" s="568"/>
      <c r="E2199" s="672" t="s">
        <v>2054</v>
      </c>
      <c r="F2199" s="846"/>
      <c r="G2199" s="846">
        <v>341</v>
      </c>
      <c r="H2199" s="846">
        <v>341</v>
      </c>
      <c r="I2199" s="838">
        <f t="shared" si="237"/>
        <v>100</v>
      </c>
    </row>
    <row r="2200" spans="1:9" ht="14.25" x14ac:dyDescent="0.2">
      <c r="A2200" s="431"/>
      <c r="B2200" s="750"/>
      <c r="C2200" s="750"/>
      <c r="D2200" s="552" t="s">
        <v>1124</v>
      </c>
      <c r="E2200" s="455" t="s">
        <v>792</v>
      </c>
      <c r="F2200" s="833"/>
      <c r="G2200" s="833">
        <v>341</v>
      </c>
      <c r="H2200" s="833">
        <v>341</v>
      </c>
      <c r="I2200" s="828">
        <f t="shared" si="237"/>
        <v>100</v>
      </c>
    </row>
    <row r="2201" spans="1:9" ht="15" x14ac:dyDescent="0.25">
      <c r="A2201" s="431">
        <v>1218</v>
      </c>
      <c r="B2201" s="750">
        <v>3142</v>
      </c>
      <c r="C2201" s="750">
        <v>5331</v>
      </c>
      <c r="D2201" s="859"/>
      <c r="E2201" s="672" t="s">
        <v>951</v>
      </c>
      <c r="F2201" s="835">
        <f>F2202+F2203</f>
        <v>258</v>
      </c>
      <c r="G2201" s="835">
        <f>G2202+G2203</f>
        <v>260</v>
      </c>
      <c r="H2201" s="835">
        <f>H2202+H2203</f>
        <v>260</v>
      </c>
      <c r="I2201" s="828">
        <f t="shared" si="237"/>
        <v>100</v>
      </c>
    </row>
    <row r="2202" spans="1:9" ht="14.25" x14ac:dyDescent="0.2">
      <c r="A2202" s="431"/>
      <c r="B2202" s="750"/>
      <c r="C2202" s="750"/>
      <c r="D2202" s="707" t="s">
        <v>575</v>
      </c>
      <c r="E2202" s="1478" t="s">
        <v>793</v>
      </c>
      <c r="F2202" s="833">
        <v>68</v>
      </c>
      <c r="G2202" s="833">
        <v>70</v>
      </c>
      <c r="H2202" s="833">
        <v>70</v>
      </c>
      <c r="I2202" s="828">
        <f t="shared" si="237"/>
        <v>100</v>
      </c>
    </row>
    <row r="2203" spans="1:9" ht="14.25" x14ac:dyDescent="0.2">
      <c r="A2203" s="431"/>
      <c r="B2203" s="750"/>
      <c r="C2203" s="750"/>
      <c r="D2203" s="552" t="s">
        <v>570</v>
      </c>
      <c r="E2203" s="455" t="s">
        <v>71</v>
      </c>
      <c r="F2203" s="833">
        <v>190</v>
      </c>
      <c r="G2203" s="833">
        <v>190</v>
      </c>
      <c r="H2203" s="833">
        <v>190</v>
      </c>
      <c r="I2203" s="828">
        <f t="shared" si="237"/>
        <v>100</v>
      </c>
    </row>
    <row r="2204" spans="1:9" ht="15" x14ac:dyDescent="0.25">
      <c r="A2204" s="431">
        <v>1218</v>
      </c>
      <c r="B2204" s="750">
        <v>3142</v>
      </c>
      <c r="C2204" s="750">
        <v>5336</v>
      </c>
      <c r="D2204" s="552"/>
      <c r="E2204" s="672" t="s">
        <v>2054</v>
      </c>
      <c r="F2204" s="833"/>
      <c r="G2204" s="846">
        <v>274</v>
      </c>
      <c r="H2204" s="846">
        <v>274</v>
      </c>
      <c r="I2204" s="838">
        <f t="shared" si="237"/>
        <v>100</v>
      </c>
    </row>
    <row r="2205" spans="1:9" ht="14.25" x14ac:dyDescent="0.2">
      <c r="A2205" s="431"/>
      <c r="B2205" s="750"/>
      <c r="C2205" s="750"/>
      <c r="D2205" s="552" t="s">
        <v>1124</v>
      </c>
      <c r="E2205" s="455" t="s">
        <v>792</v>
      </c>
      <c r="F2205" s="833"/>
      <c r="G2205" s="833">
        <v>274</v>
      </c>
      <c r="H2205" s="833">
        <v>274</v>
      </c>
      <c r="I2205" s="828">
        <v>135</v>
      </c>
    </row>
    <row r="2206" spans="1:9" ht="15" x14ac:dyDescent="0.25">
      <c r="A2206" s="431">
        <v>1218</v>
      </c>
      <c r="B2206" s="750">
        <v>3145</v>
      </c>
      <c r="C2206" s="750">
        <v>5331</v>
      </c>
      <c r="D2206" s="859"/>
      <c r="E2206" s="672" t="s">
        <v>951</v>
      </c>
      <c r="F2206" s="835">
        <f>F2207+F2208</f>
        <v>329</v>
      </c>
      <c r="G2206" s="835">
        <f>G2207+G2208</f>
        <v>329</v>
      </c>
      <c r="H2206" s="835">
        <f>H2207+H2208</f>
        <v>329</v>
      </c>
      <c r="I2206" s="828">
        <f t="shared" si="237"/>
        <v>100</v>
      </c>
    </row>
    <row r="2207" spans="1:9" ht="15.75" customHeight="1" x14ac:dyDescent="0.2">
      <c r="A2207" s="431"/>
      <c r="B2207" s="750"/>
      <c r="C2207" s="750"/>
      <c r="D2207" s="707" t="s">
        <v>575</v>
      </c>
      <c r="E2207" s="1478" t="s">
        <v>793</v>
      </c>
      <c r="F2207" s="833">
        <v>129</v>
      </c>
      <c r="G2207" s="833">
        <v>129</v>
      </c>
      <c r="H2207" s="833">
        <v>129</v>
      </c>
      <c r="I2207" s="828">
        <f t="shared" si="237"/>
        <v>100</v>
      </c>
    </row>
    <row r="2208" spans="1:9" ht="14.25" x14ac:dyDescent="0.2">
      <c r="A2208" s="431"/>
      <c r="B2208" s="750"/>
      <c r="C2208" s="750"/>
      <c r="D2208" s="552" t="s">
        <v>570</v>
      </c>
      <c r="E2208" s="455" t="s">
        <v>71</v>
      </c>
      <c r="F2208" s="833">
        <v>200</v>
      </c>
      <c r="G2208" s="833">
        <v>200</v>
      </c>
      <c r="H2208" s="833">
        <v>200</v>
      </c>
      <c r="I2208" s="828">
        <f t="shared" si="237"/>
        <v>100</v>
      </c>
    </row>
    <row r="2209" spans="1:23" ht="15" x14ac:dyDescent="0.25">
      <c r="A2209" s="431">
        <v>1218</v>
      </c>
      <c r="B2209" s="750">
        <v>3145</v>
      </c>
      <c r="C2209" s="750">
        <v>5336</v>
      </c>
      <c r="D2209" s="552"/>
      <c r="E2209" s="672" t="s">
        <v>2054</v>
      </c>
      <c r="F2209" s="833"/>
      <c r="G2209" s="846">
        <v>2278</v>
      </c>
      <c r="H2209" s="846">
        <v>2278</v>
      </c>
      <c r="I2209" s="838">
        <f t="shared" si="237"/>
        <v>100</v>
      </c>
    </row>
    <row r="2210" spans="1:23" ht="14.25" x14ac:dyDescent="0.2">
      <c r="A2210" s="431"/>
      <c r="B2210" s="750"/>
      <c r="C2210" s="750"/>
      <c r="D2210" s="552" t="s">
        <v>1124</v>
      </c>
      <c r="E2210" s="455" t="s">
        <v>792</v>
      </c>
      <c r="F2210" s="833"/>
      <c r="G2210" s="833">
        <v>2278</v>
      </c>
      <c r="H2210" s="833">
        <v>2278</v>
      </c>
      <c r="I2210" s="828">
        <f t="shared" si="237"/>
        <v>100</v>
      </c>
    </row>
    <row r="2211" spans="1:23" ht="15" x14ac:dyDescent="0.25">
      <c r="A2211" s="431">
        <v>1218</v>
      </c>
      <c r="B2211" s="673">
        <v>3293</v>
      </c>
      <c r="C2211" s="750">
        <v>5336</v>
      </c>
      <c r="D2211" s="552"/>
      <c r="E2211" s="672" t="s">
        <v>2054</v>
      </c>
      <c r="F2211" s="846"/>
      <c r="G2211" s="846">
        <v>95</v>
      </c>
      <c r="H2211" s="846">
        <v>95</v>
      </c>
      <c r="I2211" s="838">
        <f t="shared" si="237"/>
        <v>100</v>
      </c>
    </row>
    <row r="2212" spans="1:23" ht="15" thickBot="1" x14ac:dyDescent="0.25">
      <c r="A2212" s="431"/>
      <c r="B2212" s="750"/>
      <c r="C2212" s="750"/>
      <c r="D2212" s="748" t="s">
        <v>1127</v>
      </c>
      <c r="E2212" s="1493" t="s">
        <v>62</v>
      </c>
      <c r="F2212" s="833"/>
      <c r="G2212" s="833">
        <v>95</v>
      </c>
      <c r="H2212" s="833">
        <v>95</v>
      </c>
      <c r="I2212" s="828">
        <f t="shared" si="237"/>
        <v>100</v>
      </c>
    </row>
    <row r="2213" spans="1:23" ht="16.5" thickTop="1" thickBot="1" x14ac:dyDescent="0.3">
      <c r="A2213" s="2672" t="s">
        <v>1105</v>
      </c>
      <c r="B2213" s="2673"/>
      <c r="C2213" s="2673"/>
      <c r="D2213" s="2673"/>
      <c r="E2213" s="2673"/>
      <c r="F2213" s="824">
        <f>F2189+F2201+F2206</f>
        <v>1881</v>
      </c>
      <c r="G2213" s="824">
        <f>G2189+G2194+G2199+G2201+G2204+G2206+G2209+G2211</f>
        <v>20227</v>
      </c>
      <c r="H2213" s="824">
        <f>H2189+H2194+H2199+H2201+H2204+H2206+H2209+H2211</f>
        <v>20227</v>
      </c>
      <c r="I2213" s="825">
        <f>(H2213/G2213)*100</f>
        <v>100</v>
      </c>
      <c r="R2213" s="382">
        <f>F2213</f>
        <v>1881</v>
      </c>
      <c r="S2213" s="382">
        <f>G2213</f>
        <v>20227</v>
      </c>
      <c r="T2213" s="382">
        <f>H2213</f>
        <v>20227</v>
      </c>
    </row>
    <row r="2214" spans="1:23" ht="15.75" thickTop="1" x14ac:dyDescent="0.25">
      <c r="A2214" s="434">
        <v>1218</v>
      </c>
      <c r="B2214" s="673">
        <v>3124</v>
      </c>
      <c r="C2214" s="750">
        <v>6351</v>
      </c>
      <c r="D2214" s="859"/>
      <c r="E2214" s="672" t="s">
        <v>1172</v>
      </c>
      <c r="F2214" s="835"/>
      <c r="G2214" s="835">
        <v>700</v>
      </c>
      <c r="H2214" s="835">
        <v>700</v>
      </c>
      <c r="I2214" s="836">
        <f t="shared" ref="I2214:I2215" si="239">(H2214/G2214)*100</f>
        <v>100</v>
      </c>
      <c r="R2214" s="382"/>
      <c r="S2214" s="382"/>
      <c r="T2214" s="382"/>
    </row>
    <row r="2215" spans="1:23" ht="15" thickBot="1" x14ac:dyDescent="0.25">
      <c r="A2215" s="1500"/>
      <c r="B2215" s="674"/>
      <c r="C2215" s="1395"/>
      <c r="D2215" s="1059" t="s">
        <v>184</v>
      </c>
      <c r="E2215" s="1161" t="s">
        <v>712</v>
      </c>
      <c r="F2215" s="1311"/>
      <c r="G2215" s="451">
        <v>700</v>
      </c>
      <c r="H2215" s="451">
        <v>700</v>
      </c>
      <c r="I2215" s="1074">
        <f t="shared" si="239"/>
        <v>100</v>
      </c>
      <c r="R2215" s="382"/>
      <c r="S2215" s="382"/>
      <c r="T2215" s="382"/>
    </row>
    <row r="2216" spans="1:23" ht="16.5" thickTop="1" thickBot="1" x14ac:dyDescent="0.3">
      <c r="A2216" s="2679" t="s">
        <v>1106</v>
      </c>
      <c r="B2216" s="2680"/>
      <c r="C2216" s="2680"/>
      <c r="D2216" s="2680"/>
      <c r="E2216" s="2681"/>
      <c r="F2216" s="824">
        <v>0</v>
      </c>
      <c r="G2216" s="824">
        <f>G2214</f>
        <v>700</v>
      </c>
      <c r="H2216" s="824">
        <f>SUM(H2214)</f>
        <v>700</v>
      </c>
      <c r="I2216" s="825">
        <f>(H2216/G2216)*100</f>
        <v>100</v>
      </c>
      <c r="U2216" s="382">
        <f>F2216</f>
        <v>0</v>
      </c>
      <c r="V2216" s="382">
        <f>G2216</f>
        <v>700</v>
      </c>
      <c r="W2216" s="382">
        <f>H2216</f>
        <v>700</v>
      </c>
    </row>
    <row r="2217" spans="1:23" ht="15.75" thickTop="1" x14ac:dyDescent="0.25">
      <c r="A2217" s="368"/>
      <c r="B2217" s="368"/>
      <c r="C2217" s="368"/>
      <c r="D2217" s="368"/>
      <c r="E2217" s="368"/>
      <c r="F2217" s="181"/>
      <c r="G2217" s="181"/>
      <c r="H2217" s="181"/>
      <c r="I2217" s="210"/>
      <c r="R2217" s="382"/>
      <c r="S2217" s="382"/>
      <c r="T2217" s="382"/>
    </row>
    <row r="2218" spans="1:23" ht="16.5" customHeight="1" thickBot="1" x14ac:dyDescent="0.25">
      <c r="A2218" s="432" t="s">
        <v>1452</v>
      </c>
      <c r="I2218" s="1390" t="s">
        <v>161</v>
      </c>
    </row>
    <row r="2219" spans="1:23" ht="14.25" thickTop="1" thickBot="1" x14ac:dyDescent="0.25">
      <c r="A2219" s="631" t="s">
        <v>624</v>
      </c>
      <c r="B2219" s="774" t="s">
        <v>162</v>
      </c>
      <c r="C2219" s="632" t="s">
        <v>163</v>
      </c>
      <c r="D2219" s="634" t="s">
        <v>705</v>
      </c>
      <c r="E2219" s="634" t="s">
        <v>164</v>
      </c>
      <c r="F2219" s="634" t="s">
        <v>165</v>
      </c>
      <c r="G2219" s="634" t="s">
        <v>881</v>
      </c>
      <c r="H2219" s="634" t="s">
        <v>882</v>
      </c>
      <c r="I2219" s="818" t="s">
        <v>883</v>
      </c>
    </row>
    <row r="2220" spans="1:23" ht="14.25" thickTop="1" thickBot="1" x14ac:dyDescent="0.25">
      <c r="A2220" s="566">
        <v>1</v>
      </c>
      <c r="B2220" s="567">
        <v>2</v>
      </c>
      <c r="C2220" s="567">
        <v>3</v>
      </c>
      <c r="D2220" s="567">
        <v>4</v>
      </c>
      <c r="E2220" s="567">
        <v>5</v>
      </c>
      <c r="F2220" s="541">
        <v>6</v>
      </c>
      <c r="G2220" s="541">
        <v>7</v>
      </c>
      <c r="H2220" s="542">
        <v>8</v>
      </c>
      <c r="I2220" s="636" t="s">
        <v>762</v>
      </c>
    </row>
    <row r="2221" spans="1:23" ht="15.75" thickTop="1" x14ac:dyDescent="0.25">
      <c r="A2221" s="1402">
        <v>1221</v>
      </c>
      <c r="B2221" s="847">
        <v>3122</v>
      </c>
      <c r="C2221" s="847">
        <v>5331</v>
      </c>
      <c r="D2221" s="852"/>
      <c r="E2221" s="886" t="s">
        <v>951</v>
      </c>
      <c r="F2221" s="845">
        <f>F2222+F2223</f>
        <v>1764</v>
      </c>
      <c r="G2221" s="845">
        <f>G2222+G2223</f>
        <v>1164</v>
      </c>
      <c r="H2221" s="845">
        <f>H2222+H2223</f>
        <v>1164</v>
      </c>
      <c r="I2221" s="849">
        <v>100</v>
      </c>
    </row>
    <row r="2222" spans="1:23" ht="14.25" x14ac:dyDescent="0.2">
      <c r="A2222" s="431"/>
      <c r="B2222" s="673"/>
      <c r="C2222" s="673"/>
      <c r="D2222" s="707" t="s">
        <v>575</v>
      </c>
      <c r="E2222" s="1478" t="s">
        <v>793</v>
      </c>
      <c r="F2222" s="827">
        <v>9</v>
      </c>
      <c r="G2222" s="827">
        <v>6</v>
      </c>
      <c r="H2222" s="827">
        <v>6</v>
      </c>
      <c r="I2222" s="823">
        <f>(H2222/G2222)*100</f>
        <v>100</v>
      </c>
    </row>
    <row r="2223" spans="1:23" ht="14.25" x14ac:dyDescent="0.2">
      <c r="A2223" s="431"/>
      <c r="B2223" s="673"/>
      <c r="C2223" s="673"/>
      <c r="D2223" s="552" t="s">
        <v>570</v>
      </c>
      <c r="E2223" s="455" t="s">
        <v>71</v>
      </c>
      <c r="F2223" s="827">
        <v>1755</v>
      </c>
      <c r="G2223" s="827">
        <v>1158</v>
      </c>
      <c r="H2223" s="827">
        <v>1158</v>
      </c>
      <c r="I2223" s="823">
        <f>(H2223/G2223)*100</f>
        <v>100</v>
      </c>
    </row>
    <row r="2224" spans="1:23" ht="15" x14ac:dyDescent="0.25">
      <c r="A2224" s="431">
        <v>1221</v>
      </c>
      <c r="B2224" s="750">
        <v>3122</v>
      </c>
      <c r="C2224" s="750">
        <v>5336</v>
      </c>
      <c r="D2224" s="2541"/>
      <c r="E2224" s="672" t="s">
        <v>2054</v>
      </c>
      <c r="F2224" s="833"/>
      <c r="G2224" s="846">
        <v>4915</v>
      </c>
      <c r="H2224" s="846">
        <v>4915</v>
      </c>
      <c r="I2224" s="853">
        <f>(H2224/G2224)*100</f>
        <v>100</v>
      </c>
    </row>
    <row r="2225" spans="1:23" ht="14.25" x14ac:dyDescent="0.2">
      <c r="A2225" s="431"/>
      <c r="B2225" s="750"/>
      <c r="C2225" s="1393"/>
      <c r="D2225" s="552" t="s">
        <v>1124</v>
      </c>
      <c r="E2225" s="455" t="s">
        <v>792</v>
      </c>
      <c r="F2225" s="833"/>
      <c r="G2225" s="833">
        <v>4915</v>
      </c>
      <c r="H2225" s="833">
        <v>4915</v>
      </c>
      <c r="I2225" s="823">
        <f t="shared" ref="I2225:I2238" si="240">(H2225/G2225)*100</f>
        <v>100</v>
      </c>
    </row>
    <row r="2226" spans="1:23" ht="18" customHeight="1" x14ac:dyDescent="0.25">
      <c r="A2226" s="431">
        <v>1221</v>
      </c>
      <c r="B2226" s="750">
        <v>3123</v>
      </c>
      <c r="C2226" s="750">
        <v>5331</v>
      </c>
      <c r="D2226" s="859"/>
      <c r="E2226" s="672" t="s">
        <v>951</v>
      </c>
      <c r="F2226" s="835">
        <f>F2227+F2228</f>
        <v>3302</v>
      </c>
      <c r="G2226" s="835">
        <f>G2227+G2228</f>
        <v>2288</v>
      </c>
      <c r="H2226" s="835">
        <f>H2227+H2228</f>
        <v>2288</v>
      </c>
      <c r="I2226" s="836">
        <f t="shared" si="240"/>
        <v>100</v>
      </c>
    </row>
    <row r="2227" spans="1:23" ht="14.25" x14ac:dyDescent="0.2">
      <c r="A2227" s="431"/>
      <c r="B2227" s="750"/>
      <c r="C2227" s="750"/>
      <c r="D2227" s="707" t="s">
        <v>575</v>
      </c>
      <c r="E2227" s="1478" t="s">
        <v>793</v>
      </c>
      <c r="F2227" s="833">
        <v>1317</v>
      </c>
      <c r="G2227" s="833">
        <v>978</v>
      </c>
      <c r="H2227" s="833">
        <v>978</v>
      </c>
      <c r="I2227" s="828">
        <f t="shared" si="240"/>
        <v>100</v>
      </c>
    </row>
    <row r="2228" spans="1:23" ht="15" customHeight="1" x14ac:dyDescent="0.2">
      <c r="A2228" s="431"/>
      <c r="B2228" s="750"/>
      <c r="C2228" s="750"/>
      <c r="D2228" s="552" t="s">
        <v>570</v>
      </c>
      <c r="E2228" s="455" t="s">
        <v>71</v>
      </c>
      <c r="F2228" s="833">
        <v>1985</v>
      </c>
      <c r="G2228" s="833">
        <v>1310</v>
      </c>
      <c r="H2228" s="833">
        <v>1310</v>
      </c>
      <c r="I2228" s="828">
        <f t="shared" si="240"/>
        <v>100</v>
      </c>
    </row>
    <row r="2229" spans="1:23" ht="15" x14ac:dyDescent="0.25">
      <c r="A2229" s="431">
        <v>1221</v>
      </c>
      <c r="B2229" s="750">
        <v>3123</v>
      </c>
      <c r="C2229" s="750">
        <v>5336</v>
      </c>
      <c r="D2229" s="2541"/>
      <c r="E2229" s="672" t="s">
        <v>2054</v>
      </c>
      <c r="F2229" s="833"/>
      <c r="G2229" s="846">
        <f>G2230+G2231</f>
        <v>7389</v>
      </c>
      <c r="H2229" s="846">
        <f>H2230+H2231</f>
        <v>7389</v>
      </c>
      <c r="I2229" s="838">
        <f t="shared" si="240"/>
        <v>100</v>
      </c>
    </row>
    <row r="2230" spans="1:23" ht="14.25" x14ac:dyDescent="0.2">
      <c r="A2230" s="431"/>
      <c r="B2230" s="750"/>
      <c r="C2230" s="750"/>
      <c r="D2230" s="1068" t="s">
        <v>1905</v>
      </c>
      <c r="E2230" s="2529" t="s">
        <v>1827</v>
      </c>
      <c r="F2230" s="314"/>
      <c r="G2230" s="316">
        <v>675</v>
      </c>
      <c r="H2230" s="316">
        <v>675</v>
      </c>
      <c r="I2230" s="1074">
        <f t="shared" si="240"/>
        <v>100</v>
      </c>
    </row>
    <row r="2231" spans="1:23" ht="14.25" x14ac:dyDescent="0.2">
      <c r="A2231" s="431"/>
      <c r="B2231" s="750"/>
      <c r="C2231" s="750"/>
      <c r="D2231" s="552" t="s">
        <v>1124</v>
      </c>
      <c r="E2231" s="455" t="s">
        <v>792</v>
      </c>
      <c r="F2231" s="833"/>
      <c r="G2231" s="833">
        <v>6714</v>
      </c>
      <c r="H2231" s="833">
        <v>6714</v>
      </c>
      <c r="I2231" s="828">
        <f t="shared" si="240"/>
        <v>100</v>
      </c>
    </row>
    <row r="2232" spans="1:23" ht="15" x14ac:dyDescent="0.25">
      <c r="A2232" s="431">
        <v>1221</v>
      </c>
      <c r="B2232" s="750">
        <v>3141</v>
      </c>
      <c r="C2232" s="750">
        <v>5336</v>
      </c>
      <c r="D2232" s="568"/>
      <c r="E2232" s="672" t="s">
        <v>2054</v>
      </c>
      <c r="F2232" s="846"/>
      <c r="G2232" s="846">
        <v>311</v>
      </c>
      <c r="H2232" s="846">
        <v>311</v>
      </c>
      <c r="I2232" s="836">
        <f t="shared" si="240"/>
        <v>100</v>
      </c>
    </row>
    <row r="2233" spans="1:23" ht="14.25" x14ac:dyDescent="0.2">
      <c r="A2233" s="431"/>
      <c r="B2233" s="750"/>
      <c r="C2233" s="750"/>
      <c r="D2233" s="552" t="s">
        <v>1124</v>
      </c>
      <c r="E2233" s="455" t="s">
        <v>792</v>
      </c>
      <c r="F2233" s="833"/>
      <c r="G2233" s="833">
        <v>311</v>
      </c>
      <c r="H2233" s="833">
        <v>311</v>
      </c>
      <c r="I2233" s="828">
        <f t="shared" si="240"/>
        <v>100</v>
      </c>
    </row>
    <row r="2234" spans="1:23" ht="15" x14ac:dyDescent="0.25">
      <c r="A2234" s="431">
        <v>1221</v>
      </c>
      <c r="B2234" s="750">
        <v>3142</v>
      </c>
      <c r="C2234" s="750">
        <v>5331</v>
      </c>
      <c r="D2234" s="859"/>
      <c r="E2234" s="672" t="s">
        <v>951</v>
      </c>
      <c r="F2234" s="835">
        <f>F2235+F2236</f>
        <v>664</v>
      </c>
      <c r="G2234" s="835">
        <f>G2235+G2236</f>
        <v>441</v>
      </c>
      <c r="H2234" s="835">
        <f>H2235+H2236</f>
        <v>441</v>
      </c>
      <c r="I2234" s="836">
        <f t="shared" si="240"/>
        <v>100</v>
      </c>
    </row>
    <row r="2235" spans="1:23" ht="14.25" x14ac:dyDescent="0.2">
      <c r="A2235" s="431"/>
      <c r="B2235" s="750"/>
      <c r="C2235" s="750"/>
      <c r="D2235" s="707" t="s">
        <v>575</v>
      </c>
      <c r="E2235" s="1478" t="s">
        <v>793</v>
      </c>
      <c r="F2235" s="833">
        <v>17</v>
      </c>
      <c r="G2235" s="833">
        <v>14</v>
      </c>
      <c r="H2235" s="833">
        <v>14</v>
      </c>
      <c r="I2235" s="828">
        <f t="shared" si="240"/>
        <v>100</v>
      </c>
    </row>
    <row r="2236" spans="1:23" ht="14.25" x14ac:dyDescent="0.2">
      <c r="A2236" s="431"/>
      <c r="B2236" s="750"/>
      <c r="C2236" s="750"/>
      <c r="D2236" s="552" t="s">
        <v>570</v>
      </c>
      <c r="E2236" s="455" t="s">
        <v>71</v>
      </c>
      <c r="F2236" s="833">
        <v>647</v>
      </c>
      <c r="G2236" s="833">
        <v>427</v>
      </c>
      <c r="H2236" s="833">
        <v>427</v>
      </c>
      <c r="I2236" s="828">
        <f t="shared" si="240"/>
        <v>100</v>
      </c>
    </row>
    <row r="2237" spans="1:23" ht="18.75" customHeight="1" x14ac:dyDescent="0.25">
      <c r="A2237" s="431">
        <v>1221</v>
      </c>
      <c r="B2237" s="750">
        <v>3142</v>
      </c>
      <c r="C2237" s="750">
        <v>5336</v>
      </c>
      <c r="D2237" s="552"/>
      <c r="E2237" s="672" t="s">
        <v>2054</v>
      </c>
      <c r="F2237" s="833"/>
      <c r="G2237" s="846">
        <v>193</v>
      </c>
      <c r="H2237" s="846">
        <v>193</v>
      </c>
      <c r="I2237" s="838">
        <f t="shared" si="240"/>
        <v>100</v>
      </c>
    </row>
    <row r="2238" spans="1:23" ht="15" thickBot="1" x14ac:dyDescent="0.25">
      <c r="A2238" s="431"/>
      <c r="B2238" s="750"/>
      <c r="C2238" s="1393"/>
      <c r="D2238" s="552" t="s">
        <v>1124</v>
      </c>
      <c r="E2238" s="455" t="s">
        <v>792</v>
      </c>
      <c r="F2238" s="833"/>
      <c r="G2238" s="833">
        <v>193</v>
      </c>
      <c r="H2238" s="833">
        <v>193</v>
      </c>
      <c r="I2238" s="828">
        <f t="shared" si="240"/>
        <v>100</v>
      </c>
    </row>
    <row r="2239" spans="1:23" ht="16.5" thickTop="1" thickBot="1" x14ac:dyDescent="0.3">
      <c r="A2239" s="2672" t="s">
        <v>1105</v>
      </c>
      <c r="B2239" s="2673"/>
      <c r="C2239" s="2673"/>
      <c r="D2239" s="2673"/>
      <c r="E2239" s="2673"/>
      <c r="F2239" s="824">
        <f>F2221+F2226+F2234</f>
        <v>5730</v>
      </c>
      <c r="G2239" s="824">
        <f>G2221+G2224+G2226+G2229+G2232+G2234+G2237</f>
        <v>16701</v>
      </c>
      <c r="H2239" s="824">
        <f>H2221+H2224+H2226+H2229+H2232+H2234+H2237</f>
        <v>16701</v>
      </c>
      <c r="I2239" s="825">
        <f>(H2239/G2239)*100</f>
        <v>100</v>
      </c>
      <c r="J2239" s="382">
        <f>F2239</f>
        <v>5730</v>
      </c>
      <c r="K2239" s="382" t="e">
        <f>G2239+#REF!</f>
        <v>#REF!</v>
      </c>
      <c r="L2239" s="382" t="e">
        <f>H2239+#REF!</f>
        <v>#REF!</v>
      </c>
      <c r="R2239" s="382">
        <f>F2239</f>
        <v>5730</v>
      </c>
      <c r="S2239" s="382">
        <f>G2239</f>
        <v>16701</v>
      </c>
      <c r="T2239" s="382">
        <f>H2239</f>
        <v>16701</v>
      </c>
      <c r="U2239" s="382"/>
      <c r="V2239" s="382"/>
      <c r="W2239" s="382"/>
    </row>
    <row r="2240" spans="1:23" s="1483" customFormat="1" ht="15.75" thickTop="1" x14ac:dyDescent="0.2">
      <c r="A2240" s="1480"/>
      <c r="B2240" s="1480"/>
      <c r="C2240" s="1480"/>
      <c r="D2240" s="1480"/>
      <c r="E2240" s="1480"/>
      <c r="F2240" s="1522"/>
      <c r="G2240" s="1522"/>
      <c r="H2240" s="1522"/>
      <c r="I2240" s="1523"/>
      <c r="J2240" s="1496"/>
      <c r="K2240" s="1496"/>
      <c r="L2240" s="1496"/>
      <c r="R2240" s="1496"/>
      <c r="S2240" s="1496"/>
      <c r="T2240" s="1496"/>
      <c r="U2240" s="1496"/>
      <c r="V2240" s="1496"/>
      <c r="W2240" s="1496"/>
    </row>
    <row r="2241" spans="1:20" ht="13.5" thickBot="1" x14ac:dyDescent="0.25">
      <c r="A2241" s="432" t="s">
        <v>135</v>
      </c>
      <c r="I2241" s="1390" t="s">
        <v>161</v>
      </c>
    </row>
    <row r="2242" spans="1:20" ht="14.25" thickTop="1" thickBot="1" x14ac:dyDescent="0.25">
      <c r="A2242" s="631" t="s">
        <v>624</v>
      </c>
      <c r="B2242" s="774" t="s">
        <v>162</v>
      </c>
      <c r="C2242" s="632" t="s">
        <v>163</v>
      </c>
      <c r="D2242" s="634" t="s">
        <v>705</v>
      </c>
      <c r="E2242" s="634" t="s">
        <v>164</v>
      </c>
      <c r="F2242" s="634" t="s">
        <v>165</v>
      </c>
      <c r="G2242" s="634" t="s">
        <v>881</v>
      </c>
      <c r="H2242" s="634" t="s">
        <v>882</v>
      </c>
      <c r="I2242" s="818" t="s">
        <v>883</v>
      </c>
    </row>
    <row r="2243" spans="1:20" ht="14.25" thickTop="1" thickBot="1" x14ac:dyDescent="0.25">
      <c r="A2243" s="566">
        <v>1</v>
      </c>
      <c r="B2243" s="567">
        <v>2</v>
      </c>
      <c r="C2243" s="567">
        <v>3</v>
      </c>
      <c r="D2243" s="567">
        <v>4</v>
      </c>
      <c r="E2243" s="567">
        <v>5</v>
      </c>
      <c r="F2243" s="541">
        <v>6</v>
      </c>
      <c r="G2243" s="541">
        <v>7</v>
      </c>
      <c r="H2243" s="542">
        <v>8</v>
      </c>
      <c r="I2243" s="636" t="s">
        <v>762</v>
      </c>
    </row>
    <row r="2244" spans="1:20" ht="15.75" thickTop="1" x14ac:dyDescent="0.25">
      <c r="A2244" s="1402">
        <v>1222</v>
      </c>
      <c r="B2244" s="847">
        <v>3124</v>
      </c>
      <c r="C2244" s="847">
        <v>5331</v>
      </c>
      <c r="D2244" s="852"/>
      <c r="E2244" s="886" t="s">
        <v>951</v>
      </c>
      <c r="F2244" s="845">
        <f>F2245+F2246+F2247</f>
        <v>1138</v>
      </c>
      <c r="G2244" s="845">
        <f>G2245+G2246+G2247</f>
        <v>1200</v>
      </c>
      <c r="H2244" s="845">
        <f>H2245+H2246+H2247</f>
        <v>1200</v>
      </c>
      <c r="I2244" s="849">
        <f t="shared" ref="I2244:I2252" si="241">(H2244/G2244)*100</f>
        <v>100</v>
      </c>
    </row>
    <row r="2245" spans="1:20" ht="14.25" x14ac:dyDescent="0.2">
      <c r="A2245" s="431"/>
      <c r="B2245" s="673"/>
      <c r="C2245" s="673"/>
      <c r="D2245" s="707" t="s">
        <v>575</v>
      </c>
      <c r="E2245" s="1478" t="s">
        <v>793</v>
      </c>
      <c r="F2245" s="827">
        <v>77</v>
      </c>
      <c r="G2245" s="827">
        <v>82</v>
      </c>
      <c r="H2245" s="827">
        <v>82</v>
      </c>
      <c r="I2245" s="823">
        <f t="shared" si="241"/>
        <v>100</v>
      </c>
    </row>
    <row r="2246" spans="1:20" ht="14.25" x14ac:dyDescent="0.2">
      <c r="A2246" s="431"/>
      <c r="B2246" s="673"/>
      <c r="C2246" s="673"/>
      <c r="D2246" s="552" t="s">
        <v>570</v>
      </c>
      <c r="E2246" s="455" t="s">
        <v>71</v>
      </c>
      <c r="F2246" s="827">
        <v>1061</v>
      </c>
      <c r="G2246" s="827">
        <v>1050</v>
      </c>
      <c r="H2246" s="827">
        <v>1050</v>
      </c>
      <c r="I2246" s="823">
        <f t="shared" si="241"/>
        <v>100</v>
      </c>
    </row>
    <row r="2247" spans="1:20" ht="17.25" customHeight="1" x14ac:dyDescent="0.2">
      <c r="A2247" s="431"/>
      <c r="B2247" s="673"/>
      <c r="C2247" s="673"/>
      <c r="D2247" s="1069" t="s">
        <v>924</v>
      </c>
      <c r="E2247" s="1161" t="s">
        <v>1213</v>
      </c>
      <c r="F2247" s="827"/>
      <c r="G2247" s="827">
        <v>68</v>
      </c>
      <c r="H2247" s="827">
        <v>68</v>
      </c>
      <c r="I2247" s="823">
        <f t="shared" si="241"/>
        <v>100</v>
      </c>
    </row>
    <row r="2248" spans="1:20" ht="15" x14ac:dyDescent="0.25">
      <c r="A2248" s="431">
        <v>1222</v>
      </c>
      <c r="B2248" s="673">
        <v>3124</v>
      </c>
      <c r="C2248" s="673">
        <v>5336</v>
      </c>
      <c r="D2248" s="1068"/>
      <c r="E2248" s="672" t="s">
        <v>2054</v>
      </c>
      <c r="F2248" s="827"/>
      <c r="G2248" s="851">
        <f>G2249+G2251+G2252</f>
        <v>11953</v>
      </c>
      <c r="H2248" s="851">
        <f>H2249+H2251+H2252</f>
        <v>11953</v>
      </c>
      <c r="I2248" s="853">
        <f t="shared" si="241"/>
        <v>100</v>
      </c>
    </row>
    <row r="2249" spans="1:20" ht="14.25" x14ac:dyDescent="0.2">
      <c r="A2249" s="431"/>
      <c r="B2249" s="673"/>
      <c r="C2249" s="673"/>
      <c r="D2249" s="1068" t="s">
        <v>1911</v>
      </c>
      <c r="E2249" s="2671" t="s">
        <v>2051</v>
      </c>
      <c r="F2249" s="827"/>
      <c r="G2249" s="837">
        <v>12</v>
      </c>
      <c r="H2249" s="837">
        <v>12</v>
      </c>
      <c r="I2249" s="823">
        <v>29</v>
      </c>
    </row>
    <row r="2250" spans="1:20" ht="15" x14ac:dyDescent="0.25">
      <c r="A2250" s="431"/>
      <c r="B2250" s="673"/>
      <c r="C2250" s="673"/>
      <c r="D2250" s="1068"/>
      <c r="E2250" s="2671"/>
      <c r="F2250" s="827"/>
      <c r="G2250" s="846"/>
      <c r="H2250" s="846"/>
      <c r="I2250" s="853"/>
    </row>
    <row r="2251" spans="1:20" ht="15" x14ac:dyDescent="0.2">
      <c r="A2251" s="431"/>
      <c r="B2251" s="673"/>
      <c r="C2251" s="673"/>
      <c r="D2251" s="1068" t="s">
        <v>1913</v>
      </c>
      <c r="E2251" s="2113" t="s">
        <v>2052</v>
      </c>
      <c r="F2251" s="2530"/>
      <c r="G2251" s="2531">
        <v>45</v>
      </c>
      <c r="H2251" s="2531">
        <v>45</v>
      </c>
      <c r="I2251" s="376">
        <f t="shared" ref="I2251" si="242">(H2251/G2251)*100</f>
        <v>100</v>
      </c>
    </row>
    <row r="2252" spans="1:20" ht="14.25" x14ac:dyDescent="0.2">
      <c r="A2252" s="431"/>
      <c r="B2252" s="673"/>
      <c r="C2252" s="673"/>
      <c r="D2252" s="552" t="s">
        <v>1124</v>
      </c>
      <c r="E2252" s="455" t="s">
        <v>792</v>
      </c>
      <c r="F2252" s="827"/>
      <c r="G2252" s="827">
        <v>11896</v>
      </c>
      <c r="H2252" s="827">
        <v>11896</v>
      </c>
      <c r="I2252" s="823">
        <f t="shared" si="241"/>
        <v>100</v>
      </c>
    </row>
    <row r="2253" spans="1:20" ht="15" x14ac:dyDescent="0.25">
      <c r="A2253" s="431">
        <v>1222</v>
      </c>
      <c r="B2253" s="673">
        <v>3145</v>
      </c>
      <c r="C2253" s="673">
        <v>5336</v>
      </c>
      <c r="D2253" s="1068"/>
      <c r="E2253" s="672" t="s">
        <v>2054</v>
      </c>
      <c r="F2253" s="827"/>
      <c r="G2253" s="851">
        <v>388</v>
      </c>
      <c r="H2253" s="851">
        <v>388</v>
      </c>
      <c r="I2253" s="853">
        <f t="shared" ref="I2253:I2254" si="243">(H2253/G2253)*100</f>
        <v>100</v>
      </c>
    </row>
    <row r="2254" spans="1:20" ht="15" thickBot="1" x14ac:dyDescent="0.25">
      <c r="A2254" s="431"/>
      <c r="B2254" s="673"/>
      <c r="C2254" s="673"/>
      <c r="D2254" s="552" t="s">
        <v>1124</v>
      </c>
      <c r="E2254" s="455" t="s">
        <v>792</v>
      </c>
      <c r="F2254" s="827"/>
      <c r="G2254" s="827">
        <v>388</v>
      </c>
      <c r="H2254" s="827">
        <v>388</v>
      </c>
      <c r="I2254" s="823">
        <f t="shared" si="243"/>
        <v>100</v>
      </c>
    </row>
    <row r="2255" spans="1:20" ht="16.5" thickTop="1" thickBot="1" x14ac:dyDescent="0.3">
      <c r="A2255" s="2672" t="s">
        <v>1105</v>
      </c>
      <c r="B2255" s="2673"/>
      <c r="C2255" s="2673"/>
      <c r="D2255" s="2673"/>
      <c r="E2255" s="2673"/>
      <c r="F2255" s="824">
        <f>F2244</f>
        <v>1138</v>
      </c>
      <c r="G2255" s="824">
        <f>G2244+G2248+G2253</f>
        <v>13541</v>
      </c>
      <c r="H2255" s="824">
        <f>H2244+H2248+H2253</f>
        <v>13541</v>
      </c>
      <c r="I2255" s="825">
        <f>(H2255/G2255)*100</f>
        <v>100</v>
      </c>
      <c r="R2255" s="382">
        <f>F2255</f>
        <v>1138</v>
      </c>
      <c r="S2255" s="382">
        <f>G2255</f>
        <v>13541</v>
      </c>
      <c r="T2255" s="382">
        <f>H2255</f>
        <v>13541</v>
      </c>
    </row>
    <row r="2256" spans="1:20" ht="15.75" thickTop="1" x14ac:dyDescent="0.25">
      <c r="A2256" s="368"/>
      <c r="B2256" s="368"/>
      <c r="C2256" s="368"/>
      <c r="D2256" s="368"/>
      <c r="E2256" s="368"/>
      <c r="F2256" s="181"/>
      <c r="G2256" s="181"/>
      <c r="H2256" s="181"/>
      <c r="I2256" s="210"/>
      <c r="R2256" s="382"/>
      <c r="S2256" s="382"/>
      <c r="T2256" s="382"/>
    </row>
    <row r="2257" spans="1:9" ht="13.5" thickBot="1" x14ac:dyDescent="0.25">
      <c r="A2257" s="432" t="s">
        <v>136</v>
      </c>
      <c r="I2257" s="1390" t="s">
        <v>161</v>
      </c>
    </row>
    <row r="2258" spans="1:9" ht="18" customHeight="1" thickTop="1" thickBot="1" x14ac:dyDescent="0.25">
      <c r="A2258" s="631" t="s">
        <v>624</v>
      </c>
      <c r="B2258" s="774" t="s">
        <v>162</v>
      </c>
      <c r="C2258" s="632" t="s">
        <v>163</v>
      </c>
      <c r="D2258" s="634" t="s">
        <v>705</v>
      </c>
      <c r="E2258" s="634" t="s">
        <v>164</v>
      </c>
      <c r="F2258" s="634" t="s">
        <v>165</v>
      </c>
      <c r="G2258" s="634" t="s">
        <v>881</v>
      </c>
      <c r="H2258" s="634" t="s">
        <v>882</v>
      </c>
      <c r="I2258" s="818" t="s">
        <v>883</v>
      </c>
    </row>
    <row r="2259" spans="1:9" ht="14.25" thickTop="1" thickBot="1" x14ac:dyDescent="0.25">
      <c r="A2259" s="566">
        <v>1</v>
      </c>
      <c r="B2259" s="567">
        <v>2</v>
      </c>
      <c r="C2259" s="567">
        <v>3</v>
      </c>
      <c r="D2259" s="567">
        <v>4</v>
      </c>
      <c r="E2259" s="567">
        <v>5</v>
      </c>
      <c r="F2259" s="541">
        <v>6</v>
      </c>
      <c r="G2259" s="541">
        <v>7</v>
      </c>
      <c r="H2259" s="542">
        <v>8</v>
      </c>
      <c r="I2259" s="636" t="s">
        <v>762</v>
      </c>
    </row>
    <row r="2260" spans="1:9" ht="15.75" thickTop="1" x14ac:dyDescent="0.25">
      <c r="A2260" s="1402">
        <v>1223</v>
      </c>
      <c r="B2260" s="847">
        <v>3122</v>
      </c>
      <c r="C2260" s="847">
        <v>5331</v>
      </c>
      <c r="D2260" s="852"/>
      <c r="E2260" s="886" t="s">
        <v>951</v>
      </c>
      <c r="F2260" s="845">
        <v>1576</v>
      </c>
      <c r="G2260" s="845">
        <v>1560</v>
      </c>
      <c r="H2260" s="845">
        <v>1560</v>
      </c>
      <c r="I2260" s="849">
        <f t="shared" ref="I2260:I2287" si="244">(H2260/G2260)*100</f>
        <v>100</v>
      </c>
    </row>
    <row r="2261" spans="1:9" ht="14.25" x14ac:dyDescent="0.2">
      <c r="A2261" s="431"/>
      <c r="B2261" s="673"/>
      <c r="C2261" s="673"/>
      <c r="D2261" s="552" t="s">
        <v>570</v>
      </c>
      <c r="E2261" s="455" t="s">
        <v>71</v>
      </c>
      <c r="F2261" s="356">
        <v>1576</v>
      </c>
      <c r="G2261" s="827">
        <v>1560</v>
      </c>
      <c r="H2261" s="827">
        <v>1560</v>
      </c>
      <c r="I2261" s="823">
        <f t="shared" si="244"/>
        <v>100</v>
      </c>
    </row>
    <row r="2262" spans="1:9" ht="13.5" customHeight="1" x14ac:dyDescent="0.25">
      <c r="A2262" s="431">
        <v>1223</v>
      </c>
      <c r="B2262" s="750">
        <v>3122</v>
      </c>
      <c r="C2262" s="750">
        <v>5336</v>
      </c>
      <c r="D2262" s="2118"/>
      <c r="E2262" s="672" t="s">
        <v>2054</v>
      </c>
      <c r="F2262" s="837"/>
      <c r="G2262" s="846">
        <f>G2263+G2266+G2268+G2269</f>
        <v>13109</v>
      </c>
      <c r="H2262" s="846">
        <f>H2263+H2266+H2268+H2269</f>
        <v>13109</v>
      </c>
      <c r="I2262" s="853">
        <f t="shared" si="244"/>
        <v>100</v>
      </c>
    </row>
    <row r="2263" spans="1:9" ht="13.5" customHeight="1" x14ac:dyDescent="0.2">
      <c r="A2263" s="431"/>
      <c r="B2263" s="750"/>
      <c r="C2263" s="750"/>
      <c r="D2263" s="2660" t="s">
        <v>1429</v>
      </c>
      <c r="E2263" s="2674" t="s">
        <v>1448</v>
      </c>
      <c r="F2263" s="356"/>
      <c r="G2263" s="833">
        <v>65</v>
      </c>
      <c r="H2263" s="827">
        <v>65</v>
      </c>
      <c r="I2263" s="823">
        <f t="shared" ref="I2263" si="245">(H2263/G2263)*100</f>
        <v>100</v>
      </c>
    </row>
    <row r="2264" spans="1:9" ht="13.5" customHeight="1" x14ac:dyDescent="0.2">
      <c r="A2264" s="431"/>
      <c r="B2264" s="750"/>
      <c r="C2264" s="750"/>
      <c r="D2264" s="2661"/>
      <c r="E2264" s="2675"/>
      <c r="F2264" s="356"/>
      <c r="G2264" s="833"/>
      <c r="H2264" s="827"/>
      <c r="I2264" s="823"/>
    </row>
    <row r="2265" spans="1:9" ht="13.5" customHeight="1" x14ac:dyDescent="0.2">
      <c r="A2265" s="431"/>
      <c r="B2265" s="750"/>
      <c r="C2265" s="750"/>
      <c r="D2265" s="2661"/>
      <c r="E2265" s="2675"/>
      <c r="F2265" s="356"/>
      <c r="G2265" s="833"/>
      <c r="H2265" s="827"/>
      <c r="I2265" s="823"/>
    </row>
    <row r="2266" spans="1:9" ht="13.5" customHeight="1" x14ac:dyDescent="0.2">
      <c r="A2266" s="431"/>
      <c r="B2266" s="750"/>
      <c r="C2266" s="750"/>
      <c r="D2266" s="1068" t="s">
        <v>1911</v>
      </c>
      <c r="E2266" s="2671" t="s">
        <v>2051</v>
      </c>
      <c r="F2266" s="827"/>
      <c r="G2266" s="837">
        <v>46</v>
      </c>
      <c r="H2266" s="837">
        <v>46</v>
      </c>
      <c r="I2266" s="823">
        <v>29</v>
      </c>
    </row>
    <row r="2267" spans="1:9" ht="13.5" customHeight="1" x14ac:dyDescent="0.25">
      <c r="A2267" s="431"/>
      <c r="B2267" s="750"/>
      <c r="C2267" s="750"/>
      <c r="D2267" s="1068"/>
      <c r="E2267" s="2671"/>
      <c r="F2267" s="827"/>
      <c r="G2267" s="846"/>
      <c r="H2267" s="846"/>
      <c r="I2267" s="853"/>
    </row>
    <row r="2268" spans="1:9" ht="13.5" customHeight="1" x14ac:dyDescent="0.2">
      <c r="A2268" s="431"/>
      <c r="B2268" s="750"/>
      <c r="C2268" s="750"/>
      <c r="D2268" s="1068" t="s">
        <v>1913</v>
      </c>
      <c r="E2268" s="2113" t="s">
        <v>2052</v>
      </c>
      <c r="F2268" s="2530"/>
      <c r="G2268" s="2531">
        <v>198</v>
      </c>
      <c r="H2268" s="2531">
        <v>198</v>
      </c>
      <c r="I2268" s="376">
        <f t="shared" ref="I2268" si="246">(H2268/G2268)*100</f>
        <v>100</v>
      </c>
    </row>
    <row r="2269" spans="1:9" ht="13.5" customHeight="1" x14ac:dyDescent="0.2">
      <c r="A2269" s="431"/>
      <c r="B2269" s="750"/>
      <c r="C2269" s="750"/>
      <c r="D2269" s="552" t="s">
        <v>1124</v>
      </c>
      <c r="E2269" s="455" t="s">
        <v>792</v>
      </c>
      <c r="F2269" s="837"/>
      <c r="G2269" s="833">
        <v>12800</v>
      </c>
      <c r="H2269" s="833">
        <v>12800</v>
      </c>
      <c r="I2269" s="823">
        <f t="shared" si="244"/>
        <v>100</v>
      </c>
    </row>
    <row r="2270" spans="1:9" ht="15" x14ac:dyDescent="0.25">
      <c r="A2270" s="431">
        <v>1223</v>
      </c>
      <c r="B2270" s="750">
        <v>3123</v>
      </c>
      <c r="C2270" s="750">
        <v>5331</v>
      </c>
      <c r="D2270" s="859"/>
      <c r="E2270" s="792" t="s">
        <v>951</v>
      </c>
      <c r="F2270" s="835">
        <f>SUM(F2271:F2275)</f>
        <v>2320</v>
      </c>
      <c r="G2270" s="835">
        <f>G2271+G2272</f>
        <v>2309</v>
      </c>
      <c r="H2270" s="835">
        <f>H2271+H2272</f>
        <v>2309</v>
      </c>
      <c r="I2270" s="836">
        <f t="shared" si="244"/>
        <v>100</v>
      </c>
    </row>
    <row r="2271" spans="1:9" ht="14.25" x14ac:dyDescent="0.2">
      <c r="A2271" s="431"/>
      <c r="B2271" s="750"/>
      <c r="C2271" s="750"/>
      <c r="D2271" s="707" t="s">
        <v>575</v>
      </c>
      <c r="E2271" s="1478" t="s">
        <v>793</v>
      </c>
      <c r="F2271" s="833">
        <v>930</v>
      </c>
      <c r="G2271" s="833">
        <v>933</v>
      </c>
      <c r="H2271" s="833">
        <v>933</v>
      </c>
      <c r="I2271" s="828">
        <f t="shared" si="244"/>
        <v>100</v>
      </c>
    </row>
    <row r="2272" spans="1:9" ht="14.25" x14ac:dyDescent="0.2">
      <c r="A2272" s="431"/>
      <c r="B2272" s="750"/>
      <c r="C2272" s="750"/>
      <c r="D2272" s="552" t="s">
        <v>570</v>
      </c>
      <c r="E2272" s="455" t="s">
        <v>71</v>
      </c>
      <c r="F2272" s="833">
        <v>1390</v>
      </c>
      <c r="G2272" s="833">
        <v>1376</v>
      </c>
      <c r="H2272" s="833">
        <v>1376</v>
      </c>
      <c r="I2272" s="828">
        <f t="shared" si="244"/>
        <v>100</v>
      </c>
    </row>
    <row r="2273" spans="1:20" ht="15" x14ac:dyDescent="0.25">
      <c r="A2273" s="431">
        <v>1223</v>
      </c>
      <c r="B2273" s="750">
        <v>3123</v>
      </c>
      <c r="C2273" s="750">
        <v>5336</v>
      </c>
      <c r="D2273" s="2542"/>
      <c r="E2273" s="672" t="s">
        <v>2054</v>
      </c>
      <c r="F2273" s="833"/>
      <c r="G2273" s="846">
        <f>G2274+G2275</f>
        <v>9008</v>
      </c>
      <c r="H2273" s="846">
        <f>H2274+H2275</f>
        <v>9008</v>
      </c>
      <c r="I2273" s="838">
        <f t="shared" si="244"/>
        <v>100</v>
      </c>
    </row>
    <row r="2274" spans="1:20" ht="14.25" x14ac:dyDescent="0.2">
      <c r="A2274" s="431"/>
      <c r="B2274" s="750"/>
      <c r="C2274" s="750"/>
      <c r="D2274" s="1068" t="s">
        <v>1905</v>
      </c>
      <c r="E2274" s="2529" t="s">
        <v>1827</v>
      </c>
      <c r="F2274" s="314"/>
      <c r="G2274" s="316">
        <v>217</v>
      </c>
      <c r="H2274" s="316">
        <v>217</v>
      </c>
      <c r="I2274" s="1074">
        <f t="shared" si="244"/>
        <v>100</v>
      </c>
    </row>
    <row r="2275" spans="1:20" ht="14.25" x14ac:dyDescent="0.2">
      <c r="A2275" s="431"/>
      <c r="B2275" s="750"/>
      <c r="C2275" s="750"/>
      <c r="D2275" s="552" t="s">
        <v>1124</v>
      </c>
      <c r="E2275" s="455" t="s">
        <v>792</v>
      </c>
      <c r="F2275" s="833"/>
      <c r="G2275" s="833">
        <v>8791</v>
      </c>
      <c r="H2275" s="833">
        <v>8791</v>
      </c>
      <c r="I2275" s="828">
        <f t="shared" si="244"/>
        <v>100</v>
      </c>
      <c r="R2275" s="2686"/>
      <c r="S2275" s="2688"/>
    </row>
    <row r="2276" spans="1:20" ht="15" x14ac:dyDescent="0.25">
      <c r="A2276" s="431">
        <v>1223</v>
      </c>
      <c r="B2276" s="750">
        <v>3124</v>
      </c>
      <c r="C2276" s="750">
        <v>5331</v>
      </c>
      <c r="D2276" s="859"/>
      <c r="E2276" s="792" t="s">
        <v>951</v>
      </c>
      <c r="F2276" s="835">
        <v>1251</v>
      </c>
      <c r="G2276" s="835">
        <v>1238</v>
      </c>
      <c r="H2276" s="835">
        <v>1238</v>
      </c>
      <c r="I2276" s="836">
        <f t="shared" si="244"/>
        <v>100</v>
      </c>
      <c r="R2276" s="2687"/>
      <c r="S2276" s="2689"/>
    </row>
    <row r="2277" spans="1:20" ht="14.25" x14ac:dyDescent="0.2">
      <c r="A2277" s="431"/>
      <c r="B2277" s="750"/>
      <c r="C2277" s="750"/>
      <c r="D2277" s="552" t="s">
        <v>570</v>
      </c>
      <c r="E2277" s="455" t="s">
        <v>71</v>
      </c>
      <c r="F2277" s="833">
        <v>1251</v>
      </c>
      <c r="G2277" s="833">
        <v>1238</v>
      </c>
      <c r="H2277" s="833">
        <v>1238</v>
      </c>
      <c r="I2277" s="828">
        <f t="shared" si="244"/>
        <v>100</v>
      </c>
      <c r="R2277" s="2687"/>
      <c r="S2277" s="2689"/>
    </row>
    <row r="2278" spans="1:20" ht="15" x14ac:dyDescent="0.25">
      <c r="A2278" s="431">
        <v>1223</v>
      </c>
      <c r="B2278" s="750">
        <v>3124</v>
      </c>
      <c r="C2278" s="750">
        <v>5336</v>
      </c>
      <c r="D2278" s="552"/>
      <c r="E2278" s="672" t="s">
        <v>2054</v>
      </c>
      <c r="F2278" s="833"/>
      <c r="G2278" s="846">
        <v>9086</v>
      </c>
      <c r="H2278" s="846">
        <v>9086</v>
      </c>
      <c r="I2278" s="838">
        <f t="shared" si="244"/>
        <v>100</v>
      </c>
      <c r="R2278" s="2551"/>
      <c r="S2278" s="2552"/>
    </row>
    <row r="2279" spans="1:20" ht="14.25" x14ac:dyDescent="0.2">
      <c r="A2279" s="431"/>
      <c r="B2279" s="750"/>
      <c r="C2279" s="1393"/>
      <c r="D2279" s="552" t="s">
        <v>1124</v>
      </c>
      <c r="E2279" s="455" t="s">
        <v>792</v>
      </c>
      <c r="F2279" s="833"/>
      <c r="G2279" s="833">
        <v>9086</v>
      </c>
      <c r="H2279" s="833">
        <v>9086</v>
      </c>
      <c r="I2279" s="828">
        <f t="shared" si="244"/>
        <v>100</v>
      </c>
    </row>
    <row r="2280" spans="1:20" ht="15" x14ac:dyDescent="0.25">
      <c r="A2280" s="431">
        <v>1223</v>
      </c>
      <c r="B2280" s="750">
        <v>3142</v>
      </c>
      <c r="C2280" s="750">
        <v>5331</v>
      </c>
      <c r="D2280" s="859"/>
      <c r="E2280" s="792" t="s">
        <v>951</v>
      </c>
      <c r="F2280" s="835">
        <v>232</v>
      </c>
      <c r="G2280" s="835">
        <v>230</v>
      </c>
      <c r="H2280" s="835">
        <v>230</v>
      </c>
      <c r="I2280" s="836">
        <f t="shared" si="244"/>
        <v>100</v>
      </c>
    </row>
    <row r="2281" spans="1:20" ht="14.25" x14ac:dyDescent="0.2">
      <c r="A2281" s="431"/>
      <c r="B2281" s="750"/>
      <c r="C2281" s="750"/>
      <c r="D2281" s="552" t="s">
        <v>570</v>
      </c>
      <c r="E2281" s="455" t="s">
        <v>71</v>
      </c>
      <c r="F2281" s="833">
        <v>232</v>
      </c>
      <c r="G2281" s="833">
        <v>230</v>
      </c>
      <c r="H2281" s="833">
        <v>230</v>
      </c>
      <c r="I2281" s="828">
        <f t="shared" si="244"/>
        <v>100</v>
      </c>
    </row>
    <row r="2282" spans="1:20" ht="18" customHeight="1" x14ac:dyDescent="0.25">
      <c r="A2282" s="431">
        <v>1223</v>
      </c>
      <c r="B2282" s="750">
        <v>3142</v>
      </c>
      <c r="C2282" s="750">
        <v>5336</v>
      </c>
      <c r="D2282" s="552"/>
      <c r="E2282" s="672" t="s">
        <v>2054</v>
      </c>
      <c r="F2282" s="833"/>
      <c r="G2282" s="846">
        <v>486</v>
      </c>
      <c r="H2282" s="846">
        <v>486</v>
      </c>
      <c r="I2282" s="838">
        <f t="shared" si="244"/>
        <v>100</v>
      </c>
    </row>
    <row r="2283" spans="1:20" ht="13.5" customHeight="1" x14ac:dyDescent="0.2">
      <c r="A2283" s="431"/>
      <c r="B2283" s="750"/>
      <c r="C2283" s="1393"/>
      <c r="D2283" s="552" t="s">
        <v>1124</v>
      </c>
      <c r="E2283" s="455" t="s">
        <v>792</v>
      </c>
      <c r="F2283" s="833"/>
      <c r="G2283" s="833">
        <v>486</v>
      </c>
      <c r="H2283" s="833">
        <v>486</v>
      </c>
      <c r="I2283" s="828">
        <f t="shared" si="244"/>
        <v>100</v>
      </c>
    </row>
    <row r="2284" spans="1:20" ht="15" x14ac:dyDescent="0.25">
      <c r="A2284" s="431">
        <v>1223</v>
      </c>
      <c r="B2284" s="750">
        <v>3147</v>
      </c>
      <c r="C2284" s="750">
        <v>5331</v>
      </c>
      <c r="D2284" s="859"/>
      <c r="E2284" s="792" t="s">
        <v>951</v>
      </c>
      <c r="F2284" s="835">
        <v>185</v>
      </c>
      <c r="G2284" s="835">
        <v>183</v>
      </c>
      <c r="H2284" s="835">
        <v>183</v>
      </c>
      <c r="I2284" s="836">
        <f t="shared" si="244"/>
        <v>100</v>
      </c>
    </row>
    <row r="2285" spans="1:20" ht="14.25" x14ac:dyDescent="0.2">
      <c r="A2285" s="431"/>
      <c r="B2285" s="750"/>
      <c r="C2285" s="750"/>
      <c r="D2285" s="552" t="s">
        <v>570</v>
      </c>
      <c r="E2285" s="455" t="s">
        <v>71</v>
      </c>
      <c r="F2285" s="833">
        <v>185</v>
      </c>
      <c r="G2285" s="833">
        <v>183</v>
      </c>
      <c r="H2285" s="833">
        <v>183</v>
      </c>
      <c r="I2285" s="828">
        <f t="shared" si="244"/>
        <v>100</v>
      </c>
    </row>
    <row r="2286" spans="1:20" ht="15" x14ac:dyDescent="0.25">
      <c r="A2286" s="431">
        <v>1223</v>
      </c>
      <c r="B2286" s="750">
        <v>3147</v>
      </c>
      <c r="C2286" s="750">
        <v>5336</v>
      </c>
      <c r="D2286" s="552"/>
      <c r="E2286" s="672" t="s">
        <v>2054</v>
      </c>
      <c r="F2286" s="833"/>
      <c r="G2286" s="846">
        <v>1953</v>
      </c>
      <c r="H2286" s="846">
        <v>1953</v>
      </c>
      <c r="I2286" s="838">
        <f t="shared" si="244"/>
        <v>100</v>
      </c>
    </row>
    <row r="2287" spans="1:20" ht="15.75" customHeight="1" x14ac:dyDescent="0.2">
      <c r="A2287" s="431"/>
      <c r="B2287" s="750"/>
      <c r="C2287" s="1393"/>
      <c r="D2287" s="552" t="s">
        <v>1124</v>
      </c>
      <c r="E2287" s="455" t="s">
        <v>792</v>
      </c>
      <c r="F2287" s="833"/>
      <c r="G2287" s="833">
        <v>1953</v>
      </c>
      <c r="H2287" s="833">
        <v>1953</v>
      </c>
      <c r="I2287" s="828">
        <f t="shared" si="244"/>
        <v>100</v>
      </c>
    </row>
    <row r="2288" spans="1:20" ht="15" x14ac:dyDescent="0.25">
      <c r="A2288" s="431">
        <v>1223</v>
      </c>
      <c r="B2288" s="673">
        <v>3293</v>
      </c>
      <c r="C2288" s="750">
        <v>5336</v>
      </c>
      <c r="D2288" s="552"/>
      <c r="E2288" s="672" t="s">
        <v>2054</v>
      </c>
      <c r="F2288" s="835"/>
      <c r="G2288" s="835">
        <v>1</v>
      </c>
      <c r="H2288" s="835">
        <v>1</v>
      </c>
      <c r="I2288" s="821">
        <f>(H2288/G2288)*100</f>
        <v>100</v>
      </c>
      <c r="R2288" s="382"/>
      <c r="S2288" s="382"/>
      <c r="T2288" s="382"/>
    </row>
    <row r="2289" spans="1:20" ht="15" thickBot="1" x14ac:dyDescent="0.25">
      <c r="A2289" s="431"/>
      <c r="B2289" s="673"/>
      <c r="C2289" s="1392"/>
      <c r="D2289" s="844" t="s">
        <v>1127</v>
      </c>
      <c r="E2289" s="1493" t="s">
        <v>62</v>
      </c>
      <c r="F2289" s="827"/>
      <c r="G2289" s="827">
        <v>1</v>
      </c>
      <c r="H2289" s="827">
        <v>1</v>
      </c>
      <c r="I2289" s="823">
        <v>100</v>
      </c>
      <c r="R2289" s="382"/>
      <c r="S2289" s="382"/>
      <c r="T2289" s="382"/>
    </row>
    <row r="2290" spans="1:20" ht="16.5" thickTop="1" thickBot="1" x14ac:dyDescent="0.3">
      <c r="A2290" s="2672" t="s">
        <v>1105</v>
      </c>
      <c r="B2290" s="2673"/>
      <c r="C2290" s="2673"/>
      <c r="D2290" s="2673"/>
      <c r="E2290" s="2673"/>
      <c r="F2290" s="824">
        <f>F2260+F2270+F2276+F2280+F2284</f>
        <v>5564</v>
      </c>
      <c r="G2290" s="824">
        <f>G2260+G2262+G2270+G2273+G2276+G2278+G2280+G2284+G2288+G2282+G2286</f>
        <v>39163</v>
      </c>
      <c r="H2290" s="824">
        <f>H2260+H2262+H2270+H2273+H2276+H2278+H2280+H2284+H2288+H2282+H2286</f>
        <v>39163</v>
      </c>
      <c r="I2290" s="825">
        <f>(H2290/G2290)*100</f>
        <v>100</v>
      </c>
      <c r="R2290" s="382">
        <f>F2290</f>
        <v>5564</v>
      </c>
      <c r="S2290" s="382">
        <f>G2290</f>
        <v>39163</v>
      </c>
      <c r="T2290" s="382">
        <f>H2290</f>
        <v>39163</v>
      </c>
    </row>
    <row r="2291" spans="1:20" s="107" customFormat="1" ht="13.5" thickTop="1" x14ac:dyDescent="0.2">
      <c r="A2291" s="381"/>
      <c r="B2291" s="643"/>
      <c r="C2291" s="381"/>
      <c r="D2291" s="814"/>
      <c r="E2291" s="381"/>
      <c r="F2291" s="382"/>
      <c r="G2291" s="382"/>
      <c r="H2291" s="382"/>
      <c r="I2291" s="1390"/>
    </row>
    <row r="2292" spans="1:20" s="107" customFormat="1" x14ac:dyDescent="0.2">
      <c r="A2292" s="381"/>
      <c r="B2292" s="643"/>
      <c r="C2292" s="381"/>
      <c r="D2292" s="814"/>
      <c r="E2292" s="381"/>
      <c r="F2292" s="382"/>
      <c r="G2292" s="382"/>
      <c r="H2292" s="382"/>
      <c r="I2292" s="1390"/>
    </row>
    <row r="2293" spans="1:20" s="107" customFormat="1" x14ac:dyDescent="0.2">
      <c r="A2293" s="381"/>
      <c r="B2293" s="643"/>
      <c r="C2293" s="381"/>
      <c r="D2293" s="814"/>
      <c r="E2293" s="381"/>
      <c r="F2293" s="382"/>
      <c r="G2293" s="382"/>
      <c r="H2293" s="382"/>
      <c r="I2293" s="1390"/>
    </row>
    <row r="2294" spans="1:20" s="107" customFormat="1" x14ac:dyDescent="0.2">
      <c r="A2294" s="381"/>
      <c r="B2294" s="643"/>
      <c r="C2294" s="381"/>
      <c r="D2294" s="814"/>
      <c r="E2294" s="381"/>
      <c r="F2294" s="382"/>
      <c r="G2294" s="382"/>
      <c r="H2294" s="382"/>
      <c r="I2294" s="1390"/>
    </row>
    <row r="2295" spans="1:20" s="107" customFormat="1" x14ac:dyDescent="0.2">
      <c r="A2295" s="381"/>
      <c r="B2295" s="643"/>
      <c r="C2295" s="381"/>
      <c r="D2295" s="814"/>
      <c r="E2295" s="381"/>
      <c r="F2295" s="382"/>
      <c r="G2295" s="382"/>
      <c r="H2295" s="382"/>
      <c r="I2295" s="1390"/>
    </row>
    <row r="2296" spans="1:20" ht="13.5" thickBot="1" x14ac:dyDescent="0.25">
      <c r="A2296" s="432" t="s">
        <v>137</v>
      </c>
      <c r="I2296" s="1390" t="s">
        <v>161</v>
      </c>
    </row>
    <row r="2297" spans="1:20" ht="14.25" thickTop="1" thickBot="1" x14ac:dyDescent="0.25">
      <c r="A2297" s="631" t="s">
        <v>624</v>
      </c>
      <c r="B2297" s="774" t="s">
        <v>162</v>
      </c>
      <c r="C2297" s="632" t="s">
        <v>163</v>
      </c>
      <c r="D2297" s="634" t="s">
        <v>705</v>
      </c>
      <c r="E2297" s="634" t="s">
        <v>164</v>
      </c>
      <c r="F2297" s="634" t="s">
        <v>165</v>
      </c>
      <c r="G2297" s="634" t="s">
        <v>881</v>
      </c>
      <c r="H2297" s="634" t="s">
        <v>882</v>
      </c>
      <c r="I2297" s="818" t="s">
        <v>883</v>
      </c>
    </row>
    <row r="2298" spans="1:20" ht="14.25" thickTop="1" thickBot="1" x14ac:dyDescent="0.25">
      <c r="A2298" s="566">
        <v>1</v>
      </c>
      <c r="B2298" s="567">
        <v>2</v>
      </c>
      <c r="C2298" s="567">
        <v>3</v>
      </c>
      <c r="D2298" s="567">
        <v>4</v>
      </c>
      <c r="E2298" s="567">
        <v>5</v>
      </c>
      <c r="F2298" s="541">
        <v>6</v>
      </c>
      <c r="G2298" s="541">
        <v>7</v>
      </c>
      <c r="H2298" s="542">
        <v>8</v>
      </c>
      <c r="I2298" s="636" t="s">
        <v>762</v>
      </c>
    </row>
    <row r="2299" spans="1:20" ht="12.75" customHeight="1" thickTop="1" x14ac:dyDescent="0.25">
      <c r="A2299" s="1402">
        <v>1225</v>
      </c>
      <c r="B2299" s="847">
        <v>3124</v>
      </c>
      <c r="C2299" s="847">
        <v>5331</v>
      </c>
      <c r="D2299" s="852"/>
      <c r="E2299" s="886" t="s">
        <v>951</v>
      </c>
      <c r="F2299" s="845">
        <f>F2300+F2301+F2302</f>
        <v>3236</v>
      </c>
      <c r="G2299" s="845">
        <f>G2300+G2301+G2302</f>
        <v>3609</v>
      </c>
      <c r="H2299" s="845">
        <f>H2300+H2301+H2302</f>
        <v>3609</v>
      </c>
      <c r="I2299" s="849">
        <f t="shared" ref="I2299:I2320" si="247">(H2299/G2299)*100</f>
        <v>100</v>
      </c>
    </row>
    <row r="2300" spans="1:20" ht="14.25" x14ac:dyDescent="0.2">
      <c r="A2300" s="431"/>
      <c r="B2300" s="673"/>
      <c r="C2300" s="673"/>
      <c r="D2300" s="707" t="s">
        <v>575</v>
      </c>
      <c r="E2300" s="1478" t="s">
        <v>793</v>
      </c>
      <c r="F2300" s="356">
        <v>898</v>
      </c>
      <c r="G2300" s="827">
        <v>963</v>
      </c>
      <c r="H2300" s="827">
        <v>963</v>
      </c>
      <c r="I2300" s="823">
        <f t="shared" si="247"/>
        <v>100</v>
      </c>
    </row>
    <row r="2301" spans="1:20" ht="14.25" x14ac:dyDescent="0.2">
      <c r="A2301" s="431"/>
      <c r="B2301" s="673"/>
      <c r="C2301" s="673"/>
      <c r="D2301" s="552" t="s">
        <v>570</v>
      </c>
      <c r="E2301" s="455" t="s">
        <v>71</v>
      </c>
      <c r="F2301" s="356">
        <v>2338</v>
      </c>
      <c r="G2301" s="827">
        <v>2315</v>
      </c>
      <c r="H2301" s="827">
        <v>2315</v>
      </c>
      <c r="I2301" s="823">
        <f t="shared" si="247"/>
        <v>100</v>
      </c>
    </row>
    <row r="2302" spans="1:20" ht="15.75" customHeight="1" x14ac:dyDescent="0.2">
      <c r="A2302" s="431"/>
      <c r="B2302" s="750"/>
      <c r="C2302" s="750"/>
      <c r="D2302" s="1069" t="s">
        <v>924</v>
      </c>
      <c r="E2302" s="1161" t="s">
        <v>1213</v>
      </c>
      <c r="F2302" s="837"/>
      <c r="G2302" s="833">
        <v>331</v>
      </c>
      <c r="H2302" s="833">
        <v>331</v>
      </c>
      <c r="I2302" s="823">
        <f t="shared" si="247"/>
        <v>100</v>
      </c>
    </row>
    <row r="2303" spans="1:20" ht="13.5" customHeight="1" x14ac:dyDescent="0.25">
      <c r="A2303" s="431">
        <v>1225</v>
      </c>
      <c r="B2303" s="750">
        <v>3124</v>
      </c>
      <c r="C2303" s="750">
        <v>5336</v>
      </c>
      <c r="D2303" s="1068"/>
      <c r="E2303" s="672" t="s">
        <v>2054</v>
      </c>
      <c r="F2303" s="837"/>
      <c r="G2303" s="846">
        <f>G2304+G2305+G2307+G2308</f>
        <v>25273</v>
      </c>
      <c r="H2303" s="846">
        <f>H2304+H2305+H2307+H2308</f>
        <v>25273</v>
      </c>
      <c r="I2303" s="853">
        <f t="shared" si="247"/>
        <v>100</v>
      </c>
    </row>
    <row r="2304" spans="1:20" ht="13.5" customHeight="1" x14ac:dyDescent="0.2">
      <c r="A2304" s="431"/>
      <c r="B2304" s="750"/>
      <c r="C2304" s="750"/>
      <c r="D2304" s="1068" t="s">
        <v>1905</v>
      </c>
      <c r="E2304" s="2529" t="s">
        <v>1827</v>
      </c>
      <c r="F2304" s="314"/>
      <c r="G2304" s="316">
        <v>106</v>
      </c>
      <c r="H2304" s="316">
        <v>106</v>
      </c>
      <c r="I2304" s="1074">
        <f t="shared" si="247"/>
        <v>100</v>
      </c>
    </row>
    <row r="2305" spans="1:20" ht="13.5" customHeight="1" x14ac:dyDescent="0.2">
      <c r="A2305" s="431"/>
      <c r="B2305" s="750"/>
      <c r="C2305" s="750"/>
      <c r="D2305" s="1068" t="s">
        <v>1911</v>
      </c>
      <c r="E2305" s="2671" t="s">
        <v>2051</v>
      </c>
      <c r="F2305" s="827"/>
      <c r="G2305" s="837">
        <v>68</v>
      </c>
      <c r="H2305" s="837">
        <v>68</v>
      </c>
      <c r="I2305" s="823">
        <v>29</v>
      </c>
    </row>
    <row r="2306" spans="1:20" ht="13.5" customHeight="1" x14ac:dyDescent="0.25">
      <c r="A2306" s="431"/>
      <c r="B2306" s="750"/>
      <c r="C2306" s="750"/>
      <c r="D2306" s="1068"/>
      <c r="E2306" s="2671"/>
      <c r="F2306" s="827"/>
      <c r="G2306" s="846"/>
      <c r="H2306" s="846"/>
      <c r="I2306" s="853"/>
    </row>
    <row r="2307" spans="1:20" ht="13.5" customHeight="1" x14ac:dyDescent="0.2">
      <c r="A2307" s="431"/>
      <c r="B2307" s="750"/>
      <c r="C2307" s="750"/>
      <c r="D2307" s="1068" t="s">
        <v>1913</v>
      </c>
      <c r="E2307" s="2113" t="s">
        <v>2052</v>
      </c>
      <c r="F2307" s="2530"/>
      <c r="G2307" s="2531">
        <v>125</v>
      </c>
      <c r="H2307" s="2531">
        <v>125</v>
      </c>
      <c r="I2307" s="376">
        <f t="shared" ref="I2307" si="248">(H2307/G2307)*100</f>
        <v>100</v>
      </c>
    </row>
    <row r="2308" spans="1:20" ht="13.5" customHeight="1" x14ac:dyDescent="0.25">
      <c r="A2308" s="431"/>
      <c r="B2308" s="750"/>
      <c r="C2308" s="750"/>
      <c r="D2308" s="552" t="s">
        <v>1124</v>
      </c>
      <c r="E2308" s="455" t="s">
        <v>792</v>
      </c>
      <c r="F2308" s="835"/>
      <c r="G2308" s="833">
        <v>24974</v>
      </c>
      <c r="H2308" s="833">
        <v>24974</v>
      </c>
      <c r="I2308" s="823">
        <f t="shared" si="247"/>
        <v>100</v>
      </c>
    </row>
    <row r="2309" spans="1:20" ht="15.75" customHeight="1" x14ac:dyDescent="0.25">
      <c r="A2309" s="431">
        <v>1225</v>
      </c>
      <c r="B2309" s="750">
        <v>3142</v>
      </c>
      <c r="C2309" s="750">
        <v>5331</v>
      </c>
      <c r="D2309" s="859"/>
      <c r="E2309" s="672" t="s">
        <v>951</v>
      </c>
      <c r="F2309" s="835">
        <f>F2310+F2311</f>
        <v>349</v>
      </c>
      <c r="G2309" s="835">
        <f>G2310+G2311</f>
        <v>346</v>
      </c>
      <c r="H2309" s="835">
        <f>H2310+H2311</f>
        <v>346</v>
      </c>
      <c r="I2309" s="836">
        <f t="shared" si="247"/>
        <v>100</v>
      </c>
    </row>
    <row r="2310" spans="1:20" ht="15.75" customHeight="1" x14ac:dyDescent="0.2">
      <c r="A2310" s="431"/>
      <c r="B2310" s="750"/>
      <c r="C2310" s="750"/>
      <c r="D2310" s="552" t="s">
        <v>570</v>
      </c>
      <c r="E2310" s="455" t="s">
        <v>71</v>
      </c>
      <c r="F2310" s="833">
        <v>299</v>
      </c>
      <c r="G2310" s="833">
        <v>296</v>
      </c>
      <c r="H2310" s="833">
        <v>296</v>
      </c>
      <c r="I2310" s="828">
        <f t="shared" si="247"/>
        <v>100</v>
      </c>
    </row>
    <row r="2311" spans="1:20" ht="15.75" customHeight="1" x14ac:dyDescent="0.2">
      <c r="A2311" s="431"/>
      <c r="B2311" s="750"/>
      <c r="C2311" s="750"/>
      <c r="D2311" s="552" t="s">
        <v>665</v>
      </c>
      <c r="E2311" s="455" t="s">
        <v>74</v>
      </c>
      <c r="F2311" s="833">
        <v>50</v>
      </c>
      <c r="G2311" s="833">
        <v>50</v>
      </c>
      <c r="H2311" s="833">
        <v>50</v>
      </c>
      <c r="I2311" s="828">
        <f t="shared" si="247"/>
        <v>100</v>
      </c>
    </row>
    <row r="2312" spans="1:20" ht="15.75" customHeight="1" x14ac:dyDescent="0.25">
      <c r="A2312" s="431">
        <v>1225</v>
      </c>
      <c r="B2312" s="750">
        <v>3142</v>
      </c>
      <c r="C2312" s="750">
        <v>5336</v>
      </c>
      <c r="D2312" s="552"/>
      <c r="E2312" s="672" t="s">
        <v>2054</v>
      </c>
      <c r="F2312" s="833"/>
      <c r="G2312" s="846">
        <v>642</v>
      </c>
      <c r="H2312" s="846">
        <v>642</v>
      </c>
      <c r="I2312" s="838">
        <f t="shared" si="247"/>
        <v>100</v>
      </c>
    </row>
    <row r="2313" spans="1:20" ht="15.75" customHeight="1" x14ac:dyDescent="0.2">
      <c r="A2313" s="431"/>
      <c r="B2313" s="750"/>
      <c r="C2313" s="750"/>
      <c r="D2313" s="552" t="s">
        <v>1124</v>
      </c>
      <c r="E2313" s="455" t="s">
        <v>792</v>
      </c>
      <c r="F2313" s="833"/>
      <c r="G2313" s="833">
        <v>642</v>
      </c>
      <c r="H2313" s="833">
        <v>642</v>
      </c>
      <c r="I2313" s="828">
        <f t="shared" si="247"/>
        <v>100</v>
      </c>
    </row>
    <row r="2314" spans="1:20" ht="15" x14ac:dyDescent="0.25">
      <c r="A2314" s="431">
        <v>1225</v>
      </c>
      <c r="B2314" s="750">
        <v>3145</v>
      </c>
      <c r="C2314" s="750">
        <v>5331</v>
      </c>
      <c r="D2314" s="859"/>
      <c r="E2314" s="672" t="s">
        <v>951</v>
      </c>
      <c r="F2314" s="846">
        <v>360</v>
      </c>
      <c r="G2314" s="846">
        <v>356</v>
      </c>
      <c r="H2314" s="846">
        <v>356</v>
      </c>
      <c r="I2314" s="838">
        <f t="shared" si="247"/>
        <v>100</v>
      </c>
    </row>
    <row r="2315" spans="1:20" ht="14.25" x14ac:dyDescent="0.2">
      <c r="A2315" s="431"/>
      <c r="B2315" s="750"/>
      <c r="C2315" s="1393"/>
      <c r="D2315" s="552" t="s">
        <v>570</v>
      </c>
      <c r="E2315" s="455" t="s">
        <v>71</v>
      </c>
      <c r="F2315" s="833">
        <v>360</v>
      </c>
      <c r="G2315" s="833">
        <v>356</v>
      </c>
      <c r="H2315" s="833">
        <v>356</v>
      </c>
      <c r="I2315" s="828">
        <f t="shared" si="247"/>
        <v>100</v>
      </c>
    </row>
    <row r="2316" spans="1:20" ht="15" x14ac:dyDescent="0.25">
      <c r="A2316" s="431">
        <v>1225</v>
      </c>
      <c r="B2316" s="750">
        <v>3145</v>
      </c>
      <c r="C2316" s="1393">
        <v>5336</v>
      </c>
      <c r="D2316" s="552"/>
      <c r="E2316" s="672" t="s">
        <v>2054</v>
      </c>
      <c r="F2316" s="833"/>
      <c r="G2316" s="846">
        <v>4577</v>
      </c>
      <c r="H2316" s="846">
        <v>4577</v>
      </c>
      <c r="I2316" s="838">
        <f t="shared" si="247"/>
        <v>100</v>
      </c>
    </row>
    <row r="2317" spans="1:20" s="1483" customFormat="1" ht="14.25" x14ac:dyDescent="0.2">
      <c r="A2317" s="1507"/>
      <c r="B2317" s="1524"/>
      <c r="C2317" s="1525"/>
      <c r="D2317" s="748" t="s">
        <v>1124</v>
      </c>
      <c r="E2317" s="1526" t="s">
        <v>792</v>
      </c>
      <c r="F2317" s="1296"/>
      <c r="G2317" s="1296">
        <v>4577</v>
      </c>
      <c r="H2317" s="1296">
        <v>4577</v>
      </c>
      <c r="I2317" s="1300">
        <f t="shared" si="247"/>
        <v>100</v>
      </c>
    </row>
    <row r="2318" spans="1:20" ht="18" customHeight="1" x14ac:dyDescent="0.25">
      <c r="A2318" s="431">
        <v>1225</v>
      </c>
      <c r="B2318" s="673">
        <v>3293</v>
      </c>
      <c r="C2318" s="1393">
        <v>5336</v>
      </c>
      <c r="D2318" s="552"/>
      <c r="E2318" s="672" t="s">
        <v>2054</v>
      </c>
      <c r="F2318" s="846"/>
      <c r="G2318" s="846">
        <v>344</v>
      </c>
      <c r="H2318" s="846">
        <v>344</v>
      </c>
      <c r="I2318" s="838">
        <f t="shared" si="247"/>
        <v>100</v>
      </c>
    </row>
    <row r="2319" spans="1:20" ht="15" thickBot="1" x14ac:dyDescent="0.25">
      <c r="A2319" s="431"/>
      <c r="B2319" s="750"/>
      <c r="C2319" s="1393"/>
      <c r="D2319" s="748" t="s">
        <v>1127</v>
      </c>
      <c r="E2319" s="1493" t="s">
        <v>62</v>
      </c>
      <c r="F2319" s="833"/>
      <c r="G2319" s="833">
        <v>344</v>
      </c>
      <c r="H2319" s="833">
        <v>344</v>
      </c>
      <c r="I2319" s="828">
        <f t="shared" si="247"/>
        <v>100</v>
      </c>
    </row>
    <row r="2320" spans="1:20" ht="16.5" thickTop="1" thickBot="1" x14ac:dyDescent="0.3">
      <c r="A2320" s="2672" t="s">
        <v>1105</v>
      </c>
      <c r="B2320" s="2673"/>
      <c r="C2320" s="2673"/>
      <c r="D2320" s="2673"/>
      <c r="E2320" s="2673"/>
      <c r="F2320" s="824">
        <f>F2299+F2309+F2314</f>
        <v>3945</v>
      </c>
      <c r="G2320" s="824">
        <f>G2299+G2303+G2309+G2312+G2314+G2316+G2318</f>
        <v>35147</v>
      </c>
      <c r="H2320" s="824">
        <f>H2299+H2303+H2309+H2312+H2314+H2316+H2318</f>
        <v>35147</v>
      </c>
      <c r="I2320" s="825">
        <f t="shared" si="247"/>
        <v>100</v>
      </c>
      <c r="R2320" s="382">
        <f>F2320</f>
        <v>3945</v>
      </c>
      <c r="S2320" s="382">
        <f>G2320</f>
        <v>35147</v>
      </c>
      <c r="T2320" s="382">
        <f>H2320</f>
        <v>35147</v>
      </c>
    </row>
    <row r="2321" spans="1:9" ht="13.5" thickTop="1" x14ac:dyDescent="0.2"/>
    <row r="2329" spans="1:9" s="1483" customFormat="1" ht="13.5" thickBot="1" x14ac:dyDescent="0.25">
      <c r="A2329" s="1510" t="s">
        <v>2073</v>
      </c>
      <c r="B2329" s="1497"/>
      <c r="D2329" s="1498"/>
      <c r="F2329" s="1496"/>
      <c r="G2329" s="1496"/>
      <c r="H2329" s="1496"/>
      <c r="I2329" s="1499" t="s">
        <v>161</v>
      </c>
    </row>
    <row r="2330" spans="1:9" ht="14.25" thickTop="1" thickBot="1" x14ac:dyDescent="0.25">
      <c r="A2330" s="631" t="s">
        <v>624</v>
      </c>
      <c r="B2330" s="774" t="s">
        <v>162</v>
      </c>
      <c r="C2330" s="632" t="s">
        <v>163</v>
      </c>
      <c r="D2330" s="634" t="s">
        <v>705</v>
      </c>
      <c r="E2330" s="634" t="s">
        <v>164</v>
      </c>
      <c r="F2330" s="634" t="s">
        <v>165</v>
      </c>
      <c r="G2330" s="634" t="s">
        <v>881</v>
      </c>
      <c r="H2330" s="634" t="s">
        <v>882</v>
      </c>
      <c r="I2330" s="818" t="s">
        <v>883</v>
      </c>
    </row>
    <row r="2331" spans="1:9" ht="14.25" thickTop="1" thickBot="1" x14ac:dyDescent="0.25">
      <c r="A2331" s="566">
        <v>1</v>
      </c>
      <c r="B2331" s="567">
        <v>2</v>
      </c>
      <c r="C2331" s="567">
        <v>3</v>
      </c>
      <c r="D2331" s="567">
        <v>4</v>
      </c>
      <c r="E2331" s="567">
        <v>5</v>
      </c>
      <c r="F2331" s="541">
        <v>6</v>
      </c>
      <c r="G2331" s="541">
        <v>7</v>
      </c>
      <c r="H2331" s="542">
        <v>8</v>
      </c>
      <c r="I2331" s="636" t="s">
        <v>762</v>
      </c>
    </row>
    <row r="2332" spans="1:9" ht="15.75" thickTop="1" x14ac:dyDescent="0.25">
      <c r="A2332" s="1402">
        <v>1226</v>
      </c>
      <c r="B2332" s="847">
        <v>3122</v>
      </c>
      <c r="C2332" s="847">
        <v>5336</v>
      </c>
      <c r="D2332" s="852"/>
      <c r="E2332" s="672" t="s">
        <v>2054</v>
      </c>
      <c r="F2332" s="845"/>
      <c r="G2332" s="845">
        <v>2635</v>
      </c>
      <c r="H2332" s="845">
        <v>2635</v>
      </c>
      <c r="I2332" s="849">
        <f>(H2332/G2332)*100</f>
        <v>100</v>
      </c>
    </row>
    <row r="2333" spans="1:9" ht="18" customHeight="1" x14ac:dyDescent="0.2">
      <c r="A2333" s="431"/>
      <c r="B2333" s="673"/>
      <c r="C2333" s="673"/>
      <c r="D2333" s="552" t="s">
        <v>1124</v>
      </c>
      <c r="E2333" s="455" t="s">
        <v>792</v>
      </c>
      <c r="F2333" s="827"/>
      <c r="G2333" s="827">
        <v>2635</v>
      </c>
      <c r="H2333" s="827">
        <v>2635</v>
      </c>
      <c r="I2333" s="823">
        <v>100</v>
      </c>
    </row>
    <row r="2334" spans="1:9" ht="15" x14ac:dyDescent="0.25">
      <c r="A2334" s="431">
        <v>1226</v>
      </c>
      <c r="B2334" s="673">
        <v>3123</v>
      </c>
      <c r="C2334" s="673">
        <v>5331</v>
      </c>
      <c r="D2334" s="819"/>
      <c r="E2334" s="792" t="s">
        <v>951</v>
      </c>
      <c r="F2334" s="820">
        <f>F2335+F2336+F2338</f>
        <v>3275</v>
      </c>
      <c r="G2334" s="820">
        <f>G2335+G2336+G2337+G2338</f>
        <v>4553</v>
      </c>
      <c r="H2334" s="820">
        <f>H2335+H2336+H2337+H2338</f>
        <v>4553</v>
      </c>
      <c r="I2334" s="821">
        <f>(H2334/G2334)*100</f>
        <v>100</v>
      </c>
    </row>
    <row r="2335" spans="1:9" ht="14.25" x14ac:dyDescent="0.2">
      <c r="A2335" s="431"/>
      <c r="B2335" s="673"/>
      <c r="C2335" s="673"/>
      <c r="D2335" s="707" t="s">
        <v>575</v>
      </c>
      <c r="E2335" s="1478" t="s">
        <v>793</v>
      </c>
      <c r="F2335" s="827">
        <v>1281</v>
      </c>
      <c r="G2335" s="827">
        <v>1625</v>
      </c>
      <c r="H2335" s="827">
        <v>1625</v>
      </c>
      <c r="I2335" s="823">
        <f>(H2335/G2335)*100</f>
        <v>100</v>
      </c>
    </row>
    <row r="2336" spans="1:9" ht="14.25" x14ac:dyDescent="0.2">
      <c r="A2336" s="431"/>
      <c r="B2336" s="673"/>
      <c r="C2336" s="673"/>
      <c r="D2336" s="552" t="s">
        <v>570</v>
      </c>
      <c r="E2336" s="455" t="s">
        <v>71</v>
      </c>
      <c r="F2336" s="827">
        <v>1994</v>
      </c>
      <c r="G2336" s="827">
        <v>2665</v>
      </c>
      <c r="H2336" s="827">
        <v>2665</v>
      </c>
      <c r="I2336" s="823">
        <v>100</v>
      </c>
    </row>
    <row r="2337" spans="1:9" ht="14.25" x14ac:dyDescent="0.2">
      <c r="A2337" s="431"/>
      <c r="B2337" s="673"/>
      <c r="C2337" s="673"/>
      <c r="D2337" s="552" t="s">
        <v>665</v>
      </c>
      <c r="E2337" s="455" t="s">
        <v>74</v>
      </c>
      <c r="F2337" s="833"/>
      <c r="G2337" s="833">
        <v>84</v>
      </c>
      <c r="H2337" s="833">
        <v>84</v>
      </c>
      <c r="I2337" s="828">
        <f t="shared" ref="I2337" si="249">(H2337/G2337)*100</f>
        <v>100</v>
      </c>
    </row>
    <row r="2338" spans="1:9" ht="14.25" x14ac:dyDescent="0.2">
      <c r="A2338" s="431"/>
      <c r="B2338" s="673"/>
      <c r="C2338" s="673"/>
      <c r="D2338" s="1069" t="s">
        <v>924</v>
      </c>
      <c r="E2338" s="1161" t="s">
        <v>1213</v>
      </c>
      <c r="F2338" s="827"/>
      <c r="G2338" s="827">
        <v>179</v>
      </c>
      <c r="H2338" s="827">
        <v>179</v>
      </c>
      <c r="I2338" s="823">
        <v>100</v>
      </c>
    </row>
    <row r="2339" spans="1:9" ht="15" x14ac:dyDescent="0.25">
      <c r="A2339" s="431">
        <v>1226</v>
      </c>
      <c r="B2339" s="673">
        <v>3123</v>
      </c>
      <c r="C2339" s="673">
        <v>5336</v>
      </c>
      <c r="D2339" s="2541"/>
      <c r="E2339" s="672" t="s">
        <v>2054</v>
      </c>
      <c r="F2339" s="827"/>
      <c r="G2339" s="851">
        <f>G2340+G2341+G2343+G2344</f>
        <v>14350</v>
      </c>
      <c r="H2339" s="851">
        <f>H2340+H2341+H2343+H2344</f>
        <v>14350</v>
      </c>
      <c r="I2339" s="853">
        <v>100</v>
      </c>
    </row>
    <row r="2340" spans="1:9" ht="14.25" x14ac:dyDescent="0.2">
      <c r="A2340" s="431"/>
      <c r="B2340" s="673"/>
      <c r="C2340" s="673"/>
      <c r="D2340" s="1068" t="s">
        <v>1905</v>
      </c>
      <c r="E2340" s="2529" t="s">
        <v>1827</v>
      </c>
      <c r="F2340" s="314"/>
      <c r="G2340" s="316">
        <v>518</v>
      </c>
      <c r="H2340" s="316">
        <v>518</v>
      </c>
      <c r="I2340" s="1074">
        <f t="shared" ref="I2340" si="250">(H2340/G2340)*100</f>
        <v>100</v>
      </c>
    </row>
    <row r="2341" spans="1:9" ht="14.25" x14ac:dyDescent="0.2">
      <c r="A2341" s="431"/>
      <c r="B2341" s="673"/>
      <c r="C2341" s="673"/>
      <c r="D2341" s="1068" t="s">
        <v>1911</v>
      </c>
      <c r="E2341" s="2671" t="s">
        <v>2051</v>
      </c>
      <c r="F2341" s="827"/>
      <c r="G2341" s="837">
        <v>29</v>
      </c>
      <c r="H2341" s="837">
        <v>29</v>
      </c>
      <c r="I2341" s="823">
        <v>29</v>
      </c>
    </row>
    <row r="2342" spans="1:9" ht="15" x14ac:dyDescent="0.25">
      <c r="A2342" s="431"/>
      <c r="B2342" s="673"/>
      <c r="C2342" s="673"/>
      <c r="D2342" s="1068"/>
      <c r="E2342" s="2671"/>
      <c r="F2342" s="827"/>
      <c r="G2342" s="846"/>
      <c r="H2342" s="846"/>
      <c r="I2342" s="853"/>
    </row>
    <row r="2343" spans="1:9" ht="15" x14ac:dyDescent="0.2">
      <c r="A2343" s="431"/>
      <c r="B2343" s="673"/>
      <c r="C2343" s="673"/>
      <c r="D2343" s="1068" t="s">
        <v>1913</v>
      </c>
      <c r="E2343" s="2113" t="s">
        <v>2052</v>
      </c>
      <c r="F2343" s="2530"/>
      <c r="G2343" s="2531">
        <v>82</v>
      </c>
      <c r="H2343" s="2531">
        <v>82</v>
      </c>
      <c r="I2343" s="376">
        <f t="shared" ref="I2343" si="251">(H2343/G2343)*100</f>
        <v>100</v>
      </c>
    </row>
    <row r="2344" spans="1:9" ht="14.25" customHeight="1" x14ac:dyDescent="0.2">
      <c r="A2344" s="431"/>
      <c r="B2344" s="673"/>
      <c r="C2344" s="673"/>
      <c r="D2344" s="552" t="s">
        <v>1124</v>
      </c>
      <c r="E2344" s="455" t="s">
        <v>792</v>
      </c>
      <c r="F2344" s="827"/>
      <c r="G2344" s="827">
        <v>13721</v>
      </c>
      <c r="H2344" s="827">
        <v>13721</v>
      </c>
      <c r="I2344" s="823">
        <v>100</v>
      </c>
    </row>
    <row r="2345" spans="1:9" ht="15" x14ac:dyDescent="0.25">
      <c r="A2345" s="431">
        <v>1226</v>
      </c>
      <c r="B2345" s="750">
        <v>3142</v>
      </c>
      <c r="C2345" s="750">
        <v>5331</v>
      </c>
      <c r="D2345" s="859"/>
      <c r="E2345" s="672" t="s">
        <v>951</v>
      </c>
      <c r="F2345" s="835">
        <f>F2346+F2347+F2348</f>
        <v>1094</v>
      </c>
      <c r="G2345" s="835">
        <f>G2346+G2347+G2348</f>
        <v>1209</v>
      </c>
      <c r="H2345" s="835">
        <f>H2346+H2347+H2348</f>
        <v>1209</v>
      </c>
      <c r="I2345" s="836">
        <f>(H2345/G2345)*100</f>
        <v>100</v>
      </c>
    </row>
    <row r="2346" spans="1:9" ht="14.25" x14ac:dyDescent="0.2">
      <c r="A2346" s="431"/>
      <c r="B2346" s="750"/>
      <c r="C2346" s="750"/>
      <c r="D2346" s="707" t="s">
        <v>575</v>
      </c>
      <c r="E2346" s="1478" t="s">
        <v>793</v>
      </c>
      <c r="F2346" s="833">
        <v>246</v>
      </c>
      <c r="G2346" s="833">
        <v>265</v>
      </c>
      <c r="H2346" s="833">
        <v>265</v>
      </c>
      <c r="I2346" s="828">
        <f>(H2346/G2346)*100</f>
        <v>100</v>
      </c>
    </row>
    <row r="2347" spans="1:9" ht="18" customHeight="1" x14ac:dyDescent="0.2">
      <c r="A2347" s="431"/>
      <c r="B2347" s="750"/>
      <c r="C2347" s="750"/>
      <c r="D2347" s="552" t="s">
        <v>570</v>
      </c>
      <c r="E2347" s="455" t="s">
        <v>71</v>
      </c>
      <c r="F2347" s="833">
        <v>618</v>
      </c>
      <c r="G2347" s="833">
        <v>714</v>
      </c>
      <c r="H2347" s="833">
        <v>714</v>
      </c>
      <c r="I2347" s="828">
        <v>100</v>
      </c>
    </row>
    <row r="2348" spans="1:9" ht="14.25" x14ac:dyDescent="0.2">
      <c r="A2348" s="431"/>
      <c r="B2348" s="750"/>
      <c r="C2348" s="750"/>
      <c r="D2348" s="552" t="s">
        <v>665</v>
      </c>
      <c r="E2348" s="455" t="s">
        <v>74</v>
      </c>
      <c r="F2348" s="833">
        <v>230</v>
      </c>
      <c r="G2348" s="833">
        <v>230</v>
      </c>
      <c r="H2348" s="833">
        <v>230</v>
      </c>
      <c r="I2348" s="828">
        <v>100</v>
      </c>
    </row>
    <row r="2349" spans="1:9" ht="15" x14ac:dyDescent="0.25">
      <c r="A2349" s="431">
        <v>1226</v>
      </c>
      <c r="B2349" s="750">
        <v>3142</v>
      </c>
      <c r="C2349" s="750">
        <v>5336</v>
      </c>
      <c r="D2349" s="552"/>
      <c r="E2349" s="672" t="s">
        <v>2054</v>
      </c>
      <c r="F2349" s="833"/>
      <c r="G2349" s="846">
        <v>1048</v>
      </c>
      <c r="H2349" s="846">
        <v>1048</v>
      </c>
      <c r="I2349" s="838">
        <v>100</v>
      </c>
    </row>
    <row r="2350" spans="1:9" ht="14.25" x14ac:dyDescent="0.2">
      <c r="A2350" s="431"/>
      <c r="B2350" s="750"/>
      <c r="C2350" s="750"/>
      <c r="D2350" s="552" t="s">
        <v>1124</v>
      </c>
      <c r="E2350" s="455" t="s">
        <v>792</v>
      </c>
      <c r="F2350" s="833"/>
      <c r="G2350" s="833">
        <v>1048</v>
      </c>
      <c r="H2350" s="833">
        <v>1048</v>
      </c>
      <c r="I2350" s="828">
        <v>100</v>
      </c>
    </row>
    <row r="2351" spans="1:9" ht="15" x14ac:dyDescent="0.25">
      <c r="A2351" s="431">
        <v>1226</v>
      </c>
      <c r="B2351" s="750">
        <v>3147</v>
      </c>
      <c r="C2351" s="750">
        <v>5331</v>
      </c>
      <c r="D2351" s="859"/>
      <c r="E2351" s="672" t="s">
        <v>951</v>
      </c>
      <c r="F2351" s="835">
        <f>F2352+F2353</f>
        <v>756</v>
      </c>
      <c r="G2351" s="835">
        <f>G2352+G2353</f>
        <v>820</v>
      </c>
      <c r="H2351" s="835">
        <f>H2352+H2353</f>
        <v>820</v>
      </c>
      <c r="I2351" s="836">
        <f t="shared" ref="I2351:I2358" si="252">(H2351/G2351)*100</f>
        <v>100</v>
      </c>
    </row>
    <row r="2352" spans="1:9" ht="14.25" x14ac:dyDescent="0.2">
      <c r="A2352" s="431"/>
      <c r="B2352" s="750"/>
      <c r="C2352" s="750"/>
      <c r="D2352" s="707" t="s">
        <v>575</v>
      </c>
      <c r="E2352" s="1478" t="s">
        <v>793</v>
      </c>
      <c r="F2352" s="833">
        <v>218</v>
      </c>
      <c r="G2352" s="833">
        <v>237</v>
      </c>
      <c r="H2352" s="833">
        <v>237</v>
      </c>
      <c r="I2352" s="828">
        <f t="shared" si="252"/>
        <v>100</v>
      </c>
    </row>
    <row r="2353" spans="1:20" ht="14.25" x14ac:dyDescent="0.2">
      <c r="A2353" s="431"/>
      <c r="B2353" s="750"/>
      <c r="C2353" s="750"/>
      <c r="D2353" s="552" t="s">
        <v>570</v>
      </c>
      <c r="E2353" s="455" t="s">
        <v>71</v>
      </c>
      <c r="F2353" s="833">
        <v>538</v>
      </c>
      <c r="G2353" s="833">
        <v>583</v>
      </c>
      <c r="H2353" s="833">
        <v>583</v>
      </c>
      <c r="I2353" s="828">
        <f t="shared" si="252"/>
        <v>100</v>
      </c>
    </row>
    <row r="2354" spans="1:20" ht="15" x14ac:dyDescent="0.25">
      <c r="A2354" s="431">
        <v>1226</v>
      </c>
      <c r="B2354" s="750">
        <v>3147</v>
      </c>
      <c r="C2354" s="750">
        <v>5336</v>
      </c>
      <c r="D2354" s="552"/>
      <c r="E2354" s="672" t="s">
        <v>2054</v>
      </c>
      <c r="F2354" s="833"/>
      <c r="G2354" s="846">
        <v>2369</v>
      </c>
      <c r="H2354" s="846">
        <v>2369</v>
      </c>
      <c r="I2354" s="838">
        <f t="shared" si="252"/>
        <v>100</v>
      </c>
    </row>
    <row r="2355" spans="1:20" ht="14.25" x14ac:dyDescent="0.2">
      <c r="A2355" s="431"/>
      <c r="B2355" s="750"/>
      <c r="C2355" s="1393"/>
      <c r="D2355" s="552" t="s">
        <v>1124</v>
      </c>
      <c r="E2355" s="455" t="s">
        <v>792</v>
      </c>
      <c r="F2355" s="833"/>
      <c r="G2355" s="833">
        <v>2369</v>
      </c>
      <c r="H2355" s="833">
        <v>2369</v>
      </c>
      <c r="I2355" s="828">
        <f t="shared" si="252"/>
        <v>100</v>
      </c>
    </row>
    <row r="2356" spans="1:20" ht="15" x14ac:dyDescent="0.25">
      <c r="A2356" s="431">
        <v>1226</v>
      </c>
      <c r="B2356" s="750">
        <v>3293</v>
      </c>
      <c r="C2356" s="750">
        <v>5336</v>
      </c>
      <c r="D2356" s="552"/>
      <c r="E2356" s="672" t="s">
        <v>2054</v>
      </c>
      <c r="F2356" s="835"/>
      <c r="G2356" s="835">
        <v>14</v>
      </c>
      <c r="H2356" s="835">
        <v>14</v>
      </c>
      <c r="I2356" s="836">
        <f t="shared" si="252"/>
        <v>100</v>
      </c>
    </row>
    <row r="2357" spans="1:20" ht="15" thickBot="1" x14ac:dyDescent="0.25">
      <c r="A2357" s="431"/>
      <c r="B2357" s="750"/>
      <c r="C2357" s="750"/>
      <c r="D2357" s="748" t="s">
        <v>1127</v>
      </c>
      <c r="E2357" s="1493" t="s">
        <v>62</v>
      </c>
      <c r="F2357" s="833"/>
      <c r="G2357" s="833">
        <v>14</v>
      </c>
      <c r="H2357" s="833">
        <v>14</v>
      </c>
      <c r="I2357" s="828">
        <f t="shared" si="252"/>
        <v>100</v>
      </c>
    </row>
    <row r="2358" spans="1:20" ht="16.5" thickTop="1" thickBot="1" x14ac:dyDescent="0.3">
      <c r="A2358" s="2672" t="s">
        <v>1105</v>
      </c>
      <c r="B2358" s="2673"/>
      <c r="C2358" s="2673"/>
      <c r="D2358" s="2673"/>
      <c r="E2358" s="2673"/>
      <c r="F2358" s="824">
        <f>F2334+F2345+F2351</f>
        <v>5125</v>
      </c>
      <c r="G2358" s="824">
        <f>G2332+G2334+G2339+G2345+G2349+G2351+G2354+G2356</f>
        <v>26998</v>
      </c>
      <c r="H2358" s="824">
        <f>H2332+H2334+H2339+H2345+H2349+H2351+H2354+H2356</f>
        <v>26998</v>
      </c>
      <c r="I2358" s="825">
        <f t="shared" si="252"/>
        <v>100</v>
      </c>
      <c r="R2358" s="382">
        <f>F2358</f>
        <v>5125</v>
      </c>
      <c r="S2358" s="382">
        <f>G2358</f>
        <v>26998</v>
      </c>
      <c r="T2358" s="382">
        <f>H2358</f>
        <v>26998</v>
      </c>
    </row>
    <row r="2359" spans="1:20" ht="15.75" thickTop="1" x14ac:dyDescent="0.25">
      <c r="A2359" s="368"/>
      <c r="B2359" s="368"/>
      <c r="C2359" s="368"/>
      <c r="D2359" s="368"/>
      <c r="E2359" s="368"/>
      <c r="F2359" s="181"/>
      <c r="G2359" s="181"/>
      <c r="H2359" s="181"/>
      <c r="I2359" s="210"/>
      <c r="R2359" s="382"/>
      <c r="S2359" s="382"/>
      <c r="T2359" s="382"/>
    </row>
    <row r="2360" spans="1:20" ht="15" x14ac:dyDescent="0.25">
      <c r="A2360" s="368"/>
      <c r="B2360" s="368"/>
      <c r="C2360" s="368"/>
      <c r="D2360" s="368"/>
      <c r="E2360" s="368"/>
      <c r="F2360" s="181"/>
      <c r="G2360" s="181"/>
      <c r="H2360" s="181"/>
      <c r="I2360" s="210"/>
      <c r="R2360" s="382"/>
      <c r="S2360" s="382"/>
      <c r="T2360" s="382"/>
    </row>
    <row r="2361" spans="1:20" ht="13.5" thickBot="1" x14ac:dyDescent="0.25">
      <c r="A2361" s="432" t="s">
        <v>176</v>
      </c>
      <c r="I2361" s="1390" t="s">
        <v>161</v>
      </c>
    </row>
    <row r="2362" spans="1:20" ht="14.25" thickTop="1" thickBot="1" x14ac:dyDescent="0.25">
      <c r="A2362" s="631" t="s">
        <v>624</v>
      </c>
      <c r="B2362" s="774" t="s">
        <v>162</v>
      </c>
      <c r="C2362" s="632" t="s">
        <v>163</v>
      </c>
      <c r="D2362" s="634" t="s">
        <v>705</v>
      </c>
      <c r="E2362" s="634" t="s">
        <v>164</v>
      </c>
      <c r="F2362" s="634" t="s">
        <v>165</v>
      </c>
      <c r="G2362" s="634" t="s">
        <v>881</v>
      </c>
      <c r="H2362" s="634" t="s">
        <v>882</v>
      </c>
      <c r="I2362" s="818" t="s">
        <v>883</v>
      </c>
    </row>
    <row r="2363" spans="1:20" ht="14.25" thickTop="1" thickBot="1" x14ac:dyDescent="0.25">
      <c r="A2363" s="566">
        <v>1</v>
      </c>
      <c r="B2363" s="567">
        <v>2</v>
      </c>
      <c r="C2363" s="567">
        <v>3</v>
      </c>
      <c r="D2363" s="567">
        <v>4</v>
      </c>
      <c r="E2363" s="567">
        <v>5</v>
      </c>
      <c r="F2363" s="541">
        <v>6</v>
      </c>
      <c r="G2363" s="541">
        <v>7</v>
      </c>
      <c r="H2363" s="542">
        <v>8</v>
      </c>
      <c r="I2363" s="636" t="s">
        <v>762</v>
      </c>
    </row>
    <row r="2364" spans="1:20" ht="15.75" thickTop="1" x14ac:dyDescent="0.25">
      <c r="A2364" s="1402">
        <v>1227</v>
      </c>
      <c r="B2364" s="847">
        <v>3122</v>
      </c>
      <c r="C2364" s="847">
        <v>5336</v>
      </c>
      <c r="D2364" s="852"/>
      <c r="E2364" s="672" t="s">
        <v>2054</v>
      </c>
      <c r="F2364" s="845"/>
      <c r="G2364" s="845">
        <v>1339</v>
      </c>
      <c r="H2364" s="845">
        <v>1339</v>
      </c>
      <c r="I2364" s="849">
        <f>(H2364/G2364)*100</f>
        <v>100</v>
      </c>
    </row>
    <row r="2365" spans="1:20" ht="14.25" x14ac:dyDescent="0.2">
      <c r="A2365" s="431"/>
      <c r="B2365" s="673"/>
      <c r="C2365" s="673"/>
      <c r="D2365" s="552" t="s">
        <v>1124</v>
      </c>
      <c r="E2365" s="455" t="s">
        <v>792</v>
      </c>
      <c r="F2365" s="827"/>
      <c r="G2365" s="827">
        <v>1339</v>
      </c>
      <c r="H2365" s="827">
        <v>1339</v>
      </c>
      <c r="I2365" s="823">
        <v>100</v>
      </c>
    </row>
    <row r="2366" spans="1:20" ht="15" x14ac:dyDescent="0.25">
      <c r="A2366" s="431">
        <v>1227</v>
      </c>
      <c r="B2366" s="673">
        <v>3123</v>
      </c>
      <c r="C2366" s="673">
        <v>5331</v>
      </c>
      <c r="D2366" s="819"/>
      <c r="E2366" s="792" t="s">
        <v>951</v>
      </c>
      <c r="F2366" s="820">
        <f>F2367+F2368+F2369</f>
        <v>3371</v>
      </c>
      <c r="G2366" s="820">
        <f>G2367+G2368+G2369</f>
        <v>2104</v>
      </c>
      <c r="H2366" s="820">
        <f>H2367+H2368+H2369</f>
        <v>2104</v>
      </c>
      <c r="I2366" s="821">
        <f t="shared" ref="I2366:I2378" si="253">(H2366/G2366)*100</f>
        <v>100</v>
      </c>
    </row>
    <row r="2367" spans="1:20" ht="14.25" x14ac:dyDescent="0.2">
      <c r="A2367" s="431"/>
      <c r="B2367" s="673"/>
      <c r="C2367" s="673"/>
      <c r="D2367" s="707" t="s">
        <v>575</v>
      </c>
      <c r="E2367" s="1478" t="s">
        <v>793</v>
      </c>
      <c r="F2367" s="356">
        <v>1027</v>
      </c>
      <c r="G2367" s="827">
        <v>556</v>
      </c>
      <c r="H2367" s="827">
        <v>556</v>
      </c>
      <c r="I2367" s="823">
        <f t="shared" si="253"/>
        <v>100</v>
      </c>
    </row>
    <row r="2368" spans="1:20" ht="14.25" x14ac:dyDescent="0.2">
      <c r="A2368" s="431"/>
      <c r="B2368" s="673"/>
      <c r="C2368" s="673"/>
      <c r="D2368" s="552" t="s">
        <v>570</v>
      </c>
      <c r="E2368" s="455" t="s">
        <v>71</v>
      </c>
      <c r="F2368" s="827">
        <v>2094</v>
      </c>
      <c r="G2368" s="827">
        <v>1382</v>
      </c>
      <c r="H2368" s="827">
        <v>1382</v>
      </c>
      <c r="I2368" s="823">
        <f t="shared" si="253"/>
        <v>100</v>
      </c>
    </row>
    <row r="2369" spans="1:9" ht="14.25" x14ac:dyDescent="0.2">
      <c r="A2369" s="431"/>
      <c r="B2369" s="673"/>
      <c r="C2369" s="673"/>
      <c r="D2369" s="552" t="s">
        <v>665</v>
      </c>
      <c r="E2369" s="455" t="s">
        <v>74</v>
      </c>
      <c r="F2369" s="827">
        <v>250</v>
      </c>
      <c r="G2369" s="827">
        <v>166</v>
      </c>
      <c r="H2369" s="827">
        <v>166</v>
      </c>
      <c r="I2369" s="823">
        <f t="shared" si="253"/>
        <v>100</v>
      </c>
    </row>
    <row r="2370" spans="1:9" ht="15" x14ac:dyDescent="0.25">
      <c r="A2370" s="431">
        <v>1227</v>
      </c>
      <c r="B2370" s="673">
        <v>3123</v>
      </c>
      <c r="C2370" s="673">
        <v>5336</v>
      </c>
      <c r="D2370" s="1068"/>
      <c r="E2370" s="672" t="s">
        <v>2054</v>
      </c>
      <c r="F2370" s="827"/>
      <c r="G2370" s="851">
        <f>G2371+G2372</f>
        <v>3935</v>
      </c>
      <c r="H2370" s="851">
        <f>H2371+H2372</f>
        <v>3935</v>
      </c>
      <c r="I2370" s="853">
        <f t="shared" si="253"/>
        <v>100</v>
      </c>
    </row>
    <row r="2371" spans="1:9" ht="14.25" x14ac:dyDescent="0.2">
      <c r="A2371" s="431"/>
      <c r="B2371" s="673"/>
      <c r="C2371" s="673"/>
      <c r="D2371" s="1068" t="s">
        <v>1905</v>
      </c>
      <c r="E2371" s="2529" t="s">
        <v>1827</v>
      </c>
      <c r="F2371" s="314"/>
      <c r="G2371" s="316">
        <v>152</v>
      </c>
      <c r="H2371" s="316">
        <v>152</v>
      </c>
      <c r="I2371" s="1074">
        <f t="shared" si="253"/>
        <v>100</v>
      </c>
    </row>
    <row r="2372" spans="1:9" ht="14.25" x14ac:dyDescent="0.2">
      <c r="A2372" s="431"/>
      <c r="B2372" s="673"/>
      <c r="C2372" s="673"/>
      <c r="D2372" s="552" t="s">
        <v>1124</v>
      </c>
      <c r="E2372" s="455" t="s">
        <v>792</v>
      </c>
      <c r="F2372" s="827"/>
      <c r="G2372" s="827">
        <v>3783</v>
      </c>
      <c r="H2372" s="827">
        <v>3783</v>
      </c>
      <c r="I2372" s="823">
        <f t="shared" si="253"/>
        <v>100</v>
      </c>
    </row>
    <row r="2373" spans="1:9" ht="15" x14ac:dyDescent="0.25">
      <c r="A2373" s="431">
        <v>1227</v>
      </c>
      <c r="B2373" s="750">
        <v>3142</v>
      </c>
      <c r="C2373" s="750">
        <v>5331</v>
      </c>
      <c r="D2373" s="859"/>
      <c r="E2373" s="672" t="s">
        <v>951</v>
      </c>
      <c r="F2373" s="835">
        <f>F2374+F2375</f>
        <v>333</v>
      </c>
      <c r="G2373" s="835">
        <f>G2374+G2375</f>
        <v>260</v>
      </c>
      <c r="H2373" s="835">
        <f>H2374+H2375</f>
        <v>260</v>
      </c>
      <c r="I2373" s="836">
        <f t="shared" si="253"/>
        <v>100</v>
      </c>
    </row>
    <row r="2374" spans="1:9" ht="14.25" x14ac:dyDescent="0.2">
      <c r="A2374" s="431"/>
      <c r="B2374" s="750"/>
      <c r="C2374" s="750"/>
      <c r="D2374" s="707" t="s">
        <v>575</v>
      </c>
      <c r="E2374" s="1478" t="s">
        <v>793</v>
      </c>
      <c r="F2374" s="833">
        <v>26</v>
      </c>
      <c r="G2374" s="833">
        <v>58</v>
      </c>
      <c r="H2374" s="833">
        <v>58</v>
      </c>
      <c r="I2374" s="828">
        <f t="shared" si="253"/>
        <v>100</v>
      </c>
    </row>
    <row r="2375" spans="1:9" ht="14.25" x14ac:dyDescent="0.2">
      <c r="A2375" s="431"/>
      <c r="B2375" s="750"/>
      <c r="C2375" s="750"/>
      <c r="D2375" s="552" t="s">
        <v>570</v>
      </c>
      <c r="E2375" s="455" t="s">
        <v>71</v>
      </c>
      <c r="F2375" s="833">
        <v>307</v>
      </c>
      <c r="G2375" s="833">
        <v>202</v>
      </c>
      <c r="H2375" s="833">
        <v>202</v>
      </c>
      <c r="I2375" s="828">
        <f t="shared" si="253"/>
        <v>100</v>
      </c>
    </row>
    <row r="2376" spans="1:9" ht="15" x14ac:dyDescent="0.25">
      <c r="A2376" s="431">
        <v>1227</v>
      </c>
      <c r="B2376" s="750">
        <v>3142</v>
      </c>
      <c r="C2376" s="750">
        <v>5336</v>
      </c>
      <c r="D2376" s="552"/>
      <c r="E2376" s="672" t="s">
        <v>2054</v>
      </c>
      <c r="F2376" s="833"/>
      <c r="G2376" s="846">
        <v>128</v>
      </c>
      <c r="H2376" s="846">
        <v>128</v>
      </c>
      <c r="I2376" s="838">
        <f t="shared" si="253"/>
        <v>100</v>
      </c>
    </row>
    <row r="2377" spans="1:9" ht="14.25" x14ac:dyDescent="0.2">
      <c r="A2377" s="431"/>
      <c r="B2377" s="750"/>
      <c r="C2377" s="1393"/>
      <c r="D2377" s="552" t="s">
        <v>1124</v>
      </c>
      <c r="E2377" s="455" t="s">
        <v>792</v>
      </c>
      <c r="F2377" s="833"/>
      <c r="G2377" s="833">
        <v>128</v>
      </c>
      <c r="H2377" s="833">
        <v>128</v>
      </c>
      <c r="I2377" s="828">
        <f t="shared" si="253"/>
        <v>100</v>
      </c>
    </row>
    <row r="2378" spans="1:9" ht="15" x14ac:dyDescent="0.25">
      <c r="A2378" s="431">
        <v>1227</v>
      </c>
      <c r="B2378" s="750">
        <v>3147</v>
      </c>
      <c r="C2378" s="750">
        <v>5331</v>
      </c>
      <c r="D2378" s="859"/>
      <c r="E2378" s="672" t="s">
        <v>951</v>
      </c>
      <c r="F2378" s="835">
        <f>SUM(F2379:F2382)</f>
        <v>195</v>
      </c>
      <c r="G2378" s="835">
        <f>G2379+G2380</f>
        <v>160</v>
      </c>
      <c r="H2378" s="835">
        <f>H2379+H2380</f>
        <v>160</v>
      </c>
      <c r="I2378" s="836">
        <f t="shared" si="253"/>
        <v>100</v>
      </c>
    </row>
    <row r="2379" spans="1:9" ht="14.25" x14ac:dyDescent="0.2">
      <c r="A2379" s="431"/>
      <c r="B2379" s="750"/>
      <c r="C2379" s="750"/>
      <c r="D2379" s="707" t="s">
        <v>575</v>
      </c>
      <c r="E2379" s="1478" t="s">
        <v>793</v>
      </c>
      <c r="F2379" s="833">
        <v>42</v>
      </c>
      <c r="G2379" s="833">
        <v>59</v>
      </c>
      <c r="H2379" s="833">
        <v>59</v>
      </c>
      <c r="I2379" s="828">
        <v>100</v>
      </c>
    </row>
    <row r="2380" spans="1:9" ht="14.25" x14ac:dyDescent="0.2">
      <c r="A2380" s="431"/>
      <c r="B2380" s="750"/>
      <c r="C2380" s="750"/>
      <c r="D2380" s="552" t="s">
        <v>570</v>
      </c>
      <c r="E2380" s="455" t="s">
        <v>71</v>
      </c>
      <c r="F2380" s="833">
        <v>153</v>
      </c>
      <c r="G2380" s="833">
        <v>101</v>
      </c>
      <c r="H2380" s="833">
        <v>101</v>
      </c>
      <c r="I2380" s="828">
        <v>100</v>
      </c>
    </row>
    <row r="2381" spans="1:9" ht="15" x14ac:dyDescent="0.25">
      <c r="A2381" s="431">
        <v>1227</v>
      </c>
      <c r="B2381" s="750">
        <v>3147</v>
      </c>
      <c r="C2381" s="750">
        <v>5336</v>
      </c>
      <c r="D2381" s="552"/>
      <c r="E2381" s="672" t="s">
        <v>2054</v>
      </c>
      <c r="F2381" s="833"/>
      <c r="G2381" s="846">
        <v>765</v>
      </c>
      <c r="H2381" s="846">
        <v>765</v>
      </c>
      <c r="I2381" s="838">
        <v>100</v>
      </c>
    </row>
    <row r="2382" spans="1:9" ht="18" customHeight="1" x14ac:dyDescent="0.2">
      <c r="A2382" s="431"/>
      <c r="B2382" s="750"/>
      <c r="C2382" s="750"/>
      <c r="D2382" s="552" t="s">
        <v>1124</v>
      </c>
      <c r="E2382" s="455" t="s">
        <v>792</v>
      </c>
      <c r="F2382" s="833"/>
      <c r="G2382" s="833">
        <v>765</v>
      </c>
      <c r="H2382" s="833">
        <v>765</v>
      </c>
      <c r="I2382" s="828">
        <f>(H2382/G2382)*100</f>
        <v>100</v>
      </c>
    </row>
    <row r="2383" spans="1:9" ht="15" x14ac:dyDescent="0.25">
      <c r="A2383" s="431">
        <v>1227</v>
      </c>
      <c r="B2383" s="750">
        <v>3792</v>
      </c>
      <c r="C2383" s="1393">
        <v>5331</v>
      </c>
      <c r="D2383" s="829"/>
      <c r="E2383" s="672" t="s">
        <v>951</v>
      </c>
      <c r="F2383" s="820"/>
      <c r="G2383" s="835">
        <v>7</v>
      </c>
      <c r="H2383" s="835">
        <v>7</v>
      </c>
      <c r="I2383" s="821">
        <f>(H2383/G2383)*100</f>
        <v>100</v>
      </c>
    </row>
    <row r="2384" spans="1:9" ht="15" thickBot="1" x14ac:dyDescent="0.25">
      <c r="A2384" s="431"/>
      <c r="B2384" s="750"/>
      <c r="C2384" s="1393"/>
      <c r="D2384" s="1059" t="s">
        <v>1319</v>
      </c>
      <c r="E2384" s="1161" t="s">
        <v>369</v>
      </c>
      <c r="F2384" s="1311"/>
      <c r="G2384" s="451">
        <v>7</v>
      </c>
      <c r="H2384" s="316">
        <v>7</v>
      </c>
      <c r="I2384" s="1074">
        <f t="shared" ref="I2384" si="254">(H2384/G2384)*100</f>
        <v>100</v>
      </c>
    </row>
    <row r="2385" spans="1:20" ht="16.5" thickTop="1" thickBot="1" x14ac:dyDescent="0.3">
      <c r="A2385" s="2672" t="s">
        <v>1105</v>
      </c>
      <c r="B2385" s="2673"/>
      <c r="C2385" s="2673"/>
      <c r="D2385" s="2673"/>
      <c r="E2385" s="2673"/>
      <c r="F2385" s="824">
        <f>F2366+F2373+F2378</f>
        <v>3899</v>
      </c>
      <c r="G2385" s="824">
        <f>G2364+G2366+G2370+G2373+G2376+G2378+G2381+G2383</f>
        <v>8698</v>
      </c>
      <c r="H2385" s="824">
        <f>H2364+H2366+H2370+H2373+H2376+H2378+H2381+H2383</f>
        <v>8698</v>
      </c>
      <c r="I2385" s="825">
        <f>(H2385/G2385)*100</f>
        <v>100</v>
      </c>
      <c r="R2385" s="382">
        <f>F2385</f>
        <v>3899</v>
      </c>
      <c r="S2385" s="382">
        <f>G2385</f>
        <v>8698</v>
      </c>
      <c r="T2385" s="382">
        <f>H2385</f>
        <v>8698</v>
      </c>
    </row>
    <row r="2386" spans="1:20" s="383" customFormat="1" ht="13.5" thickTop="1" x14ac:dyDescent="0.2">
      <c r="A2386" s="381"/>
      <c r="B2386" s="643"/>
      <c r="C2386" s="381"/>
      <c r="D2386" s="814"/>
      <c r="E2386" s="381"/>
      <c r="F2386" s="382"/>
      <c r="G2386" s="382"/>
      <c r="H2386" s="382"/>
      <c r="I2386" s="1390"/>
    </row>
    <row r="2387" spans="1:20" s="383" customFormat="1" x14ac:dyDescent="0.2">
      <c r="A2387" s="381"/>
      <c r="B2387" s="643"/>
      <c r="C2387" s="381"/>
      <c r="D2387" s="814"/>
      <c r="E2387" s="381"/>
      <c r="F2387" s="382"/>
      <c r="G2387" s="382"/>
      <c r="H2387" s="382"/>
      <c r="I2387" s="1390"/>
    </row>
    <row r="2388" spans="1:20" ht="13.5" thickBot="1" x14ac:dyDescent="0.25">
      <c r="A2388" s="432" t="s">
        <v>1076</v>
      </c>
      <c r="I2388" s="1390" t="s">
        <v>161</v>
      </c>
    </row>
    <row r="2389" spans="1:20" ht="14.25" thickTop="1" thickBot="1" x14ac:dyDescent="0.25">
      <c r="A2389" s="631" t="s">
        <v>624</v>
      </c>
      <c r="B2389" s="774" t="s">
        <v>162</v>
      </c>
      <c r="C2389" s="632" t="s">
        <v>163</v>
      </c>
      <c r="D2389" s="634" t="s">
        <v>705</v>
      </c>
      <c r="E2389" s="634" t="s">
        <v>164</v>
      </c>
      <c r="F2389" s="634" t="s">
        <v>165</v>
      </c>
      <c r="G2389" s="634" t="s">
        <v>881</v>
      </c>
      <c r="H2389" s="634" t="s">
        <v>882</v>
      </c>
      <c r="I2389" s="818" t="s">
        <v>883</v>
      </c>
    </row>
    <row r="2390" spans="1:20" ht="14.25" thickTop="1" thickBot="1" x14ac:dyDescent="0.25">
      <c r="A2390" s="566">
        <v>1</v>
      </c>
      <c r="B2390" s="567">
        <v>2</v>
      </c>
      <c r="C2390" s="567">
        <v>3</v>
      </c>
      <c r="D2390" s="567">
        <v>4</v>
      </c>
      <c r="E2390" s="567">
        <v>5</v>
      </c>
      <c r="F2390" s="541">
        <v>6</v>
      </c>
      <c r="G2390" s="541">
        <v>7</v>
      </c>
      <c r="H2390" s="542">
        <v>8</v>
      </c>
      <c r="I2390" s="636" t="s">
        <v>762</v>
      </c>
    </row>
    <row r="2391" spans="1:20" ht="18" customHeight="1" thickTop="1" x14ac:dyDescent="0.25">
      <c r="A2391" s="1402">
        <v>1300</v>
      </c>
      <c r="B2391" s="847">
        <v>3231</v>
      </c>
      <c r="C2391" s="847">
        <v>5331</v>
      </c>
      <c r="D2391" s="852"/>
      <c r="E2391" s="886" t="s">
        <v>951</v>
      </c>
      <c r="F2391" s="845">
        <v>282</v>
      </c>
      <c r="G2391" s="845">
        <v>283</v>
      </c>
      <c r="H2391" s="845">
        <v>283</v>
      </c>
      <c r="I2391" s="849">
        <f t="shared" ref="I2391:I2398" si="255">(H2391/G2391)*100</f>
        <v>100</v>
      </c>
    </row>
    <row r="2392" spans="1:20" ht="14.25" x14ac:dyDescent="0.2">
      <c r="A2392" s="431"/>
      <c r="B2392" s="673"/>
      <c r="C2392" s="673"/>
      <c r="D2392" s="707" t="s">
        <v>575</v>
      </c>
      <c r="E2392" s="1478" t="s">
        <v>793</v>
      </c>
      <c r="F2392" s="827">
        <v>282</v>
      </c>
      <c r="G2392" s="827">
        <v>283</v>
      </c>
      <c r="H2392" s="827">
        <v>283</v>
      </c>
      <c r="I2392" s="823">
        <f t="shared" si="255"/>
        <v>100</v>
      </c>
      <c r="R2392" s="382"/>
      <c r="S2392" s="382"/>
      <c r="T2392" s="382"/>
    </row>
    <row r="2393" spans="1:20" ht="15" x14ac:dyDescent="0.25">
      <c r="A2393" s="431">
        <v>1300</v>
      </c>
      <c r="B2393" s="673">
        <v>3231</v>
      </c>
      <c r="C2393" s="673">
        <v>5336</v>
      </c>
      <c r="D2393" s="1068"/>
      <c r="E2393" s="672" t="s">
        <v>2054</v>
      </c>
      <c r="F2393" s="827"/>
      <c r="G2393" s="851">
        <f>G2394+G2396+G2397</f>
        <v>13279</v>
      </c>
      <c r="H2393" s="851">
        <f>H2394+H2396+H2397</f>
        <v>13279</v>
      </c>
      <c r="I2393" s="853">
        <f t="shared" si="255"/>
        <v>100</v>
      </c>
      <c r="R2393" s="382"/>
      <c r="S2393" s="382"/>
      <c r="T2393" s="382"/>
    </row>
    <row r="2394" spans="1:20" ht="14.25" x14ac:dyDescent="0.2">
      <c r="A2394" s="431"/>
      <c r="B2394" s="673"/>
      <c r="C2394" s="673"/>
      <c r="D2394" s="1068" t="s">
        <v>1911</v>
      </c>
      <c r="E2394" s="2671" t="s">
        <v>2051</v>
      </c>
      <c r="F2394" s="827"/>
      <c r="G2394" s="837">
        <v>16</v>
      </c>
      <c r="H2394" s="837">
        <v>16</v>
      </c>
      <c r="I2394" s="823">
        <v>29</v>
      </c>
      <c r="R2394" s="382"/>
      <c r="S2394" s="382"/>
      <c r="T2394" s="382"/>
    </row>
    <row r="2395" spans="1:20" ht="15" x14ac:dyDescent="0.25">
      <c r="A2395" s="431"/>
      <c r="B2395" s="673"/>
      <c r="C2395" s="673"/>
      <c r="D2395" s="1068"/>
      <c r="E2395" s="2671"/>
      <c r="F2395" s="827"/>
      <c r="G2395" s="846"/>
      <c r="H2395" s="846"/>
      <c r="I2395" s="853"/>
      <c r="R2395" s="382"/>
      <c r="S2395" s="382"/>
      <c r="T2395" s="382"/>
    </row>
    <row r="2396" spans="1:20" ht="15" x14ac:dyDescent="0.2">
      <c r="A2396" s="431"/>
      <c r="B2396" s="673"/>
      <c r="C2396" s="673"/>
      <c r="D2396" s="1068" t="s">
        <v>1913</v>
      </c>
      <c r="E2396" s="2113" t="s">
        <v>2052</v>
      </c>
      <c r="F2396" s="2530"/>
      <c r="G2396" s="2531">
        <v>90</v>
      </c>
      <c r="H2396" s="2531">
        <v>90</v>
      </c>
      <c r="I2396" s="376">
        <f t="shared" ref="I2396" si="256">(H2396/G2396)*100</f>
        <v>100</v>
      </c>
      <c r="R2396" s="382"/>
      <c r="S2396" s="382"/>
      <c r="T2396" s="382"/>
    </row>
    <row r="2397" spans="1:20" ht="15" thickBot="1" x14ac:dyDescent="0.25">
      <c r="A2397" s="431"/>
      <c r="B2397" s="673"/>
      <c r="C2397" s="1392"/>
      <c r="D2397" s="552" t="s">
        <v>1124</v>
      </c>
      <c r="E2397" s="455" t="s">
        <v>792</v>
      </c>
      <c r="F2397" s="827"/>
      <c r="G2397" s="827">
        <v>13173</v>
      </c>
      <c r="H2397" s="827">
        <v>13173</v>
      </c>
      <c r="I2397" s="823">
        <f t="shared" si="255"/>
        <v>100</v>
      </c>
    </row>
    <row r="2398" spans="1:20" ht="16.5" thickTop="1" thickBot="1" x14ac:dyDescent="0.3">
      <c r="A2398" s="2672" t="s">
        <v>1105</v>
      </c>
      <c r="B2398" s="2673"/>
      <c r="C2398" s="2673"/>
      <c r="D2398" s="2673"/>
      <c r="E2398" s="2673"/>
      <c r="F2398" s="824">
        <f>SUM(F2391)</f>
        <v>282</v>
      </c>
      <c r="G2398" s="824">
        <f>G2391+G2393</f>
        <v>13562</v>
      </c>
      <c r="H2398" s="824">
        <f>H2391+H2393</f>
        <v>13562</v>
      </c>
      <c r="I2398" s="825">
        <f t="shared" si="255"/>
        <v>100</v>
      </c>
      <c r="R2398" s="382">
        <f>F2398</f>
        <v>282</v>
      </c>
      <c r="S2398" s="382">
        <f>G2398</f>
        <v>13562</v>
      </c>
      <c r="T2398" s="382">
        <f>H2398</f>
        <v>13562</v>
      </c>
    </row>
    <row r="2399" spans="1:20" ht="15" customHeight="1" thickTop="1" thickBot="1" x14ac:dyDescent="0.25">
      <c r="A2399" s="432" t="s">
        <v>1077</v>
      </c>
      <c r="I2399" s="1390" t="s">
        <v>161</v>
      </c>
    </row>
    <row r="2400" spans="1:20" ht="14.25" thickTop="1" thickBot="1" x14ac:dyDescent="0.25">
      <c r="A2400" s="631" t="s">
        <v>624</v>
      </c>
      <c r="B2400" s="774" t="s">
        <v>162</v>
      </c>
      <c r="C2400" s="632" t="s">
        <v>163</v>
      </c>
      <c r="D2400" s="634" t="s">
        <v>705</v>
      </c>
      <c r="E2400" s="634" t="s">
        <v>164</v>
      </c>
      <c r="F2400" s="634" t="s">
        <v>165</v>
      </c>
      <c r="G2400" s="634" t="s">
        <v>881</v>
      </c>
      <c r="H2400" s="634" t="s">
        <v>882</v>
      </c>
      <c r="I2400" s="818" t="s">
        <v>883</v>
      </c>
    </row>
    <row r="2401" spans="1:20" ht="14.25" thickTop="1" thickBot="1" x14ac:dyDescent="0.25">
      <c r="A2401" s="566">
        <v>1</v>
      </c>
      <c r="B2401" s="567">
        <v>2</v>
      </c>
      <c r="C2401" s="567">
        <v>3</v>
      </c>
      <c r="D2401" s="567">
        <v>4</v>
      </c>
      <c r="E2401" s="567">
        <v>5</v>
      </c>
      <c r="F2401" s="541">
        <v>6</v>
      </c>
      <c r="G2401" s="541">
        <v>7</v>
      </c>
      <c r="H2401" s="542">
        <v>8</v>
      </c>
      <c r="I2401" s="636" t="s">
        <v>762</v>
      </c>
    </row>
    <row r="2402" spans="1:20" ht="15.75" thickTop="1" x14ac:dyDescent="0.25">
      <c r="A2402" s="1402">
        <v>1301</v>
      </c>
      <c r="B2402" s="847">
        <v>3231</v>
      </c>
      <c r="C2402" s="847">
        <v>5331</v>
      </c>
      <c r="D2402" s="852"/>
      <c r="E2402" s="886" t="s">
        <v>951</v>
      </c>
      <c r="F2402" s="845">
        <f>SUM(F2403:F2408)</f>
        <v>1157</v>
      </c>
      <c r="G2402" s="845">
        <v>1159</v>
      </c>
      <c r="H2402" s="845">
        <v>1159</v>
      </c>
      <c r="I2402" s="849">
        <f t="shared" ref="I2402:I2411" si="257">(H2402/G2402)*100</f>
        <v>100</v>
      </c>
    </row>
    <row r="2403" spans="1:20" ht="14.25" x14ac:dyDescent="0.2">
      <c r="A2403" s="431"/>
      <c r="B2403" s="673"/>
      <c r="C2403" s="673"/>
      <c r="D2403" s="707" t="s">
        <v>575</v>
      </c>
      <c r="E2403" s="1478" t="s">
        <v>793</v>
      </c>
      <c r="F2403" s="827">
        <v>1157</v>
      </c>
      <c r="G2403" s="827">
        <v>1159</v>
      </c>
      <c r="H2403" s="827">
        <v>1159</v>
      </c>
      <c r="I2403" s="823">
        <f t="shared" si="257"/>
        <v>100</v>
      </c>
    </row>
    <row r="2404" spans="1:20" ht="18" customHeight="1" x14ac:dyDescent="0.25">
      <c r="A2404" s="431">
        <v>1301</v>
      </c>
      <c r="B2404" s="673">
        <v>3231</v>
      </c>
      <c r="C2404" s="673">
        <v>5336</v>
      </c>
      <c r="D2404" s="1068"/>
      <c r="E2404" s="672" t="s">
        <v>2054</v>
      </c>
      <c r="F2404" s="827"/>
      <c r="G2404" s="851">
        <f>G2405+G2407+G2408</f>
        <v>27561</v>
      </c>
      <c r="H2404" s="851">
        <f>H2405+H2407+H2408</f>
        <v>27561</v>
      </c>
      <c r="I2404" s="853">
        <f t="shared" si="257"/>
        <v>100</v>
      </c>
    </row>
    <row r="2405" spans="1:20" ht="18" customHeight="1" x14ac:dyDescent="0.2">
      <c r="A2405" s="431"/>
      <c r="B2405" s="673"/>
      <c r="C2405" s="673"/>
      <c r="D2405" s="1068" t="s">
        <v>1911</v>
      </c>
      <c r="E2405" s="2671" t="s">
        <v>2051</v>
      </c>
      <c r="F2405" s="827"/>
      <c r="G2405" s="837">
        <v>35</v>
      </c>
      <c r="H2405" s="837">
        <v>35</v>
      </c>
      <c r="I2405" s="823">
        <v>29</v>
      </c>
    </row>
    <row r="2406" spans="1:20" ht="12.75" customHeight="1" x14ac:dyDescent="0.25">
      <c r="A2406" s="431"/>
      <c r="B2406" s="673"/>
      <c r="C2406" s="673"/>
      <c r="D2406" s="1068"/>
      <c r="E2406" s="2671"/>
      <c r="F2406" s="827"/>
      <c r="G2406" s="846"/>
      <c r="H2406" s="846"/>
      <c r="I2406" s="853"/>
    </row>
    <row r="2407" spans="1:20" ht="14.25" customHeight="1" x14ac:dyDescent="0.2">
      <c r="A2407" s="431"/>
      <c r="B2407" s="673"/>
      <c r="C2407" s="673"/>
      <c r="D2407" s="1068" t="s">
        <v>1913</v>
      </c>
      <c r="E2407" s="2113" t="s">
        <v>2052</v>
      </c>
      <c r="F2407" s="2530"/>
      <c r="G2407" s="2531">
        <v>179</v>
      </c>
      <c r="H2407" s="2531">
        <v>179</v>
      </c>
      <c r="I2407" s="376">
        <f t="shared" ref="I2407" si="258">(H2407/G2407)*100</f>
        <v>100</v>
      </c>
    </row>
    <row r="2408" spans="1:20" ht="14.25" x14ac:dyDescent="0.2">
      <c r="A2408" s="431"/>
      <c r="B2408" s="673"/>
      <c r="C2408" s="673"/>
      <c r="D2408" s="552" t="s">
        <v>1124</v>
      </c>
      <c r="E2408" s="455" t="s">
        <v>792</v>
      </c>
      <c r="F2408" s="827"/>
      <c r="G2408" s="827">
        <v>27347</v>
      </c>
      <c r="H2408" s="827">
        <v>27347</v>
      </c>
      <c r="I2408" s="823">
        <f t="shared" si="257"/>
        <v>100</v>
      </c>
    </row>
    <row r="2409" spans="1:20" ht="15" x14ac:dyDescent="0.25">
      <c r="A2409" s="431">
        <v>1301</v>
      </c>
      <c r="B2409" s="673">
        <v>3299</v>
      </c>
      <c r="C2409" s="673">
        <v>5331</v>
      </c>
      <c r="D2409" s="552"/>
      <c r="E2409" s="672" t="s">
        <v>951</v>
      </c>
      <c r="F2409" s="827"/>
      <c r="G2409" s="851">
        <v>14</v>
      </c>
      <c r="H2409" s="851">
        <v>14</v>
      </c>
      <c r="I2409" s="853">
        <f t="shared" si="257"/>
        <v>100</v>
      </c>
    </row>
    <row r="2410" spans="1:20" ht="15" thickBot="1" x14ac:dyDescent="0.25">
      <c r="A2410" s="431"/>
      <c r="B2410" s="673"/>
      <c r="C2410" s="673"/>
      <c r="D2410" s="1059" t="s">
        <v>1122</v>
      </c>
      <c r="E2410" s="1161" t="s">
        <v>24</v>
      </c>
      <c r="F2410" s="1311"/>
      <c r="G2410" s="451">
        <v>14</v>
      </c>
      <c r="H2410" s="316">
        <v>14</v>
      </c>
      <c r="I2410" s="1074">
        <f t="shared" ref="I2410" si="259">(H2410/G2410)*100</f>
        <v>100</v>
      </c>
    </row>
    <row r="2411" spans="1:20" ht="16.5" thickTop="1" thickBot="1" x14ac:dyDescent="0.3">
      <c r="A2411" s="2672" t="s">
        <v>1105</v>
      </c>
      <c r="B2411" s="2673"/>
      <c r="C2411" s="2673"/>
      <c r="D2411" s="2673"/>
      <c r="E2411" s="2673"/>
      <c r="F2411" s="824">
        <f>SUM(F2402)</f>
        <v>1157</v>
      </c>
      <c r="G2411" s="824">
        <f>G2402+G2404+G2409</f>
        <v>28734</v>
      </c>
      <c r="H2411" s="824">
        <f>H2402+H2404+H2409</f>
        <v>28734</v>
      </c>
      <c r="I2411" s="825">
        <f t="shared" si="257"/>
        <v>100</v>
      </c>
      <c r="R2411" s="382">
        <f>F2411</f>
        <v>1157</v>
      </c>
      <c r="S2411" s="382">
        <f>G2411</f>
        <v>28734</v>
      </c>
      <c r="T2411" s="382">
        <f>H2411</f>
        <v>28734</v>
      </c>
    </row>
    <row r="2412" spans="1:20" s="107" customFormat="1" ht="13.5" thickTop="1" x14ac:dyDescent="0.2">
      <c r="A2412" s="381"/>
      <c r="B2412" s="643"/>
      <c r="C2412" s="381"/>
      <c r="D2412" s="814"/>
      <c r="E2412" s="381"/>
      <c r="F2412" s="382"/>
      <c r="G2412" s="382"/>
      <c r="H2412" s="382"/>
      <c r="I2412" s="1390"/>
    </row>
    <row r="2413" spans="1:20" s="383" customFormat="1" x14ac:dyDescent="0.2">
      <c r="A2413" s="381"/>
      <c r="B2413" s="643"/>
      <c r="C2413" s="381"/>
      <c r="D2413" s="814"/>
      <c r="E2413" s="381"/>
      <c r="F2413" s="382"/>
      <c r="G2413" s="382"/>
      <c r="H2413" s="382"/>
      <c r="I2413" s="1390"/>
    </row>
    <row r="2414" spans="1:20" ht="13.5" thickBot="1" x14ac:dyDescent="0.25">
      <c r="A2414" s="432" t="s">
        <v>138</v>
      </c>
      <c r="I2414" s="1390" t="s">
        <v>161</v>
      </c>
    </row>
    <row r="2415" spans="1:20" ht="14.25" thickTop="1" thickBot="1" x14ac:dyDescent="0.25">
      <c r="A2415" s="631" t="s">
        <v>624</v>
      </c>
      <c r="B2415" s="774" t="s">
        <v>162</v>
      </c>
      <c r="C2415" s="632" t="s">
        <v>163</v>
      </c>
      <c r="D2415" s="634" t="s">
        <v>705</v>
      </c>
      <c r="E2415" s="634" t="s">
        <v>164</v>
      </c>
      <c r="F2415" s="634" t="s">
        <v>165</v>
      </c>
      <c r="G2415" s="634" t="s">
        <v>881</v>
      </c>
      <c r="H2415" s="634" t="s">
        <v>882</v>
      </c>
      <c r="I2415" s="818" t="s">
        <v>883</v>
      </c>
    </row>
    <row r="2416" spans="1:20" ht="14.25" thickTop="1" thickBot="1" x14ac:dyDescent="0.25">
      <c r="A2416" s="566">
        <v>1</v>
      </c>
      <c r="B2416" s="567">
        <v>2</v>
      </c>
      <c r="C2416" s="567">
        <v>3</v>
      </c>
      <c r="D2416" s="567">
        <v>4</v>
      </c>
      <c r="E2416" s="567">
        <v>5</v>
      </c>
      <c r="F2416" s="541">
        <v>6</v>
      </c>
      <c r="G2416" s="541">
        <v>7</v>
      </c>
      <c r="H2416" s="542">
        <v>8</v>
      </c>
      <c r="I2416" s="636" t="s">
        <v>762</v>
      </c>
    </row>
    <row r="2417" spans="1:20" ht="15.75" thickTop="1" x14ac:dyDescent="0.25">
      <c r="A2417" s="1402">
        <v>1302</v>
      </c>
      <c r="B2417" s="847">
        <v>3231</v>
      </c>
      <c r="C2417" s="847">
        <v>5331</v>
      </c>
      <c r="D2417" s="852"/>
      <c r="E2417" s="886" t="s">
        <v>951</v>
      </c>
      <c r="F2417" s="845">
        <v>120</v>
      </c>
      <c r="G2417" s="845">
        <v>120</v>
      </c>
      <c r="H2417" s="845">
        <v>120</v>
      </c>
      <c r="I2417" s="849">
        <f t="shared" ref="I2417:I2425" si="260">(H2417/G2417)*100</f>
        <v>100</v>
      </c>
    </row>
    <row r="2418" spans="1:20" ht="14.25" x14ac:dyDescent="0.2">
      <c r="A2418" s="431"/>
      <c r="B2418" s="673"/>
      <c r="C2418" s="673"/>
      <c r="D2418" s="707" t="s">
        <v>575</v>
      </c>
      <c r="E2418" s="1478" t="s">
        <v>793</v>
      </c>
      <c r="F2418" s="827">
        <v>155</v>
      </c>
      <c r="G2418" s="827">
        <v>120</v>
      </c>
      <c r="H2418" s="827">
        <v>120</v>
      </c>
      <c r="I2418" s="823">
        <f t="shared" si="260"/>
        <v>100</v>
      </c>
    </row>
    <row r="2419" spans="1:20" ht="15" x14ac:dyDescent="0.25">
      <c r="A2419" s="431">
        <v>1302</v>
      </c>
      <c r="B2419" s="750">
        <v>3231</v>
      </c>
      <c r="C2419" s="750">
        <v>5336</v>
      </c>
      <c r="D2419" s="1069"/>
      <c r="E2419" s="672" t="s">
        <v>2054</v>
      </c>
      <c r="F2419" s="833"/>
      <c r="G2419" s="846">
        <f>G2420+G2422+G2423+G2424</f>
        <v>4168</v>
      </c>
      <c r="H2419" s="846">
        <f>H2420+H2422+H2423+H2424</f>
        <v>4168</v>
      </c>
      <c r="I2419" s="853">
        <f t="shared" si="260"/>
        <v>100</v>
      </c>
    </row>
    <row r="2420" spans="1:20" ht="14.25" customHeight="1" x14ac:dyDescent="0.2">
      <c r="A2420" s="431"/>
      <c r="B2420" s="750"/>
      <c r="C2420" s="750"/>
      <c r="D2420" s="1068" t="s">
        <v>1911</v>
      </c>
      <c r="E2420" s="2671" t="s">
        <v>2051</v>
      </c>
      <c r="F2420" s="827"/>
      <c r="G2420" s="837">
        <v>5</v>
      </c>
      <c r="H2420" s="837">
        <v>5</v>
      </c>
      <c r="I2420" s="823">
        <v>29</v>
      </c>
    </row>
    <row r="2421" spans="1:20" ht="15" x14ac:dyDescent="0.25">
      <c r="A2421" s="431"/>
      <c r="B2421" s="750"/>
      <c r="C2421" s="750"/>
      <c r="D2421" s="1068"/>
      <c r="E2421" s="2671"/>
      <c r="F2421" s="827"/>
      <c r="G2421" s="846"/>
      <c r="H2421" s="846"/>
      <c r="I2421" s="853"/>
    </row>
    <row r="2422" spans="1:20" ht="15" x14ac:dyDescent="0.2">
      <c r="A2422" s="431"/>
      <c r="B2422" s="750"/>
      <c r="C2422" s="750"/>
      <c r="D2422" s="1068" t="s">
        <v>1913</v>
      </c>
      <c r="E2422" s="2113" t="s">
        <v>2052</v>
      </c>
      <c r="F2422" s="2530"/>
      <c r="G2422" s="2531">
        <v>26</v>
      </c>
      <c r="H2422" s="2531">
        <v>26</v>
      </c>
      <c r="I2422" s="376">
        <f t="shared" ref="I2422:I2423" si="261">(H2422/G2422)*100</f>
        <v>100</v>
      </c>
    </row>
    <row r="2423" spans="1:20" ht="14.25" x14ac:dyDescent="0.2">
      <c r="A2423" s="431"/>
      <c r="B2423" s="750"/>
      <c r="C2423" s="750"/>
      <c r="D2423" s="1325" t="s">
        <v>1128</v>
      </c>
      <c r="E2423" s="2544" t="s">
        <v>2074</v>
      </c>
      <c r="F2423" s="314"/>
      <c r="G2423" s="316">
        <v>50</v>
      </c>
      <c r="H2423" s="316">
        <v>50</v>
      </c>
      <c r="I2423" s="1074">
        <f t="shared" si="261"/>
        <v>100</v>
      </c>
    </row>
    <row r="2424" spans="1:20" ht="15" thickBot="1" x14ac:dyDescent="0.25">
      <c r="A2424" s="431"/>
      <c r="B2424" s="750"/>
      <c r="C2424" s="1393"/>
      <c r="D2424" s="552" t="s">
        <v>1124</v>
      </c>
      <c r="E2424" s="455" t="s">
        <v>792</v>
      </c>
      <c r="F2424" s="833"/>
      <c r="G2424" s="833">
        <v>4087</v>
      </c>
      <c r="H2424" s="833">
        <v>4087</v>
      </c>
      <c r="I2424" s="828">
        <f t="shared" si="260"/>
        <v>100</v>
      </c>
    </row>
    <row r="2425" spans="1:20" ht="16.5" thickTop="1" thickBot="1" x14ac:dyDescent="0.3">
      <c r="A2425" s="2672" t="s">
        <v>1105</v>
      </c>
      <c r="B2425" s="2673"/>
      <c r="C2425" s="2673"/>
      <c r="D2425" s="2673"/>
      <c r="E2425" s="2673"/>
      <c r="F2425" s="824">
        <f>F2417</f>
        <v>120</v>
      </c>
      <c r="G2425" s="824">
        <f>G2417+G2419</f>
        <v>4288</v>
      </c>
      <c r="H2425" s="824">
        <f>H2417+H2419</f>
        <v>4288</v>
      </c>
      <c r="I2425" s="825">
        <f t="shared" si="260"/>
        <v>100</v>
      </c>
      <c r="R2425" s="382">
        <f>F2425</f>
        <v>120</v>
      </c>
      <c r="S2425" s="382">
        <f>G2425</f>
        <v>4288</v>
      </c>
      <c r="T2425" s="382">
        <f>H2425</f>
        <v>4288</v>
      </c>
    </row>
    <row r="2426" spans="1:20" s="383" customFormat="1" ht="13.5" thickTop="1" x14ac:dyDescent="0.2">
      <c r="A2426" s="381"/>
      <c r="B2426" s="643"/>
      <c r="C2426" s="381"/>
      <c r="D2426" s="814"/>
      <c r="E2426" s="381"/>
      <c r="F2426" s="382"/>
      <c r="G2426" s="382"/>
      <c r="H2426" s="382"/>
      <c r="I2426" s="1390"/>
    </row>
    <row r="2427" spans="1:20" s="383" customFormat="1" x14ac:dyDescent="0.2">
      <c r="A2427" s="381"/>
      <c r="B2427" s="643"/>
      <c r="C2427" s="381"/>
      <c r="D2427" s="814"/>
      <c r="E2427" s="381"/>
      <c r="F2427" s="382"/>
      <c r="G2427" s="382"/>
      <c r="H2427" s="382"/>
      <c r="I2427" s="1390"/>
    </row>
    <row r="2428" spans="1:20" ht="13.5" customHeight="1" thickBot="1" x14ac:dyDescent="0.25">
      <c r="A2428" s="432" t="s">
        <v>649</v>
      </c>
      <c r="I2428" s="1390" t="s">
        <v>161</v>
      </c>
    </row>
    <row r="2429" spans="1:20" ht="13.5" customHeight="1" thickTop="1" thickBot="1" x14ac:dyDescent="0.25">
      <c r="A2429" s="631" t="s">
        <v>624</v>
      </c>
      <c r="B2429" s="774" t="s">
        <v>162</v>
      </c>
      <c r="C2429" s="632" t="s">
        <v>163</v>
      </c>
      <c r="D2429" s="634" t="s">
        <v>705</v>
      </c>
      <c r="E2429" s="634" t="s">
        <v>164</v>
      </c>
      <c r="F2429" s="634" t="s">
        <v>165</v>
      </c>
      <c r="G2429" s="634" t="s">
        <v>881</v>
      </c>
      <c r="H2429" s="634" t="s">
        <v>882</v>
      </c>
      <c r="I2429" s="818" t="s">
        <v>883</v>
      </c>
    </row>
    <row r="2430" spans="1:20" ht="14.25" thickTop="1" thickBot="1" x14ac:dyDescent="0.25">
      <c r="A2430" s="566">
        <v>1</v>
      </c>
      <c r="B2430" s="567">
        <v>2</v>
      </c>
      <c r="C2430" s="567">
        <v>3</v>
      </c>
      <c r="D2430" s="567">
        <v>4</v>
      </c>
      <c r="E2430" s="567">
        <v>5</v>
      </c>
      <c r="F2430" s="541">
        <v>6</v>
      </c>
      <c r="G2430" s="541">
        <v>7</v>
      </c>
      <c r="H2430" s="542">
        <v>8</v>
      </c>
      <c r="I2430" s="636" t="s">
        <v>762</v>
      </c>
    </row>
    <row r="2431" spans="1:20" ht="15.75" thickTop="1" x14ac:dyDescent="0.25">
      <c r="A2431" s="1402">
        <v>1303</v>
      </c>
      <c r="B2431" s="847">
        <v>3231</v>
      </c>
      <c r="C2431" s="847">
        <v>5331</v>
      </c>
      <c r="D2431" s="852"/>
      <c r="E2431" s="886" t="s">
        <v>951</v>
      </c>
      <c r="F2431" s="845">
        <v>145</v>
      </c>
      <c r="G2431" s="845">
        <v>144</v>
      </c>
      <c r="H2431" s="845">
        <v>144</v>
      </c>
      <c r="I2431" s="849">
        <f>(H2431/G2431)*100</f>
        <v>100</v>
      </c>
    </row>
    <row r="2432" spans="1:20" ht="14.25" x14ac:dyDescent="0.2">
      <c r="A2432" s="431"/>
      <c r="B2432" s="673"/>
      <c r="C2432" s="673"/>
      <c r="D2432" s="707" t="s">
        <v>575</v>
      </c>
      <c r="E2432" s="1478" t="s">
        <v>793</v>
      </c>
      <c r="F2432" s="827">
        <v>145</v>
      </c>
      <c r="G2432" s="827">
        <v>144</v>
      </c>
      <c r="H2432" s="827">
        <v>144</v>
      </c>
      <c r="I2432" s="823">
        <f>(H2432/G2432)*100</f>
        <v>100</v>
      </c>
    </row>
    <row r="2433" spans="1:20" ht="15" x14ac:dyDescent="0.25">
      <c r="A2433" s="431">
        <v>1303</v>
      </c>
      <c r="B2433" s="673">
        <v>3231</v>
      </c>
      <c r="C2433" s="840">
        <v>5336</v>
      </c>
      <c r="D2433" s="1068"/>
      <c r="E2433" s="672" t="s">
        <v>2054</v>
      </c>
      <c r="F2433" s="827"/>
      <c r="G2433" s="851">
        <f>G2434+G2436+G2437</f>
        <v>7350</v>
      </c>
      <c r="H2433" s="851">
        <f>H2434+H2436+H2437</f>
        <v>7350</v>
      </c>
      <c r="I2433" s="853">
        <f>(H2433/G2433)*100</f>
        <v>100</v>
      </c>
    </row>
    <row r="2434" spans="1:20" ht="14.25" customHeight="1" x14ac:dyDescent="0.2">
      <c r="A2434" s="431"/>
      <c r="B2434" s="673"/>
      <c r="C2434" s="840"/>
      <c r="D2434" s="1068" t="s">
        <v>1911</v>
      </c>
      <c r="E2434" s="2671" t="s">
        <v>2051</v>
      </c>
      <c r="F2434" s="827"/>
      <c r="G2434" s="837">
        <v>9</v>
      </c>
      <c r="H2434" s="837">
        <v>9</v>
      </c>
      <c r="I2434" s="823">
        <v>29</v>
      </c>
    </row>
    <row r="2435" spans="1:20" ht="15" x14ac:dyDescent="0.25">
      <c r="A2435" s="431"/>
      <c r="B2435" s="673"/>
      <c r="C2435" s="840"/>
      <c r="D2435" s="1068"/>
      <c r="E2435" s="2671"/>
      <c r="F2435" s="827"/>
      <c r="G2435" s="846"/>
      <c r="H2435" s="846"/>
      <c r="I2435" s="853"/>
    </row>
    <row r="2436" spans="1:20" ht="12.75" customHeight="1" x14ac:dyDescent="0.2">
      <c r="A2436" s="431"/>
      <c r="B2436" s="673"/>
      <c r="C2436" s="840"/>
      <c r="D2436" s="1068" t="s">
        <v>1913</v>
      </c>
      <c r="E2436" s="2113" t="s">
        <v>2052</v>
      </c>
      <c r="F2436" s="2530"/>
      <c r="G2436" s="2531">
        <v>43</v>
      </c>
      <c r="H2436" s="2531">
        <v>43</v>
      </c>
      <c r="I2436" s="376">
        <f t="shared" ref="I2436" si="262">(H2436/G2436)*100</f>
        <v>100</v>
      </c>
    </row>
    <row r="2437" spans="1:20" ht="14.25" customHeight="1" thickBot="1" x14ac:dyDescent="0.25">
      <c r="A2437" s="1409"/>
      <c r="B2437" s="830"/>
      <c r="C2437" s="907"/>
      <c r="D2437" s="552" t="s">
        <v>1124</v>
      </c>
      <c r="E2437" s="455" t="s">
        <v>792</v>
      </c>
      <c r="F2437" s="831"/>
      <c r="G2437" s="831">
        <v>7298</v>
      </c>
      <c r="H2437" s="831">
        <v>7298</v>
      </c>
      <c r="I2437" s="832">
        <f>(H2437/G2437)*100</f>
        <v>100</v>
      </c>
    </row>
    <row r="2438" spans="1:20" ht="16.5" thickTop="1" thickBot="1" x14ac:dyDescent="0.3">
      <c r="A2438" s="2672" t="s">
        <v>1105</v>
      </c>
      <c r="B2438" s="2673"/>
      <c r="C2438" s="2673"/>
      <c r="D2438" s="2673"/>
      <c r="E2438" s="2673"/>
      <c r="F2438" s="824">
        <f>F2431+F2433</f>
        <v>145</v>
      </c>
      <c r="G2438" s="824">
        <f>G2431+G2433</f>
        <v>7494</v>
      </c>
      <c r="H2438" s="824">
        <f>H2431+H2433</f>
        <v>7494</v>
      </c>
      <c r="I2438" s="825">
        <f>(H2438/G2438)*100</f>
        <v>100</v>
      </c>
      <c r="R2438" s="382">
        <f>F2438</f>
        <v>145</v>
      </c>
      <c r="S2438" s="382">
        <f>G2438</f>
        <v>7494</v>
      </c>
      <c r="T2438" s="382">
        <f>H2438</f>
        <v>7494</v>
      </c>
    </row>
    <row r="2439" spans="1:20" ht="15.75" thickTop="1" x14ac:dyDescent="0.25">
      <c r="A2439" s="368"/>
      <c r="B2439" s="368"/>
      <c r="C2439" s="368"/>
      <c r="D2439" s="368"/>
      <c r="E2439" s="368"/>
      <c r="F2439" s="181"/>
      <c r="G2439" s="181"/>
      <c r="H2439" s="181"/>
      <c r="I2439" s="210"/>
      <c r="R2439" s="382"/>
      <c r="S2439" s="382"/>
      <c r="T2439" s="382"/>
    </row>
    <row r="2440" spans="1:20" ht="15" x14ac:dyDescent="0.25">
      <c r="A2440" s="368"/>
      <c r="B2440" s="368"/>
      <c r="C2440" s="368"/>
      <c r="D2440" s="368"/>
      <c r="E2440" s="368"/>
      <c r="F2440" s="181"/>
      <c r="G2440" s="181"/>
      <c r="H2440" s="181"/>
      <c r="I2440" s="210"/>
      <c r="R2440" s="382"/>
      <c r="S2440" s="382"/>
      <c r="T2440" s="382"/>
    </row>
    <row r="2441" spans="1:20" ht="13.5" thickBot="1" x14ac:dyDescent="0.25">
      <c r="A2441" s="432" t="s">
        <v>139</v>
      </c>
      <c r="I2441" s="1390" t="s">
        <v>161</v>
      </c>
    </row>
    <row r="2442" spans="1:20" ht="14.25" thickTop="1" thickBot="1" x14ac:dyDescent="0.25">
      <c r="A2442" s="631" t="s">
        <v>624</v>
      </c>
      <c r="B2442" s="774" t="s">
        <v>162</v>
      </c>
      <c r="C2442" s="632" t="s">
        <v>163</v>
      </c>
      <c r="D2442" s="634" t="s">
        <v>705</v>
      </c>
      <c r="E2442" s="634" t="s">
        <v>164</v>
      </c>
      <c r="F2442" s="634" t="s">
        <v>165</v>
      </c>
      <c r="G2442" s="634" t="s">
        <v>881</v>
      </c>
      <c r="H2442" s="634" t="s">
        <v>882</v>
      </c>
      <c r="I2442" s="818" t="s">
        <v>883</v>
      </c>
    </row>
    <row r="2443" spans="1:20" ht="14.25" thickTop="1" thickBot="1" x14ac:dyDescent="0.25">
      <c r="A2443" s="566">
        <v>1</v>
      </c>
      <c r="B2443" s="567">
        <v>2</v>
      </c>
      <c r="C2443" s="567">
        <v>3</v>
      </c>
      <c r="D2443" s="567">
        <v>4</v>
      </c>
      <c r="E2443" s="567">
        <v>5</v>
      </c>
      <c r="F2443" s="541">
        <v>6</v>
      </c>
      <c r="G2443" s="541">
        <v>7</v>
      </c>
      <c r="H2443" s="542">
        <v>8</v>
      </c>
      <c r="I2443" s="636" t="s">
        <v>762</v>
      </c>
    </row>
    <row r="2444" spans="1:20" ht="18" customHeight="1" thickTop="1" x14ac:dyDescent="0.25">
      <c r="A2444" s="1402">
        <v>1304</v>
      </c>
      <c r="B2444" s="847">
        <v>3231</v>
      </c>
      <c r="C2444" s="847">
        <v>5331</v>
      </c>
      <c r="D2444" s="852"/>
      <c r="E2444" s="886" t="s">
        <v>951</v>
      </c>
      <c r="F2444" s="845">
        <f>F2445+F2446</f>
        <v>141</v>
      </c>
      <c r="G2444" s="845">
        <f>G2445+G2446</f>
        <v>141</v>
      </c>
      <c r="H2444" s="845">
        <f>H2445+H2446</f>
        <v>141</v>
      </c>
      <c r="I2444" s="849">
        <f t="shared" ref="I2444:I2454" si="263">(H2444/G2444)*100</f>
        <v>100</v>
      </c>
    </row>
    <row r="2445" spans="1:20" ht="14.25" x14ac:dyDescent="0.2">
      <c r="A2445" s="431"/>
      <c r="B2445" s="673"/>
      <c r="C2445" s="673"/>
      <c r="D2445" s="707" t="s">
        <v>575</v>
      </c>
      <c r="E2445" s="1478" t="s">
        <v>793</v>
      </c>
      <c r="F2445" s="827">
        <v>45</v>
      </c>
      <c r="G2445" s="827">
        <v>46</v>
      </c>
      <c r="H2445" s="827">
        <v>46</v>
      </c>
      <c r="I2445" s="823">
        <f t="shared" si="263"/>
        <v>100</v>
      </c>
    </row>
    <row r="2446" spans="1:20" ht="14.25" x14ac:dyDescent="0.2">
      <c r="A2446" s="431"/>
      <c r="B2446" s="673"/>
      <c r="C2446" s="673"/>
      <c r="D2446" s="552" t="s">
        <v>570</v>
      </c>
      <c r="E2446" s="455" t="s">
        <v>71</v>
      </c>
      <c r="F2446" s="827">
        <v>96</v>
      </c>
      <c r="G2446" s="827">
        <v>95</v>
      </c>
      <c r="H2446" s="827">
        <v>95</v>
      </c>
      <c r="I2446" s="823">
        <f t="shared" si="263"/>
        <v>100</v>
      </c>
    </row>
    <row r="2447" spans="1:20" ht="15" x14ac:dyDescent="0.25">
      <c r="A2447" s="431">
        <v>1304</v>
      </c>
      <c r="B2447" s="673">
        <v>3231</v>
      </c>
      <c r="C2447" s="673">
        <v>5336</v>
      </c>
      <c r="D2447" s="552"/>
      <c r="E2447" s="672" t="s">
        <v>2054</v>
      </c>
      <c r="F2447" s="827"/>
      <c r="G2447" s="851">
        <f>G2448+G2450+G2451</f>
        <v>11496</v>
      </c>
      <c r="H2447" s="851">
        <f>H2448+H2450+H2451</f>
        <v>11496</v>
      </c>
      <c r="I2447" s="853">
        <f t="shared" si="263"/>
        <v>100</v>
      </c>
    </row>
    <row r="2448" spans="1:20" ht="14.25" x14ac:dyDescent="0.2">
      <c r="A2448" s="431"/>
      <c r="B2448" s="673"/>
      <c r="C2448" s="673"/>
      <c r="D2448" s="1068" t="s">
        <v>1911</v>
      </c>
      <c r="E2448" s="2671" t="s">
        <v>2051</v>
      </c>
      <c r="F2448" s="827"/>
      <c r="G2448" s="837">
        <v>14</v>
      </c>
      <c r="H2448" s="837">
        <v>14</v>
      </c>
      <c r="I2448" s="823">
        <v>29</v>
      </c>
    </row>
    <row r="2449" spans="1:20" ht="15" x14ac:dyDescent="0.25">
      <c r="A2449" s="431"/>
      <c r="B2449" s="673"/>
      <c r="C2449" s="673"/>
      <c r="D2449" s="1068"/>
      <c r="E2449" s="2671"/>
      <c r="F2449" s="827"/>
      <c r="G2449" s="846"/>
      <c r="H2449" s="846"/>
      <c r="I2449" s="853"/>
    </row>
    <row r="2450" spans="1:20" ht="15" x14ac:dyDescent="0.2">
      <c r="A2450" s="431"/>
      <c r="B2450" s="673"/>
      <c r="C2450" s="673"/>
      <c r="D2450" s="1068" t="s">
        <v>1913</v>
      </c>
      <c r="E2450" s="2113" t="s">
        <v>2052</v>
      </c>
      <c r="F2450" s="2530"/>
      <c r="G2450" s="2531">
        <v>59</v>
      </c>
      <c r="H2450" s="2531">
        <v>59</v>
      </c>
      <c r="I2450" s="376">
        <f t="shared" ref="I2450" si="264">(H2450/G2450)*100</f>
        <v>100</v>
      </c>
    </row>
    <row r="2451" spans="1:20" ht="14.25" x14ac:dyDescent="0.2">
      <c r="A2451" s="431"/>
      <c r="B2451" s="673"/>
      <c r="C2451" s="1392"/>
      <c r="D2451" s="552" t="s">
        <v>1124</v>
      </c>
      <c r="E2451" s="455" t="s">
        <v>792</v>
      </c>
      <c r="F2451" s="827"/>
      <c r="G2451" s="827">
        <v>11423</v>
      </c>
      <c r="H2451" s="827">
        <v>11423</v>
      </c>
      <c r="I2451" s="823">
        <f t="shared" si="263"/>
        <v>100</v>
      </c>
    </row>
    <row r="2452" spans="1:20" ht="15" x14ac:dyDescent="0.25">
      <c r="A2452" s="431">
        <v>1304</v>
      </c>
      <c r="B2452" s="673">
        <v>3299</v>
      </c>
      <c r="C2452" s="1392">
        <v>5331</v>
      </c>
      <c r="D2452" s="552"/>
      <c r="E2452" s="792" t="s">
        <v>951</v>
      </c>
      <c r="F2452" s="827"/>
      <c r="G2452" s="851">
        <v>15</v>
      </c>
      <c r="H2452" s="851">
        <v>15</v>
      </c>
      <c r="I2452" s="853">
        <f t="shared" si="263"/>
        <v>100</v>
      </c>
    </row>
    <row r="2453" spans="1:20" ht="15" thickBot="1" x14ac:dyDescent="0.25">
      <c r="A2453" s="431"/>
      <c r="B2453" s="673"/>
      <c r="C2453" s="1392"/>
      <c r="D2453" s="1059" t="s">
        <v>1122</v>
      </c>
      <c r="E2453" s="1161" t="s">
        <v>24</v>
      </c>
      <c r="F2453" s="827"/>
      <c r="G2453" s="827">
        <v>15</v>
      </c>
      <c r="H2453" s="827">
        <v>15</v>
      </c>
      <c r="I2453" s="823">
        <f t="shared" si="263"/>
        <v>100</v>
      </c>
    </row>
    <row r="2454" spans="1:20" ht="16.5" thickTop="1" thickBot="1" x14ac:dyDescent="0.3">
      <c r="A2454" s="2672" t="s">
        <v>1105</v>
      </c>
      <c r="B2454" s="2673"/>
      <c r="C2454" s="2673"/>
      <c r="D2454" s="2673"/>
      <c r="E2454" s="2673"/>
      <c r="F2454" s="824">
        <f>F2444+F2447</f>
        <v>141</v>
      </c>
      <c r="G2454" s="824">
        <f>G2444+G2447+G2452</f>
        <v>11652</v>
      </c>
      <c r="H2454" s="824">
        <f>H2444+H2447+H2452</f>
        <v>11652</v>
      </c>
      <c r="I2454" s="825">
        <f t="shared" si="263"/>
        <v>100</v>
      </c>
      <c r="R2454" s="382">
        <f>F2454</f>
        <v>141</v>
      </c>
      <c r="S2454" s="382">
        <f>G2454</f>
        <v>11652</v>
      </c>
      <c r="T2454" s="382">
        <f>H2454</f>
        <v>11652</v>
      </c>
    </row>
    <row r="2455" spans="1:20" s="383" customFormat="1" ht="13.5" thickTop="1" x14ac:dyDescent="0.2">
      <c r="A2455" s="381"/>
      <c r="B2455" s="643"/>
      <c r="C2455" s="381"/>
      <c r="D2455" s="814"/>
      <c r="E2455" s="381"/>
      <c r="F2455" s="382"/>
      <c r="G2455" s="382"/>
      <c r="H2455" s="382"/>
      <c r="I2455" s="1390"/>
    </row>
    <row r="2456" spans="1:20" s="383" customFormat="1" x14ac:dyDescent="0.2">
      <c r="A2456" s="381"/>
      <c r="B2456" s="643"/>
      <c r="C2456" s="381"/>
      <c r="D2456" s="814"/>
      <c r="E2456" s="381"/>
      <c r="F2456" s="382"/>
      <c r="G2456" s="382"/>
      <c r="H2456" s="382"/>
      <c r="I2456" s="1390"/>
    </row>
    <row r="2457" spans="1:20" s="383" customFormat="1" x14ac:dyDescent="0.2">
      <c r="A2457" s="381"/>
      <c r="B2457" s="643"/>
      <c r="C2457" s="381"/>
      <c r="D2457" s="814"/>
      <c r="E2457" s="381"/>
      <c r="F2457" s="382"/>
      <c r="G2457" s="382"/>
      <c r="H2457" s="382"/>
      <c r="I2457" s="1390"/>
    </row>
    <row r="2458" spans="1:20" ht="13.5" thickBot="1" x14ac:dyDescent="0.25">
      <c r="A2458" s="432" t="s">
        <v>140</v>
      </c>
      <c r="I2458" s="1390" t="s">
        <v>161</v>
      </c>
    </row>
    <row r="2459" spans="1:20" ht="14.25" thickTop="1" thickBot="1" x14ac:dyDescent="0.25">
      <c r="A2459" s="631" t="s">
        <v>624</v>
      </c>
      <c r="B2459" s="774" t="s">
        <v>162</v>
      </c>
      <c r="C2459" s="632" t="s">
        <v>163</v>
      </c>
      <c r="D2459" s="634" t="s">
        <v>705</v>
      </c>
      <c r="E2459" s="634" t="s">
        <v>164</v>
      </c>
      <c r="F2459" s="634" t="s">
        <v>165</v>
      </c>
      <c r="G2459" s="634" t="s">
        <v>881</v>
      </c>
      <c r="H2459" s="634" t="s">
        <v>882</v>
      </c>
      <c r="I2459" s="818" t="s">
        <v>883</v>
      </c>
    </row>
    <row r="2460" spans="1:20" ht="14.25" thickTop="1" thickBot="1" x14ac:dyDescent="0.25">
      <c r="A2460" s="566">
        <v>1</v>
      </c>
      <c r="B2460" s="567">
        <v>2</v>
      </c>
      <c r="C2460" s="567">
        <v>3</v>
      </c>
      <c r="D2460" s="567">
        <v>4</v>
      </c>
      <c r="E2460" s="567">
        <v>5</v>
      </c>
      <c r="F2460" s="541">
        <v>6</v>
      </c>
      <c r="G2460" s="541">
        <v>7</v>
      </c>
      <c r="H2460" s="542">
        <v>8</v>
      </c>
      <c r="I2460" s="636" t="s">
        <v>762</v>
      </c>
    </row>
    <row r="2461" spans="1:20" ht="15.75" thickTop="1" x14ac:dyDescent="0.25">
      <c r="A2461" s="1402">
        <v>1305</v>
      </c>
      <c r="B2461" s="847">
        <v>3231</v>
      </c>
      <c r="C2461" s="847">
        <v>5331</v>
      </c>
      <c r="D2461" s="852"/>
      <c r="E2461" s="886" t="s">
        <v>951</v>
      </c>
      <c r="F2461" s="845">
        <f>F2462+F2463</f>
        <v>52</v>
      </c>
      <c r="G2461" s="845">
        <f>G2462+G2463</f>
        <v>52</v>
      </c>
      <c r="H2461" s="845">
        <f>H2462+H2463</f>
        <v>52</v>
      </c>
      <c r="I2461" s="849">
        <f t="shared" ref="I2461:I2469" si="265">(H2461/G2461)*100</f>
        <v>100</v>
      </c>
    </row>
    <row r="2462" spans="1:20" ht="14.25" x14ac:dyDescent="0.2">
      <c r="A2462" s="431"/>
      <c r="B2462" s="673"/>
      <c r="C2462" s="673"/>
      <c r="D2462" s="707" t="s">
        <v>575</v>
      </c>
      <c r="E2462" s="1478" t="s">
        <v>793</v>
      </c>
      <c r="F2462" s="827">
        <v>5</v>
      </c>
      <c r="G2462" s="827">
        <v>5</v>
      </c>
      <c r="H2462" s="827">
        <v>5</v>
      </c>
      <c r="I2462" s="823">
        <f t="shared" si="265"/>
        <v>100</v>
      </c>
    </row>
    <row r="2463" spans="1:20" ht="12.75" customHeight="1" x14ac:dyDescent="0.2">
      <c r="A2463" s="431"/>
      <c r="B2463" s="673"/>
      <c r="C2463" s="673"/>
      <c r="D2463" s="552" t="s">
        <v>570</v>
      </c>
      <c r="E2463" s="455" t="s">
        <v>71</v>
      </c>
      <c r="F2463" s="827">
        <v>47</v>
      </c>
      <c r="G2463" s="827">
        <v>47</v>
      </c>
      <c r="H2463" s="827">
        <v>47</v>
      </c>
      <c r="I2463" s="823">
        <f t="shared" si="265"/>
        <v>100</v>
      </c>
    </row>
    <row r="2464" spans="1:20" ht="15" customHeight="1" x14ac:dyDescent="0.25">
      <c r="A2464" s="431">
        <v>1305</v>
      </c>
      <c r="B2464" s="673">
        <v>3231</v>
      </c>
      <c r="C2464" s="673">
        <v>5336</v>
      </c>
      <c r="D2464" s="1068"/>
      <c r="E2464" s="672" t="s">
        <v>2054</v>
      </c>
      <c r="F2464" s="827"/>
      <c r="G2464" s="851">
        <f>G2465+G2467+G2468</f>
        <v>5803</v>
      </c>
      <c r="H2464" s="851">
        <f>H2465+H2467+H2468</f>
        <v>5803</v>
      </c>
      <c r="I2464" s="853">
        <f t="shared" si="265"/>
        <v>100</v>
      </c>
    </row>
    <row r="2465" spans="1:20" ht="15" customHeight="1" x14ac:dyDescent="0.2">
      <c r="A2465" s="431"/>
      <c r="B2465" s="673"/>
      <c r="C2465" s="673"/>
      <c r="D2465" s="1068" t="s">
        <v>1911</v>
      </c>
      <c r="E2465" s="2671" t="s">
        <v>2051</v>
      </c>
      <c r="F2465" s="827"/>
      <c r="G2465" s="837">
        <v>6</v>
      </c>
      <c r="H2465" s="837">
        <v>6</v>
      </c>
      <c r="I2465" s="823">
        <v>29</v>
      </c>
    </row>
    <row r="2466" spans="1:20" ht="15" customHeight="1" x14ac:dyDescent="0.25">
      <c r="A2466" s="431"/>
      <c r="B2466" s="673"/>
      <c r="C2466" s="673"/>
      <c r="D2466" s="1068"/>
      <c r="E2466" s="2671"/>
      <c r="F2466" s="827"/>
      <c r="G2466" s="846"/>
      <c r="H2466" s="846"/>
      <c r="I2466" s="853"/>
    </row>
    <row r="2467" spans="1:20" ht="15" customHeight="1" x14ac:dyDescent="0.2">
      <c r="A2467" s="431"/>
      <c r="B2467" s="673"/>
      <c r="C2467" s="673"/>
      <c r="D2467" s="1068" t="s">
        <v>1913</v>
      </c>
      <c r="E2467" s="2113" t="s">
        <v>2052</v>
      </c>
      <c r="F2467" s="2530"/>
      <c r="G2467" s="2531">
        <v>27</v>
      </c>
      <c r="H2467" s="2531">
        <v>27</v>
      </c>
      <c r="I2467" s="376">
        <f t="shared" ref="I2467" si="266">(H2467/G2467)*100</f>
        <v>100</v>
      </c>
    </row>
    <row r="2468" spans="1:20" ht="15" customHeight="1" thickBot="1" x14ac:dyDescent="0.25">
      <c r="A2468" s="431"/>
      <c r="B2468" s="673"/>
      <c r="C2468" s="1392"/>
      <c r="D2468" s="552" t="s">
        <v>1124</v>
      </c>
      <c r="E2468" s="455" t="s">
        <v>792</v>
      </c>
      <c r="F2468" s="827"/>
      <c r="G2468" s="827">
        <v>5770</v>
      </c>
      <c r="H2468" s="827">
        <v>5770</v>
      </c>
      <c r="I2468" s="823">
        <f t="shared" si="265"/>
        <v>100</v>
      </c>
    </row>
    <row r="2469" spans="1:20" ht="16.5" thickTop="1" thickBot="1" x14ac:dyDescent="0.3">
      <c r="A2469" s="2672" t="s">
        <v>1105</v>
      </c>
      <c r="B2469" s="2673"/>
      <c r="C2469" s="2673"/>
      <c r="D2469" s="2673"/>
      <c r="E2469" s="2673"/>
      <c r="F2469" s="824">
        <f>F2461</f>
        <v>52</v>
      </c>
      <c r="G2469" s="824">
        <f>G2461+G2464</f>
        <v>5855</v>
      </c>
      <c r="H2469" s="824">
        <f>H2461+H2464</f>
        <v>5855</v>
      </c>
      <c r="I2469" s="825">
        <f t="shared" si="265"/>
        <v>100</v>
      </c>
      <c r="R2469" s="382">
        <f>F2469</f>
        <v>52</v>
      </c>
      <c r="S2469" s="382">
        <f>G2469</f>
        <v>5855</v>
      </c>
      <c r="T2469" s="382">
        <f>H2469</f>
        <v>5855</v>
      </c>
    </row>
    <row r="2470" spans="1:20" s="383" customFormat="1" ht="13.5" thickTop="1" x14ac:dyDescent="0.2">
      <c r="A2470" s="381"/>
      <c r="B2470" s="643"/>
      <c r="C2470" s="381"/>
      <c r="D2470" s="814"/>
      <c r="E2470" s="381"/>
      <c r="F2470" s="382"/>
      <c r="G2470" s="382"/>
      <c r="H2470" s="382"/>
      <c r="I2470" s="1390"/>
    </row>
    <row r="2471" spans="1:20" ht="13.5" thickBot="1" x14ac:dyDescent="0.25">
      <c r="A2471" s="432" t="s">
        <v>1078</v>
      </c>
      <c r="I2471" s="1390" t="s">
        <v>161</v>
      </c>
    </row>
    <row r="2472" spans="1:20" ht="14.25" thickTop="1" thickBot="1" x14ac:dyDescent="0.25">
      <c r="A2472" s="631" t="s">
        <v>624</v>
      </c>
      <c r="B2472" s="774" t="s">
        <v>162</v>
      </c>
      <c r="C2472" s="632" t="s">
        <v>163</v>
      </c>
      <c r="D2472" s="634" t="s">
        <v>705</v>
      </c>
      <c r="E2472" s="634" t="s">
        <v>164</v>
      </c>
      <c r="F2472" s="634" t="s">
        <v>165</v>
      </c>
      <c r="G2472" s="634" t="s">
        <v>881</v>
      </c>
      <c r="H2472" s="634" t="s">
        <v>882</v>
      </c>
      <c r="I2472" s="818" t="s">
        <v>883</v>
      </c>
    </row>
    <row r="2473" spans="1:20" ht="14.25" thickTop="1" thickBot="1" x14ac:dyDescent="0.25">
      <c r="A2473" s="566">
        <v>1</v>
      </c>
      <c r="B2473" s="567">
        <v>2</v>
      </c>
      <c r="C2473" s="567">
        <v>3</v>
      </c>
      <c r="D2473" s="567">
        <v>4</v>
      </c>
      <c r="E2473" s="567">
        <v>5</v>
      </c>
      <c r="F2473" s="541">
        <v>6</v>
      </c>
      <c r="G2473" s="541">
        <v>7</v>
      </c>
      <c r="H2473" s="542">
        <v>8</v>
      </c>
      <c r="I2473" s="636" t="s">
        <v>762</v>
      </c>
    </row>
    <row r="2474" spans="1:20" ht="15.75" thickTop="1" x14ac:dyDescent="0.25">
      <c r="A2474" s="1402">
        <v>1306</v>
      </c>
      <c r="B2474" s="847">
        <v>3231</v>
      </c>
      <c r="C2474" s="847">
        <v>5331</v>
      </c>
      <c r="D2474" s="852"/>
      <c r="E2474" s="886" t="s">
        <v>951</v>
      </c>
      <c r="F2474" s="845">
        <v>78</v>
      </c>
      <c r="G2474" s="845">
        <v>77</v>
      </c>
      <c r="H2474" s="845">
        <v>77</v>
      </c>
      <c r="I2474" s="849">
        <f t="shared" ref="I2474:I2483" si="267">(H2474/G2474)*100</f>
        <v>100</v>
      </c>
    </row>
    <row r="2475" spans="1:20" ht="14.25" x14ac:dyDescent="0.2">
      <c r="A2475" s="431"/>
      <c r="B2475" s="673"/>
      <c r="C2475" s="673"/>
      <c r="D2475" s="552" t="s">
        <v>570</v>
      </c>
      <c r="E2475" s="455" t="s">
        <v>71</v>
      </c>
      <c r="F2475" s="827">
        <v>78</v>
      </c>
      <c r="G2475" s="827">
        <v>77</v>
      </c>
      <c r="H2475" s="827">
        <v>77</v>
      </c>
      <c r="I2475" s="823">
        <f t="shared" si="267"/>
        <v>100</v>
      </c>
    </row>
    <row r="2476" spans="1:20" ht="15" x14ac:dyDescent="0.25">
      <c r="A2476" s="431">
        <v>1306</v>
      </c>
      <c r="B2476" s="750">
        <v>3231</v>
      </c>
      <c r="C2476" s="750">
        <v>5336</v>
      </c>
      <c r="D2476" s="1068"/>
      <c r="E2476" s="672" t="s">
        <v>2054</v>
      </c>
      <c r="F2476" s="833"/>
      <c r="G2476" s="846">
        <f>G2477+G2479+G2480</f>
        <v>3352</v>
      </c>
      <c r="H2476" s="846">
        <f>H2477+H2479+H2480</f>
        <v>3352</v>
      </c>
      <c r="I2476" s="853">
        <f t="shared" si="267"/>
        <v>100</v>
      </c>
    </row>
    <row r="2477" spans="1:20" ht="14.25" customHeight="1" x14ac:dyDescent="0.2">
      <c r="A2477" s="431"/>
      <c r="B2477" s="750"/>
      <c r="C2477" s="750"/>
      <c r="D2477" s="1068" t="s">
        <v>1911</v>
      </c>
      <c r="E2477" s="2671" t="s">
        <v>2051</v>
      </c>
      <c r="F2477" s="827"/>
      <c r="G2477" s="837">
        <v>4</v>
      </c>
      <c r="H2477" s="837">
        <v>4</v>
      </c>
      <c r="I2477" s="823">
        <v>29</v>
      </c>
    </row>
    <row r="2478" spans="1:20" ht="15" x14ac:dyDescent="0.25">
      <c r="A2478" s="431"/>
      <c r="B2478" s="750"/>
      <c r="C2478" s="750"/>
      <c r="D2478" s="1068"/>
      <c r="E2478" s="2671"/>
      <c r="F2478" s="827"/>
      <c r="G2478" s="846"/>
      <c r="H2478" s="846"/>
      <c r="I2478" s="853"/>
    </row>
    <row r="2479" spans="1:20" ht="15" x14ac:dyDescent="0.2">
      <c r="A2479" s="431"/>
      <c r="B2479" s="750"/>
      <c r="C2479" s="750"/>
      <c r="D2479" s="1068" t="s">
        <v>1913</v>
      </c>
      <c r="E2479" s="2113" t="s">
        <v>2052</v>
      </c>
      <c r="F2479" s="2530"/>
      <c r="G2479" s="2531">
        <v>19</v>
      </c>
      <c r="H2479" s="2531">
        <v>19</v>
      </c>
      <c r="I2479" s="376">
        <f t="shared" ref="I2479" si="268">(H2479/G2479)*100</f>
        <v>100</v>
      </c>
    </row>
    <row r="2480" spans="1:20" ht="14.25" x14ac:dyDescent="0.2">
      <c r="A2480" s="431"/>
      <c r="B2480" s="750"/>
      <c r="C2480" s="1393"/>
      <c r="D2480" s="552" t="s">
        <v>1124</v>
      </c>
      <c r="E2480" s="455" t="s">
        <v>792</v>
      </c>
      <c r="F2480" s="833"/>
      <c r="G2480" s="833">
        <v>3329</v>
      </c>
      <c r="H2480" s="833">
        <v>3329</v>
      </c>
      <c r="I2480" s="828">
        <f t="shared" si="267"/>
        <v>100</v>
      </c>
    </row>
    <row r="2481" spans="1:20" ht="15" x14ac:dyDescent="0.25">
      <c r="A2481" s="431">
        <v>1306</v>
      </c>
      <c r="B2481" s="750">
        <v>3299</v>
      </c>
      <c r="C2481" s="1393">
        <v>5331</v>
      </c>
      <c r="D2481" s="552"/>
      <c r="E2481" s="792" t="s">
        <v>951</v>
      </c>
      <c r="F2481" s="833"/>
      <c r="G2481" s="846">
        <v>5</v>
      </c>
      <c r="H2481" s="846">
        <v>5</v>
      </c>
      <c r="I2481" s="853">
        <f t="shared" si="267"/>
        <v>100</v>
      </c>
    </row>
    <row r="2482" spans="1:20" ht="15" thickBot="1" x14ac:dyDescent="0.25">
      <c r="A2482" s="431"/>
      <c r="B2482" s="750"/>
      <c r="C2482" s="1393"/>
      <c r="D2482" s="1059" t="s">
        <v>1122</v>
      </c>
      <c r="E2482" s="1161" t="s">
        <v>24</v>
      </c>
      <c r="F2482" s="833"/>
      <c r="G2482" s="833">
        <v>5</v>
      </c>
      <c r="H2482" s="833">
        <v>5</v>
      </c>
      <c r="I2482" s="828">
        <f t="shared" si="267"/>
        <v>100</v>
      </c>
    </row>
    <row r="2483" spans="1:20" ht="16.5" thickTop="1" thickBot="1" x14ac:dyDescent="0.3">
      <c r="A2483" s="2672" t="s">
        <v>1105</v>
      </c>
      <c r="B2483" s="2673"/>
      <c r="C2483" s="2673"/>
      <c r="D2483" s="2673"/>
      <c r="E2483" s="2673"/>
      <c r="F2483" s="824">
        <f>F2474+F2476</f>
        <v>78</v>
      </c>
      <c r="G2483" s="824">
        <f>G2474+G2476+G2481</f>
        <v>3434</v>
      </c>
      <c r="H2483" s="824">
        <f>H2474+H2476+H2481</f>
        <v>3434</v>
      </c>
      <c r="I2483" s="825">
        <f t="shared" si="267"/>
        <v>100</v>
      </c>
      <c r="R2483" s="382">
        <f>F2483</f>
        <v>78</v>
      </c>
      <c r="S2483" s="382">
        <f>G2483</f>
        <v>3434</v>
      </c>
      <c r="T2483" s="382">
        <f>H2483</f>
        <v>3434</v>
      </c>
    </row>
    <row r="2484" spans="1:20" s="383" customFormat="1" ht="13.5" thickTop="1" x14ac:dyDescent="0.2">
      <c r="A2484" s="381"/>
      <c r="B2484" s="643"/>
      <c r="C2484" s="381"/>
      <c r="D2484" s="814"/>
      <c r="E2484" s="381"/>
      <c r="F2484" s="382"/>
      <c r="G2484" s="382"/>
      <c r="H2484" s="382"/>
      <c r="I2484" s="1390"/>
    </row>
    <row r="2485" spans="1:20" s="383" customFormat="1" x14ac:dyDescent="0.2">
      <c r="A2485" s="381"/>
      <c r="B2485" s="643"/>
      <c r="C2485" s="381"/>
      <c r="D2485" s="814"/>
      <c r="E2485" s="381"/>
      <c r="F2485" s="382"/>
      <c r="G2485" s="382"/>
      <c r="H2485" s="382"/>
      <c r="I2485" s="1390"/>
    </row>
    <row r="2486" spans="1:20" ht="13.5" thickBot="1" x14ac:dyDescent="0.25">
      <c r="A2486" s="432" t="s">
        <v>1079</v>
      </c>
      <c r="I2486" s="1390" t="s">
        <v>161</v>
      </c>
    </row>
    <row r="2487" spans="1:20" ht="14.25" thickTop="1" thickBot="1" x14ac:dyDescent="0.25">
      <c r="A2487" s="631" t="s">
        <v>624</v>
      </c>
      <c r="B2487" s="774" t="s">
        <v>162</v>
      </c>
      <c r="C2487" s="632" t="s">
        <v>163</v>
      </c>
      <c r="D2487" s="634" t="s">
        <v>705</v>
      </c>
      <c r="E2487" s="634" t="s">
        <v>164</v>
      </c>
      <c r="F2487" s="634" t="s">
        <v>165</v>
      </c>
      <c r="G2487" s="634" t="s">
        <v>881</v>
      </c>
      <c r="H2487" s="634" t="s">
        <v>882</v>
      </c>
      <c r="I2487" s="818" t="s">
        <v>883</v>
      </c>
    </row>
    <row r="2488" spans="1:20" ht="14.25" thickTop="1" thickBot="1" x14ac:dyDescent="0.25">
      <c r="A2488" s="566">
        <v>1</v>
      </c>
      <c r="B2488" s="567">
        <v>2</v>
      </c>
      <c r="C2488" s="567">
        <v>3</v>
      </c>
      <c r="D2488" s="567">
        <v>4</v>
      </c>
      <c r="E2488" s="567">
        <v>5</v>
      </c>
      <c r="F2488" s="541">
        <v>6</v>
      </c>
      <c r="G2488" s="541">
        <v>7</v>
      </c>
      <c r="H2488" s="542">
        <v>8</v>
      </c>
      <c r="I2488" s="636" t="s">
        <v>762</v>
      </c>
    </row>
    <row r="2489" spans="1:20" ht="15.75" thickTop="1" x14ac:dyDescent="0.25">
      <c r="A2489" s="1402">
        <v>1307</v>
      </c>
      <c r="B2489" s="847">
        <v>3231</v>
      </c>
      <c r="C2489" s="847">
        <v>5331</v>
      </c>
      <c r="D2489" s="852"/>
      <c r="E2489" s="886" t="s">
        <v>951</v>
      </c>
      <c r="F2489" s="845">
        <f>F2490+F2491</f>
        <v>204</v>
      </c>
      <c r="G2489" s="845">
        <f>G2490+G2491</f>
        <v>202</v>
      </c>
      <c r="H2489" s="845">
        <f>H2490+H2491</f>
        <v>202</v>
      </c>
      <c r="I2489" s="849">
        <f t="shared" ref="I2489:I2498" si="269">(H2489/G2489)*100</f>
        <v>100</v>
      </c>
    </row>
    <row r="2490" spans="1:20" ht="14.25" x14ac:dyDescent="0.2">
      <c r="A2490" s="431"/>
      <c r="B2490" s="673"/>
      <c r="C2490" s="673"/>
      <c r="D2490" s="707" t="s">
        <v>575</v>
      </c>
      <c r="E2490" s="1478" t="s">
        <v>793</v>
      </c>
      <c r="F2490" s="827">
        <v>25</v>
      </c>
      <c r="G2490" s="827">
        <v>25</v>
      </c>
      <c r="H2490" s="827">
        <v>25</v>
      </c>
      <c r="I2490" s="823">
        <f t="shared" si="269"/>
        <v>100</v>
      </c>
    </row>
    <row r="2491" spans="1:20" ht="14.25" x14ac:dyDescent="0.2">
      <c r="A2491" s="431"/>
      <c r="B2491" s="673"/>
      <c r="C2491" s="673"/>
      <c r="D2491" s="552" t="s">
        <v>570</v>
      </c>
      <c r="E2491" s="455" t="s">
        <v>71</v>
      </c>
      <c r="F2491" s="827">
        <v>179</v>
      </c>
      <c r="G2491" s="827">
        <v>177</v>
      </c>
      <c r="H2491" s="827">
        <v>177</v>
      </c>
      <c r="I2491" s="823">
        <f t="shared" si="269"/>
        <v>100</v>
      </c>
    </row>
    <row r="2492" spans="1:20" ht="15" x14ac:dyDescent="0.25">
      <c r="A2492" s="431">
        <v>1307</v>
      </c>
      <c r="B2492" s="673">
        <v>3231</v>
      </c>
      <c r="C2492" s="673">
        <v>5336</v>
      </c>
      <c r="D2492" s="748"/>
      <c r="E2492" s="672" t="s">
        <v>2054</v>
      </c>
      <c r="F2492" s="827"/>
      <c r="G2492" s="851">
        <f>G2493+G2495+G2496+G2497</f>
        <v>13978</v>
      </c>
      <c r="H2492" s="851">
        <f>H2493+H2495+H2496+H2497</f>
        <v>13978</v>
      </c>
      <c r="I2492" s="853">
        <f t="shared" si="269"/>
        <v>100</v>
      </c>
    </row>
    <row r="2493" spans="1:20" ht="14.25" x14ac:dyDescent="0.2">
      <c r="A2493" s="431"/>
      <c r="B2493" s="673"/>
      <c r="C2493" s="673"/>
      <c r="D2493" s="1068" t="s">
        <v>1911</v>
      </c>
      <c r="E2493" s="2671" t="s">
        <v>2051</v>
      </c>
      <c r="F2493" s="827"/>
      <c r="G2493" s="837">
        <v>16</v>
      </c>
      <c r="H2493" s="837">
        <v>16</v>
      </c>
      <c r="I2493" s="823">
        <v>29</v>
      </c>
    </row>
    <row r="2494" spans="1:20" ht="15" x14ac:dyDescent="0.25">
      <c r="A2494" s="431"/>
      <c r="B2494" s="673"/>
      <c r="C2494" s="673"/>
      <c r="D2494" s="1068"/>
      <c r="E2494" s="2671"/>
      <c r="F2494" s="827"/>
      <c r="G2494" s="846"/>
      <c r="H2494" s="846"/>
      <c r="I2494" s="853"/>
    </row>
    <row r="2495" spans="1:20" ht="15" x14ac:dyDescent="0.2">
      <c r="A2495" s="431"/>
      <c r="B2495" s="673"/>
      <c r="C2495" s="673"/>
      <c r="D2495" s="1068" t="s">
        <v>1913</v>
      </c>
      <c r="E2495" s="2113" t="s">
        <v>2052</v>
      </c>
      <c r="F2495" s="2530"/>
      <c r="G2495" s="2531">
        <v>64</v>
      </c>
      <c r="H2495" s="2531">
        <v>64</v>
      </c>
      <c r="I2495" s="376">
        <f t="shared" ref="I2495" si="270">(H2495/G2495)*100</f>
        <v>100</v>
      </c>
    </row>
    <row r="2496" spans="1:20" ht="14.25" x14ac:dyDescent="0.2">
      <c r="A2496" s="431"/>
      <c r="B2496" s="673"/>
      <c r="C2496" s="673"/>
      <c r="D2496" s="748" t="s">
        <v>1128</v>
      </c>
      <c r="E2496" s="1527" t="s">
        <v>2074</v>
      </c>
      <c r="F2496" s="827"/>
      <c r="G2496" s="827">
        <v>200</v>
      </c>
      <c r="H2496" s="827">
        <v>200</v>
      </c>
      <c r="I2496" s="823">
        <f t="shared" ref="I2496" si="271">(H2496/G2496)*100</f>
        <v>100</v>
      </c>
    </row>
    <row r="2497" spans="1:20" ht="18" customHeight="1" thickBot="1" x14ac:dyDescent="0.25">
      <c r="A2497" s="431"/>
      <c r="B2497" s="673"/>
      <c r="C2497" s="1392"/>
      <c r="D2497" s="552" t="s">
        <v>1124</v>
      </c>
      <c r="E2497" s="455" t="s">
        <v>792</v>
      </c>
      <c r="F2497" s="827"/>
      <c r="G2497" s="827">
        <v>13698</v>
      </c>
      <c r="H2497" s="827">
        <v>13698</v>
      </c>
      <c r="I2497" s="823">
        <f t="shared" si="269"/>
        <v>100</v>
      </c>
    </row>
    <row r="2498" spans="1:20" ht="16.5" thickTop="1" thickBot="1" x14ac:dyDescent="0.3">
      <c r="A2498" s="2672" t="s">
        <v>1105</v>
      </c>
      <c r="B2498" s="2673"/>
      <c r="C2498" s="2673"/>
      <c r="D2498" s="2673"/>
      <c r="E2498" s="2673"/>
      <c r="F2498" s="824">
        <f>F2489</f>
        <v>204</v>
      </c>
      <c r="G2498" s="824">
        <f>G2489+G2492</f>
        <v>14180</v>
      </c>
      <c r="H2498" s="824">
        <f>H2489+H2492</f>
        <v>14180</v>
      </c>
      <c r="I2498" s="825">
        <f t="shared" si="269"/>
        <v>100</v>
      </c>
      <c r="R2498" s="382">
        <f>F2498</f>
        <v>204</v>
      </c>
      <c r="S2498" s="382">
        <f>G2498</f>
        <v>14180</v>
      </c>
      <c r="T2498" s="382">
        <f>H2498</f>
        <v>14180</v>
      </c>
    </row>
    <row r="2499" spans="1:20" s="383" customFormat="1" ht="13.5" thickTop="1" x14ac:dyDescent="0.2">
      <c r="A2499" s="381"/>
      <c r="B2499" s="643"/>
      <c r="C2499" s="381"/>
      <c r="D2499" s="814"/>
      <c r="E2499" s="381"/>
      <c r="F2499" s="382"/>
      <c r="G2499" s="382"/>
      <c r="H2499" s="382"/>
      <c r="I2499" s="1390"/>
    </row>
    <row r="2500" spans="1:20" s="383" customFormat="1" x14ac:dyDescent="0.2">
      <c r="A2500" s="381"/>
      <c r="B2500" s="643"/>
      <c r="C2500" s="381"/>
      <c r="D2500" s="814"/>
      <c r="E2500" s="381"/>
      <c r="F2500" s="382"/>
      <c r="G2500" s="382"/>
      <c r="H2500" s="382"/>
      <c r="I2500" s="1390"/>
    </row>
    <row r="2501" spans="1:20" ht="13.5" thickBot="1" x14ac:dyDescent="0.25">
      <c r="A2501" s="432" t="s">
        <v>1080</v>
      </c>
      <c r="I2501" s="1390" t="s">
        <v>161</v>
      </c>
    </row>
    <row r="2502" spans="1:20" ht="14.25" thickTop="1" thickBot="1" x14ac:dyDescent="0.25">
      <c r="A2502" s="631" t="s">
        <v>624</v>
      </c>
      <c r="B2502" s="774" t="s">
        <v>162</v>
      </c>
      <c r="C2502" s="632" t="s">
        <v>163</v>
      </c>
      <c r="D2502" s="634" t="s">
        <v>705</v>
      </c>
      <c r="E2502" s="634" t="s">
        <v>164</v>
      </c>
      <c r="F2502" s="634" t="s">
        <v>165</v>
      </c>
      <c r="G2502" s="634" t="s">
        <v>881</v>
      </c>
      <c r="H2502" s="634" t="s">
        <v>882</v>
      </c>
      <c r="I2502" s="818" t="s">
        <v>883</v>
      </c>
    </row>
    <row r="2503" spans="1:20" ht="14.25" thickTop="1" thickBot="1" x14ac:dyDescent="0.25">
      <c r="A2503" s="566">
        <v>1</v>
      </c>
      <c r="B2503" s="567">
        <v>2</v>
      </c>
      <c r="C2503" s="567">
        <v>3</v>
      </c>
      <c r="D2503" s="567">
        <v>4</v>
      </c>
      <c r="E2503" s="567">
        <v>5</v>
      </c>
      <c r="F2503" s="541">
        <v>6</v>
      </c>
      <c r="G2503" s="541">
        <v>7</v>
      </c>
      <c r="H2503" s="542">
        <v>8</v>
      </c>
      <c r="I2503" s="636" t="s">
        <v>762</v>
      </c>
    </row>
    <row r="2504" spans="1:20" ht="15.75" thickTop="1" x14ac:dyDescent="0.25">
      <c r="A2504" s="1402">
        <v>1308</v>
      </c>
      <c r="B2504" s="847">
        <v>3231</v>
      </c>
      <c r="C2504" s="847">
        <v>5331</v>
      </c>
      <c r="D2504" s="852"/>
      <c r="E2504" s="886" t="s">
        <v>951</v>
      </c>
      <c r="F2504" s="845">
        <v>24</v>
      </c>
      <c r="G2504" s="845">
        <v>24</v>
      </c>
      <c r="H2504" s="845">
        <v>24</v>
      </c>
      <c r="I2504" s="849">
        <f>(H2504/G2504)*100</f>
        <v>100</v>
      </c>
    </row>
    <row r="2505" spans="1:20" ht="14.25" x14ac:dyDescent="0.2">
      <c r="A2505" s="431"/>
      <c r="B2505" s="673"/>
      <c r="C2505" s="673"/>
      <c r="D2505" s="552" t="s">
        <v>570</v>
      </c>
      <c r="E2505" s="455" t="s">
        <v>71</v>
      </c>
      <c r="F2505" s="827">
        <v>24</v>
      </c>
      <c r="G2505" s="827">
        <v>24</v>
      </c>
      <c r="H2505" s="827">
        <v>24</v>
      </c>
      <c r="I2505" s="823">
        <v>100</v>
      </c>
    </row>
    <row r="2506" spans="1:20" ht="15" x14ac:dyDescent="0.25">
      <c r="A2506" s="431">
        <v>1308</v>
      </c>
      <c r="B2506" s="673">
        <v>3231</v>
      </c>
      <c r="C2506" s="673">
        <v>5336</v>
      </c>
      <c r="D2506" s="552"/>
      <c r="E2506" s="672" t="s">
        <v>2054</v>
      </c>
      <c r="F2506" s="827"/>
      <c r="G2506" s="851">
        <f>G2507+G2509+G2510</f>
        <v>5238</v>
      </c>
      <c r="H2506" s="851">
        <f>H2507+H2509+H2510</f>
        <v>5238</v>
      </c>
      <c r="I2506" s="853">
        <v>100</v>
      </c>
    </row>
    <row r="2507" spans="1:20" ht="14.25" x14ac:dyDescent="0.2">
      <c r="A2507" s="431"/>
      <c r="B2507" s="673"/>
      <c r="C2507" s="673"/>
      <c r="D2507" s="1068" t="s">
        <v>1911</v>
      </c>
      <c r="E2507" s="2671" t="s">
        <v>2051</v>
      </c>
      <c r="F2507" s="827"/>
      <c r="G2507" s="837">
        <v>6</v>
      </c>
      <c r="H2507" s="837">
        <v>6</v>
      </c>
      <c r="I2507" s="823">
        <v>29</v>
      </c>
    </row>
    <row r="2508" spans="1:20" ht="14.25" customHeight="1" x14ac:dyDescent="0.25">
      <c r="A2508" s="431"/>
      <c r="B2508" s="673"/>
      <c r="C2508" s="673"/>
      <c r="D2508" s="1068"/>
      <c r="E2508" s="2671"/>
      <c r="F2508" s="827"/>
      <c r="G2508" s="846"/>
      <c r="H2508" s="846"/>
      <c r="I2508" s="853"/>
    </row>
    <row r="2509" spans="1:20" ht="15" x14ac:dyDescent="0.2">
      <c r="A2509" s="431"/>
      <c r="B2509" s="673"/>
      <c r="C2509" s="673"/>
      <c r="D2509" s="1068" t="s">
        <v>1913</v>
      </c>
      <c r="E2509" s="2113" t="s">
        <v>2052</v>
      </c>
      <c r="F2509" s="2530"/>
      <c r="G2509" s="2531">
        <v>32</v>
      </c>
      <c r="H2509" s="2531">
        <v>32</v>
      </c>
      <c r="I2509" s="376">
        <f t="shared" ref="I2509" si="272">(H2509/G2509)*100</f>
        <v>100</v>
      </c>
    </row>
    <row r="2510" spans="1:20" ht="15" thickBot="1" x14ac:dyDescent="0.25">
      <c r="A2510" s="431"/>
      <c r="B2510" s="673"/>
      <c r="C2510" s="673"/>
      <c r="D2510" s="552" t="s">
        <v>1124</v>
      </c>
      <c r="E2510" s="455" t="s">
        <v>792</v>
      </c>
      <c r="F2510" s="827"/>
      <c r="G2510" s="827">
        <v>5200</v>
      </c>
      <c r="H2510" s="827">
        <v>5200</v>
      </c>
      <c r="I2510" s="823">
        <f>(H2510/G2510)*100</f>
        <v>100</v>
      </c>
    </row>
    <row r="2511" spans="1:20" ht="16.5" thickTop="1" thickBot="1" x14ac:dyDescent="0.3">
      <c r="A2511" s="2672" t="s">
        <v>1105</v>
      </c>
      <c r="B2511" s="2673"/>
      <c r="C2511" s="2673"/>
      <c r="D2511" s="2673"/>
      <c r="E2511" s="2673"/>
      <c r="F2511" s="824">
        <f>SUM(F2504)</f>
        <v>24</v>
      </c>
      <c r="G2511" s="824">
        <f>G2504+G2506</f>
        <v>5262</v>
      </c>
      <c r="H2511" s="824">
        <f>H2504+H2506</f>
        <v>5262</v>
      </c>
      <c r="I2511" s="825">
        <f>(H2511/G2511)*100</f>
        <v>100</v>
      </c>
      <c r="R2511" s="382">
        <f>F2511</f>
        <v>24</v>
      </c>
      <c r="S2511" s="382">
        <f>G2511</f>
        <v>5262</v>
      </c>
      <c r="T2511" s="382">
        <f>H2511</f>
        <v>5262</v>
      </c>
    </row>
    <row r="2512" spans="1:20" ht="16.5" customHeight="1" thickTop="1" x14ac:dyDescent="0.25">
      <c r="A2512" s="368"/>
      <c r="B2512" s="368"/>
      <c r="C2512" s="368"/>
      <c r="D2512" s="368"/>
      <c r="E2512" s="368"/>
      <c r="F2512" s="181"/>
      <c r="G2512" s="181"/>
      <c r="H2512" s="181"/>
      <c r="I2512" s="210"/>
      <c r="R2512" s="382"/>
      <c r="S2512" s="382"/>
      <c r="T2512" s="382"/>
    </row>
    <row r="2513" spans="1:20" ht="15" customHeight="1" x14ac:dyDescent="0.25">
      <c r="A2513" s="368"/>
      <c r="B2513" s="368"/>
      <c r="C2513" s="368"/>
      <c r="D2513" s="368"/>
      <c r="E2513" s="368"/>
      <c r="F2513" s="181"/>
      <c r="G2513" s="181"/>
      <c r="H2513" s="181"/>
      <c r="I2513" s="210"/>
      <c r="R2513" s="382"/>
      <c r="S2513" s="382"/>
      <c r="T2513" s="382"/>
    </row>
    <row r="2514" spans="1:20" ht="13.5" thickBot="1" x14ac:dyDescent="0.25">
      <c r="A2514" s="432" t="s">
        <v>141</v>
      </c>
      <c r="I2514" s="1390" t="s">
        <v>161</v>
      </c>
    </row>
    <row r="2515" spans="1:20" ht="14.25" thickTop="1" thickBot="1" x14ac:dyDescent="0.25">
      <c r="A2515" s="631" t="s">
        <v>624</v>
      </c>
      <c r="B2515" s="774" t="s">
        <v>162</v>
      </c>
      <c r="C2515" s="632" t="s">
        <v>163</v>
      </c>
      <c r="D2515" s="634" t="s">
        <v>705</v>
      </c>
      <c r="E2515" s="634" t="s">
        <v>164</v>
      </c>
      <c r="F2515" s="634" t="s">
        <v>165</v>
      </c>
      <c r="G2515" s="634" t="s">
        <v>881</v>
      </c>
      <c r="H2515" s="634" t="s">
        <v>882</v>
      </c>
      <c r="I2515" s="818" t="s">
        <v>883</v>
      </c>
    </row>
    <row r="2516" spans="1:20" ht="14.25" thickTop="1" thickBot="1" x14ac:dyDescent="0.25">
      <c r="A2516" s="566">
        <v>1</v>
      </c>
      <c r="B2516" s="567">
        <v>2</v>
      </c>
      <c r="C2516" s="567">
        <v>3</v>
      </c>
      <c r="D2516" s="567">
        <v>4</v>
      </c>
      <c r="E2516" s="567">
        <v>5</v>
      </c>
      <c r="F2516" s="541">
        <v>6</v>
      </c>
      <c r="G2516" s="541">
        <v>7</v>
      </c>
      <c r="H2516" s="542">
        <v>8</v>
      </c>
      <c r="I2516" s="636" t="s">
        <v>762</v>
      </c>
    </row>
    <row r="2517" spans="1:20" ht="15.75" thickTop="1" x14ac:dyDescent="0.25">
      <c r="A2517" s="1402">
        <v>1309</v>
      </c>
      <c r="B2517" s="847">
        <v>3231</v>
      </c>
      <c r="C2517" s="847">
        <v>5331</v>
      </c>
      <c r="D2517" s="852"/>
      <c r="E2517" s="886" t="s">
        <v>951</v>
      </c>
      <c r="F2517" s="845">
        <f>SUM(F2518:F2524)</f>
        <v>305</v>
      </c>
      <c r="G2517" s="845">
        <f>G2518+G2519</f>
        <v>303</v>
      </c>
      <c r="H2517" s="845">
        <f>H2518+H2519</f>
        <v>303</v>
      </c>
      <c r="I2517" s="849">
        <f t="shared" ref="I2517:I2525" si="273">(H2517/G2517)*100</f>
        <v>100</v>
      </c>
    </row>
    <row r="2518" spans="1:20" ht="14.25" x14ac:dyDescent="0.2">
      <c r="A2518" s="431"/>
      <c r="B2518" s="673"/>
      <c r="C2518" s="673"/>
      <c r="D2518" s="707" t="s">
        <v>575</v>
      </c>
      <c r="E2518" s="1478" t="s">
        <v>793</v>
      </c>
      <c r="F2518" s="827">
        <v>247</v>
      </c>
      <c r="G2518" s="827">
        <v>246</v>
      </c>
      <c r="H2518" s="827">
        <v>246</v>
      </c>
      <c r="I2518" s="823">
        <f t="shared" si="273"/>
        <v>100</v>
      </c>
      <c r="Q2518" s="382"/>
    </row>
    <row r="2519" spans="1:20" ht="14.25" x14ac:dyDescent="0.2">
      <c r="A2519" s="431"/>
      <c r="B2519" s="673"/>
      <c r="C2519" s="673"/>
      <c r="D2519" s="552" t="s">
        <v>570</v>
      </c>
      <c r="E2519" s="455" t="s">
        <v>71</v>
      </c>
      <c r="F2519" s="827">
        <v>58</v>
      </c>
      <c r="G2519" s="827">
        <v>57</v>
      </c>
      <c r="H2519" s="827">
        <v>57</v>
      </c>
      <c r="I2519" s="823">
        <f t="shared" si="273"/>
        <v>100</v>
      </c>
    </row>
    <row r="2520" spans="1:20" ht="15" x14ac:dyDescent="0.25">
      <c r="A2520" s="431">
        <v>1309</v>
      </c>
      <c r="B2520" s="673">
        <v>3231</v>
      </c>
      <c r="C2520" s="673">
        <v>5336</v>
      </c>
      <c r="D2520" s="1068"/>
      <c r="E2520" s="672" t="s">
        <v>2054</v>
      </c>
      <c r="F2520" s="827"/>
      <c r="G2520" s="851">
        <f>G2521+G2523+G2524</f>
        <v>18682</v>
      </c>
      <c r="H2520" s="851">
        <f>H2521+H2523+H2524</f>
        <v>18682</v>
      </c>
      <c r="I2520" s="853">
        <f t="shared" si="273"/>
        <v>100</v>
      </c>
    </row>
    <row r="2521" spans="1:20" ht="14.25" customHeight="1" x14ac:dyDescent="0.2">
      <c r="A2521" s="431"/>
      <c r="B2521" s="673"/>
      <c r="C2521" s="673"/>
      <c r="D2521" s="1068" t="s">
        <v>1911</v>
      </c>
      <c r="E2521" s="2671" t="s">
        <v>2051</v>
      </c>
      <c r="F2521" s="827"/>
      <c r="G2521" s="837">
        <v>22</v>
      </c>
      <c r="H2521" s="837">
        <v>22</v>
      </c>
      <c r="I2521" s="823">
        <v>29</v>
      </c>
    </row>
    <row r="2522" spans="1:20" ht="15" x14ac:dyDescent="0.25">
      <c r="A2522" s="431"/>
      <c r="B2522" s="673"/>
      <c r="C2522" s="673"/>
      <c r="D2522" s="1068"/>
      <c r="E2522" s="2671"/>
      <c r="F2522" s="827"/>
      <c r="G2522" s="846"/>
      <c r="H2522" s="846"/>
      <c r="I2522" s="853"/>
    </row>
    <row r="2523" spans="1:20" ht="15" x14ac:dyDescent="0.2">
      <c r="A2523" s="431"/>
      <c r="B2523" s="673"/>
      <c r="C2523" s="673"/>
      <c r="D2523" s="1068" t="s">
        <v>1913</v>
      </c>
      <c r="E2523" s="2113" t="s">
        <v>2052</v>
      </c>
      <c r="F2523" s="2530"/>
      <c r="G2523" s="2531">
        <v>113</v>
      </c>
      <c r="H2523" s="2531">
        <v>113</v>
      </c>
      <c r="I2523" s="376">
        <f t="shared" ref="I2523" si="274">(H2523/G2523)*100</f>
        <v>100</v>
      </c>
    </row>
    <row r="2524" spans="1:20" ht="15" thickBot="1" x14ac:dyDescent="0.25">
      <c r="A2524" s="431"/>
      <c r="B2524" s="673"/>
      <c r="C2524" s="1392"/>
      <c r="D2524" s="552" t="s">
        <v>1124</v>
      </c>
      <c r="E2524" s="455" t="s">
        <v>792</v>
      </c>
      <c r="F2524" s="827"/>
      <c r="G2524" s="827">
        <v>18547</v>
      </c>
      <c r="H2524" s="827">
        <v>18547</v>
      </c>
      <c r="I2524" s="823">
        <f t="shared" si="273"/>
        <v>100</v>
      </c>
    </row>
    <row r="2525" spans="1:20" s="107" customFormat="1" ht="16.5" thickTop="1" thickBot="1" x14ac:dyDescent="0.3">
      <c r="A2525" s="2672" t="s">
        <v>1105</v>
      </c>
      <c r="B2525" s="2673"/>
      <c r="C2525" s="2673"/>
      <c r="D2525" s="2673"/>
      <c r="E2525" s="2673"/>
      <c r="F2525" s="824">
        <f>F2517+F2520</f>
        <v>305</v>
      </c>
      <c r="G2525" s="824">
        <f>G2517+G2520</f>
        <v>18985</v>
      </c>
      <c r="H2525" s="824">
        <f>H2517+H2520</f>
        <v>18985</v>
      </c>
      <c r="I2525" s="825">
        <f t="shared" si="273"/>
        <v>100</v>
      </c>
      <c r="R2525" s="382">
        <f>F2525</f>
        <v>305</v>
      </c>
      <c r="S2525" s="382">
        <f>G2525</f>
        <v>18985</v>
      </c>
      <c r="T2525" s="382">
        <f>H2525</f>
        <v>18985</v>
      </c>
    </row>
    <row r="2526" spans="1:20" s="107" customFormat="1" ht="15.75" thickTop="1" x14ac:dyDescent="0.25">
      <c r="A2526" s="368"/>
      <c r="B2526" s="368"/>
      <c r="C2526" s="368"/>
      <c r="D2526" s="368"/>
      <c r="E2526" s="368"/>
      <c r="F2526" s="181"/>
      <c r="G2526" s="181"/>
      <c r="H2526" s="181"/>
      <c r="I2526" s="210"/>
      <c r="R2526" s="382"/>
      <c r="S2526" s="382"/>
      <c r="T2526" s="382"/>
    </row>
    <row r="2527" spans="1:20" s="107" customFormat="1" ht="15" x14ac:dyDescent="0.25">
      <c r="A2527" s="368"/>
      <c r="B2527" s="368"/>
      <c r="C2527" s="368"/>
      <c r="D2527" s="368"/>
      <c r="E2527" s="368"/>
      <c r="F2527" s="181"/>
      <c r="G2527" s="181"/>
      <c r="H2527" s="181"/>
      <c r="I2527" s="210"/>
      <c r="R2527" s="382"/>
      <c r="S2527" s="382"/>
      <c r="T2527" s="382"/>
    </row>
    <row r="2528" spans="1:20" ht="13.5" thickBot="1" x14ac:dyDescent="0.25">
      <c r="A2528" s="432" t="s">
        <v>199</v>
      </c>
      <c r="I2528" s="1390" t="s">
        <v>161</v>
      </c>
    </row>
    <row r="2529" spans="1:20" ht="14.25" thickTop="1" thickBot="1" x14ac:dyDescent="0.25">
      <c r="A2529" s="631" t="s">
        <v>624</v>
      </c>
      <c r="B2529" s="774" t="s">
        <v>162</v>
      </c>
      <c r="C2529" s="632" t="s">
        <v>163</v>
      </c>
      <c r="D2529" s="634" t="s">
        <v>705</v>
      </c>
      <c r="E2529" s="634" t="s">
        <v>164</v>
      </c>
      <c r="F2529" s="634" t="s">
        <v>165</v>
      </c>
      <c r="G2529" s="634" t="s">
        <v>881</v>
      </c>
      <c r="H2529" s="634" t="s">
        <v>882</v>
      </c>
      <c r="I2529" s="818" t="s">
        <v>883</v>
      </c>
    </row>
    <row r="2530" spans="1:20" ht="14.25" thickTop="1" thickBot="1" x14ac:dyDescent="0.25">
      <c r="A2530" s="566">
        <v>1</v>
      </c>
      <c r="B2530" s="567">
        <v>2</v>
      </c>
      <c r="C2530" s="567">
        <v>3</v>
      </c>
      <c r="D2530" s="567">
        <v>4</v>
      </c>
      <c r="E2530" s="567">
        <v>5</v>
      </c>
      <c r="F2530" s="541">
        <v>6</v>
      </c>
      <c r="G2530" s="541">
        <v>7</v>
      </c>
      <c r="H2530" s="542">
        <v>8</v>
      </c>
      <c r="I2530" s="636" t="s">
        <v>762</v>
      </c>
    </row>
    <row r="2531" spans="1:20" ht="15.75" thickTop="1" x14ac:dyDescent="0.25">
      <c r="A2531" s="1402">
        <v>1310</v>
      </c>
      <c r="B2531" s="847">
        <v>3231</v>
      </c>
      <c r="C2531" s="847">
        <v>5331</v>
      </c>
      <c r="D2531" s="852"/>
      <c r="E2531" s="886" t="s">
        <v>951</v>
      </c>
      <c r="F2531" s="845">
        <f>SUM(F2532:F2538)</f>
        <v>60</v>
      </c>
      <c r="G2531" s="845">
        <f>G2532+G2533</f>
        <v>60</v>
      </c>
      <c r="H2531" s="845">
        <f>H2532+H2533</f>
        <v>60</v>
      </c>
      <c r="I2531" s="849">
        <f t="shared" ref="I2531:I2539" si="275">(H2531/G2531)*100</f>
        <v>100</v>
      </c>
    </row>
    <row r="2532" spans="1:20" ht="14.25" x14ac:dyDescent="0.2">
      <c r="A2532" s="431"/>
      <c r="B2532" s="673"/>
      <c r="C2532" s="673"/>
      <c r="D2532" s="707" t="s">
        <v>575</v>
      </c>
      <c r="E2532" s="1478" t="s">
        <v>793</v>
      </c>
      <c r="F2532" s="827">
        <v>12</v>
      </c>
      <c r="G2532" s="827">
        <v>12</v>
      </c>
      <c r="H2532" s="827">
        <v>12</v>
      </c>
      <c r="I2532" s="823">
        <f t="shared" si="275"/>
        <v>100</v>
      </c>
    </row>
    <row r="2533" spans="1:20" ht="14.25" x14ac:dyDescent="0.2">
      <c r="A2533" s="431"/>
      <c r="B2533" s="673"/>
      <c r="C2533" s="673"/>
      <c r="D2533" s="552" t="s">
        <v>570</v>
      </c>
      <c r="E2533" s="455" t="s">
        <v>71</v>
      </c>
      <c r="F2533" s="827">
        <v>48</v>
      </c>
      <c r="G2533" s="827">
        <v>48</v>
      </c>
      <c r="H2533" s="827">
        <v>48</v>
      </c>
      <c r="I2533" s="823">
        <f t="shared" si="275"/>
        <v>100</v>
      </c>
    </row>
    <row r="2534" spans="1:20" ht="15" x14ac:dyDescent="0.25">
      <c r="A2534" s="431">
        <v>1310</v>
      </c>
      <c r="B2534" s="673">
        <v>3231</v>
      </c>
      <c r="C2534" s="673">
        <v>5336</v>
      </c>
      <c r="D2534" s="1068"/>
      <c r="E2534" s="672" t="s">
        <v>2054</v>
      </c>
      <c r="F2534" s="827"/>
      <c r="G2534" s="851">
        <f>G2535+G2537+G2538</f>
        <v>5570</v>
      </c>
      <c r="H2534" s="851">
        <f>H2535+H2537+H2538</f>
        <v>5570</v>
      </c>
      <c r="I2534" s="853">
        <f t="shared" si="275"/>
        <v>100</v>
      </c>
    </row>
    <row r="2535" spans="1:20" ht="14.25" customHeight="1" x14ac:dyDescent="0.2">
      <c r="A2535" s="431"/>
      <c r="B2535" s="673"/>
      <c r="C2535" s="673"/>
      <c r="D2535" s="1068" t="s">
        <v>1911</v>
      </c>
      <c r="E2535" s="2671" t="s">
        <v>2051</v>
      </c>
      <c r="F2535" s="827"/>
      <c r="G2535" s="837">
        <v>7</v>
      </c>
      <c r="H2535" s="837">
        <v>7</v>
      </c>
      <c r="I2535" s="823">
        <v>29</v>
      </c>
    </row>
    <row r="2536" spans="1:20" ht="15" x14ac:dyDescent="0.25">
      <c r="A2536" s="431"/>
      <c r="B2536" s="673"/>
      <c r="C2536" s="673"/>
      <c r="D2536" s="1068"/>
      <c r="E2536" s="2671"/>
      <c r="F2536" s="827"/>
      <c r="G2536" s="846"/>
      <c r="H2536" s="846"/>
      <c r="I2536" s="853"/>
    </row>
    <row r="2537" spans="1:20" ht="15" x14ac:dyDescent="0.2">
      <c r="A2537" s="431"/>
      <c r="B2537" s="673"/>
      <c r="C2537" s="673"/>
      <c r="D2537" s="1068" t="s">
        <v>1913</v>
      </c>
      <c r="E2537" s="2113" t="s">
        <v>2052</v>
      </c>
      <c r="F2537" s="2530"/>
      <c r="G2537" s="2531">
        <v>40</v>
      </c>
      <c r="H2537" s="2531">
        <v>40</v>
      </c>
      <c r="I2537" s="376">
        <f t="shared" ref="I2537" si="276">(H2537/G2537)*100</f>
        <v>100</v>
      </c>
    </row>
    <row r="2538" spans="1:20" ht="15" thickBot="1" x14ac:dyDescent="0.25">
      <c r="A2538" s="1409"/>
      <c r="B2538" s="830"/>
      <c r="C2538" s="1410"/>
      <c r="D2538" s="552" t="s">
        <v>1124</v>
      </c>
      <c r="E2538" s="455" t="s">
        <v>792</v>
      </c>
      <c r="F2538" s="831"/>
      <c r="G2538" s="831">
        <v>5523</v>
      </c>
      <c r="H2538" s="831">
        <v>5523</v>
      </c>
      <c r="I2538" s="832">
        <f t="shared" si="275"/>
        <v>100</v>
      </c>
    </row>
    <row r="2539" spans="1:20" ht="16.5" thickTop="1" thickBot="1" x14ac:dyDescent="0.3">
      <c r="A2539" s="2672" t="s">
        <v>1105</v>
      </c>
      <c r="B2539" s="2673"/>
      <c r="C2539" s="2673"/>
      <c r="D2539" s="2673"/>
      <c r="E2539" s="2673"/>
      <c r="F2539" s="824">
        <f>SUM(F2531)</f>
        <v>60</v>
      </c>
      <c r="G2539" s="824">
        <f>G2531+G2534</f>
        <v>5630</v>
      </c>
      <c r="H2539" s="824">
        <f>H2531+H2534</f>
        <v>5630</v>
      </c>
      <c r="I2539" s="825">
        <f t="shared" si="275"/>
        <v>100</v>
      </c>
      <c r="R2539" s="382">
        <f>F2539</f>
        <v>60</v>
      </c>
      <c r="S2539" s="382">
        <f>G2539</f>
        <v>5630</v>
      </c>
      <c r="T2539" s="382">
        <f>H2539</f>
        <v>5630</v>
      </c>
    </row>
    <row r="2540" spans="1:20" s="107" customFormat="1" ht="18" customHeight="1" thickTop="1" x14ac:dyDescent="0.2">
      <c r="A2540" s="381"/>
      <c r="B2540" s="643"/>
      <c r="C2540" s="381"/>
      <c r="D2540" s="814"/>
      <c r="E2540" s="381"/>
      <c r="F2540" s="382"/>
      <c r="G2540" s="382"/>
      <c r="H2540" s="382"/>
      <c r="I2540" s="1390"/>
    </row>
    <row r="2541" spans="1:20" ht="13.5" thickBot="1" x14ac:dyDescent="0.25">
      <c r="A2541" s="432" t="s">
        <v>1081</v>
      </c>
      <c r="I2541" s="1390" t="s">
        <v>161</v>
      </c>
    </row>
    <row r="2542" spans="1:20" ht="14.25" thickTop="1" thickBot="1" x14ac:dyDescent="0.25">
      <c r="A2542" s="631" t="s">
        <v>624</v>
      </c>
      <c r="B2542" s="774" t="s">
        <v>162</v>
      </c>
      <c r="C2542" s="632" t="s">
        <v>163</v>
      </c>
      <c r="D2542" s="634" t="s">
        <v>705</v>
      </c>
      <c r="E2542" s="634" t="s">
        <v>164</v>
      </c>
      <c r="F2542" s="634" t="s">
        <v>165</v>
      </c>
      <c r="G2542" s="634" t="s">
        <v>881</v>
      </c>
      <c r="H2542" s="634" t="s">
        <v>882</v>
      </c>
      <c r="I2542" s="818" t="s">
        <v>883</v>
      </c>
    </row>
    <row r="2543" spans="1:20" s="1483" customFormat="1" ht="14.25" thickTop="1" thickBot="1" x14ac:dyDescent="0.25">
      <c r="A2543" s="566">
        <v>1</v>
      </c>
      <c r="B2543" s="567">
        <v>2</v>
      </c>
      <c r="C2543" s="567">
        <v>3</v>
      </c>
      <c r="D2543" s="567">
        <v>4</v>
      </c>
      <c r="E2543" s="567">
        <v>5</v>
      </c>
      <c r="F2543" s="541">
        <v>6</v>
      </c>
      <c r="G2543" s="541">
        <v>7</v>
      </c>
      <c r="H2543" s="542">
        <v>8</v>
      </c>
      <c r="I2543" s="636" t="s">
        <v>762</v>
      </c>
    </row>
    <row r="2544" spans="1:20" ht="15.75" thickTop="1" x14ac:dyDescent="0.25">
      <c r="A2544" s="1402">
        <v>1311</v>
      </c>
      <c r="B2544" s="847">
        <v>3231</v>
      </c>
      <c r="C2544" s="847">
        <v>5331</v>
      </c>
      <c r="D2544" s="852"/>
      <c r="E2544" s="886" t="s">
        <v>951</v>
      </c>
      <c r="F2544" s="845">
        <v>146</v>
      </c>
      <c r="G2544" s="845">
        <v>146</v>
      </c>
      <c r="H2544" s="845">
        <v>146</v>
      </c>
      <c r="I2544" s="849">
        <f>(H2544/G2544)*100</f>
        <v>100</v>
      </c>
    </row>
    <row r="2545" spans="1:20" ht="14.25" x14ac:dyDescent="0.2">
      <c r="A2545" s="431"/>
      <c r="B2545" s="673"/>
      <c r="C2545" s="673"/>
      <c r="D2545" s="707" t="s">
        <v>575</v>
      </c>
      <c r="E2545" s="1478" t="s">
        <v>793</v>
      </c>
      <c r="F2545" s="827">
        <v>146</v>
      </c>
      <c r="G2545" s="827">
        <v>146</v>
      </c>
      <c r="H2545" s="827">
        <v>146</v>
      </c>
      <c r="I2545" s="823">
        <f>(H2545/G2545)*100</f>
        <v>100</v>
      </c>
    </row>
    <row r="2546" spans="1:20" ht="15" x14ac:dyDescent="0.25">
      <c r="A2546" s="431">
        <v>1311</v>
      </c>
      <c r="B2546" s="673">
        <v>3231</v>
      </c>
      <c r="C2546" s="673">
        <v>5336</v>
      </c>
      <c r="D2546" s="1068"/>
      <c r="E2546" s="672" t="s">
        <v>2054</v>
      </c>
      <c r="F2546" s="827"/>
      <c r="G2546" s="851">
        <f>G2547+G2549+G2550</f>
        <v>7078</v>
      </c>
      <c r="H2546" s="851">
        <f>H2547+H2549+H2550</f>
        <v>7078</v>
      </c>
      <c r="I2546" s="853">
        <f>(H2546/G2546)*100</f>
        <v>100</v>
      </c>
    </row>
    <row r="2547" spans="1:20" ht="14.25" customHeight="1" x14ac:dyDescent="0.2">
      <c r="A2547" s="431"/>
      <c r="B2547" s="673"/>
      <c r="C2547" s="673"/>
      <c r="D2547" s="1068" t="s">
        <v>1911</v>
      </c>
      <c r="E2547" s="2671" t="s">
        <v>2051</v>
      </c>
      <c r="F2547" s="827"/>
      <c r="G2547" s="837">
        <v>9</v>
      </c>
      <c r="H2547" s="837">
        <v>9</v>
      </c>
      <c r="I2547" s="823">
        <v>29</v>
      </c>
    </row>
    <row r="2548" spans="1:20" ht="15" x14ac:dyDescent="0.25">
      <c r="A2548" s="431"/>
      <c r="B2548" s="673"/>
      <c r="C2548" s="673"/>
      <c r="D2548" s="1068"/>
      <c r="E2548" s="2671"/>
      <c r="F2548" s="827"/>
      <c r="G2548" s="846"/>
      <c r="H2548" s="846"/>
      <c r="I2548" s="853"/>
    </row>
    <row r="2549" spans="1:20" ht="15" x14ac:dyDescent="0.2">
      <c r="A2549" s="431"/>
      <c r="B2549" s="673"/>
      <c r="C2549" s="673"/>
      <c r="D2549" s="1068" t="s">
        <v>1913</v>
      </c>
      <c r="E2549" s="2113" t="s">
        <v>2052</v>
      </c>
      <c r="F2549" s="2530"/>
      <c r="G2549" s="2531">
        <v>45</v>
      </c>
      <c r="H2549" s="2531">
        <v>45</v>
      </c>
      <c r="I2549" s="376">
        <f t="shared" ref="I2549" si="277">(H2549/G2549)*100</f>
        <v>100</v>
      </c>
    </row>
    <row r="2550" spans="1:20" ht="15" thickBot="1" x14ac:dyDescent="0.25">
      <c r="A2550" s="431"/>
      <c r="B2550" s="673"/>
      <c r="C2550" s="1392"/>
      <c r="D2550" s="552" t="s">
        <v>1124</v>
      </c>
      <c r="E2550" s="455" t="s">
        <v>792</v>
      </c>
      <c r="F2550" s="827"/>
      <c r="G2550" s="827">
        <v>7024</v>
      </c>
      <c r="H2550" s="827">
        <v>7024</v>
      </c>
      <c r="I2550" s="823">
        <f>(H2550/G2550)*100</f>
        <v>100</v>
      </c>
    </row>
    <row r="2551" spans="1:20" ht="16.5" thickTop="1" thickBot="1" x14ac:dyDescent="0.3">
      <c r="A2551" s="2672" t="s">
        <v>1105</v>
      </c>
      <c r="B2551" s="2673"/>
      <c r="C2551" s="2673"/>
      <c r="D2551" s="2673"/>
      <c r="E2551" s="2673"/>
      <c r="F2551" s="824">
        <f>SUM(F2544)</f>
        <v>146</v>
      </c>
      <c r="G2551" s="824">
        <f>G2544+G2546</f>
        <v>7224</v>
      </c>
      <c r="H2551" s="824">
        <f>H2544+H2546</f>
        <v>7224</v>
      </c>
      <c r="I2551" s="825">
        <f>(H2551/G2551)*100</f>
        <v>100</v>
      </c>
      <c r="R2551" s="382">
        <f>F2551</f>
        <v>146</v>
      </c>
      <c r="S2551" s="382">
        <f>G2551</f>
        <v>7224</v>
      </c>
      <c r="T2551" s="382">
        <f>H2551</f>
        <v>7224</v>
      </c>
    </row>
    <row r="2552" spans="1:20" s="107" customFormat="1" ht="13.5" thickTop="1" x14ac:dyDescent="0.2">
      <c r="A2552" s="381"/>
      <c r="B2552" s="643"/>
      <c r="C2552" s="381"/>
      <c r="D2552" s="814"/>
      <c r="E2552" s="381"/>
      <c r="F2552" s="382"/>
      <c r="G2552" s="382"/>
      <c r="H2552" s="382"/>
      <c r="I2552" s="1390"/>
    </row>
    <row r="2553" spans="1:20" s="107" customFormat="1" x14ac:dyDescent="0.2">
      <c r="A2553" s="381"/>
      <c r="B2553" s="643"/>
      <c r="C2553" s="381"/>
      <c r="D2553" s="814"/>
      <c r="E2553" s="381"/>
      <c r="F2553" s="382"/>
      <c r="G2553" s="382"/>
      <c r="H2553" s="382"/>
      <c r="I2553" s="1390"/>
    </row>
    <row r="2554" spans="1:20" ht="13.5" thickBot="1" x14ac:dyDescent="0.25">
      <c r="A2554" s="432" t="s">
        <v>1082</v>
      </c>
      <c r="I2554" s="1390" t="s">
        <v>161</v>
      </c>
    </row>
    <row r="2555" spans="1:20" ht="14.25" thickTop="1" thickBot="1" x14ac:dyDescent="0.25">
      <c r="A2555" s="631" t="s">
        <v>624</v>
      </c>
      <c r="B2555" s="774" t="s">
        <v>162</v>
      </c>
      <c r="C2555" s="632" t="s">
        <v>163</v>
      </c>
      <c r="D2555" s="634" t="s">
        <v>705</v>
      </c>
      <c r="E2555" s="634" t="s">
        <v>164</v>
      </c>
      <c r="F2555" s="634" t="s">
        <v>165</v>
      </c>
      <c r="G2555" s="634" t="s">
        <v>881</v>
      </c>
      <c r="H2555" s="634" t="s">
        <v>882</v>
      </c>
      <c r="I2555" s="818" t="s">
        <v>883</v>
      </c>
    </row>
    <row r="2556" spans="1:20" ht="14.25" thickTop="1" thickBot="1" x14ac:dyDescent="0.25">
      <c r="A2556" s="566">
        <v>1</v>
      </c>
      <c r="B2556" s="567">
        <v>2</v>
      </c>
      <c r="C2556" s="567">
        <v>3</v>
      </c>
      <c r="D2556" s="567">
        <v>4</v>
      </c>
      <c r="E2556" s="567">
        <v>5</v>
      </c>
      <c r="F2556" s="541">
        <v>6</v>
      </c>
      <c r="G2556" s="541">
        <v>7</v>
      </c>
      <c r="H2556" s="542">
        <v>8</v>
      </c>
      <c r="I2556" s="636" t="s">
        <v>762</v>
      </c>
    </row>
    <row r="2557" spans="1:20" ht="15.75" thickTop="1" x14ac:dyDescent="0.25">
      <c r="A2557" s="1402">
        <v>1312</v>
      </c>
      <c r="B2557" s="847">
        <v>3231</v>
      </c>
      <c r="C2557" s="847">
        <v>5331</v>
      </c>
      <c r="D2557" s="852"/>
      <c r="E2557" s="886" t="s">
        <v>951</v>
      </c>
      <c r="F2557" s="908">
        <f>F2558+F2559</f>
        <v>151</v>
      </c>
      <c r="G2557" s="908">
        <f>G2558+G2559</f>
        <v>148</v>
      </c>
      <c r="H2557" s="908">
        <f>H2558+H2559</f>
        <v>148</v>
      </c>
      <c r="I2557" s="909">
        <f t="shared" ref="I2557:I2565" si="278">(H2557/G2557)*100</f>
        <v>100</v>
      </c>
    </row>
    <row r="2558" spans="1:20" ht="14.25" x14ac:dyDescent="0.2">
      <c r="A2558" s="431"/>
      <c r="B2558" s="673"/>
      <c r="C2558" s="673"/>
      <c r="D2558" s="707" t="s">
        <v>575</v>
      </c>
      <c r="E2558" s="1478" t="s">
        <v>793</v>
      </c>
      <c r="F2558" s="356">
        <v>31</v>
      </c>
      <c r="G2558" s="356">
        <v>29</v>
      </c>
      <c r="H2558" s="356">
        <v>29</v>
      </c>
      <c r="I2558" s="854">
        <f t="shared" si="278"/>
        <v>100</v>
      </c>
    </row>
    <row r="2559" spans="1:20" ht="14.25" x14ac:dyDescent="0.2">
      <c r="A2559" s="431"/>
      <c r="B2559" s="673"/>
      <c r="C2559" s="673"/>
      <c r="D2559" s="552" t="s">
        <v>570</v>
      </c>
      <c r="E2559" s="455" t="s">
        <v>71</v>
      </c>
      <c r="F2559" s="356">
        <v>120</v>
      </c>
      <c r="G2559" s="356">
        <v>119</v>
      </c>
      <c r="H2559" s="356">
        <v>119</v>
      </c>
      <c r="I2559" s="854">
        <f t="shared" si="278"/>
        <v>100</v>
      </c>
    </row>
    <row r="2560" spans="1:20" ht="15" x14ac:dyDescent="0.25">
      <c r="A2560" s="431">
        <v>1312</v>
      </c>
      <c r="B2560" s="750">
        <v>3231</v>
      </c>
      <c r="C2560" s="750">
        <v>5336</v>
      </c>
      <c r="D2560" s="1068"/>
      <c r="E2560" s="672" t="s">
        <v>2054</v>
      </c>
      <c r="F2560" s="837"/>
      <c r="G2560" s="846">
        <f>G2561+G2563+G2564</f>
        <v>11811</v>
      </c>
      <c r="H2560" s="846">
        <f>H2561+H2563+H2564</f>
        <v>11811</v>
      </c>
      <c r="I2560" s="853">
        <f t="shared" si="278"/>
        <v>100</v>
      </c>
    </row>
    <row r="2561" spans="1:20" ht="14.25" customHeight="1" x14ac:dyDescent="0.2">
      <c r="A2561" s="431"/>
      <c r="B2561" s="750"/>
      <c r="C2561" s="750"/>
      <c r="D2561" s="1068" t="s">
        <v>1911</v>
      </c>
      <c r="E2561" s="2671" t="s">
        <v>2051</v>
      </c>
      <c r="F2561" s="827"/>
      <c r="G2561" s="837">
        <v>14</v>
      </c>
      <c r="H2561" s="837">
        <v>14</v>
      </c>
      <c r="I2561" s="823">
        <v>29</v>
      </c>
    </row>
    <row r="2562" spans="1:20" ht="15" x14ac:dyDescent="0.25">
      <c r="A2562" s="431"/>
      <c r="B2562" s="750"/>
      <c r="C2562" s="750"/>
      <c r="D2562" s="1068"/>
      <c r="E2562" s="2671"/>
      <c r="F2562" s="827"/>
      <c r="G2562" s="846"/>
      <c r="H2562" s="846"/>
      <c r="I2562" s="853"/>
    </row>
    <row r="2563" spans="1:20" ht="15" x14ac:dyDescent="0.2">
      <c r="A2563" s="431"/>
      <c r="B2563" s="750"/>
      <c r="C2563" s="750"/>
      <c r="D2563" s="1068" t="s">
        <v>1913</v>
      </c>
      <c r="E2563" s="2113" t="s">
        <v>2052</v>
      </c>
      <c r="F2563" s="2530"/>
      <c r="G2563" s="2531">
        <v>76</v>
      </c>
      <c r="H2563" s="2531">
        <v>76</v>
      </c>
      <c r="I2563" s="376">
        <f t="shared" ref="I2563" si="279">(H2563/G2563)*100</f>
        <v>100</v>
      </c>
    </row>
    <row r="2564" spans="1:20" ht="18" customHeight="1" thickBot="1" x14ac:dyDescent="0.3">
      <c r="A2564" s="431"/>
      <c r="B2564" s="750"/>
      <c r="C2564" s="750"/>
      <c r="D2564" s="552" t="s">
        <v>1124</v>
      </c>
      <c r="E2564" s="455" t="s">
        <v>792</v>
      </c>
      <c r="F2564" s="846"/>
      <c r="G2564" s="837">
        <v>11721</v>
      </c>
      <c r="H2564" s="837">
        <v>11721</v>
      </c>
      <c r="I2564" s="376">
        <f t="shared" si="278"/>
        <v>100</v>
      </c>
    </row>
    <row r="2565" spans="1:20" ht="16.5" thickTop="1" thickBot="1" x14ac:dyDescent="0.3">
      <c r="A2565" s="2672" t="s">
        <v>1105</v>
      </c>
      <c r="B2565" s="2673"/>
      <c r="C2565" s="2673"/>
      <c r="D2565" s="2673"/>
      <c r="E2565" s="2673"/>
      <c r="F2565" s="889">
        <f>SUM(F2557)</f>
        <v>151</v>
      </c>
      <c r="G2565" s="889">
        <f>G2557+G2560</f>
        <v>11959</v>
      </c>
      <c r="H2565" s="889">
        <f>H2557+H2560</f>
        <v>11959</v>
      </c>
      <c r="I2565" s="890">
        <f t="shared" si="278"/>
        <v>100</v>
      </c>
      <c r="R2565" s="382">
        <f>F2565</f>
        <v>151</v>
      </c>
      <c r="S2565" s="382">
        <f>G2565</f>
        <v>11959</v>
      </c>
      <c r="T2565" s="382">
        <f>H2565</f>
        <v>11959</v>
      </c>
    </row>
    <row r="2566" spans="1:20" s="383" customFormat="1" ht="13.5" thickTop="1" x14ac:dyDescent="0.2">
      <c r="A2566" s="381"/>
      <c r="B2566" s="643"/>
      <c r="C2566" s="381"/>
      <c r="D2566" s="814"/>
      <c r="E2566" s="381"/>
      <c r="F2566" s="382"/>
      <c r="G2566" s="382"/>
      <c r="H2566" s="382"/>
      <c r="I2566" s="1390"/>
    </row>
    <row r="2567" spans="1:20" s="383" customFormat="1" x14ac:dyDescent="0.2">
      <c r="A2567" s="381"/>
      <c r="B2567" s="643"/>
      <c r="C2567" s="381"/>
      <c r="D2567" s="814"/>
      <c r="E2567" s="381"/>
      <c r="F2567" s="382"/>
      <c r="G2567" s="382"/>
      <c r="H2567" s="382"/>
      <c r="I2567" s="1390"/>
    </row>
    <row r="2568" spans="1:20" s="383" customFormat="1" x14ac:dyDescent="0.2">
      <c r="A2568" s="381"/>
      <c r="B2568" s="643"/>
      <c r="C2568" s="381"/>
      <c r="D2568" s="814"/>
      <c r="E2568" s="381"/>
      <c r="F2568" s="382"/>
      <c r="G2568" s="382"/>
      <c r="H2568" s="382"/>
      <c r="I2568" s="1390"/>
    </row>
    <row r="2569" spans="1:20" ht="13.5" thickBot="1" x14ac:dyDescent="0.25">
      <c r="A2569" s="432" t="s">
        <v>1083</v>
      </c>
      <c r="I2569" s="1390" t="s">
        <v>161</v>
      </c>
    </row>
    <row r="2570" spans="1:20" ht="14.25" thickTop="1" thickBot="1" x14ac:dyDescent="0.25">
      <c r="A2570" s="631" t="s">
        <v>624</v>
      </c>
      <c r="B2570" s="774" t="s">
        <v>162</v>
      </c>
      <c r="C2570" s="632" t="s">
        <v>163</v>
      </c>
      <c r="D2570" s="634" t="s">
        <v>705</v>
      </c>
      <c r="E2570" s="634" t="s">
        <v>164</v>
      </c>
      <c r="F2570" s="634" t="s">
        <v>165</v>
      </c>
      <c r="G2570" s="634" t="s">
        <v>881</v>
      </c>
      <c r="H2570" s="634" t="s">
        <v>882</v>
      </c>
      <c r="I2570" s="818" t="s">
        <v>883</v>
      </c>
    </row>
    <row r="2571" spans="1:20" ht="14.25" thickTop="1" thickBot="1" x14ac:dyDescent="0.25">
      <c r="A2571" s="566">
        <v>1</v>
      </c>
      <c r="B2571" s="567">
        <v>2</v>
      </c>
      <c r="C2571" s="567">
        <v>3</v>
      </c>
      <c r="D2571" s="567">
        <v>4</v>
      </c>
      <c r="E2571" s="567">
        <v>5</v>
      </c>
      <c r="F2571" s="541">
        <v>6</v>
      </c>
      <c r="G2571" s="541">
        <v>7</v>
      </c>
      <c r="H2571" s="542">
        <v>8</v>
      </c>
      <c r="I2571" s="636" t="s">
        <v>762</v>
      </c>
    </row>
    <row r="2572" spans="1:20" ht="15.75" thickTop="1" x14ac:dyDescent="0.25">
      <c r="A2572" s="1402">
        <v>1313</v>
      </c>
      <c r="B2572" s="847">
        <v>3231</v>
      </c>
      <c r="C2572" s="847">
        <v>5331</v>
      </c>
      <c r="D2572" s="852"/>
      <c r="E2572" s="886" t="s">
        <v>951</v>
      </c>
      <c r="F2572" s="845">
        <f>SUM(F2573:F2579)</f>
        <v>190</v>
      </c>
      <c r="G2572" s="845">
        <f>G2573+G2574</f>
        <v>188</v>
      </c>
      <c r="H2572" s="845">
        <f>H2573+H2574</f>
        <v>188</v>
      </c>
      <c r="I2572" s="849">
        <f t="shared" ref="I2572:I2580" si="280">(H2572/G2572)*100</f>
        <v>100</v>
      </c>
    </row>
    <row r="2573" spans="1:20" ht="14.25" x14ac:dyDescent="0.2">
      <c r="A2573" s="431"/>
      <c r="B2573" s="673"/>
      <c r="C2573" s="673"/>
      <c r="D2573" s="707" t="s">
        <v>575</v>
      </c>
      <c r="E2573" s="1478" t="s">
        <v>793</v>
      </c>
      <c r="F2573" s="827">
        <v>49</v>
      </c>
      <c r="G2573" s="827">
        <v>48</v>
      </c>
      <c r="H2573" s="827">
        <v>48</v>
      </c>
      <c r="I2573" s="823">
        <f t="shared" si="280"/>
        <v>100</v>
      </c>
    </row>
    <row r="2574" spans="1:20" ht="14.25" x14ac:dyDescent="0.2">
      <c r="A2574" s="431"/>
      <c r="B2574" s="673"/>
      <c r="C2574" s="673"/>
      <c r="D2574" s="552" t="s">
        <v>570</v>
      </c>
      <c r="E2574" s="455" t="s">
        <v>71</v>
      </c>
      <c r="F2574" s="827">
        <v>141</v>
      </c>
      <c r="G2574" s="827">
        <v>140</v>
      </c>
      <c r="H2574" s="827">
        <v>140</v>
      </c>
      <c r="I2574" s="823">
        <f t="shared" si="280"/>
        <v>100</v>
      </c>
    </row>
    <row r="2575" spans="1:20" ht="18" customHeight="1" x14ac:dyDescent="0.25">
      <c r="A2575" s="431">
        <v>1313</v>
      </c>
      <c r="B2575" s="673">
        <v>3231</v>
      </c>
      <c r="C2575" s="673">
        <v>5336</v>
      </c>
      <c r="D2575" s="1068"/>
      <c r="E2575" s="672" t="s">
        <v>2054</v>
      </c>
      <c r="F2575" s="827"/>
      <c r="G2575" s="851">
        <f>G2576+G2578+G2579</f>
        <v>15135</v>
      </c>
      <c r="H2575" s="851">
        <f>H2576+H2578+H2579</f>
        <v>15135</v>
      </c>
      <c r="I2575" s="853">
        <f t="shared" si="280"/>
        <v>100</v>
      </c>
    </row>
    <row r="2576" spans="1:20" ht="12.75" customHeight="1" x14ac:dyDescent="0.2">
      <c r="A2576" s="431"/>
      <c r="B2576" s="673"/>
      <c r="C2576" s="673"/>
      <c r="D2576" s="1068" t="s">
        <v>1911</v>
      </c>
      <c r="E2576" s="2671" t="s">
        <v>2051</v>
      </c>
      <c r="F2576" s="827"/>
      <c r="G2576" s="837">
        <v>19</v>
      </c>
      <c r="H2576" s="837">
        <v>19</v>
      </c>
      <c r="I2576" s="823">
        <v>29</v>
      </c>
    </row>
    <row r="2577" spans="1:20" ht="15" customHeight="1" x14ac:dyDescent="0.25">
      <c r="A2577" s="431"/>
      <c r="B2577" s="673"/>
      <c r="C2577" s="673"/>
      <c r="D2577" s="1068"/>
      <c r="E2577" s="2671"/>
      <c r="F2577" s="827"/>
      <c r="G2577" s="846"/>
      <c r="H2577" s="846"/>
      <c r="I2577" s="853"/>
    </row>
    <row r="2578" spans="1:20" ht="14.25" customHeight="1" x14ac:dyDescent="0.2">
      <c r="A2578" s="431"/>
      <c r="B2578" s="673"/>
      <c r="C2578" s="673"/>
      <c r="D2578" s="1068" t="s">
        <v>1913</v>
      </c>
      <c r="E2578" s="2113" t="s">
        <v>2052</v>
      </c>
      <c r="F2578" s="2530"/>
      <c r="G2578" s="2531">
        <v>83</v>
      </c>
      <c r="H2578" s="2531">
        <v>83</v>
      </c>
      <c r="I2578" s="376">
        <f t="shared" ref="I2578" si="281">(H2578/G2578)*100</f>
        <v>100</v>
      </c>
    </row>
    <row r="2579" spans="1:20" ht="15" customHeight="1" thickBot="1" x14ac:dyDescent="0.25">
      <c r="A2579" s="431"/>
      <c r="B2579" s="673"/>
      <c r="C2579" s="1392"/>
      <c r="D2579" s="552" t="s">
        <v>1124</v>
      </c>
      <c r="E2579" s="455" t="s">
        <v>792</v>
      </c>
      <c r="F2579" s="827"/>
      <c r="G2579" s="827">
        <v>15033</v>
      </c>
      <c r="H2579" s="827">
        <v>15033</v>
      </c>
      <c r="I2579" s="823">
        <f t="shared" si="280"/>
        <v>100</v>
      </c>
    </row>
    <row r="2580" spans="1:20" ht="16.5" thickTop="1" thickBot="1" x14ac:dyDescent="0.3">
      <c r="A2580" s="2672" t="s">
        <v>1105</v>
      </c>
      <c r="B2580" s="2673"/>
      <c r="C2580" s="2673"/>
      <c r="D2580" s="2673"/>
      <c r="E2580" s="2673"/>
      <c r="F2580" s="824">
        <f>SUM(F2572)</f>
        <v>190</v>
      </c>
      <c r="G2580" s="824">
        <f>G2572+G2575</f>
        <v>15323</v>
      </c>
      <c r="H2580" s="824">
        <f>H2572+H2575</f>
        <v>15323</v>
      </c>
      <c r="I2580" s="825">
        <f t="shared" si="280"/>
        <v>100</v>
      </c>
      <c r="R2580" s="382">
        <f>F2580</f>
        <v>190</v>
      </c>
      <c r="S2580" s="382">
        <f>G2580</f>
        <v>15323</v>
      </c>
      <c r="T2580" s="382">
        <f>H2580</f>
        <v>15323</v>
      </c>
    </row>
    <row r="2581" spans="1:20" s="107" customFormat="1" ht="13.5" thickTop="1" x14ac:dyDescent="0.2">
      <c r="A2581" s="381"/>
      <c r="B2581" s="643"/>
      <c r="C2581" s="381"/>
      <c r="D2581" s="814"/>
      <c r="E2581" s="381"/>
      <c r="F2581" s="382"/>
      <c r="G2581" s="382"/>
      <c r="H2581" s="382"/>
      <c r="I2581" s="1390"/>
    </row>
    <row r="2582" spans="1:20" s="107" customFormat="1" x14ac:dyDescent="0.2">
      <c r="A2582" s="381"/>
      <c r="B2582" s="643"/>
      <c r="C2582" s="381"/>
      <c r="D2582" s="814"/>
      <c r="E2582" s="381"/>
      <c r="F2582" s="382"/>
      <c r="G2582" s="382"/>
      <c r="H2582" s="382"/>
      <c r="I2582" s="1390"/>
    </row>
    <row r="2583" spans="1:20" s="107" customFormat="1" x14ac:dyDescent="0.2">
      <c r="A2583" s="381"/>
      <c r="B2583" s="643"/>
      <c r="C2583" s="381"/>
      <c r="D2583" s="814"/>
      <c r="E2583" s="381"/>
      <c r="F2583" s="382"/>
      <c r="G2583" s="382"/>
      <c r="H2583" s="382"/>
      <c r="I2583" s="1390"/>
    </row>
    <row r="2584" spans="1:20" ht="13.5" thickBot="1" x14ac:dyDescent="0.25">
      <c r="A2584" s="432" t="s">
        <v>142</v>
      </c>
      <c r="I2584" s="1390" t="s">
        <v>161</v>
      </c>
    </row>
    <row r="2585" spans="1:20" ht="14.25" thickTop="1" thickBot="1" x14ac:dyDescent="0.25">
      <c r="A2585" s="631" t="s">
        <v>624</v>
      </c>
      <c r="B2585" s="774" t="s">
        <v>162</v>
      </c>
      <c r="C2585" s="632" t="s">
        <v>163</v>
      </c>
      <c r="D2585" s="634" t="s">
        <v>705</v>
      </c>
      <c r="E2585" s="634" t="s">
        <v>164</v>
      </c>
      <c r="F2585" s="634" t="s">
        <v>165</v>
      </c>
      <c r="G2585" s="634" t="s">
        <v>881</v>
      </c>
      <c r="H2585" s="634" t="s">
        <v>882</v>
      </c>
      <c r="I2585" s="818" t="s">
        <v>883</v>
      </c>
    </row>
    <row r="2586" spans="1:20" ht="14.25" thickTop="1" thickBot="1" x14ac:dyDescent="0.25">
      <c r="A2586" s="566">
        <v>1</v>
      </c>
      <c r="B2586" s="567">
        <v>2</v>
      </c>
      <c r="C2586" s="567">
        <v>3</v>
      </c>
      <c r="D2586" s="567">
        <v>4</v>
      </c>
      <c r="E2586" s="567">
        <v>5</v>
      </c>
      <c r="F2586" s="541">
        <v>6</v>
      </c>
      <c r="G2586" s="541">
        <v>7</v>
      </c>
      <c r="H2586" s="542">
        <v>8</v>
      </c>
      <c r="I2586" s="636" t="s">
        <v>762</v>
      </c>
    </row>
    <row r="2587" spans="1:20" ht="15.75" thickTop="1" x14ac:dyDescent="0.25">
      <c r="A2587" s="1402">
        <v>1314</v>
      </c>
      <c r="B2587" s="847">
        <v>3231</v>
      </c>
      <c r="C2587" s="847">
        <v>5331</v>
      </c>
      <c r="D2587" s="852"/>
      <c r="E2587" s="886" t="s">
        <v>951</v>
      </c>
      <c r="F2587" s="845">
        <f>SUM(F2588:F2594)</f>
        <v>171</v>
      </c>
      <c r="G2587" s="845">
        <f>G2588+G2589</f>
        <v>182</v>
      </c>
      <c r="H2587" s="845">
        <f>H2588+H2589</f>
        <v>182</v>
      </c>
      <c r="I2587" s="849">
        <f t="shared" ref="I2587:I2595" si="282">(H2587/G2587)*100</f>
        <v>100</v>
      </c>
    </row>
    <row r="2588" spans="1:20" ht="14.25" x14ac:dyDescent="0.2">
      <c r="A2588" s="431"/>
      <c r="B2588" s="673"/>
      <c r="C2588" s="673"/>
      <c r="D2588" s="707" t="s">
        <v>575</v>
      </c>
      <c r="E2588" s="1478" t="s">
        <v>793</v>
      </c>
      <c r="F2588" s="827">
        <v>28</v>
      </c>
      <c r="G2588" s="827">
        <v>40</v>
      </c>
      <c r="H2588" s="827">
        <v>40</v>
      </c>
      <c r="I2588" s="823">
        <f t="shared" si="282"/>
        <v>100</v>
      </c>
    </row>
    <row r="2589" spans="1:20" ht="14.25" x14ac:dyDescent="0.2">
      <c r="A2589" s="431"/>
      <c r="B2589" s="673"/>
      <c r="C2589" s="673"/>
      <c r="D2589" s="552" t="s">
        <v>570</v>
      </c>
      <c r="E2589" s="455" t="s">
        <v>71</v>
      </c>
      <c r="F2589" s="827">
        <v>143</v>
      </c>
      <c r="G2589" s="827">
        <v>142</v>
      </c>
      <c r="H2589" s="827">
        <v>142</v>
      </c>
      <c r="I2589" s="823">
        <f t="shared" si="282"/>
        <v>100</v>
      </c>
    </row>
    <row r="2590" spans="1:20" ht="15" x14ac:dyDescent="0.25">
      <c r="A2590" s="431">
        <v>1314</v>
      </c>
      <c r="B2590" s="673">
        <v>3231</v>
      </c>
      <c r="C2590" s="673">
        <v>5336</v>
      </c>
      <c r="D2590" s="1068"/>
      <c r="E2590" s="672" t="s">
        <v>2054</v>
      </c>
      <c r="F2590" s="827"/>
      <c r="G2590" s="851">
        <f>G2591+G2593+G2594</f>
        <v>4029</v>
      </c>
      <c r="H2590" s="851">
        <f>H2591+H2593+H2594</f>
        <v>4029</v>
      </c>
      <c r="I2590" s="853">
        <f t="shared" si="282"/>
        <v>100</v>
      </c>
    </row>
    <row r="2591" spans="1:20" ht="14.25" customHeight="1" x14ac:dyDescent="0.2">
      <c r="A2591" s="431"/>
      <c r="B2591" s="673"/>
      <c r="C2591" s="673"/>
      <c r="D2591" s="1068" t="s">
        <v>1911</v>
      </c>
      <c r="E2591" s="2671" t="s">
        <v>2051</v>
      </c>
      <c r="F2591" s="827"/>
      <c r="G2591" s="837">
        <v>5</v>
      </c>
      <c r="H2591" s="837">
        <v>5</v>
      </c>
      <c r="I2591" s="823">
        <v>29</v>
      </c>
    </row>
    <row r="2592" spans="1:20" ht="15" x14ac:dyDescent="0.25">
      <c r="A2592" s="431"/>
      <c r="B2592" s="673"/>
      <c r="C2592" s="673"/>
      <c r="D2592" s="1068"/>
      <c r="E2592" s="2671"/>
      <c r="F2592" s="827"/>
      <c r="G2592" s="846"/>
      <c r="H2592" s="846"/>
      <c r="I2592" s="853"/>
    </row>
    <row r="2593" spans="1:20" ht="15" x14ac:dyDescent="0.2">
      <c r="A2593" s="431"/>
      <c r="B2593" s="673"/>
      <c r="C2593" s="673"/>
      <c r="D2593" s="1068" t="s">
        <v>1913</v>
      </c>
      <c r="E2593" s="2113" t="s">
        <v>2052</v>
      </c>
      <c r="F2593" s="2530"/>
      <c r="G2593" s="2531">
        <v>26</v>
      </c>
      <c r="H2593" s="2531">
        <v>26</v>
      </c>
      <c r="I2593" s="376">
        <f t="shared" ref="I2593" si="283">(H2593/G2593)*100</f>
        <v>100</v>
      </c>
    </row>
    <row r="2594" spans="1:20" ht="15" thickBot="1" x14ac:dyDescent="0.25">
      <c r="A2594" s="431"/>
      <c r="B2594" s="673"/>
      <c r="C2594" s="1392"/>
      <c r="D2594" s="552" t="s">
        <v>1124</v>
      </c>
      <c r="E2594" s="455" t="s">
        <v>792</v>
      </c>
      <c r="F2594" s="827"/>
      <c r="G2594" s="827">
        <v>3998</v>
      </c>
      <c r="H2594" s="827">
        <v>3998</v>
      </c>
      <c r="I2594" s="823">
        <f t="shared" si="282"/>
        <v>100</v>
      </c>
    </row>
    <row r="2595" spans="1:20" ht="16.5" thickTop="1" thickBot="1" x14ac:dyDescent="0.3">
      <c r="A2595" s="2672" t="s">
        <v>1105</v>
      </c>
      <c r="B2595" s="2673"/>
      <c r="C2595" s="2673"/>
      <c r="D2595" s="2673"/>
      <c r="E2595" s="2673"/>
      <c r="F2595" s="824">
        <f>SUM(F2587)</f>
        <v>171</v>
      </c>
      <c r="G2595" s="824">
        <f>G2587+G2590</f>
        <v>4211</v>
      </c>
      <c r="H2595" s="824">
        <f>H2587+H2590</f>
        <v>4211</v>
      </c>
      <c r="I2595" s="825">
        <f t="shared" si="282"/>
        <v>100</v>
      </c>
      <c r="R2595" s="382">
        <f>F2595</f>
        <v>171</v>
      </c>
      <c r="S2595" s="382">
        <f>G2595</f>
        <v>4211</v>
      </c>
      <c r="T2595" s="382">
        <f>H2595</f>
        <v>4211</v>
      </c>
    </row>
    <row r="2596" spans="1:20" ht="13.5" thickTop="1" x14ac:dyDescent="0.2"/>
    <row r="2598" spans="1:20" ht="13.5" thickBot="1" x14ac:dyDescent="0.25">
      <c r="A2598" s="432" t="s">
        <v>1166</v>
      </c>
      <c r="I2598" s="1390" t="s">
        <v>161</v>
      </c>
    </row>
    <row r="2599" spans="1:20" ht="14.25" thickTop="1" thickBot="1" x14ac:dyDescent="0.25">
      <c r="A2599" s="631" t="s">
        <v>624</v>
      </c>
      <c r="B2599" s="774" t="s">
        <v>162</v>
      </c>
      <c r="C2599" s="632" t="s">
        <v>163</v>
      </c>
      <c r="D2599" s="634" t="s">
        <v>705</v>
      </c>
      <c r="E2599" s="634" t="s">
        <v>164</v>
      </c>
      <c r="F2599" s="634" t="s">
        <v>165</v>
      </c>
      <c r="G2599" s="634" t="s">
        <v>881</v>
      </c>
      <c r="H2599" s="634" t="s">
        <v>882</v>
      </c>
      <c r="I2599" s="818" t="s">
        <v>883</v>
      </c>
    </row>
    <row r="2600" spans="1:20" ht="14.25" thickTop="1" thickBot="1" x14ac:dyDescent="0.25">
      <c r="A2600" s="566">
        <v>1</v>
      </c>
      <c r="B2600" s="567">
        <v>2</v>
      </c>
      <c r="C2600" s="567">
        <v>3</v>
      </c>
      <c r="D2600" s="567">
        <v>4</v>
      </c>
      <c r="E2600" s="567">
        <v>5</v>
      </c>
      <c r="F2600" s="541">
        <v>6</v>
      </c>
      <c r="G2600" s="541">
        <v>7</v>
      </c>
      <c r="H2600" s="542">
        <v>8</v>
      </c>
      <c r="I2600" s="636" t="s">
        <v>762</v>
      </c>
    </row>
    <row r="2601" spans="1:20" ht="15.75" thickTop="1" x14ac:dyDescent="0.25">
      <c r="A2601" s="1402">
        <v>1315</v>
      </c>
      <c r="B2601" s="847">
        <v>3231</v>
      </c>
      <c r="C2601" s="847">
        <v>5331</v>
      </c>
      <c r="D2601" s="852"/>
      <c r="E2601" s="886" t="s">
        <v>951</v>
      </c>
      <c r="F2601" s="845">
        <f>SUM(F2602:F2608)</f>
        <v>141</v>
      </c>
      <c r="G2601" s="845">
        <f>G2602+G2603</f>
        <v>140</v>
      </c>
      <c r="H2601" s="845">
        <f>H2602+H2603</f>
        <v>140</v>
      </c>
      <c r="I2601" s="849">
        <f t="shared" ref="I2601:I2611" si="284">(H2601/G2601)*100</f>
        <v>100</v>
      </c>
    </row>
    <row r="2602" spans="1:20" ht="14.25" x14ac:dyDescent="0.2">
      <c r="A2602" s="431"/>
      <c r="B2602" s="673"/>
      <c r="C2602" s="673"/>
      <c r="D2602" s="707" t="s">
        <v>575</v>
      </c>
      <c r="E2602" s="1478" t="s">
        <v>793</v>
      </c>
      <c r="F2602" s="827">
        <v>47</v>
      </c>
      <c r="G2602" s="827">
        <v>47</v>
      </c>
      <c r="H2602" s="827">
        <v>47</v>
      </c>
      <c r="I2602" s="823">
        <f t="shared" si="284"/>
        <v>100</v>
      </c>
    </row>
    <row r="2603" spans="1:20" ht="14.25" x14ac:dyDescent="0.2">
      <c r="A2603" s="431"/>
      <c r="B2603" s="673"/>
      <c r="C2603" s="673"/>
      <c r="D2603" s="552" t="s">
        <v>570</v>
      </c>
      <c r="E2603" s="455" t="s">
        <v>71</v>
      </c>
      <c r="F2603" s="827">
        <v>94</v>
      </c>
      <c r="G2603" s="827">
        <v>93</v>
      </c>
      <c r="H2603" s="827">
        <v>93</v>
      </c>
      <c r="I2603" s="823">
        <f t="shared" si="284"/>
        <v>100</v>
      </c>
    </row>
    <row r="2604" spans="1:20" ht="15" x14ac:dyDescent="0.25">
      <c r="A2604" s="431">
        <v>1315</v>
      </c>
      <c r="B2604" s="673">
        <v>3231</v>
      </c>
      <c r="C2604" s="673">
        <v>5336</v>
      </c>
      <c r="D2604" s="1068"/>
      <c r="E2604" s="672" t="s">
        <v>2054</v>
      </c>
      <c r="F2604" s="827"/>
      <c r="G2604" s="851">
        <f>G2605+G2607+G2608</f>
        <v>2033</v>
      </c>
      <c r="H2604" s="851">
        <f>H2605+H2607+H2608</f>
        <v>2033</v>
      </c>
      <c r="I2604" s="853">
        <f t="shared" si="284"/>
        <v>100</v>
      </c>
    </row>
    <row r="2605" spans="1:20" ht="14.25" customHeight="1" x14ac:dyDescent="0.2">
      <c r="A2605" s="431"/>
      <c r="B2605" s="673"/>
      <c r="C2605" s="673"/>
      <c r="D2605" s="1068" t="s">
        <v>1911</v>
      </c>
      <c r="E2605" s="2671" t="s">
        <v>2051</v>
      </c>
      <c r="F2605" s="827"/>
      <c r="G2605" s="837">
        <v>3</v>
      </c>
      <c r="H2605" s="837">
        <v>3</v>
      </c>
      <c r="I2605" s="823">
        <v>29</v>
      </c>
    </row>
    <row r="2606" spans="1:20" ht="15" x14ac:dyDescent="0.25">
      <c r="A2606" s="431"/>
      <c r="B2606" s="673"/>
      <c r="C2606" s="673"/>
      <c r="D2606" s="1068"/>
      <c r="E2606" s="2671"/>
      <c r="F2606" s="827"/>
      <c r="G2606" s="846"/>
      <c r="H2606" s="846"/>
      <c r="I2606" s="853"/>
    </row>
    <row r="2607" spans="1:20" ht="15" x14ac:dyDescent="0.2">
      <c r="A2607" s="431"/>
      <c r="B2607" s="673"/>
      <c r="C2607" s="673"/>
      <c r="D2607" s="1068" t="s">
        <v>1913</v>
      </c>
      <c r="E2607" s="2113" t="s">
        <v>2052</v>
      </c>
      <c r="F2607" s="2530"/>
      <c r="G2607" s="2531">
        <v>13</v>
      </c>
      <c r="H2607" s="2531">
        <v>13</v>
      </c>
      <c r="I2607" s="376">
        <f t="shared" ref="I2607" si="285">(H2607/G2607)*100</f>
        <v>100</v>
      </c>
    </row>
    <row r="2608" spans="1:20" ht="14.25" x14ac:dyDescent="0.2">
      <c r="A2608" s="431"/>
      <c r="B2608" s="673"/>
      <c r="C2608" s="1392"/>
      <c r="D2608" s="552" t="s">
        <v>1124</v>
      </c>
      <c r="E2608" s="455" t="s">
        <v>792</v>
      </c>
      <c r="F2608" s="827"/>
      <c r="G2608" s="827">
        <v>2017</v>
      </c>
      <c r="H2608" s="827">
        <v>2017</v>
      </c>
      <c r="I2608" s="823">
        <f t="shared" si="284"/>
        <v>100</v>
      </c>
    </row>
    <row r="2609" spans="1:20" ht="15" x14ac:dyDescent="0.25">
      <c r="A2609" s="431">
        <v>1315</v>
      </c>
      <c r="B2609" s="673">
        <v>3299</v>
      </c>
      <c r="C2609" s="1392">
        <v>5331</v>
      </c>
      <c r="D2609" s="552"/>
      <c r="E2609" s="792" t="s">
        <v>951</v>
      </c>
      <c r="F2609" s="827"/>
      <c r="G2609" s="851">
        <v>8</v>
      </c>
      <c r="H2609" s="851">
        <v>8</v>
      </c>
      <c r="I2609" s="853">
        <f t="shared" si="284"/>
        <v>100</v>
      </c>
    </row>
    <row r="2610" spans="1:20" ht="15" thickBot="1" x14ac:dyDescent="0.25">
      <c r="A2610" s="431"/>
      <c r="B2610" s="673"/>
      <c r="C2610" s="1392"/>
      <c r="D2610" s="1059" t="s">
        <v>1122</v>
      </c>
      <c r="E2610" s="1161" t="s">
        <v>24</v>
      </c>
      <c r="F2610" s="1311"/>
      <c r="G2610" s="451">
        <v>8</v>
      </c>
      <c r="H2610" s="316">
        <v>8</v>
      </c>
      <c r="I2610" s="1074">
        <f t="shared" ref="I2610" si="286">(H2610/G2610)*100</f>
        <v>100</v>
      </c>
    </row>
    <row r="2611" spans="1:20" ht="16.5" thickTop="1" thickBot="1" x14ac:dyDescent="0.3">
      <c r="A2611" s="2672" t="s">
        <v>1105</v>
      </c>
      <c r="B2611" s="2673"/>
      <c r="C2611" s="2673"/>
      <c r="D2611" s="2673"/>
      <c r="E2611" s="2673"/>
      <c r="F2611" s="824">
        <f>SUM(F2601)</f>
        <v>141</v>
      </c>
      <c r="G2611" s="824">
        <f>G2601+G2604+G2609</f>
        <v>2181</v>
      </c>
      <c r="H2611" s="824">
        <f>H2601+H2604+H2609</f>
        <v>2181</v>
      </c>
      <c r="I2611" s="825">
        <f t="shared" si="284"/>
        <v>100</v>
      </c>
      <c r="R2611" s="382">
        <f>F2611</f>
        <v>141</v>
      </c>
      <c r="S2611" s="382">
        <f>G2611</f>
        <v>2181</v>
      </c>
      <c r="T2611" s="382">
        <f>H2611</f>
        <v>2181</v>
      </c>
    </row>
    <row r="2612" spans="1:20" ht="13.5" thickTop="1" x14ac:dyDescent="0.2"/>
    <row r="2613" spans="1:20" ht="13.5" thickBot="1" x14ac:dyDescent="0.25">
      <c r="A2613" s="432" t="s">
        <v>204</v>
      </c>
      <c r="I2613" s="1390" t="s">
        <v>161</v>
      </c>
    </row>
    <row r="2614" spans="1:20" ht="14.25" thickTop="1" thickBot="1" x14ac:dyDescent="0.25">
      <c r="A2614" s="631" t="s">
        <v>624</v>
      </c>
      <c r="B2614" s="774" t="s">
        <v>162</v>
      </c>
      <c r="C2614" s="632" t="s">
        <v>163</v>
      </c>
      <c r="D2614" s="634" t="s">
        <v>705</v>
      </c>
      <c r="E2614" s="634" t="s">
        <v>164</v>
      </c>
      <c r="F2614" s="634" t="s">
        <v>165</v>
      </c>
      <c r="G2614" s="634" t="s">
        <v>881</v>
      </c>
      <c r="H2614" s="634" t="s">
        <v>882</v>
      </c>
      <c r="I2614" s="818" t="s">
        <v>883</v>
      </c>
    </row>
    <row r="2615" spans="1:20" ht="14.25" thickTop="1" thickBot="1" x14ac:dyDescent="0.25">
      <c r="A2615" s="566">
        <v>1</v>
      </c>
      <c r="B2615" s="567">
        <v>2</v>
      </c>
      <c r="C2615" s="567">
        <v>3</v>
      </c>
      <c r="D2615" s="567">
        <v>4</v>
      </c>
      <c r="E2615" s="567">
        <v>5</v>
      </c>
      <c r="F2615" s="541">
        <v>6</v>
      </c>
      <c r="G2615" s="541">
        <v>7</v>
      </c>
      <c r="H2615" s="542">
        <v>8</v>
      </c>
      <c r="I2615" s="636" t="s">
        <v>762</v>
      </c>
    </row>
    <row r="2616" spans="1:20" ht="15.75" thickTop="1" x14ac:dyDescent="0.25">
      <c r="A2616" s="431">
        <v>1350</v>
      </c>
      <c r="B2616" s="750">
        <v>3421</v>
      </c>
      <c r="C2616" s="1393">
        <v>5331</v>
      </c>
      <c r="D2616" s="842"/>
      <c r="E2616" s="672" t="s">
        <v>951</v>
      </c>
      <c r="F2616" s="851">
        <f>F2617+F2618+F2619+F2620</f>
        <v>1558</v>
      </c>
      <c r="G2616" s="851">
        <f>G2617+G2618+G2619+G2620</f>
        <v>1591</v>
      </c>
      <c r="H2616" s="851">
        <f>H2617+H2618+H2619+H2620</f>
        <v>1591</v>
      </c>
      <c r="I2616" s="853">
        <v>100</v>
      </c>
    </row>
    <row r="2617" spans="1:20" ht="18" customHeight="1" x14ac:dyDescent="0.2">
      <c r="A2617" s="431"/>
      <c r="B2617" s="673"/>
      <c r="C2617" s="673"/>
      <c r="D2617" s="707" t="s">
        <v>575</v>
      </c>
      <c r="E2617" s="1478" t="s">
        <v>793</v>
      </c>
      <c r="F2617" s="827">
        <v>453</v>
      </c>
      <c r="G2617" s="827">
        <v>466</v>
      </c>
      <c r="H2617" s="827">
        <v>466</v>
      </c>
      <c r="I2617" s="823">
        <f t="shared" ref="I2617:I2621" si="287">(H2617/G2617)*100</f>
        <v>100</v>
      </c>
    </row>
    <row r="2618" spans="1:20" ht="14.25" x14ac:dyDescent="0.2">
      <c r="A2618" s="431"/>
      <c r="B2618" s="673"/>
      <c r="C2618" s="673"/>
      <c r="D2618" s="707" t="s">
        <v>352</v>
      </c>
      <c r="E2618" s="1478" t="s">
        <v>833</v>
      </c>
      <c r="F2618" s="827"/>
      <c r="G2618" s="827">
        <v>30</v>
      </c>
      <c r="H2618" s="827">
        <v>30</v>
      </c>
      <c r="I2618" s="823">
        <f t="shared" si="287"/>
        <v>100</v>
      </c>
    </row>
    <row r="2619" spans="1:20" ht="14.25" x14ac:dyDescent="0.2">
      <c r="A2619" s="431"/>
      <c r="B2619" s="673"/>
      <c r="C2619" s="840"/>
      <c r="D2619" s="552" t="s">
        <v>570</v>
      </c>
      <c r="E2619" s="455" t="s">
        <v>71</v>
      </c>
      <c r="F2619" s="827">
        <v>1004</v>
      </c>
      <c r="G2619" s="827">
        <v>994</v>
      </c>
      <c r="H2619" s="827">
        <v>994</v>
      </c>
      <c r="I2619" s="823">
        <f t="shared" si="287"/>
        <v>100</v>
      </c>
    </row>
    <row r="2620" spans="1:20" ht="14.25" x14ac:dyDescent="0.2">
      <c r="A2620" s="431"/>
      <c r="B2620" s="673"/>
      <c r="C2620" s="840"/>
      <c r="D2620" s="552" t="s">
        <v>1123</v>
      </c>
      <c r="E2620" s="455" t="s">
        <v>25</v>
      </c>
      <c r="F2620" s="827">
        <v>101</v>
      </c>
      <c r="G2620" s="827">
        <v>101</v>
      </c>
      <c r="H2620" s="827">
        <v>101</v>
      </c>
      <c r="I2620" s="823">
        <f t="shared" si="287"/>
        <v>100</v>
      </c>
    </row>
    <row r="2621" spans="1:20" ht="15" x14ac:dyDescent="0.25">
      <c r="A2621" s="431">
        <v>1350</v>
      </c>
      <c r="B2621" s="673">
        <v>3421</v>
      </c>
      <c r="C2621" s="840">
        <v>5336</v>
      </c>
      <c r="D2621" s="748"/>
      <c r="E2621" s="672" t="s">
        <v>2054</v>
      </c>
      <c r="F2621" s="827"/>
      <c r="G2621" s="851">
        <f>G2622+G2624+G2625+G2626</f>
        <v>12451</v>
      </c>
      <c r="H2621" s="851">
        <f>H2622+H2624+H2625+H2626</f>
        <v>12451</v>
      </c>
      <c r="I2621" s="853">
        <f t="shared" si="287"/>
        <v>100</v>
      </c>
    </row>
    <row r="2622" spans="1:20" ht="14.25" customHeight="1" x14ac:dyDescent="0.2">
      <c r="A2622" s="431"/>
      <c r="B2622" s="673"/>
      <c r="C2622" s="840"/>
      <c r="D2622" s="1068" t="s">
        <v>1911</v>
      </c>
      <c r="E2622" s="2671" t="s">
        <v>2051</v>
      </c>
      <c r="F2622" s="827"/>
      <c r="G2622" s="837">
        <v>12</v>
      </c>
      <c r="H2622" s="837">
        <v>12</v>
      </c>
      <c r="I2622" s="823">
        <v>29</v>
      </c>
    </row>
    <row r="2623" spans="1:20" ht="15" x14ac:dyDescent="0.25">
      <c r="A2623" s="431"/>
      <c r="B2623" s="673"/>
      <c r="C2623" s="840"/>
      <c r="D2623" s="1068"/>
      <c r="E2623" s="2671"/>
      <c r="F2623" s="827"/>
      <c r="G2623" s="846"/>
      <c r="H2623" s="846"/>
      <c r="I2623" s="853"/>
    </row>
    <row r="2624" spans="1:20" ht="15" x14ac:dyDescent="0.2">
      <c r="A2624" s="431"/>
      <c r="B2624" s="673"/>
      <c r="C2624" s="840"/>
      <c r="D2624" s="1068" t="s">
        <v>1913</v>
      </c>
      <c r="E2624" s="2113" t="s">
        <v>2052</v>
      </c>
      <c r="F2624" s="2530"/>
      <c r="G2624" s="2531">
        <v>44</v>
      </c>
      <c r="H2624" s="2531">
        <v>44</v>
      </c>
      <c r="I2624" s="376">
        <f t="shared" ref="I2624" si="288">(H2624/G2624)*100</f>
        <v>100</v>
      </c>
    </row>
    <row r="2625" spans="1:23" ht="14.25" x14ac:dyDescent="0.2">
      <c r="A2625" s="431"/>
      <c r="B2625" s="673"/>
      <c r="C2625" s="840"/>
      <c r="D2625" s="748" t="s">
        <v>1128</v>
      </c>
      <c r="E2625" s="1528" t="s">
        <v>2071</v>
      </c>
      <c r="F2625" s="827"/>
      <c r="G2625" s="827">
        <v>388</v>
      </c>
      <c r="H2625" s="827">
        <v>388</v>
      </c>
      <c r="I2625" s="823">
        <f t="shared" ref="I2625" si="289">(H2625/G2625)*100</f>
        <v>100</v>
      </c>
    </row>
    <row r="2626" spans="1:23" ht="14.25" x14ac:dyDescent="0.2">
      <c r="A2626" s="431"/>
      <c r="B2626" s="673"/>
      <c r="C2626" s="840"/>
      <c r="D2626" s="552" t="s">
        <v>1124</v>
      </c>
      <c r="E2626" s="455" t="s">
        <v>792</v>
      </c>
      <c r="F2626" s="827"/>
      <c r="G2626" s="827">
        <v>12007</v>
      </c>
      <c r="H2626" s="827">
        <v>12007</v>
      </c>
      <c r="I2626" s="823">
        <v>100</v>
      </c>
    </row>
    <row r="2627" spans="1:23" ht="15" x14ac:dyDescent="0.25">
      <c r="A2627" s="431">
        <v>1350</v>
      </c>
      <c r="B2627" s="750">
        <v>3429</v>
      </c>
      <c r="C2627" s="1393">
        <v>5331</v>
      </c>
      <c r="D2627" s="842"/>
      <c r="E2627" s="672" t="s">
        <v>951</v>
      </c>
      <c r="F2627" s="835"/>
      <c r="G2627" s="835">
        <v>200</v>
      </c>
      <c r="H2627" s="835">
        <v>200</v>
      </c>
      <c r="I2627" s="836">
        <v>194</v>
      </c>
    </row>
    <row r="2628" spans="1:23" ht="14.25" x14ac:dyDescent="0.2">
      <c r="A2628" s="431"/>
      <c r="B2628" s="673"/>
      <c r="C2628" s="1392"/>
      <c r="D2628" s="707" t="s">
        <v>249</v>
      </c>
      <c r="E2628" s="843" t="s">
        <v>200</v>
      </c>
      <c r="F2628" s="827"/>
      <c r="G2628" s="827">
        <v>200</v>
      </c>
      <c r="H2628" s="827">
        <v>200</v>
      </c>
      <c r="I2628" s="823">
        <v>100</v>
      </c>
    </row>
    <row r="2629" spans="1:23" ht="15" x14ac:dyDescent="0.25">
      <c r="A2629" s="431">
        <v>1350</v>
      </c>
      <c r="B2629" s="673">
        <v>3792</v>
      </c>
      <c r="C2629" s="1392">
        <v>5331</v>
      </c>
      <c r="D2629" s="552"/>
      <c r="E2629" s="672" t="s">
        <v>951</v>
      </c>
      <c r="F2629" s="827"/>
      <c r="G2629" s="851">
        <v>14</v>
      </c>
      <c r="H2629" s="851">
        <v>14</v>
      </c>
      <c r="I2629" s="836">
        <v>100</v>
      </c>
    </row>
    <row r="2630" spans="1:23" ht="15" thickBot="1" x14ac:dyDescent="0.25">
      <c r="A2630" s="431"/>
      <c r="B2630" s="673"/>
      <c r="C2630" s="1392"/>
      <c r="D2630" s="1059" t="s">
        <v>1319</v>
      </c>
      <c r="E2630" s="1161" t="s">
        <v>369</v>
      </c>
      <c r="F2630" s="827"/>
      <c r="G2630" s="827">
        <v>14</v>
      </c>
      <c r="H2630" s="827">
        <v>14</v>
      </c>
      <c r="I2630" s="823">
        <v>100</v>
      </c>
    </row>
    <row r="2631" spans="1:23" ht="16.5" thickTop="1" thickBot="1" x14ac:dyDescent="0.3">
      <c r="A2631" s="2672" t="s">
        <v>1105</v>
      </c>
      <c r="B2631" s="2673"/>
      <c r="C2631" s="2673"/>
      <c r="D2631" s="2673"/>
      <c r="E2631" s="2673"/>
      <c r="F2631" s="824">
        <f>F2616+F2627</f>
        <v>1558</v>
      </c>
      <c r="G2631" s="824">
        <f>G2616+G2621+G2627+G2629</f>
        <v>14256</v>
      </c>
      <c r="H2631" s="824">
        <f>H2616+H2621+H2627+H2629</f>
        <v>14256</v>
      </c>
      <c r="I2631" s="825">
        <f>(H2631/G2631)*100</f>
        <v>100</v>
      </c>
      <c r="R2631" s="382">
        <f>F2631</f>
        <v>1558</v>
      </c>
      <c r="S2631" s="382">
        <f>G2631</f>
        <v>14256</v>
      </c>
      <c r="T2631" s="382">
        <f>H2631</f>
        <v>14256</v>
      </c>
    </row>
    <row r="2632" spans="1:23" ht="15.75" thickTop="1" x14ac:dyDescent="0.25">
      <c r="A2632" s="434">
        <v>1350</v>
      </c>
      <c r="B2632" s="673">
        <v>3421</v>
      </c>
      <c r="C2632" s="750">
        <v>6351</v>
      </c>
      <c r="D2632" s="859"/>
      <c r="E2632" s="672" t="s">
        <v>1172</v>
      </c>
      <c r="F2632" s="835"/>
      <c r="G2632" s="835">
        <v>198</v>
      </c>
      <c r="H2632" s="835">
        <v>198</v>
      </c>
      <c r="I2632" s="836">
        <f t="shared" ref="I2632:I2633" si="290">(H2632/G2632)*100</f>
        <v>100</v>
      </c>
      <c r="R2632" s="382"/>
      <c r="S2632" s="382"/>
      <c r="T2632" s="382"/>
    </row>
    <row r="2633" spans="1:23" ht="15" thickBot="1" x14ac:dyDescent="0.25">
      <c r="A2633" s="1500"/>
      <c r="B2633" s="674"/>
      <c r="C2633" s="1395"/>
      <c r="D2633" s="1059" t="s">
        <v>184</v>
      </c>
      <c r="E2633" s="1161" t="s">
        <v>712</v>
      </c>
      <c r="F2633" s="1311"/>
      <c r="G2633" s="451">
        <v>198</v>
      </c>
      <c r="H2633" s="451">
        <v>198</v>
      </c>
      <c r="I2633" s="1074">
        <f t="shared" si="290"/>
        <v>100</v>
      </c>
      <c r="R2633" s="382"/>
      <c r="S2633" s="382"/>
      <c r="T2633" s="382"/>
    </row>
    <row r="2634" spans="1:23" ht="16.5" thickTop="1" thickBot="1" x14ac:dyDescent="0.3">
      <c r="A2634" s="2679" t="s">
        <v>1106</v>
      </c>
      <c r="B2634" s="2680"/>
      <c r="C2634" s="2680"/>
      <c r="D2634" s="2680"/>
      <c r="E2634" s="2681"/>
      <c r="F2634" s="824">
        <v>0</v>
      </c>
      <c r="G2634" s="824">
        <f>G2632</f>
        <v>198</v>
      </c>
      <c r="H2634" s="824">
        <f>SUM(H2632)</f>
        <v>198</v>
      </c>
      <c r="I2634" s="825">
        <f>(H2634/G2634)*100</f>
        <v>100</v>
      </c>
      <c r="U2634" s="382">
        <f>F2634</f>
        <v>0</v>
      </c>
      <c r="V2634" s="382">
        <f>G2634</f>
        <v>198</v>
      </c>
      <c r="W2634" s="382">
        <f>H2634</f>
        <v>198</v>
      </c>
    </row>
    <row r="2635" spans="1:23" s="383" customFormat="1" ht="13.5" thickTop="1" x14ac:dyDescent="0.2">
      <c r="A2635" s="381"/>
      <c r="B2635" s="643"/>
      <c r="C2635" s="381"/>
      <c r="D2635" s="814"/>
      <c r="E2635" s="381"/>
      <c r="F2635" s="382"/>
      <c r="G2635" s="382"/>
      <c r="H2635" s="382"/>
      <c r="I2635" s="1390"/>
    </row>
    <row r="2636" spans="1:23" s="383" customFormat="1" x14ac:dyDescent="0.2">
      <c r="A2636" s="381"/>
      <c r="B2636" s="643"/>
      <c r="C2636" s="381"/>
      <c r="D2636" s="814"/>
      <c r="E2636" s="381"/>
      <c r="F2636" s="382"/>
      <c r="G2636" s="382"/>
      <c r="H2636" s="382"/>
      <c r="I2636" s="1390"/>
      <c r="S2636" s="975"/>
      <c r="T2636" s="975"/>
    </row>
    <row r="2637" spans="1:23" s="383" customFormat="1" x14ac:dyDescent="0.2">
      <c r="A2637" s="381"/>
      <c r="B2637" s="643"/>
      <c r="C2637" s="381"/>
      <c r="D2637" s="814"/>
      <c r="E2637" s="381"/>
      <c r="F2637" s="382"/>
      <c r="G2637" s="382"/>
      <c r="H2637" s="382"/>
      <c r="I2637" s="1390"/>
    </row>
    <row r="2638" spans="1:23" ht="13.5" thickBot="1" x14ac:dyDescent="0.25">
      <c r="A2638" s="432" t="s">
        <v>361</v>
      </c>
      <c r="I2638" s="1390" t="s">
        <v>161</v>
      </c>
    </row>
    <row r="2639" spans="1:23" ht="14.25" thickTop="1" thickBot="1" x14ac:dyDescent="0.25">
      <c r="A2639" s="631" t="s">
        <v>624</v>
      </c>
      <c r="B2639" s="774" t="s">
        <v>162</v>
      </c>
      <c r="C2639" s="632" t="s">
        <v>163</v>
      </c>
      <c r="D2639" s="634" t="s">
        <v>705</v>
      </c>
      <c r="E2639" s="634" t="s">
        <v>164</v>
      </c>
      <c r="F2639" s="634" t="s">
        <v>165</v>
      </c>
      <c r="G2639" s="634" t="s">
        <v>881</v>
      </c>
      <c r="H2639" s="634" t="s">
        <v>882</v>
      </c>
      <c r="I2639" s="818" t="s">
        <v>883</v>
      </c>
    </row>
    <row r="2640" spans="1:23" ht="18" customHeight="1" thickTop="1" thickBot="1" x14ac:dyDescent="0.25">
      <c r="A2640" s="566">
        <v>1</v>
      </c>
      <c r="B2640" s="567">
        <v>2</v>
      </c>
      <c r="C2640" s="567">
        <v>3</v>
      </c>
      <c r="D2640" s="567">
        <v>4</v>
      </c>
      <c r="E2640" s="567">
        <v>5</v>
      </c>
      <c r="F2640" s="541">
        <v>6</v>
      </c>
      <c r="G2640" s="541">
        <v>7</v>
      </c>
      <c r="H2640" s="542">
        <v>8</v>
      </c>
      <c r="I2640" s="636" t="s">
        <v>762</v>
      </c>
    </row>
    <row r="2641" spans="1:20" ht="18" customHeight="1" thickTop="1" x14ac:dyDescent="0.25">
      <c r="A2641" s="431">
        <v>1351</v>
      </c>
      <c r="B2641" s="673">
        <v>3421</v>
      </c>
      <c r="C2641" s="673">
        <v>5331</v>
      </c>
      <c r="D2641" s="819"/>
      <c r="E2641" s="792" t="s">
        <v>951</v>
      </c>
      <c r="F2641" s="820">
        <f>F2642+F2643</f>
        <v>255</v>
      </c>
      <c r="G2641" s="820">
        <f>G2642+G2643</f>
        <v>252</v>
      </c>
      <c r="H2641" s="820">
        <f>H2642+H2643</f>
        <v>252</v>
      </c>
      <c r="I2641" s="821">
        <v>100</v>
      </c>
    </row>
    <row r="2642" spans="1:20" ht="14.25" x14ac:dyDescent="0.2">
      <c r="A2642" s="431"/>
      <c r="B2642" s="673"/>
      <c r="C2642" s="673"/>
      <c r="D2642" s="707" t="s">
        <v>575</v>
      </c>
      <c r="E2642" s="1478" t="s">
        <v>793</v>
      </c>
      <c r="F2642" s="827">
        <v>3</v>
      </c>
      <c r="G2642" s="827">
        <v>3</v>
      </c>
      <c r="H2642" s="827">
        <v>3</v>
      </c>
      <c r="I2642" s="823">
        <f t="shared" ref="I2642:I2649" si="291">(H2642/G2642)*100</f>
        <v>100</v>
      </c>
    </row>
    <row r="2643" spans="1:20" ht="14.25" x14ac:dyDescent="0.2">
      <c r="A2643" s="431"/>
      <c r="B2643" s="673"/>
      <c r="C2643" s="673"/>
      <c r="D2643" s="552" t="s">
        <v>570</v>
      </c>
      <c r="E2643" s="455" t="s">
        <v>71</v>
      </c>
      <c r="F2643" s="827">
        <v>252</v>
      </c>
      <c r="G2643" s="827">
        <v>249</v>
      </c>
      <c r="H2643" s="827">
        <v>249</v>
      </c>
      <c r="I2643" s="823">
        <f t="shared" si="291"/>
        <v>100</v>
      </c>
    </row>
    <row r="2644" spans="1:20" ht="15" x14ac:dyDescent="0.25">
      <c r="A2644" s="431">
        <v>1351</v>
      </c>
      <c r="B2644" s="673">
        <v>3421</v>
      </c>
      <c r="C2644" s="673">
        <v>5336</v>
      </c>
      <c r="D2644" s="1068"/>
      <c r="E2644" s="672" t="s">
        <v>2054</v>
      </c>
      <c r="F2644" s="827"/>
      <c r="G2644" s="851">
        <f>G2645+G2647+G2648</f>
        <v>4506</v>
      </c>
      <c r="H2644" s="851">
        <f>H2645+H2647+H2648</f>
        <v>4506</v>
      </c>
      <c r="I2644" s="853">
        <f t="shared" si="291"/>
        <v>100</v>
      </c>
    </row>
    <row r="2645" spans="1:20" ht="14.25" x14ac:dyDescent="0.2">
      <c r="A2645" s="431"/>
      <c r="B2645" s="673"/>
      <c r="C2645" s="673"/>
      <c r="D2645" s="1068" t="s">
        <v>1911</v>
      </c>
      <c r="E2645" s="2671" t="s">
        <v>2051</v>
      </c>
      <c r="F2645" s="827"/>
      <c r="G2645" s="837">
        <v>5</v>
      </c>
      <c r="H2645" s="837">
        <v>5</v>
      </c>
      <c r="I2645" s="823">
        <v>29</v>
      </c>
    </row>
    <row r="2646" spans="1:20" ht="15" x14ac:dyDescent="0.25">
      <c r="A2646" s="431"/>
      <c r="B2646" s="673"/>
      <c r="C2646" s="673"/>
      <c r="D2646" s="1068"/>
      <c r="E2646" s="2671"/>
      <c r="F2646" s="827"/>
      <c r="G2646" s="846"/>
      <c r="H2646" s="846"/>
      <c r="I2646" s="853"/>
    </row>
    <row r="2647" spans="1:20" ht="15" x14ac:dyDescent="0.2">
      <c r="A2647" s="431"/>
      <c r="B2647" s="673"/>
      <c r="C2647" s="673"/>
      <c r="D2647" s="1068" t="s">
        <v>1913</v>
      </c>
      <c r="E2647" s="2113" t="s">
        <v>2052</v>
      </c>
      <c r="F2647" s="2530"/>
      <c r="G2647" s="2531">
        <v>16</v>
      </c>
      <c r="H2647" s="2531">
        <v>16</v>
      </c>
      <c r="I2647" s="376">
        <f t="shared" ref="I2647" si="292">(H2647/G2647)*100</f>
        <v>100</v>
      </c>
    </row>
    <row r="2648" spans="1:20" ht="15" thickBot="1" x14ac:dyDescent="0.25">
      <c r="A2648" s="431"/>
      <c r="B2648" s="673"/>
      <c r="C2648" s="1392"/>
      <c r="D2648" s="552" t="s">
        <v>1124</v>
      </c>
      <c r="E2648" s="455" t="s">
        <v>792</v>
      </c>
      <c r="F2648" s="827"/>
      <c r="G2648" s="827">
        <v>4485</v>
      </c>
      <c r="H2648" s="827">
        <v>4485</v>
      </c>
      <c r="I2648" s="823">
        <f t="shared" si="291"/>
        <v>100</v>
      </c>
    </row>
    <row r="2649" spans="1:20" ht="16.5" thickTop="1" thickBot="1" x14ac:dyDescent="0.3">
      <c r="A2649" s="2672" t="s">
        <v>1105</v>
      </c>
      <c r="B2649" s="2673"/>
      <c r="C2649" s="2673"/>
      <c r="D2649" s="2673"/>
      <c r="E2649" s="2673"/>
      <c r="F2649" s="824">
        <f>F2641</f>
        <v>255</v>
      </c>
      <c r="G2649" s="824">
        <f>G2641+G2644</f>
        <v>4758</v>
      </c>
      <c r="H2649" s="824">
        <f>H2641+H2644</f>
        <v>4758</v>
      </c>
      <c r="I2649" s="825">
        <f t="shared" si="291"/>
        <v>100</v>
      </c>
      <c r="R2649" s="382">
        <f>F2649</f>
        <v>255</v>
      </c>
      <c r="S2649" s="382">
        <f>G2649</f>
        <v>4758</v>
      </c>
      <c r="T2649" s="382">
        <f>H2649</f>
        <v>4758</v>
      </c>
    </row>
    <row r="2650" spans="1:20" s="107" customFormat="1" ht="13.5" thickTop="1" x14ac:dyDescent="0.2">
      <c r="A2650" s="381"/>
      <c r="B2650" s="643"/>
      <c r="C2650" s="381"/>
      <c r="D2650" s="814"/>
      <c r="E2650" s="381"/>
      <c r="F2650" s="382"/>
      <c r="G2650" s="382"/>
      <c r="H2650" s="382"/>
      <c r="I2650" s="1390"/>
    </row>
    <row r="2651" spans="1:20" s="107" customFormat="1" x14ac:dyDescent="0.2">
      <c r="A2651" s="381"/>
      <c r="B2651" s="643"/>
      <c r="C2651" s="381"/>
      <c r="D2651" s="814"/>
      <c r="E2651" s="381"/>
      <c r="F2651" s="382"/>
      <c r="G2651" s="382"/>
      <c r="H2651" s="382"/>
      <c r="I2651" s="1390"/>
    </row>
    <row r="2652" spans="1:20" s="107" customFormat="1" x14ac:dyDescent="0.2">
      <c r="A2652" s="381"/>
      <c r="B2652" s="643"/>
      <c r="C2652" s="381"/>
      <c r="D2652" s="814"/>
      <c r="E2652" s="381"/>
      <c r="F2652" s="382"/>
      <c r="G2652" s="382"/>
      <c r="H2652" s="382"/>
      <c r="I2652" s="1390"/>
    </row>
    <row r="2653" spans="1:20" ht="13.5" thickBot="1" x14ac:dyDescent="0.25">
      <c r="A2653" s="432" t="s">
        <v>119</v>
      </c>
      <c r="I2653" s="1390" t="s">
        <v>161</v>
      </c>
    </row>
    <row r="2654" spans="1:20" ht="14.25" thickTop="1" thickBot="1" x14ac:dyDescent="0.25">
      <c r="A2654" s="631" t="s">
        <v>624</v>
      </c>
      <c r="B2654" s="774" t="s">
        <v>162</v>
      </c>
      <c r="C2654" s="632" t="s">
        <v>163</v>
      </c>
      <c r="D2654" s="634" t="s">
        <v>705</v>
      </c>
      <c r="E2654" s="634" t="s">
        <v>164</v>
      </c>
      <c r="F2654" s="634" t="s">
        <v>165</v>
      </c>
      <c r="G2654" s="634" t="s">
        <v>881</v>
      </c>
      <c r="H2654" s="634" t="s">
        <v>882</v>
      </c>
      <c r="I2654" s="818" t="s">
        <v>883</v>
      </c>
    </row>
    <row r="2655" spans="1:20" ht="14.25" thickTop="1" thickBot="1" x14ac:dyDescent="0.25">
      <c r="A2655" s="566">
        <v>1</v>
      </c>
      <c r="B2655" s="567">
        <v>2</v>
      </c>
      <c r="C2655" s="567">
        <v>3</v>
      </c>
      <c r="D2655" s="567">
        <v>4</v>
      </c>
      <c r="E2655" s="567">
        <v>5</v>
      </c>
      <c r="F2655" s="541">
        <v>6</v>
      </c>
      <c r="G2655" s="541">
        <v>7</v>
      </c>
      <c r="H2655" s="542">
        <v>8</v>
      </c>
      <c r="I2655" s="636" t="s">
        <v>762</v>
      </c>
    </row>
    <row r="2656" spans="1:20" ht="15.75" thickTop="1" x14ac:dyDescent="0.25">
      <c r="A2656" s="431">
        <v>1352</v>
      </c>
      <c r="B2656" s="673">
        <v>3421</v>
      </c>
      <c r="C2656" s="673">
        <v>5331</v>
      </c>
      <c r="D2656" s="819"/>
      <c r="E2656" s="792" t="s">
        <v>951</v>
      </c>
      <c r="F2656" s="820">
        <f>SUM(F2657:F2663)</f>
        <v>445</v>
      </c>
      <c r="G2656" s="820">
        <f>G2657+G2658</f>
        <v>445</v>
      </c>
      <c r="H2656" s="820">
        <f>H2657+H2658</f>
        <v>445</v>
      </c>
      <c r="I2656" s="821">
        <v>100</v>
      </c>
    </row>
    <row r="2657" spans="1:20" ht="14.25" x14ac:dyDescent="0.2">
      <c r="A2657" s="431"/>
      <c r="B2657" s="673"/>
      <c r="C2657" s="673"/>
      <c r="D2657" s="707" t="s">
        <v>575</v>
      </c>
      <c r="E2657" s="1478" t="s">
        <v>793</v>
      </c>
      <c r="F2657" s="356">
        <v>56</v>
      </c>
      <c r="G2657" s="827">
        <v>60</v>
      </c>
      <c r="H2657" s="827">
        <v>60</v>
      </c>
      <c r="I2657" s="823">
        <f t="shared" ref="I2657:I2664" si="293">(H2657/G2657)*100</f>
        <v>100</v>
      </c>
    </row>
    <row r="2658" spans="1:20" ht="14.25" x14ac:dyDescent="0.2">
      <c r="A2658" s="431"/>
      <c r="B2658" s="673"/>
      <c r="C2658" s="673"/>
      <c r="D2658" s="552" t="s">
        <v>570</v>
      </c>
      <c r="E2658" s="455" t="s">
        <v>71</v>
      </c>
      <c r="F2658" s="827">
        <v>389</v>
      </c>
      <c r="G2658" s="827">
        <v>385</v>
      </c>
      <c r="H2658" s="827">
        <v>385</v>
      </c>
      <c r="I2658" s="823">
        <f t="shared" si="293"/>
        <v>100</v>
      </c>
    </row>
    <row r="2659" spans="1:20" ht="15" x14ac:dyDescent="0.25">
      <c r="A2659" s="431">
        <v>1352</v>
      </c>
      <c r="B2659" s="673">
        <v>3421</v>
      </c>
      <c r="C2659" s="673">
        <v>5336</v>
      </c>
      <c r="D2659" s="1068"/>
      <c r="E2659" s="672" t="s">
        <v>2054</v>
      </c>
      <c r="F2659" s="827"/>
      <c r="G2659" s="851">
        <f>G2660+G2662+G2663</f>
        <v>3119</v>
      </c>
      <c r="H2659" s="851">
        <f>H2660+H2662+H2663</f>
        <v>3119</v>
      </c>
      <c r="I2659" s="853">
        <f t="shared" si="293"/>
        <v>100</v>
      </c>
    </row>
    <row r="2660" spans="1:20" ht="14.25" customHeight="1" x14ac:dyDescent="0.2">
      <c r="A2660" s="431"/>
      <c r="B2660" s="673"/>
      <c r="C2660" s="673"/>
      <c r="D2660" s="1068" t="s">
        <v>1911</v>
      </c>
      <c r="E2660" s="2671" t="s">
        <v>2051</v>
      </c>
      <c r="F2660" s="827"/>
      <c r="G2660" s="837">
        <v>3</v>
      </c>
      <c r="H2660" s="837">
        <v>3</v>
      </c>
      <c r="I2660" s="823">
        <v>29</v>
      </c>
    </row>
    <row r="2661" spans="1:20" ht="15" x14ac:dyDescent="0.25">
      <c r="A2661" s="431"/>
      <c r="B2661" s="673"/>
      <c r="C2661" s="673"/>
      <c r="D2661" s="1068"/>
      <c r="E2661" s="2671"/>
      <c r="F2661" s="827"/>
      <c r="G2661" s="846"/>
      <c r="H2661" s="846"/>
      <c r="I2661" s="853"/>
    </row>
    <row r="2662" spans="1:20" ht="15" x14ac:dyDescent="0.2">
      <c r="A2662" s="431"/>
      <c r="B2662" s="673"/>
      <c r="C2662" s="673"/>
      <c r="D2662" s="1068" t="s">
        <v>1913</v>
      </c>
      <c r="E2662" s="2113" t="s">
        <v>2052</v>
      </c>
      <c r="F2662" s="2530"/>
      <c r="G2662" s="2531">
        <v>14</v>
      </c>
      <c r="H2662" s="2531">
        <v>14</v>
      </c>
      <c r="I2662" s="376">
        <f t="shared" ref="I2662" si="294">(H2662/G2662)*100</f>
        <v>100</v>
      </c>
    </row>
    <row r="2663" spans="1:20" ht="15" thickBot="1" x14ac:dyDescent="0.25">
      <c r="A2663" s="431"/>
      <c r="B2663" s="673"/>
      <c r="C2663" s="673"/>
      <c r="D2663" s="552" t="s">
        <v>1124</v>
      </c>
      <c r="E2663" s="455" t="s">
        <v>792</v>
      </c>
      <c r="F2663" s="827"/>
      <c r="G2663" s="827">
        <v>3102</v>
      </c>
      <c r="H2663" s="827">
        <v>3102</v>
      </c>
      <c r="I2663" s="823">
        <f t="shared" si="293"/>
        <v>100</v>
      </c>
    </row>
    <row r="2664" spans="1:20" ht="16.5" thickTop="1" thickBot="1" x14ac:dyDescent="0.3">
      <c r="A2664" s="2672" t="s">
        <v>1105</v>
      </c>
      <c r="B2664" s="2673"/>
      <c r="C2664" s="2673"/>
      <c r="D2664" s="2673"/>
      <c r="E2664" s="2673"/>
      <c r="F2664" s="824">
        <f>F2656</f>
        <v>445</v>
      </c>
      <c r="G2664" s="824">
        <f>G2656+G2659</f>
        <v>3564</v>
      </c>
      <c r="H2664" s="824">
        <f>H2656+H2659</f>
        <v>3564</v>
      </c>
      <c r="I2664" s="825">
        <f t="shared" si="293"/>
        <v>100</v>
      </c>
      <c r="R2664" s="382">
        <f>F2664</f>
        <v>445</v>
      </c>
      <c r="S2664" s="382">
        <f>G2664</f>
        <v>3564</v>
      </c>
      <c r="T2664" s="382">
        <f>H2664</f>
        <v>3564</v>
      </c>
    </row>
    <row r="2665" spans="1:20" s="383" customFormat="1" ht="13.5" thickTop="1" x14ac:dyDescent="0.2">
      <c r="A2665" s="381"/>
      <c r="B2665" s="643"/>
      <c r="C2665" s="381"/>
      <c r="D2665" s="814"/>
      <c r="E2665" s="381"/>
      <c r="F2665" s="382"/>
      <c r="G2665" s="382"/>
      <c r="H2665" s="382"/>
      <c r="I2665" s="1390"/>
    </row>
    <row r="2666" spans="1:20" s="383" customFormat="1" x14ac:dyDescent="0.2">
      <c r="A2666" s="381"/>
      <c r="B2666" s="643"/>
      <c r="C2666" s="381"/>
      <c r="D2666" s="814"/>
      <c r="E2666" s="381"/>
      <c r="F2666" s="382"/>
      <c r="G2666" s="382"/>
      <c r="H2666" s="382"/>
      <c r="I2666" s="1390"/>
    </row>
    <row r="2667" spans="1:20" s="383" customFormat="1" x14ac:dyDescent="0.2">
      <c r="A2667" s="381"/>
      <c r="B2667" s="643"/>
      <c r="C2667" s="381"/>
      <c r="D2667" s="814"/>
      <c r="E2667" s="381"/>
      <c r="F2667" s="382"/>
      <c r="G2667" s="382"/>
      <c r="H2667" s="382"/>
      <c r="I2667" s="1390"/>
    </row>
    <row r="2668" spans="1:20" ht="13.5" thickBot="1" x14ac:dyDescent="0.25">
      <c r="A2668" s="432" t="s">
        <v>666</v>
      </c>
      <c r="I2668" s="1390" t="s">
        <v>161</v>
      </c>
    </row>
    <row r="2669" spans="1:20" ht="14.25" thickTop="1" thickBot="1" x14ac:dyDescent="0.25">
      <c r="A2669" s="631" t="s">
        <v>624</v>
      </c>
      <c r="B2669" s="774" t="s">
        <v>162</v>
      </c>
      <c r="C2669" s="632" t="s">
        <v>163</v>
      </c>
      <c r="D2669" s="634" t="s">
        <v>705</v>
      </c>
      <c r="E2669" s="634" t="s">
        <v>164</v>
      </c>
      <c r="F2669" s="634" t="s">
        <v>165</v>
      </c>
      <c r="G2669" s="634" t="s">
        <v>881</v>
      </c>
      <c r="H2669" s="634" t="s">
        <v>882</v>
      </c>
      <c r="I2669" s="818" t="s">
        <v>883</v>
      </c>
    </row>
    <row r="2670" spans="1:20" ht="14.25" thickTop="1" thickBot="1" x14ac:dyDescent="0.25">
      <c r="A2670" s="566">
        <v>1</v>
      </c>
      <c r="B2670" s="567">
        <v>2</v>
      </c>
      <c r="C2670" s="567">
        <v>3</v>
      </c>
      <c r="D2670" s="567">
        <v>4</v>
      </c>
      <c r="E2670" s="567">
        <v>5</v>
      </c>
      <c r="F2670" s="541">
        <v>6</v>
      </c>
      <c r="G2670" s="541">
        <v>7</v>
      </c>
      <c r="H2670" s="542">
        <v>8</v>
      </c>
      <c r="I2670" s="636" t="s">
        <v>762</v>
      </c>
    </row>
    <row r="2671" spans="1:20" ht="15.75" thickTop="1" x14ac:dyDescent="0.25">
      <c r="A2671" s="431">
        <v>1353</v>
      </c>
      <c r="B2671" s="673">
        <v>3421</v>
      </c>
      <c r="C2671" s="673">
        <v>5331</v>
      </c>
      <c r="D2671" s="819"/>
      <c r="E2671" s="792" t="s">
        <v>951</v>
      </c>
      <c r="F2671" s="820">
        <f>F2672+F2673+F2674</f>
        <v>781</v>
      </c>
      <c r="G2671" s="820">
        <f>G2672+G2673+G2674</f>
        <v>805</v>
      </c>
      <c r="H2671" s="820">
        <f>H2672+H2673+H2674</f>
        <v>805</v>
      </c>
      <c r="I2671" s="821">
        <v>100</v>
      </c>
    </row>
    <row r="2672" spans="1:20" ht="14.25" x14ac:dyDescent="0.2">
      <c r="A2672" s="431"/>
      <c r="B2672" s="673"/>
      <c r="C2672" s="673"/>
      <c r="D2672" s="707" t="s">
        <v>575</v>
      </c>
      <c r="E2672" s="1478" t="s">
        <v>793</v>
      </c>
      <c r="F2672" s="827">
        <v>91</v>
      </c>
      <c r="G2672" s="827">
        <v>92</v>
      </c>
      <c r="H2672" s="827">
        <v>92</v>
      </c>
      <c r="I2672" s="823">
        <f t="shared" ref="I2672:I2681" si="295">(H2672/G2672)*100</f>
        <v>100</v>
      </c>
    </row>
    <row r="2673" spans="1:20" ht="14.25" x14ac:dyDescent="0.2">
      <c r="A2673" s="431"/>
      <c r="B2673" s="673"/>
      <c r="C2673" s="673"/>
      <c r="D2673" s="707" t="s">
        <v>352</v>
      </c>
      <c r="E2673" s="1478" t="s">
        <v>833</v>
      </c>
      <c r="F2673" s="827"/>
      <c r="G2673" s="827">
        <v>30</v>
      </c>
      <c r="H2673" s="827">
        <v>30</v>
      </c>
      <c r="I2673" s="823">
        <f t="shared" si="295"/>
        <v>100</v>
      </c>
    </row>
    <row r="2674" spans="1:20" ht="14.25" x14ac:dyDescent="0.2">
      <c r="A2674" s="431"/>
      <c r="B2674" s="673"/>
      <c r="C2674" s="673"/>
      <c r="D2674" s="552" t="s">
        <v>570</v>
      </c>
      <c r="E2674" s="455" t="s">
        <v>71</v>
      </c>
      <c r="F2674" s="827">
        <v>690</v>
      </c>
      <c r="G2674" s="827">
        <v>683</v>
      </c>
      <c r="H2674" s="827">
        <v>683</v>
      </c>
      <c r="I2674" s="823">
        <f t="shared" si="295"/>
        <v>100</v>
      </c>
    </row>
    <row r="2675" spans="1:20" ht="15" x14ac:dyDescent="0.25">
      <c r="A2675" s="431">
        <v>1353</v>
      </c>
      <c r="B2675" s="673">
        <v>3421</v>
      </c>
      <c r="C2675" s="673">
        <v>5336</v>
      </c>
      <c r="D2675" s="748"/>
      <c r="E2675" s="672" t="s">
        <v>2054</v>
      </c>
      <c r="F2675" s="827"/>
      <c r="G2675" s="851">
        <f>G2676+G2678+G2679+G2680</f>
        <v>7083</v>
      </c>
      <c r="H2675" s="851">
        <f>H2676+H2678+H2679+H2680</f>
        <v>7083</v>
      </c>
      <c r="I2675" s="853">
        <f t="shared" si="295"/>
        <v>100</v>
      </c>
    </row>
    <row r="2676" spans="1:20" ht="14.25" x14ac:dyDescent="0.2">
      <c r="A2676" s="431"/>
      <c r="B2676" s="673"/>
      <c r="C2676" s="673"/>
      <c r="D2676" s="1068" t="s">
        <v>1911</v>
      </c>
      <c r="E2676" s="2671" t="s">
        <v>2051</v>
      </c>
      <c r="F2676" s="827"/>
      <c r="G2676" s="837">
        <v>6</v>
      </c>
      <c r="H2676" s="837">
        <v>6</v>
      </c>
      <c r="I2676" s="376">
        <f t="shared" ref="I2676:I2678" si="296">(H2676/G2676)*100</f>
        <v>100</v>
      </c>
    </row>
    <row r="2677" spans="1:20" ht="15" x14ac:dyDescent="0.25">
      <c r="A2677" s="431"/>
      <c r="B2677" s="673"/>
      <c r="C2677" s="673"/>
      <c r="D2677" s="1068"/>
      <c r="E2677" s="2671"/>
      <c r="F2677" s="827"/>
      <c r="G2677" s="846"/>
      <c r="H2677" s="846"/>
      <c r="I2677" s="853"/>
    </row>
    <row r="2678" spans="1:20" ht="15" x14ac:dyDescent="0.2">
      <c r="A2678" s="431"/>
      <c r="B2678" s="673"/>
      <c r="C2678" s="673"/>
      <c r="D2678" s="1068" t="s">
        <v>1913</v>
      </c>
      <c r="E2678" s="2113" t="s">
        <v>2052</v>
      </c>
      <c r="F2678" s="2530"/>
      <c r="G2678" s="2531">
        <v>26</v>
      </c>
      <c r="H2678" s="2531">
        <v>26</v>
      </c>
      <c r="I2678" s="376">
        <f t="shared" si="296"/>
        <v>100</v>
      </c>
    </row>
    <row r="2679" spans="1:20" ht="14.25" x14ac:dyDescent="0.2">
      <c r="A2679" s="431"/>
      <c r="B2679" s="673"/>
      <c r="C2679" s="673"/>
      <c r="D2679" s="748" t="s">
        <v>1128</v>
      </c>
      <c r="E2679" s="1528" t="s">
        <v>423</v>
      </c>
      <c r="F2679" s="827"/>
      <c r="G2679" s="827">
        <v>225</v>
      </c>
      <c r="H2679" s="827">
        <v>225</v>
      </c>
      <c r="I2679" s="823">
        <f t="shared" ref="I2679" si="297">(H2679/G2679)*100</f>
        <v>100</v>
      </c>
    </row>
    <row r="2680" spans="1:20" ht="15" thickBot="1" x14ac:dyDescent="0.25">
      <c r="A2680" s="431"/>
      <c r="B2680" s="673"/>
      <c r="C2680" s="673"/>
      <c r="D2680" s="552" t="s">
        <v>1124</v>
      </c>
      <c r="E2680" s="455" t="s">
        <v>792</v>
      </c>
      <c r="F2680" s="827"/>
      <c r="G2680" s="827">
        <v>6826</v>
      </c>
      <c r="H2680" s="827">
        <v>6826</v>
      </c>
      <c r="I2680" s="823">
        <f t="shared" si="295"/>
        <v>100</v>
      </c>
    </row>
    <row r="2681" spans="1:20" s="107" customFormat="1" ht="16.5" thickTop="1" thickBot="1" x14ac:dyDescent="0.3">
      <c r="A2681" s="2672" t="s">
        <v>1105</v>
      </c>
      <c r="B2681" s="2673"/>
      <c r="C2681" s="2673"/>
      <c r="D2681" s="2673"/>
      <c r="E2681" s="2673"/>
      <c r="F2681" s="824">
        <f>F2671+F2675</f>
        <v>781</v>
      </c>
      <c r="G2681" s="824">
        <f>G2671+G2675</f>
        <v>7888</v>
      </c>
      <c r="H2681" s="824">
        <f>H2671+H2675</f>
        <v>7888</v>
      </c>
      <c r="I2681" s="825">
        <f t="shared" si="295"/>
        <v>100</v>
      </c>
      <c r="R2681" s="382">
        <f>F2681</f>
        <v>781</v>
      </c>
      <c r="S2681" s="382">
        <f>G2681</f>
        <v>7888</v>
      </c>
      <c r="T2681" s="382">
        <f>H2681</f>
        <v>7888</v>
      </c>
    </row>
    <row r="2682" spans="1:20" s="383" customFormat="1" ht="13.5" thickTop="1" x14ac:dyDescent="0.2">
      <c r="A2682" s="381"/>
      <c r="B2682" s="643"/>
      <c r="C2682" s="381"/>
      <c r="D2682" s="814"/>
      <c r="E2682" s="381"/>
      <c r="F2682" s="382"/>
      <c r="G2682" s="382"/>
      <c r="H2682" s="382"/>
      <c r="I2682" s="1390"/>
    </row>
    <row r="2683" spans="1:20" s="383" customFormat="1" x14ac:dyDescent="0.2">
      <c r="A2683" s="381"/>
      <c r="B2683" s="643"/>
      <c r="C2683" s="381"/>
      <c r="D2683" s="814"/>
      <c r="E2683" s="381"/>
      <c r="F2683" s="382"/>
      <c r="G2683" s="382"/>
      <c r="H2683" s="382"/>
      <c r="I2683" s="1390"/>
    </row>
    <row r="2684" spans="1:20" ht="13.5" thickBot="1" x14ac:dyDescent="0.25">
      <c r="A2684" s="432" t="s">
        <v>120</v>
      </c>
      <c r="I2684" s="1390" t="s">
        <v>161</v>
      </c>
    </row>
    <row r="2685" spans="1:20" ht="14.25" thickTop="1" thickBot="1" x14ac:dyDescent="0.25">
      <c r="A2685" s="631" t="s">
        <v>624</v>
      </c>
      <c r="B2685" s="774" t="s">
        <v>162</v>
      </c>
      <c r="C2685" s="632" t="s">
        <v>163</v>
      </c>
      <c r="D2685" s="634" t="s">
        <v>705</v>
      </c>
      <c r="E2685" s="634" t="s">
        <v>164</v>
      </c>
      <c r="F2685" s="634" t="s">
        <v>165</v>
      </c>
      <c r="G2685" s="634" t="s">
        <v>881</v>
      </c>
      <c r="H2685" s="634" t="s">
        <v>882</v>
      </c>
      <c r="I2685" s="818" t="s">
        <v>883</v>
      </c>
    </row>
    <row r="2686" spans="1:20" ht="14.25" thickTop="1" thickBot="1" x14ac:dyDescent="0.25">
      <c r="A2686" s="566">
        <v>1</v>
      </c>
      <c r="B2686" s="567">
        <v>2</v>
      </c>
      <c r="C2686" s="567">
        <v>3</v>
      </c>
      <c r="D2686" s="567">
        <v>4</v>
      </c>
      <c r="E2686" s="567">
        <v>5</v>
      </c>
      <c r="F2686" s="541">
        <v>6</v>
      </c>
      <c r="G2686" s="541">
        <v>7</v>
      </c>
      <c r="H2686" s="542">
        <v>8</v>
      </c>
      <c r="I2686" s="636" t="s">
        <v>762</v>
      </c>
    </row>
    <row r="2687" spans="1:20" ht="15.75" thickTop="1" x14ac:dyDescent="0.25">
      <c r="A2687" s="431">
        <v>1354</v>
      </c>
      <c r="B2687" s="673">
        <v>3421</v>
      </c>
      <c r="C2687" s="673">
        <v>5331</v>
      </c>
      <c r="D2687" s="819"/>
      <c r="E2687" s="792" t="s">
        <v>951</v>
      </c>
      <c r="F2687" s="820">
        <f>F2688+F2689</f>
        <v>495</v>
      </c>
      <c r="G2687" s="820">
        <f>G2688+G2689</f>
        <v>500</v>
      </c>
      <c r="H2687" s="820">
        <f>H2688+H2689</f>
        <v>500</v>
      </c>
      <c r="I2687" s="821">
        <v>100</v>
      </c>
    </row>
    <row r="2688" spans="1:20" ht="14.25" x14ac:dyDescent="0.2">
      <c r="A2688" s="431"/>
      <c r="B2688" s="673"/>
      <c r="C2688" s="673"/>
      <c r="D2688" s="707" t="s">
        <v>575</v>
      </c>
      <c r="E2688" s="1478" t="s">
        <v>793</v>
      </c>
      <c r="F2688" s="827">
        <v>5</v>
      </c>
      <c r="G2688" s="827">
        <v>15</v>
      </c>
      <c r="H2688" s="827">
        <v>15</v>
      </c>
      <c r="I2688" s="823">
        <f>(H2688/G2688)*100</f>
        <v>100</v>
      </c>
    </row>
    <row r="2689" spans="1:20" ht="14.25" x14ac:dyDescent="0.2">
      <c r="A2689" s="431"/>
      <c r="B2689" s="673"/>
      <c r="C2689" s="673"/>
      <c r="D2689" s="552" t="s">
        <v>570</v>
      </c>
      <c r="E2689" s="455" t="s">
        <v>71</v>
      </c>
      <c r="F2689" s="827">
        <v>490</v>
      </c>
      <c r="G2689" s="827">
        <v>485</v>
      </c>
      <c r="H2689" s="827">
        <v>485</v>
      </c>
      <c r="I2689" s="823">
        <f>(H2689/G2689)*100</f>
        <v>100</v>
      </c>
    </row>
    <row r="2690" spans="1:20" ht="15" x14ac:dyDescent="0.25">
      <c r="A2690" s="431">
        <v>1354</v>
      </c>
      <c r="B2690" s="673">
        <v>3421</v>
      </c>
      <c r="C2690" s="673">
        <v>5336</v>
      </c>
      <c r="D2690" s="1068"/>
      <c r="E2690" s="672" t="s">
        <v>2054</v>
      </c>
      <c r="F2690" s="827"/>
      <c r="G2690" s="851">
        <f>G2691+G2693+G2694</f>
        <v>3638</v>
      </c>
      <c r="H2690" s="851">
        <f>H2691+H2693+H2694</f>
        <v>3638</v>
      </c>
      <c r="I2690" s="853">
        <f>(H2690/G2690)*100</f>
        <v>100</v>
      </c>
    </row>
    <row r="2691" spans="1:20" ht="14.25" x14ac:dyDescent="0.2">
      <c r="A2691" s="431"/>
      <c r="B2691" s="673"/>
      <c r="C2691" s="673"/>
      <c r="D2691" s="1068" t="s">
        <v>1911</v>
      </c>
      <c r="E2691" s="2671" t="s">
        <v>2051</v>
      </c>
      <c r="F2691" s="827"/>
      <c r="G2691" s="837">
        <v>3</v>
      </c>
      <c r="H2691" s="837">
        <v>3</v>
      </c>
      <c r="I2691" s="376">
        <f t="shared" ref="I2691" si="298">(H2691/G2691)*100</f>
        <v>100</v>
      </c>
    </row>
    <row r="2692" spans="1:20" ht="15" x14ac:dyDescent="0.25">
      <c r="A2692" s="431"/>
      <c r="B2692" s="673"/>
      <c r="C2692" s="673"/>
      <c r="D2692" s="1068"/>
      <c r="E2692" s="2671"/>
      <c r="F2692" s="827"/>
      <c r="G2692" s="846"/>
      <c r="H2692" s="846"/>
      <c r="I2692" s="853"/>
    </row>
    <row r="2693" spans="1:20" ht="15" x14ac:dyDescent="0.2">
      <c r="A2693" s="431"/>
      <c r="B2693" s="673"/>
      <c r="C2693" s="673"/>
      <c r="D2693" s="1068" t="s">
        <v>1913</v>
      </c>
      <c r="E2693" s="2113" t="s">
        <v>2052</v>
      </c>
      <c r="F2693" s="2530"/>
      <c r="G2693" s="2531">
        <v>16</v>
      </c>
      <c r="H2693" s="2531">
        <v>16</v>
      </c>
      <c r="I2693" s="376">
        <f t="shared" ref="I2693" si="299">(H2693/G2693)*100</f>
        <v>100</v>
      </c>
    </row>
    <row r="2694" spans="1:20" ht="15" thickBot="1" x14ac:dyDescent="0.25">
      <c r="A2694" s="431"/>
      <c r="B2694" s="673"/>
      <c r="C2694" s="1392"/>
      <c r="D2694" s="552" t="s">
        <v>1124</v>
      </c>
      <c r="E2694" s="455" t="s">
        <v>792</v>
      </c>
      <c r="F2694" s="827"/>
      <c r="G2694" s="827">
        <v>3619</v>
      </c>
      <c r="H2694" s="827">
        <v>3619</v>
      </c>
      <c r="I2694" s="823">
        <f>(H2694/G2694)*100</f>
        <v>100</v>
      </c>
    </row>
    <row r="2695" spans="1:20" s="107" customFormat="1" ht="16.5" thickTop="1" thickBot="1" x14ac:dyDescent="0.3">
      <c r="A2695" s="2672" t="s">
        <v>1105</v>
      </c>
      <c r="B2695" s="2673"/>
      <c r="C2695" s="2673"/>
      <c r="D2695" s="2673"/>
      <c r="E2695" s="2673"/>
      <c r="F2695" s="824">
        <f>F2687</f>
        <v>495</v>
      </c>
      <c r="G2695" s="824">
        <f>G2687+G2690</f>
        <v>4138</v>
      </c>
      <c r="H2695" s="824">
        <f>H2687+H2690</f>
        <v>4138</v>
      </c>
      <c r="I2695" s="825">
        <f>(H2695/G2695)*100</f>
        <v>100</v>
      </c>
      <c r="R2695" s="382">
        <f>F2695</f>
        <v>495</v>
      </c>
      <c r="S2695" s="382">
        <f>G2695</f>
        <v>4138</v>
      </c>
      <c r="T2695" s="382">
        <f>H2695</f>
        <v>4138</v>
      </c>
    </row>
    <row r="2696" spans="1:20" s="383" customFormat="1" ht="13.5" thickTop="1" x14ac:dyDescent="0.2">
      <c r="A2696" s="381"/>
      <c r="B2696" s="643"/>
      <c r="C2696" s="381"/>
      <c r="D2696" s="814"/>
      <c r="E2696" s="381"/>
      <c r="F2696" s="382"/>
      <c r="G2696" s="382"/>
      <c r="H2696" s="382"/>
      <c r="I2696" s="1390"/>
    </row>
    <row r="2697" spans="1:20" s="383" customFormat="1" x14ac:dyDescent="0.2">
      <c r="A2697" s="381"/>
      <c r="B2697" s="643"/>
      <c r="C2697" s="381"/>
      <c r="D2697" s="814"/>
      <c r="E2697" s="381"/>
      <c r="F2697" s="382"/>
      <c r="G2697" s="382"/>
      <c r="H2697" s="382"/>
      <c r="I2697" s="1390"/>
    </row>
    <row r="2698" spans="1:20" ht="13.5" thickBot="1" x14ac:dyDescent="0.25">
      <c r="A2698" s="432" t="s">
        <v>679</v>
      </c>
      <c r="I2698" s="1390" t="s">
        <v>161</v>
      </c>
    </row>
    <row r="2699" spans="1:20" ht="14.25" thickTop="1" thickBot="1" x14ac:dyDescent="0.25">
      <c r="A2699" s="631" t="s">
        <v>624</v>
      </c>
      <c r="B2699" s="774" t="s">
        <v>162</v>
      </c>
      <c r="C2699" s="632" t="s">
        <v>163</v>
      </c>
      <c r="D2699" s="634" t="s">
        <v>705</v>
      </c>
      <c r="E2699" s="634" t="s">
        <v>164</v>
      </c>
      <c r="F2699" s="634" t="s">
        <v>165</v>
      </c>
      <c r="G2699" s="634" t="s">
        <v>881</v>
      </c>
      <c r="H2699" s="634" t="s">
        <v>882</v>
      </c>
      <c r="I2699" s="818" t="s">
        <v>883</v>
      </c>
    </row>
    <row r="2700" spans="1:20" ht="14.25" thickTop="1" thickBot="1" x14ac:dyDescent="0.25">
      <c r="A2700" s="566">
        <v>1</v>
      </c>
      <c r="B2700" s="567">
        <v>2</v>
      </c>
      <c r="C2700" s="567">
        <v>3</v>
      </c>
      <c r="D2700" s="567">
        <v>4</v>
      </c>
      <c r="E2700" s="567">
        <v>5</v>
      </c>
      <c r="F2700" s="541">
        <v>6</v>
      </c>
      <c r="G2700" s="541">
        <v>7</v>
      </c>
      <c r="H2700" s="542">
        <v>8</v>
      </c>
      <c r="I2700" s="636" t="s">
        <v>762</v>
      </c>
    </row>
    <row r="2701" spans="1:20" ht="15.75" thickTop="1" x14ac:dyDescent="0.25">
      <c r="A2701" s="1402">
        <v>1400</v>
      </c>
      <c r="B2701" s="847">
        <v>3299</v>
      </c>
      <c r="C2701" s="847">
        <v>5331</v>
      </c>
      <c r="D2701" s="852"/>
      <c r="E2701" s="886" t="s">
        <v>951</v>
      </c>
      <c r="F2701" s="845"/>
      <c r="G2701" s="845">
        <v>7</v>
      </c>
      <c r="H2701" s="845">
        <v>7</v>
      </c>
      <c r="I2701" s="849">
        <f>(H2701/G2701)*100</f>
        <v>100</v>
      </c>
    </row>
    <row r="2702" spans="1:20" ht="14.25" x14ac:dyDescent="0.2">
      <c r="A2702" s="431"/>
      <c r="B2702" s="673"/>
      <c r="C2702" s="673"/>
      <c r="D2702" s="1069" t="s">
        <v>1122</v>
      </c>
      <c r="E2702" s="1294" t="s">
        <v>402</v>
      </c>
      <c r="F2702" s="827"/>
      <c r="G2702" s="827">
        <v>7</v>
      </c>
      <c r="H2702" s="827">
        <v>7</v>
      </c>
      <c r="I2702" s="823">
        <v>7</v>
      </c>
    </row>
    <row r="2703" spans="1:20" ht="15" x14ac:dyDescent="0.25">
      <c r="A2703" s="431">
        <v>1400</v>
      </c>
      <c r="B2703" s="673">
        <v>4322</v>
      </c>
      <c r="C2703" s="673">
        <v>5331</v>
      </c>
      <c r="D2703" s="819"/>
      <c r="E2703" s="792" t="s">
        <v>951</v>
      </c>
      <c r="F2703" s="820">
        <f>F2704+F2705+F2706</f>
        <v>3918</v>
      </c>
      <c r="G2703" s="820">
        <f>G2704+G2705+G2706</f>
        <v>3891</v>
      </c>
      <c r="H2703" s="820">
        <f>H2704+H2705+H2706</f>
        <v>3891</v>
      </c>
      <c r="I2703" s="821">
        <v>100</v>
      </c>
    </row>
    <row r="2704" spans="1:20" ht="14.25" x14ac:dyDescent="0.2">
      <c r="A2704" s="431"/>
      <c r="B2704" s="673"/>
      <c r="C2704" s="673"/>
      <c r="D2704" s="707" t="s">
        <v>575</v>
      </c>
      <c r="E2704" s="1478" t="s">
        <v>793</v>
      </c>
      <c r="F2704" s="827">
        <v>611</v>
      </c>
      <c r="G2704" s="827">
        <v>612</v>
      </c>
      <c r="H2704" s="827">
        <v>612</v>
      </c>
      <c r="I2704" s="823">
        <f>(H2704/G2704)*100</f>
        <v>100</v>
      </c>
    </row>
    <row r="2705" spans="1:20" ht="14.25" x14ac:dyDescent="0.2">
      <c r="A2705" s="431"/>
      <c r="B2705" s="673"/>
      <c r="C2705" s="673"/>
      <c r="D2705" s="1059" t="s">
        <v>352</v>
      </c>
      <c r="E2705" s="1161" t="s">
        <v>891</v>
      </c>
      <c r="F2705" s="1311"/>
      <c r="G2705" s="451">
        <v>5</v>
      </c>
      <c r="H2705" s="451">
        <v>5</v>
      </c>
      <c r="I2705" s="1074">
        <f t="shared" ref="I2705" si="300">(H2705/G2705)*100</f>
        <v>100</v>
      </c>
    </row>
    <row r="2706" spans="1:20" ht="14.25" x14ac:dyDescent="0.2">
      <c r="A2706" s="431"/>
      <c r="B2706" s="673"/>
      <c r="C2706" s="673"/>
      <c r="D2706" s="552" t="s">
        <v>570</v>
      </c>
      <c r="E2706" s="455" t="s">
        <v>71</v>
      </c>
      <c r="F2706" s="827">
        <v>3307</v>
      </c>
      <c r="G2706" s="827">
        <v>3274</v>
      </c>
      <c r="H2706" s="827">
        <v>3274</v>
      </c>
      <c r="I2706" s="823">
        <f>(H2706/G2706)*100</f>
        <v>100</v>
      </c>
    </row>
    <row r="2707" spans="1:20" ht="15" x14ac:dyDescent="0.25">
      <c r="A2707" s="431">
        <v>1400</v>
      </c>
      <c r="B2707" s="673">
        <v>4322</v>
      </c>
      <c r="C2707" s="673">
        <v>5336</v>
      </c>
      <c r="D2707" s="1068"/>
      <c r="E2707" s="672" t="s">
        <v>2054</v>
      </c>
      <c r="F2707" s="827"/>
      <c r="G2707" s="851">
        <f>G2708+G2710+G2711</f>
        <v>13061</v>
      </c>
      <c r="H2707" s="851">
        <f>H2708+H2710+H2711</f>
        <v>13061</v>
      </c>
      <c r="I2707" s="853">
        <f>(H2707/G2707)*100</f>
        <v>100</v>
      </c>
    </row>
    <row r="2708" spans="1:20" ht="14.25" customHeight="1" x14ac:dyDescent="0.2">
      <c r="A2708" s="431"/>
      <c r="B2708" s="673"/>
      <c r="C2708" s="673"/>
      <c r="D2708" s="1068" t="s">
        <v>1911</v>
      </c>
      <c r="E2708" s="2671" t="s">
        <v>2051</v>
      </c>
      <c r="F2708" s="827"/>
      <c r="G2708" s="837">
        <v>14</v>
      </c>
      <c r="H2708" s="837">
        <v>14</v>
      </c>
      <c r="I2708" s="376">
        <f t="shared" ref="I2708" si="301">(H2708/G2708)*100</f>
        <v>100</v>
      </c>
    </row>
    <row r="2709" spans="1:20" ht="15" x14ac:dyDescent="0.25">
      <c r="A2709" s="431"/>
      <c r="B2709" s="673"/>
      <c r="C2709" s="673"/>
      <c r="D2709" s="1068"/>
      <c r="E2709" s="2671"/>
      <c r="F2709" s="827"/>
      <c r="G2709" s="846"/>
      <c r="H2709" s="846"/>
      <c r="I2709" s="853"/>
    </row>
    <row r="2710" spans="1:20" ht="15" x14ac:dyDescent="0.2">
      <c r="A2710" s="431"/>
      <c r="B2710" s="673"/>
      <c r="C2710" s="673"/>
      <c r="D2710" s="1068" t="s">
        <v>1913</v>
      </c>
      <c r="E2710" s="2113" t="s">
        <v>2052</v>
      </c>
      <c r="F2710" s="2530"/>
      <c r="G2710" s="2531">
        <v>45</v>
      </c>
      <c r="H2710" s="2531">
        <v>45</v>
      </c>
      <c r="I2710" s="376">
        <f t="shared" ref="I2710" si="302">(H2710/G2710)*100</f>
        <v>100</v>
      </c>
    </row>
    <row r="2711" spans="1:20" ht="15" thickBot="1" x14ac:dyDescent="0.25">
      <c r="A2711" s="431"/>
      <c r="B2711" s="673"/>
      <c r="C2711" s="673"/>
      <c r="D2711" s="552" t="s">
        <v>1124</v>
      </c>
      <c r="E2711" s="455" t="s">
        <v>792</v>
      </c>
      <c r="F2711" s="827"/>
      <c r="G2711" s="827">
        <v>13002</v>
      </c>
      <c r="H2711" s="827">
        <v>13002</v>
      </c>
      <c r="I2711" s="823">
        <f>(H2711/G2711)*100</f>
        <v>100</v>
      </c>
    </row>
    <row r="2712" spans="1:20" ht="16.5" thickTop="1" thickBot="1" x14ac:dyDescent="0.3">
      <c r="A2712" s="2672" t="s">
        <v>1105</v>
      </c>
      <c r="B2712" s="2673"/>
      <c r="C2712" s="2673"/>
      <c r="D2712" s="2673"/>
      <c r="E2712" s="2673"/>
      <c r="F2712" s="824">
        <f>F2703+F2701</f>
        <v>3918</v>
      </c>
      <c r="G2712" s="824">
        <f>G2701+G2703+G2707</f>
        <v>16959</v>
      </c>
      <c r="H2712" s="824">
        <f>H2701+H2703+H2707</f>
        <v>16959</v>
      </c>
      <c r="I2712" s="825">
        <f>(H2712/G2712)*100</f>
        <v>100</v>
      </c>
      <c r="R2712" s="382">
        <f>F2712</f>
        <v>3918</v>
      </c>
      <c r="S2712" s="382">
        <f>G2712</f>
        <v>16959</v>
      </c>
      <c r="T2712" s="382">
        <f>H2712</f>
        <v>16959</v>
      </c>
    </row>
    <row r="2713" spans="1:20" ht="13.5" thickTop="1" x14ac:dyDescent="0.2"/>
    <row r="2715" spans="1:20" ht="13.5" thickBot="1" x14ac:dyDescent="0.25">
      <c r="A2715" s="432" t="s">
        <v>680</v>
      </c>
      <c r="B2715" s="910"/>
      <c r="C2715" s="432"/>
      <c r="D2715" s="1529"/>
      <c r="E2715" s="432"/>
      <c r="I2715" s="1390" t="s">
        <v>161</v>
      </c>
    </row>
    <row r="2716" spans="1:20" ht="14.25" thickTop="1" thickBot="1" x14ac:dyDescent="0.25">
      <c r="A2716" s="631" t="s">
        <v>624</v>
      </c>
      <c r="B2716" s="774" t="s">
        <v>162</v>
      </c>
      <c r="C2716" s="632" t="s">
        <v>163</v>
      </c>
      <c r="D2716" s="634" t="s">
        <v>705</v>
      </c>
      <c r="E2716" s="634" t="s">
        <v>164</v>
      </c>
      <c r="F2716" s="634" t="s">
        <v>165</v>
      </c>
      <c r="G2716" s="634" t="s">
        <v>881</v>
      </c>
      <c r="H2716" s="634" t="s">
        <v>882</v>
      </c>
      <c r="I2716" s="818" t="s">
        <v>883</v>
      </c>
    </row>
    <row r="2717" spans="1:20" ht="14.25" thickTop="1" thickBot="1" x14ac:dyDescent="0.25">
      <c r="A2717" s="566">
        <v>1</v>
      </c>
      <c r="B2717" s="567">
        <v>2</v>
      </c>
      <c r="C2717" s="567">
        <v>3</v>
      </c>
      <c r="D2717" s="567">
        <v>4</v>
      </c>
      <c r="E2717" s="567">
        <v>5</v>
      </c>
      <c r="F2717" s="541">
        <v>6</v>
      </c>
      <c r="G2717" s="541">
        <v>7</v>
      </c>
      <c r="H2717" s="542">
        <v>8</v>
      </c>
      <c r="I2717" s="636" t="s">
        <v>762</v>
      </c>
    </row>
    <row r="2718" spans="1:20" ht="15.75" thickTop="1" x14ac:dyDescent="0.25">
      <c r="A2718" s="431">
        <v>1401</v>
      </c>
      <c r="B2718" s="673">
        <v>4322</v>
      </c>
      <c r="C2718" s="673">
        <v>5331</v>
      </c>
      <c r="D2718" s="819"/>
      <c r="E2718" s="792" t="s">
        <v>951</v>
      </c>
      <c r="F2718" s="820">
        <f>SUM(F2719:F2725)</f>
        <v>1458</v>
      </c>
      <c r="G2718" s="820">
        <f>G2719+G2720</f>
        <v>1446</v>
      </c>
      <c r="H2718" s="820">
        <f>H2719+H2720</f>
        <v>1446</v>
      </c>
      <c r="I2718" s="821">
        <v>100</v>
      </c>
    </row>
    <row r="2719" spans="1:20" ht="14.25" x14ac:dyDescent="0.2">
      <c r="A2719" s="431"/>
      <c r="B2719" s="673"/>
      <c r="C2719" s="673"/>
      <c r="D2719" s="707" t="s">
        <v>575</v>
      </c>
      <c r="E2719" s="1478" t="s">
        <v>793</v>
      </c>
      <c r="F2719" s="827">
        <v>280</v>
      </c>
      <c r="G2719" s="827">
        <v>280</v>
      </c>
      <c r="H2719" s="827">
        <v>280</v>
      </c>
      <c r="I2719" s="823">
        <f>(H2719/G2719)*100</f>
        <v>100</v>
      </c>
    </row>
    <row r="2720" spans="1:20" ht="14.25" x14ac:dyDescent="0.2">
      <c r="A2720" s="431"/>
      <c r="B2720" s="673"/>
      <c r="C2720" s="673"/>
      <c r="D2720" s="552" t="s">
        <v>570</v>
      </c>
      <c r="E2720" s="455" t="s">
        <v>71</v>
      </c>
      <c r="F2720" s="827">
        <v>1178</v>
      </c>
      <c r="G2720" s="827">
        <v>1166</v>
      </c>
      <c r="H2720" s="827">
        <v>1166</v>
      </c>
      <c r="I2720" s="823">
        <f>(H2720/G2720)*100</f>
        <v>100</v>
      </c>
    </row>
    <row r="2721" spans="1:20" ht="15" x14ac:dyDescent="0.25">
      <c r="A2721" s="431">
        <v>1401</v>
      </c>
      <c r="B2721" s="673">
        <v>4322</v>
      </c>
      <c r="C2721" s="673">
        <v>5336</v>
      </c>
      <c r="D2721" s="1068"/>
      <c r="E2721" s="672" t="s">
        <v>2054</v>
      </c>
      <c r="F2721" s="827"/>
      <c r="G2721" s="851">
        <f>G2722+G2724+G2725</f>
        <v>4355</v>
      </c>
      <c r="H2721" s="851">
        <f>H2722+H2724+H2725</f>
        <v>4355</v>
      </c>
      <c r="I2721" s="853">
        <f>(H2721/G2721)*100</f>
        <v>100</v>
      </c>
    </row>
    <row r="2722" spans="1:20" ht="14.25" customHeight="1" x14ac:dyDescent="0.2">
      <c r="A2722" s="431"/>
      <c r="B2722" s="673"/>
      <c r="C2722" s="673"/>
      <c r="D2722" s="1068" t="s">
        <v>1911</v>
      </c>
      <c r="E2722" s="2671" t="s">
        <v>2051</v>
      </c>
      <c r="F2722" s="827"/>
      <c r="G2722" s="837">
        <v>5</v>
      </c>
      <c r="H2722" s="837">
        <v>5</v>
      </c>
      <c r="I2722" s="376">
        <f t="shared" ref="I2722" si="303">(H2722/G2722)*100</f>
        <v>100</v>
      </c>
    </row>
    <row r="2723" spans="1:20" ht="15" x14ac:dyDescent="0.25">
      <c r="A2723" s="431"/>
      <c r="B2723" s="673"/>
      <c r="C2723" s="673"/>
      <c r="D2723" s="1068"/>
      <c r="E2723" s="2671"/>
      <c r="F2723" s="827"/>
      <c r="G2723" s="846"/>
      <c r="H2723" s="846"/>
      <c r="I2723" s="853"/>
    </row>
    <row r="2724" spans="1:20" ht="15" x14ac:dyDescent="0.2">
      <c r="A2724" s="431"/>
      <c r="B2724" s="673"/>
      <c r="C2724" s="673"/>
      <c r="D2724" s="1068" t="s">
        <v>1913</v>
      </c>
      <c r="E2724" s="2113" t="s">
        <v>2052</v>
      </c>
      <c r="F2724" s="2530"/>
      <c r="G2724" s="2531">
        <v>17</v>
      </c>
      <c r="H2724" s="2531">
        <v>17</v>
      </c>
      <c r="I2724" s="376">
        <f t="shared" ref="I2724" si="304">(H2724/G2724)*100</f>
        <v>100</v>
      </c>
    </row>
    <row r="2725" spans="1:20" ht="15" thickBot="1" x14ac:dyDescent="0.25">
      <c r="A2725" s="431"/>
      <c r="B2725" s="673"/>
      <c r="C2725" s="1392"/>
      <c r="D2725" s="552" t="s">
        <v>1124</v>
      </c>
      <c r="E2725" s="455" t="s">
        <v>792</v>
      </c>
      <c r="F2725" s="827"/>
      <c r="G2725" s="827">
        <v>4333</v>
      </c>
      <c r="H2725" s="827">
        <v>4333</v>
      </c>
      <c r="I2725" s="823">
        <f>(H2725/G2725)*100</f>
        <v>100</v>
      </c>
    </row>
    <row r="2726" spans="1:20" ht="16.5" thickTop="1" thickBot="1" x14ac:dyDescent="0.3">
      <c r="A2726" s="2672" t="s">
        <v>1105</v>
      </c>
      <c r="B2726" s="2673"/>
      <c r="C2726" s="2673"/>
      <c r="D2726" s="2673"/>
      <c r="E2726" s="2673"/>
      <c r="F2726" s="824">
        <f>F2718</f>
        <v>1458</v>
      </c>
      <c r="G2726" s="824">
        <f>G2718+G2721</f>
        <v>5801</v>
      </c>
      <c r="H2726" s="824">
        <f>H2718+H2721</f>
        <v>5801</v>
      </c>
      <c r="I2726" s="825">
        <f>(H2726/G2726)*100</f>
        <v>100</v>
      </c>
      <c r="R2726" s="382">
        <f>F2726</f>
        <v>1458</v>
      </c>
      <c r="S2726" s="382">
        <f>G2726</f>
        <v>5801</v>
      </c>
      <c r="T2726" s="382">
        <f>H2726</f>
        <v>5801</v>
      </c>
    </row>
    <row r="2727" spans="1:20" ht="13.5" thickTop="1" x14ac:dyDescent="0.2"/>
    <row r="2729" spans="1:20" ht="13.5" thickBot="1" x14ac:dyDescent="0.25">
      <c r="A2729" s="432" t="s">
        <v>681</v>
      </c>
      <c r="I2729" s="1390" t="s">
        <v>161</v>
      </c>
    </row>
    <row r="2730" spans="1:20" ht="14.25" thickTop="1" thickBot="1" x14ac:dyDescent="0.25">
      <c r="A2730" s="631" t="s">
        <v>624</v>
      </c>
      <c r="B2730" s="774" t="s">
        <v>162</v>
      </c>
      <c r="C2730" s="632" t="s">
        <v>163</v>
      </c>
      <c r="D2730" s="634" t="s">
        <v>705</v>
      </c>
      <c r="E2730" s="634" t="s">
        <v>164</v>
      </c>
      <c r="F2730" s="634" t="s">
        <v>165</v>
      </c>
      <c r="G2730" s="634" t="s">
        <v>881</v>
      </c>
      <c r="H2730" s="634" t="s">
        <v>882</v>
      </c>
      <c r="I2730" s="818" t="s">
        <v>883</v>
      </c>
    </row>
    <row r="2731" spans="1:20" ht="14.25" thickTop="1" thickBot="1" x14ac:dyDescent="0.25">
      <c r="A2731" s="566">
        <v>1</v>
      </c>
      <c r="B2731" s="567">
        <v>2</v>
      </c>
      <c r="C2731" s="567">
        <v>3</v>
      </c>
      <c r="D2731" s="567">
        <v>4</v>
      </c>
      <c r="E2731" s="567">
        <v>5</v>
      </c>
      <c r="F2731" s="541">
        <v>6</v>
      </c>
      <c r="G2731" s="541">
        <v>7</v>
      </c>
      <c r="H2731" s="542">
        <v>8</v>
      </c>
      <c r="I2731" s="636" t="s">
        <v>762</v>
      </c>
    </row>
    <row r="2732" spans="1:20" ht="15.75" thickTop="1" x14ac:dyDescent="0.25">
      <c r="A2732" s="431">
        <v>1402</v>
      </c>
      <c r="B2732" s="673">
        <v>4322</v>
      </c>
      <c r="C2732" s="673">
        <v>5331</v>
      </c>
      <c r="D2732" s="819"/>
      <c r="E2732" s="792" t="s">
        <v>951</v>
      </c>
      <c r="F2732" s="820">
        <f>F2733+F2734</f>
        <v>1627</v>
      </c>
      <c r="G2732" s="820">
        <f>G2733+G2734</f>
        <v>1611</v>
      </c>
      <c r="H2732" s="820">
        <f>H2733+H2734</f>
        <v>1611</v>
      </c>
      <c r="I2732" s="821">
        <v>100</v>
      </c>
    </row>
    <row r="2733" spans="1:20" ht="14.25" x14ac:dyDescent="0.2">
      <c r="A2733" s="431"/>
      <c r="B2733" s="673"/>
      <c r="C2733" s="673"/>
      <c r="D2733" s="707" t="s">
        <v>575</v>
      </c>
      <c r="E2733" s="1478" t="s">
        <v>793</v>
      </c>
      <c r="F2733" s="827">
        <v>44</v>
      </c>
      <c r="G2733" s="827">
        <v>44</v>
      </c>
      <c r="H2733" s="827">
        <v>44</v>
      </c>
      <c r="I2733" s="823">
        <f t="shared" ref="I2733:I2740" si="305">(H2733/G2733)*100</f>
        <v>100</v>
      </c>
    </row>
    <row r="2734" spans="1:20" ht="14.25" x14ac:dyDescent="0.2">
      <c r="A2734" s="431"/>
      <c r="B2734" s="673"/>
      <c r="C2734" s="673"/>
      <c r="D2734" s="552" t="s">
        <v>570</v>
      </c>
      <c r="E2734" s="455" t="s">
        <v>71</v>
      </c>
      <c r="F2734" s="827">
        <v>1583</v>
      </c>
      <c r="G2734" s="827">
        <v>1567</v>
      </c>
      <c r="H2734" s="827">
        <v>1567</v>
      </c>
      <c r="I2734" s="823">
        <f t="shared" si="305"/>
        <v>100</v>
      </c>
    </row>
    <row r="2735" spans="1:20" ht="15" x14ac:dyDescent="0.25">
      <c r="A2735" s="431">
        <v>1402</v>
      </c>
      <c r="B2735" s="673">
        <v>4322</v>
      </c>
      <c r="C2735" s="840">
        <v>5336</v>
      </c>
      <c r="D2735" s="1069"/>
      <c r="E2735" s="672" t="s">
        <v>2054</v>
      </c>
      <c r="F2735" s="827"/>
      <c r="G2735" s="851">
        <f>G2736+G2738+G2739</f>
        <v>6534</v>
      </c>
      <c r="H2735" s="851">
        <f>H2736+H2738+H2739</f>
        <v>6534</v>
      </c>
      <c r="I2735" s="853">
        <f t="shared" si="305"/>
        <v>100</v>
      </c>
    </row>
    <row r="2736" spans="1:20" ht="14.25" customHeight="1" x14ac:dyDescent="0.2">
      <c r="A2736" s="431"/>
      <c r="B2736" s="673"/>
      <c r="C2736" s="840"/>
      <c r="D2736" s="1068" t="s">
        <v>1911</v>
      </c>
      <c r="E2736" s="2671" t="s">
        <v>2051</v>
      </c>
      <c r="F2736" s="827"/>
      <c r="G2736" s="837">
        <v>7</v>
      </c>
      <c r="H2736" s="837">
        <v>7</v>
      </c>
      <c r="I2736" s="376">
        <f t="shared" si="305"/>
        <v>100</v>
      </c>
    </row>
    <row r="2737" spans="1:20" ht="15" x14ac:dyDescent="0.25">
      <c r="A2737" s="431"/>
      <c r="B2737" s="673"/>
      <c r="C2737" s="840"/>
      <c r="D2737" s="1068"/>
      <c r="E2737" s="2671"/>
      <c r="F2737" s="827"/>
      <c r="G2737" s="846"/>
      <c r="H2737" s="846"/>
      <c r="I2737" s="853"/>
    </row>
    <row r="2738" spans="1:20" ht="15" x14ac:dyDescent="0.2">
      <c r="A2738" s="431"/>
      <c r="B2738" s="673"/>
      <c r="C2738" s="840"/>
      <c r="D2738" s="1068" t="s">
        <v>1913</v>
      </c>
      <c r="E2738" s="2113" t="s">
        <v>2052</v>
      </c>
      <c r="F2738" s="2530"/>
      <c r="G2738" s="2531">
        <v>24</v>
      </c>
      <c r="H2738" s="2531">
        <v>24</v>
      </c>
      <c r="I2738" s="376">
        <f t="shared" ref="I2738" si="306">(H2738/G2738)*100</f>
        <v>100</v>
      </c>
    </row>
    <row r="2739" spans="1:20" ht="15" thickBot="1" x14ac:dyDescent="0.25">
      <c r="A2739" s="431"/>
      <c r="B2739" s="673"/>
      <c r="C2739" s="840"/>
      <c r="D2739" s="552" t="s">
        <v>1124</v>
      </c>
      <c r="E2739" s="455" t="s">
        <v>792</v>
      </c>
      <c r="F2739" s="827"/>
      <c r="G2739" s="827">
        <v>6503</v>
      </c>
      <c r="H2739" s="827">
        <v>6503</v>
      </c>
      <c r="I2739" s="823">
        <f>(H2739/G2739)*100</f>
        <v>100</v>
      </c>
    </row>
    <row r="2740" spans="1:20" ht="16.5" thickTop="1" thickBot="1" x14ac:dyDescent="0.3">
      <c r="A2740" s="2672" t="s">
        <v>1105</v>
      </c>
      <c r="B2740" s="2673"/>
      <c r="C2740" s="2673"/>
      <c r="D2740" s="2673"/>
      <c r="E2740" s="2673"/>
      <c r="F2740" s="824">
        <f>F2732</f>
        <v>1627</v>
      </c>
      <c r="G2740" s="824">
        <f>G2732+G2735</f>
        <v>8145</v>
      </c>
      <c r="H2740" s="824">
        <f>H2732+H2735</f>
        <v>8145</v>
      </c>
      <c r="I2740" s="825">
        <f t="shared" si="305"/>
        <v>100</v>
      </c>
      <c r="R2740" s="382">
        <f>F2740</f>
        <v>1627</v>
      </c>
      <c r="S2740" s="382">
        <f>G2740</f>
        <v>8145</v>
      </c>
      <c r="T2740" s="382">
        <f>H2740</f>
        <v>8145</v>
      </c>
    </row>
    <row r="2741" spans="1:20" ht="13.5" thickTop="1" x14ac:dyDescent="0.2"/>
    <row r="2743" spans="1:20" ht="13.5" thickBot="1" x14ac:dyDescent="0.25">
      <c r="A2743" s="432" t="s">
        <v>682</v>
      </c>
      <c r="I2743" s="1390" t="s">
        <v>161</v>
      </c>
    </row>
    <row r="2744" spans="1:20" ht="14.25" thickTop="1" thickBot="1" x14ac:dyDescent="0.25">
      <c r="A2744" s="631" t="s">
        <v>624</v>
      </c>
      <c r="B2744" s="774" t="s">
        <v>162</v>
      </c>
      <c r="C2744" s="632" t="s">
        <v>163</v>
      </c>
      <c r="D2744" s="634" t="s">
        <v>705</v>
      </c>
      <c r="E2744" s="634" t="s">
        <v>164</v>
      </c>
      <c r="F2744" s="634" t="s">
        <v>165</v>
      </c>
      <c r="G2744" s="634" t="s">
        <v>881</v>
      </c>
      <c r="H2744" s="634" t="s">
        <v>882</v>
      </c>
      <c r="I2744" s="818" t="s">
        <v>883</v>
      </c>
    </row>
    <row r="2745" spans="1:20" ht="14.25" thickTop="1" thickBot="1" x14ac:dyDescent="0.25">
      <c r="A2745" s="566">
        <v>1</v>
      </c>
      <c r="B2745" s="567">
        <v>2</v>
      </c>
      <c r="C2745" s="567">
        <v>3</v>
      </c>
      <c r="D2745" s="567">
        <v>4</v>
      </c>
      <c r="E2745" s="567">
        <v>5</v>
      </c>
      <c r="F2745" s="541">
        <v>6</v>
      </c>
      <c r="G2745" s="541">
        <v>7</v>
      </c>
      <c r="H2745" s="542">
        <v>8</v>
      </c>
      <c r="I2745" s="636" t="s">
        <v>762</v>
      </c>
    </row>
    <row r="2746" spans="1:20" ht="15.75" thickTop="1" x14ac:dyDescent="0.25">
      <c r="A2746" s="431">
        <v>1403</v>
      </c>
      <c r="B2746" s="673">
        <v>4322</v>
      </c>
      <c r="C2746" s="673">
        <v>5331</v>
      </c>
      <c r="D2746" s="819"/>
      <c r="E2746" s="792" t="s">
        <v>951</v>
      </c>
      <c r="F2746" s="820">
        <f>F2747+F2748</f>
        <v>1927</v>
      </c>
      <c r="G2746" s="820">
        <f>G2747+G2748</f>
        <v>1908</v>
      </c>
      <c r="H2746" s="820">
        <f>H2747+H2748</f>
        <v>1908</v>
      </c>
      <c r="I2746" s="821">
        <v>100</v>
      </c>
    </row>
    <row r="2747" spans="1:20" ht="14.25" x14ac:dyDescent="0.2">
      <c r="A2747" s="431"/>
      <c r="B2747" s="673"/>
      <c r="C2747" s="673"/>
      <c r="D2747" s="707" t="s">
        <v>575</v>
      </c>
      <c r="E2747" s="1478" t="s">
        <v>793</v>
      </c>
      <c r="F2747" s="827">
        <v>211</v>
      </c>
      <c r="G2747" s="827">
        <v>209</v>
      </c>
      <c r="H2747" s="827">
        <v>209</v>
      </c>
      <c r="I2747" s="823">
        <f>(H2747/G2747)*100</f>
        <v>100</v>
      </c>
    </row>
    <row r="2748" spans="1:20" ht="14.25" x14ac:dyDescent="0.2">
      <c r="A2748" s="431"/>
      <c r="B2748" s="673"/>
      <c r="C2748" s="673"/>
      <c r="D2748" s="552" t="s">
        <v>570</v>
      </c>
      <c r="E2748" s="455" t="s">
        <v>71</v>
      </c>
      <c r="F2748" s="827">
        <v>1716</v>
      </c>
      <c r="G2748" s="827">
        <v>1699</v>
      </c>
      <c r="H2748" s="827">
        <v>1699</v>
      </c>
      <c r="I2748" s="823">
        <f>(H2748/G2748)*100</f>
        <v>100</v>
      </c>
    </row>
    <row r="2749" spans="1:20" ht="15" x14ac:dyDescent="0.25">
      <c r="A2749" s="431">
        <v>1403</v>
      </c>
      <c r="B2749" s="673">
        <v>4322</v>
      </c>
      <c r="C2749" s="673">
        <v>5336</v>
      </c>
      <c r="D2749" s="1068"/>
      <c r="E2749" s="672" t="s">
        <v>2054</v>
      </c>
      <c r="F2749" s="827"/>
      <c r="G2749" s="851">
        <f>G2750+G2752+G2753</f>
        <v>8710</v>
      </c>
      <c r="H2749" s="851">
        <f>H2750+H2752+H2753</f>
        <v>8710</v>
      </c>
      <c r="I2749" s="853">
        <f>(H2749/G2749)*100</f>
        <v>100</v>
      </c>
    </row>
    <row r="2750" spans="1:20" ht="14.25" customHeight="1" x14ac:dyDescent="0.2">
      <c r="A2750" s="431"/>
      <c r="B2750" s="673"/>
      <c r="C2750" s="673"/>
      <c r="D2750" s="1068" t="s">
        <v>1911</v>
      </c>
      <c r="E2750" s="2671" t="s">
        <v>2051</v>
      </c>
      <c r="F2750" s="827"/>
      <c r="G2750" s="837">
        <v>10</v>
      </c>
      <c r="H2750" s="837">
        <v>10</v>
      </c>
      <c r="I2750" s="376">
        <f t="shared" ref="I2750" si="307">(H2750/G2750)*100</f>
        <v>100</v>
      </c>
    </row>
    <row r="2751" spans="1:20" ht="15" x14ac:dyDescent="0.25">
      <c r="A2751" s="431"/>
      <c r="B2751" s="673"/>
      <c r="C2751" s="673"/>
      <c r="D2751" s="1068"/>
      <c r="E2751" s="2671"/>
      <c r="F2751" s="827"/>
      <c r="G2751" s="846"/>
      <c r="H2751" s="846"/>
      <c r="I2751" s="853"/>
    </row>
    <row r="2752" spans="1:20" ht="15" x14ac:dyDescent="0.2">
      <c r="A2752" s="431"/>
      <c r="B2752" s="673"/>
      <c r="C2752" s="673"/>
      <c r="D2752" s="1068" t="s">
        <v>1913</v>
      </c>
      <c r="E2752" s="2113" t="s">
        <v>2052</v>
      </c>
      <c r="F2752" s="2530"/>
      <c r="G2752" s="2531">
        <v>31</v>
      </c>
      <c r="H2752" s="2531">
        <v>31</v>
      </c>
      <c r="I2752" s="376">
        <f t="shared" ref="I2752" si="308">(H2752/G2752)*100</f>
        <v>100</v>
      </c>
    </row>
    <row r="2753" spans="1:20" ht="15" thickBot="1" x14ac:dyDescent="0.25">
      <c r="A2753" s="431"/>
      <c r="B2753" s="673"/>
      <c r="C2753" s="1392"/>
      <c r="D2753" s="552" t="s">
        <v>1124</v>
      </c>
      <c r="E2753" s="455" t="s">
        <v>792</v>
      </c>
      <c r="F2753" s="827"/>
      <c r="G2753" s="827">
        <v>8669</v>
      </c>
      <c r="H2753" s="827">
        <v>8669</v>
      </c>
      <c r="I2753" s="823">
        <f>(H2753/G2753)*100</f>
        <v>100</v>
      </c>
    </row>
    <row r="2754" spans="1:20" ht="16.5" thickTop="1" thickBot="1" x14ac:dyDescent="0.3">
      <c r="A2754" s="2672" t="s">
        <v>1105</v>
      </c>
      <c r="B2754" s="2673"/>
      <c r="C2754" s="2673"/>
      <c r="D2754" s="2673"/>
      <c r="E2754" s="2673"/>
      <c r="F2754" s="824">
        <f>F2746</f>
        <v>1927</v>
      </c>
      <c r="G2754" s="824">
        <f>G2746+G2749</f>
        <v>10618</v>
      </c>
      <c r="H2754" s="824">
        <f>H2746+H2749</f>
        <v>10618</v>
      </c>
      <c r="I2754" s="825">
        <f>(H2754/G2754)*100</f>
        <v>100</v>
      </c>
      <c r="R2754" s="382">
        <f>F2754</f>
        <v>1927</v>
      </c>
      <c r="S2754" s="382">
        <f>G2754</f>
        <v>10618</v>
      </c>
      <c r="T2754" s="382">
        <f>H2754</f>
        <v>10618</v>
      </c>
    </row>
    <row r="2755" spans="1:20" ht="13.5" thickTop="1" x14ac:dyDescent="0.2"/>
    <row r="2756" spans="1:20" ht="13.5" thickBot="1" x14ac:dyDescent="0.25">
      <c r="A2756" s="432" t="s">
        <v>759</v>
      </c>
      <c r="I2756" s="1390" t="s">
        <v>161</v>
      </c>
    </row>
    <row r="2757" spans="1:20" ht="14.25" thickTop="1" thickBot="1" x14ac:dyDescent="0.25">
      <c r="A2757" s="631" t="s">
        <v>624</v>
      </c>
      <c r="B2757" s="774" t="s">
        <v>162</v>
      </c>
      <c r="C2757" s="632" t="s">
        <v>163</v>
      </c>
      <c r="D2757" s="634" t="s">
        <v>705</v>
      </c>
      <c r="E2757" s="634" t="s">
        <v>164</v>
      </c>
      <c r="F2757" s="634" t="s">
        <v>165</v>
      </c>
      <c r="G2757" s="634" t="s">
        <v>881</v>
      </c>
      <c r="H2757" s="634" t="s">
        <v>882</v>
      </c>
      <c r="I2757" s="818" t="s">
        <v>883</v>
      </c>
    </row>
    <row r="2758" spans="1:20" ht="14.25" thickTop="1" thickBot="1" x14ac:dyDescent="0.25">
      <c r="A2758" s="566">
        <v>1</v>
      </c>
      <c r="B2758" s="567">
        <v>2</v>
      </c>
      <c r="C2758" s="567">
        <v>3</v>
      </c>
      <c r="D2758" s="567">
        <v>4</v>
      </c>
      <c r="E2758" s="567">
        <v>5</v>
      </c>
      <c r="F2758" s="541">
        <v>6</v>
      </c>
      <c r="G2758" s="541">
        <v>7</v>
      </c>
      <c r="H2758" s="542">
        <v>8</v>
      </c>
      <c r="I2758" s="636" t="s">
        <v>762</v>
      </c>
    </row>
    <row r="2759" spans="1:20" ht="15.75" thickTop="1" x14ac:dyDescent="0.25">
      <c r="A2759" s="431">
        <v>1404</v>
      </c>
      <c r="B2759" s="673">
        <v>4322</v>
      </c>
      <c r="C2759" s="673">
        <v>5331</v>
      </c>
      <c r="D2759" s="819"/>
      <c r="E2759" s="792" t="s">
        <v>951</v>
      </c>
      <c r="F2759" s="820">
        <f>F2760+F2761</f>
        <v>1626</v>
      </c>
      <c r="G2759" s="820">
        <f>G2760+G2761</f>
        <v>1620</v>
      </c>
      <c r="H2759" s="820">
        <f>H2760+H2761</f>
        <v>1620</v>
      </c>
      <c r="I2759" s="821">
        <v>100</v>
      </c>
    </row>
    <row r="2760" spans="1:20" ht="14.25" x14ac:dyDescent="0.2">
      <c r="A2760" s="431"/>
      <c r="B2760" s="673"/>
      <c r="C2760" s="673"/>
      <c r="D2760" s="707" t="s">
        <v>575</v>
      </c>
      <c r="E2760" s="1478" t="s">
        <v>793</v>
      </c>
      <c r="F2760" s="827">
        <v>349</v>
      </c>
      <c r="G2760" s="827">
        <v>356</v>
      </c>
      <c r="H2760" s="827">
        <v>356</v>
      </c>
      <c r="I2760" s="823">
        <f t="shared" ref="I2760:I2768" si="309">(H2760/G2760)*100</f>
        <v>100</v>
      </c>
    </row>
    <row r="2761" spans="1:20" ht="14.25" x14ac:dyDescent="0.2">
      <c r="A2761" s="431"/>
      <c r="B2761" s="673"/>
      <c r="C2761" s="673"/>
      <c r="D2761" s="552" t="s">
        <v>570</v>
      </c>
      <c r="E2761" s="455" t="s">
        <v>71</v>
      </c>
      <c r="F2761" s="827">
        <v>1277</v>
      </c>
      <c r="G2761" s="827">
        <v>1264</v>
      </c>
      <c r="H2761" s="827">
        <v>1264</v>
      </c>
      <c r="I2761" s="823">
        <f t="shared" si="309"/>
        <v>100</v>
      </c>
    </row>
    <row r="2762" spans="1:20" ht="15" x14ac:dyDescent="0.25">
      <c r="A2762" s="431">
        <v>1404</v>
      </c>
      <c r="B2762" s="673">
        <v>4322</v>
      </c>
      <c r="C2762" s="673">
        <v>5336</v>
      </c>
      <c r="D2762" s="1068"/>
      <c r="E2762" s="672" t="s">
        <v>2054</v>
      </c>
      <c r="F2762" s="827"/>
      <c r="G2762" s="851">
        <f>G2763+G2765+G2766</f>
        <v>6533</v>
      </c>
      <c r="H2762" s="851">
        <f>H2763+H2765+H2766</f>
        <v>6533</v>
      </c>
      <c r="I2762" s="853">
        <f t="shared" si="309"/>
        <v>100</v>
      </c>
    </row>
    <row r="2763" spans="1:20" ht="14.25" customHeight="1" x14ac:dyDescent="0.2">
      <c r="A2763" s="431"/>
      <c r="B2763" s="673"/>
      <c r="C2763" s="673"/>
      <c r="D2763" s="1068" t="s">
        <v>1911</v>
      </c>
      <c r="E2763" s="2671" t="s">
        <v>2051</v>
      </c>
      <c r="F2763" s="827"/>
      <c r="G2763" s="837">
        <v>7</v>
      </c>
      <c r="H2763" s="837">
        <v>7</v>
      </c>
      <c r="I2763" s="376">
        <f t="shared" si="309"/>
        <v>100</v>
      </c>
    </row>
    <row r="2764" spans="1:20" ht="15" x14ac:dyDescent="0.25">
      <c r="A2764" s="431"/>
      <c r="B2764" s="673"/>
      <c r="C2764" s="673"/>
      <c r="D2764" s="1068"/>
      <c r="E2764" s="2671"/>
      <c r="F2764" s="827"/>
      <c r="G2764" s="846"/>
      <c r="H2764" s="846"/>
      <c r="I2764" s="853"/>
    </row>
    <row r="2765" spans="1:20" ht="15" x14ac:dyDescent="0.2">
      <c r="A2765" s="431"/>
      <c r="B2765" s="673"/>
      <c r="C2765" s="673"/>
      <c r="D2765" s="1068" t="s">
        <v>1913</v>
      </c>
      <c r="E2765" s="2113" t="s">
        <v>2052</v>
      </c>
      <c r="F2765" s="2530"/>
      <c r="G2765" s="2531">
        <v>23</v>
      </c>
      <c r="H2765" s="2531">
        <v>23</v>
      </c>
      <c r="I2765" s="376">
        <f t="shared" ref="I2765" si="310">(H2765/G2765)*100</f>
        <v>100</v>
      </c>
    </row>
    <row r="2766" spans="1:20" ht="14.25" x14ac:dyDescent="0.2">
      <c r="A2766" s="431"/>
      <c r="B2766" s="673"/>
      <c r="C2766" s="1392"/>
      <c r="D2766" s="552" t="s">
        <v>1124</v>
      </c>
      <c r="E2766" s="455" t="s">
        <v>792</v>
      </c>
      <c r="F2766" s="827"/>
      <c r="G2766" s="827">
        <v>6503</v>
      </c>
      <c r="H2766" s="827">
        <v>6503</v>
      </c>
      <c r="I2766" s="823">
        <f t="shared" si="309"/>
        <v>100</v>
      </c>
    </row>
    <row r="2767" spans="1:20" ht="15" x14ac:dyDescent="0.25">
      <c r="A2767" s="431">
        <v>1404</v>
      </c>
      <c r="B2767" s="673">
        <v>4324</v>
      </c>
      <c r="C2767" s="1392">
        <v>5336</v>
      </c>
      <c r="D2767" s="552"/>
      <c r="E2767" s="672" t="s">
        <v>2054</v>
      </c>
      <c r="F2767" s="827"/>
      <c r="G2767" s="851">
        <v>123</v>
      </c>
      <c r="H2767" s="851">
        <v>123</v>
      </c>
      <c r="I2767" s="853">
        <f t="shared" si="309"/>
        <v>100</v>
      </c>
    </row>
    <row r="2768" spans="1:20" ht="14.25" x14ac:dyDescent="0.2">
      <c r="A2768" s="431"/>
      <c r="B2768" s="673"/>
      <c r="C2768" s="1392"/>
      <c r="D2768" s="552" t="s">
        <v>576</v>
      </c>
      <c r="E2768" s="2676" t="s">
        <v>1826</v>
      </c>
      <c r="F2768" s="827"/>
      <c r="G2768" s="827">
        <v>123</v>
      </c>
      <c r="H2768" s="827">
        <v>123</v>
      </c>
      <c r="I2768" s="823">
        <f t="shared" si="309"/>
        <v>100</v>
      </c>
    </row>
    <row r="2769" spans="1:20" ht="15" thickBot="1" x14ac:dyDescent="0.25">
      <c r="A2769" s="431"/>
      <c r="B2769" s="673"/>
      <c r="C2769" s="1392"/>
      <c r="D2769" s="552"/>
      <c r="E2769" s="2676"/>
      <c r="F2769" s="827"/>
      <c r="G2769" s="827"/>
      <c r="H2769" s="827"/>
      <c r="I2769" s="823"/>
    </row>
    <row r="2770" spans="1:20" ht="16.5" thickTop="1" thickBot="1" x14ac:dyDescent="0.3">
      <c r="A2770" s="2672" t="s">
        <v>1105</v>
      </c>
      <c r="B2770" s="2673"/>
      <c r="C2770" s="2673"/>
      <c r="D2770" s="2673"/>
      <c r="E2770" s="2673"/>
      <c r="F2770" s="824">
        <f>F2759</f>
        <v>1626</v>
      </c>
      <c r="G2770" s="824">
        <f>G2759+G2762+G2767</f>
        <v>8276</v>
      </c>
      <c r="H2770" s="824">
        <f>H2759+H2762+H2767</f>
        <v>8276</v>
      </c>
      <c r="I2770" s="825">
        <f>(H2770/G2770)*100</f>
        <v>100</v>
      </c>
      <c r="R2770" s="382">
        <f>F2770</f>
        <v>1626</v>
      </c>
      <c r="S2770" s="382">
        <f>G2770</f>
        <v>8276</v>
      </c>
      <c r="T2770" s="382">
        <f>H2770</f>
        <v>8276</v>
      </c>
    </row>
    <row r="2771" spans="1:20" ht="13.5" thickTop="1" x14ac:dyDescent="0.2"/>
    <row r="2773" spans="1:20" ht="13.5" thickBot="1" x14ac:dyDescent="0.25">
      <c r="A2773" s="432" t="s">
        <v>898</v>
      </c>
      <c r="I2773" s="1390" t="s">
        <v>161</v>
      </c>
    </row>
    <row r="2774" spans="1:20" ht="14.25" thickTop="1" thickBot="1" x14ac:dyDescent="0.25">
      <c r="A2774" s="631" t="s">
        <v>624</v>
      </c>
      <c r="B2774" s="774" t="s">
        <v>162</v>
      </c>
      <c r="C2774" s="632" t="s">
        <v>163</v>
      </c>
      <c r="D2774" s="634" t="s">
        <v>705</v>
      </c>
      <c r="E2774" s="634" t="s">
        <v>164</v>
      </c>
      <c r="F2774" s="634" t="s">
        <v>165</v>
      </c>
      <c r="G2774" s="634" t="s">
        <v>881</v>
      </c>
      <c r="H2774" s="634" t="s">
        <v>882</v>
      </c>
      <c r="I2774" s="818" t="s">
        <v>883</v>
      </c>
    </row>
    <row r="2775" spans="1:20" ht="14.25" thickTop="1" thickBot="1" x14ac:dyDescent="0.25">
      <c r="A2775" s="566">
        <v>1</v>
      </c>
      <c r="B2775" s="567">
        <v>2</v>
      </c>
      <c r="C2775" s="567">
        <v>3</v>
      </c>
      <c r="D2775" s="567">
        <v>4</v>
      </c>
      <c r="E2775" s="567">
        <v>5</v>
      </c>
      <c r="F2775" s="541">
        <v>6</v>
      </c>
      <c r="G2775" s="541">
        <v>7</v>
      </c>
      <c r="H2775" s="542">
        <v>8</v>
      </c>
      <c r="I2775" s="636" t="s">
        <v>762</v>
      </c>
    </row>
    <row r="2776" spans="1:20" ht="15.75" thickTop="1" x14ac:dyDescent="0.25">
      <c r="A2776" s="431">
        <v>1405</v>
      </c>
      <c r="B2776" s="673">
        <v>4322</v>
      </c>
      <c r="C2776" s="673">
        <v>5331</v>
      </c>
      <c r="D2776" s="819"/>
      <c r="E2776" s="886" t="s">
        <v>951</v>
      </c>
      <c r="F2776" s="820">
        <f>F2777+F2778</f>
        <v>1639</v>
      </c>
      <c r="G2776" s="820">
        <f>G2777+G2778</f>
        <v>1623</v>
      </c>
      <c r="H2776" s="820">
        <f>H2777+H2778</f>
        <v>1623</v>
      </c>
      <c r="I2776" s="821">
        <f t="shared" ref="I2776:I2786" si="311">(H2776/G2776)*100</f>
        <v>100</v>
      </c>
    </row>
    <row r="2777" spans="1:20" ht="14.25" x14ac:dyDescent="0.2">
      <c r="A2777" s="431"/>
      <c r="B2777" s="673"/>
      <c r="C2777" s="673"/>
      <c r="D2777" s="707" t="s">
        <v>575</v>
      </c>
      <c r="E2777" s="1478" t="s">
        <v>793</v>
      </c>
      <c r="F2777" s="827">
        <v>33</v>
      </c>
      <c r="G2777" s="827">
        <v>33</v>
      </c>
      <c r="H2777" s="827">
        <v>33</v>
      </c>
      <c r="I2777" s="823">
        <f t="shared" si="311"/>
        <v>100</v>
      </c>
    </row>
    <row r="2778" spans="1:20" ht="14.25" x14ac:dyDescent="0.2">
      <c r="A2778" s="431"/>
      <c r="B2778" s="673"/>
      <c r="C2778" s="673"/>
      <c r="D2778" s="552" t="s">
        <v>570</v>
      </c>
      <c r="E2778" s="455" t="s">
        <v>71</v>
      </c>
      <c r="F2778" s="827">
        <v>1606</v>
      </c>
      <c r="G2778" s="827">
        <v>1590</v>
      </c>
      <c r="H2778" s="827">
        <v>1590</v>
      </c>
      <c r="I2778" s="823">
        <f t="shared" si="311"/>
        <v>100</v>
      </c>
    </row>
    <row r="2779" spans="1:20" ht="15" x14ac:dyDescent="0.25">
      <c r="A2779" s="431">
        <v>1405</v>
      </c>
      <c r="B2779" s="673">
        <v>4322</v>
      </c>
      <c r="C2779" s="673">
        <v>5336</v>
      </c>
      <c r="D2779" s="1068"/>
      <c r="E2779" s="672" t="s">
        <v>2054</v>
      </c>
      <c r="F2779" s="827"/>
      <c r="G2779" s="851">
        <f>G2780+G2782+G2783</f>
        <v>6642</v>
      </c>
      <c r="H2779" s="851">
        <f>H2780+H2782+H2783</f>
        <v>6642</v>
      </c>
      <c r="I2779" s="853">
        <f t="shared" si="311"/>
        <v>100</v>
      </c>
    </row>
    <row r="2780" spans="1:20" ht="14.25" customHeight="1" x14ac:dyDescent="0.2">
      <c r="A2780" s="431"/>
      <c r="B2780" s="673"/>
      <c r="C2780" s="673"/>
      <c r="D2780" s="1068" t="s">
        <v>1911</v>
      </c>
      <c r="E2780" s="2671" t="s">
        <v>2051</v>
      </c>
      <c r="F2780" s="827"/>
      <c r="G2780" s="837">
        <v>8</v>
      </c>
      <c r="H2780" s="837">
        <v>8</v>
      </c>
      <c r="I2780" s="376">
        <f t="shared" si="311"/>
        <v>100</v>
      </c>
    </row>
    <row r="2781" spans="1:20" ht="15" x14ac:dyDescent="0.25">
      <c r="A2781" s="431"/>
      <c r="B2781" s="673"/>
      <c r="C2781" s="673"/>
      <c r="D2781" s="1068"/>
      <c r="E2781" s="2671"/>
      <c r="F2781" s="827"/>
      <c r="G2781" s="846"/>
      <c r="H2781" s="846"/>
      <c r="I2781" s="853"/>
    </row>
    <row r="2782" spans="1:20" ht="15" x14ac:dyDescent="0.2">
      <c r="A2782" s="431"/>
      <c r="B2782" s="673"/>
      <c r="C2782" s="673"/>
      <c r="D2782" s="1068" t="s">
        <v>1913</v>
      </c>
      <c r="E2782" s="2113" t="s">
        <v>2052</v>
      </c>
      <c r="F2782" s="2530"/>
      <c r="G2782" s="2531">
        <v>26</v>
      </c>
      <c r="H2782" s="2531">
        <v>26</v>
      </c>
      <c r="I2782" s="376">
        <f t="shared" ref="I2782" si="312">(H2782/G2782)*100</f>
        <v>100</v>
      </c>
    </row>
    <row r="2783" spans="1:20" ht="15" thickBot="1" x14ac:dyDescent="0.25">
      <c r="A2783" s="431"/>
      <c r="B2783" s="673"/>
      <c r="C2783" s="1392"/>
      <c r="D2783" s="552" t="s">
        <v>1124</v>
      </c>
      <c r="E2783" s="455" t="s">
        <v>792</v>
      </c>
      <c r="F2783" s="827"/>
      <c r="G2783" s="827">
        <v>6608</v>
      </c>
      <c r="H2783" s="827">
        <v>6608</v>
      </c>
      <c r="I2783" s="823">
        <f t="shared" si="311"/>
        <v>100</v>
      </c>
    </row>
    <row r="2784" spans="1:20" ht="16.5" thickTop="1" thickBot="1" x14ac:dyDescent="0.3">
      <c r="A2784" s="2672" t="s">
        <v>1105</v>
      </c>
      <c r="B2784" s="2673"/>
      <c r="C2784" s="2673"/>
      <c r="D2784" s="2673"/>
      <c r="E2784" s="2673"/>
      <c r="F2784" s="824">
        <f>F2776</f>
        <v>1639</v>
      </c>
      <c r="G2784" s="824">
        <f>G2776+G2779</f>
        <v>8265</v>
      </c>
      <c r="H2784" s="824">
        <f>H2776+H2779</f>
        <v>8265</v>
      </c>
      <c r="I2784" s="825">
        <f t="shared" si="311"/>
        <v>100</v>
      </c>
      <c r="R2784" s="382">
        <f>F2784</f>
        <v>1639</v>
      </c>
      <c r="S2784" s="382">
        <f>G2784</f>
        <v>8265</v>
      </c>
      <c r="T2784" s="382">
        <f>H2784</f>
        <v>8265</v>
      </c>
    </row>
    <row r="2785" spans="1:23" ht="15.75" thickTop="1" x14ac:dyDescent="0.25">
      <c r="A2785" s="434">
        <v>1405</v>
      </c>
      <c r="B2785" s="673">
        <v>4322</v>
      </c>
      <c r="C2785" s="750">
        <v>6351</v>
      </c>
      <c r="D2785" s="859"/>
      <c r="E2785" s="672" t="s">
        <v>1172</v>
      </c>
      <c r="F2785" s="835"/>
      <c r="G2785" s="835">
        <v>700</v>
      </c>
      <c r="H2785" s="835">
        <v>700</v>
      </c>
      <c r="I2785" s="836">
        <f t="shared" si="311"/>
        <v>100</v>
      </c>
      <c r="R2785" s="382"/>
      <c r="S2785" s="382"/>
      <c r="T2785" s="382"/>
    </row>
    <row r="2786" spans="1:23" ht="15" thickBot="1" x14ac:dyDescent="0.25">
      <c r="A2786" s="1500"/>
      <c r="B2786" s="674"/>
      <c r="C2786" s="1395"/>
      <c r="D2786" s="1403" t="s">
        <v>22</v>
      </c>
      <c r="E2786" s="1161" t="s">
        <v>1203</v>
      </c>
      <c r="F2786" s="1311"/>
      <c r="G2786" s="451">
        <v>700</v>
      </c>
      <c r="H2786" s="451">
        <v>700</v>
      </c>
      <c r="I2786" s="1074">
        <f t="shared" si="311"/>
        <v>100</v>
      </c>
      <c r="R2786" s="382"/>
      <c r="S2786" s="382"/>
      <c r="T2786" s="382"/>
    </row>
    <row r="2787" spans="1:23" ht="16.5" thickTop="1" thickBot="1" x14ac:dyDescent="0.3">
      <c r="A2787" s="2679" t="s">
        <v>1106</v>
      </c>
      <c r="B2787" s="2680"/>
      <c r="C2787" s="2680"/>
      <c r="D2787" s="2680"/>
      <c r="E2787" s="2681"/>
      <c r="F2787" s="824">
        <v>0</v>
      </c>
      <c r="G2787" s="824">
        <f>G2785</f>
        <v>700</v>
      </c>
      <c r="H2787" s="824">
        <f>SUM(H2785)</f>
        <v>700</v>
      </c>
      <c r="I2787" s="825">
        <f>(H2787/G2787)*100</f>
        <v>100</v>
      </c>
      <c r="U2787" s="382">
        <f>F2787</f>
        <v>0</v>
      </c>
      <c r="V2787" s="382">
        <f>G2787</f>
        <v>700</v>
      </c>
      <c r="W2787" s="382">
        <f>H2787</f>
        <v>700</v>
      </c>
    </row>
    <row r="2788" spans="1:23" ht="15.75" thickTop="1" x14ac:dyDescent="0.25">
      <c r="A2788" s="368"/>
      <c r="B2788" s="368"/>
      <c r="C2788" s="368"/>
      <c r="D2788" s="368"/>
      <c r="E2788" s="368"/>
      <c r="F2788" s="181"/>
      <c r="G2788" s="181"/>
      <c r="H2788" s="181"/>
      <c r="I2788" s="210"/>
      <c r="R2788" s="382"/>
      <c r="S2788" s="382"/>
      <c r="T2788" s="382"/>
    </row>
    <row r="2789" spans="1:23" ht="13.5" thickBot="1" x14ac:dyDescent="0.25">
      <c r="A2789" s="432" t="s">
        <v>899</v>
      </c>
      <c r="I2789" s="1390" t="s">
        <v>161</v>
      </c>
      <c r="S2789" s="382"/>
    </row>
    <row r="2790" spans="1:23" ht="14.25" thickTop="1" thickBot="1" x14ac:dyDescent="0.25">
      <c r="A2790" s="631" t="s">
        <v>624</v>
      </c>
      <c r="B2790" s="774" t="s">
        <v>162</v>
      </c>
      <c r="C2790" s="632" t="s">
        <v>163</v>
      </c>
      <c r="D2790" s="634" t="s">
        <v>705</v>
      </c>
      <c r="E2790" s="634" t="s">
        <v>164</v>
      </c>
      <c r="F2790" s="634" t="s">
        <v>165</v>
      </c>
      <c r="G2790" s="634" t="s">
        <v>881</v>
      </c>
      <c r="H2790" s="634" t="s">
        <v>882</v>
      </c>
      <c r="I2790" s="818" t="s">
        <v>883</v>
      </c>
    </row>
    <row r="2791" spans="1:23" ht="14.25" thickTop="1" thickBot="1" x14ac:dyDescent="0.25">
      <c r="A2791" s="566">
        <v>1</v>
      </c>
      <c r="B2791" s="567">
        <v>2</v>
      </c>
      <c r="C2791" s="567">
        <v>3</v>
      </c>
      <c r="D2791" s="567">
        <v>4</v>
      </c>
      <c r="E2791" s="567">
        <v>5</v>
      </c>
      <c r="F2791" s="541">
        <v>6</v>
      </c>
      <c r="G2791" s="541">
        <v>7</v>
      </c>
      <c r="H2791" s="542">
        <v>8</v>
      </c>
      <c r="I2791" s="636" t="s">
        <v>762</v>
      </c>
    </row>
    <row r="2792" spans="1:23" ht="15.75" thickTop="1" x14ac:dyDescent="0.25">
      <c r="A2792" s="431">
        <v>1407</v>
      </c>
      <c r="B2792" s="673">
        <v>4322</v>
      </c>
      <c r="C2792" s="673">
        <v>5331</v>
      </c>
      <c r="D2792" s="819"/>
      <c r="E2792" s="886" t="s">
        <v>951</v>
      </c>
      <c r="F2792" s="820">
        <f>F2793+F2794</f>
        <v>1577</v>
      </c>
      <c r="G2792" s="820">
        <f>G2793+G2794</f>
        <v>1563</v>
      </c>
      <c r="H2792" s="820">
        <f>H2793+H2794</f>
        <v>1563</v>
      </c>
      <c r="I2792" s="821">
        <f t="shared" ref="I2792:I2800" si="313">(H2792/G2792)*100</f>
        <v>100</v>
      </c>
    </row>
    <row r="2793" spans="1:23" ht="14.25" x14ac:dyDescent="0.2">
      <c r="A2793" s="431"/>
      <c r="B2793" s="673"/>
      <c r="C2793" s="673"/>
      <c r="D2793" s="707" t="s">
        <v>575</v>
      </c>
      <c r="E2793" s="1478" t="s">
        <v>793</v>
      </c>
      <c r="F2793" s="827">
        <v>153</v>
      </c>
      <c r="G2793" s="827">
        <v>153</v>
      </c>
      <c r="H2793" s="827">
        <v>153</v>
      </c>
      <c r="I2793" s="823">
        <f t="shared" si="313"/>
        <v>100</v>
      </c>
    </row>
    <row r="2794" spans="1:23" ht="14.25" x14ac:dyDescent="0.2">
      <c r="A2794" s="431"/>
      <c r="B2794" s="673"/>
      <c r="C2794" s="673"/>
      <c r="D2794" s="552" t="s">
        <v>570</v>
      </c>
      <c r="E2794" s="455" t="s">
        <v>71</v>
      </c>
      <c r="F2794" s="827">
        <v>1424</v>
      </c>
      <c r="G2794" s="827">
        <v>1410</v>
      </c>
      <c r="H2794" s="827">
        <v>1410</v>
      </c>
      <c r="I2794" s="823">
        <f t="shared" si="313"/>
        <v>100</v>
      </c>
    </row>
    <row r="2795" spans="1:23" ht="15" x14ac:dyDescent="0.25">
      <c r="A2795" s="431">
        <v>1407</v>
      </c>
      <c r="B2795" s="673">
        <v>4322</v>
      </c>
      <c r="C2795" s="673">
        <v>5336</v>
      </c>
      <c r="D2795" s="1068"/>
      <c r="E2795" s="672" t="s">
        <v>2054</v>
      </c>
      <c r="F2795" s="827"/>
      <c r="G2795" s="851">
        <f>G2796+G2798+G2799</f>
        <v>6628</v>
      </c>
      <c r="H2795" s="851">
        <f>H2796+H2798+H2799</f>
        <v>6628</v>
      </c>
      <c r="I2795" s="853">
        <f t="shared" si="313"/>
        <v>100</v>
      </c>
    </row>
    <row r="2796" spans="1:23" ht="14.25" x14ac:dyDescent="0.2">
      <c r="A2796" s="431"/>
      <c r="B2796" s="673"/>
      <c r="C2796" s="673"/>
      <c r="D2796" s="1068" t="s">
        <v>1911</v>
      </c>
      <c r="E2796" s="2671" t="s">
        <v>2051</v>
      </c>
      <c r="F2796" s="827"/>
      <c r="G2796" s="837">
        <v>7</v>
      </c>
      <c r="H2796" s="837">
        <v>7</v>
      </c>
      <c r="I2796" s="376">
        <f t="shared" si="313"/>
        <v>100</v>
      </c>
    </row>
    <row r="2797" spans="1:23" ht="15" x14ac:dyDescent="0.25">
      <c r="A2797" s="431"/>
      <c r="B2797" s="673"/>
      <c r="C2797" s="673"/>
      <c r="D2797" s="1068"/>
      <c r="E2797" s="2671"/>
      <c r="F2797" s="827"/>
      <c r="G2797" s="846"/>
      <c r="H2797" s="846"/>
      <c r="I2797" s="853"/>
    </row>
    <row r="2798" spans="1:23" ht="15" x14ac:dyDescent="0.2">
      <c r="A2798" s="431"/>
      <c r="B2798" s="673"/>
      <c r="C2798" s="673"/>
      <c r="D2798" s="1068" t="s">
        <v>1913</v>
      </c>
      <c r="E2798" s="2113" t="s">
        <v>2052</v>
      </c>
      <c r="F2798" s="2530"/>
      <c r="G2798" s="2531">
        <v>25</v>
      </c>
      <c r="H2798" s="2531">
        <v>25</v>
      </c>
      <c r="I2798" s="376">
        <f t="shared" ref="I2798" si="314">(H2798/G2798)*100</f>
        <v>100</v>
      </c>
    </row>
    <row r="2799" spans="1:23" ht="15" thickBot="1" x14ac:dyDescent="0.25">
      <c r="A2799" s="431"/>
      <c r="B2799" s="673"/>
      <c r="C2799" s="673"/>
      <c r="D2799" s="552" t="s">
        <v>1124</v>
      </c>
      <c r="E2799" s="455" t="s">
        <v>792</v>
      </c>
      <c r="F2799" s="827"/>
      <c r="G2799" s="827">
        <v>6596</v>
      </c>
      <c r="H2799" s="827">
        <v>6596</v>
      </c>
      <c r="I2799" s="823">
        <f t="shared" si="313"/>
        <v>100</v>
      </c>
    </row>
    <row r="2800" spans="1:23" ht="16.5" thickTop="1" thickBot="1" x14ac:dyDescent="0.3">
      <c r="A2800" s="2672" t="s">
        <v>1105</v>
      </c>
      <c r="B2800" s="2673"/>
      <c r="C2800" s="2673"/>
      <c r="D2800" s="2673"/>
      <c r="E2800" s="2673"/>
      <c r="F2800" s="824">
        <f>SUM(F2792)</f>
        <v>1577</v>
      </c>
      <c r="G2800" s="824">
        <f>G2792+G2795</f>
        <v>8191</v>
      </c>
      <c r="H2800" s="824">
        <f>H2792+H2795</f>
        <v>8191</v>
      </c>
      <c r="I2800" s="825">
        <f t="shared" si="313"/>
        <v>100</v>
      </c>
      <c r="R2800" s="382">
        <f>F2800</f>
        <v>1577</v>
      </c>
      <c r="S2800" s="382">
        <f>G2800</f>
        <v>8191</v>
      </c>
      <c r="T2800" s="382">
        <f>H2800</f>
        <v>8191</v>
      </c>
    </row>
    <row r="2801" spans="1:20" ht="13.5" thickTop="1" x14ac:dyDescent="0.2"/>
    <row r="2802" spans="1:20" ht="13.5" thickBot="1" x14ac:dyDescent="0.25">
      <c r="A2802" s="432" t="s">
        <v>900</v>
      </c>
      <c r="I2802" s="1390" t="s">
        <v>161</v>
      </c>
    </row>
    <row r="2803" spans="1:20" ht="14.25" thickTop="1" thickBot="1" x14ac:dyDescent="0.25">
      <c r="A2803" s="631" t="s">
        <v>624</v>
      </c>
      <c r="B2803" s="774" t="s">
        <v>162</v>
      </c>
      <c r="C2803" s="632" t="s">
        <v>163</v>
      </c>
      <c r="D2803" s="634" t="s">
        <v>705</v>
      </c>
      <c r="E2803" s="634" t="s">
        <v>164</v>
      </c>
      <c r="F2803" s="634" t="s">
        <v>165</v>
      </c>
      <c r="G2803" s="634" t="s">
        <v>881</v>
      </c>
      <c r="H2803" s="634" t="s">
        <v>882</v>
      </c>
      <c r="I2803" s="818" t="s">
        <v>883</v>
      </c>
    </row>
    <row r="2804" spans="1:20" ht="14.25" thickTop="1" thickBot="1" x14ac:dyDescent="0.25">
      <c r="A2804" s="566">
        <v>1</v>
      </c>
      <c r="B2804" s="567">
        <v>2</v>
      </c>
      <c r="C2804" s="567">
        <v>3</v>
      </c>
      <c r="D2804" s="567">
        <v>4</v>
      </c>
      <c r="E2804" s="567">
        <v>5</v>
      </c>
      <c r="F2804" s="541">
        <v>6</v>
      </c>
      <c r="G2804" s="541">
        <v>7</v>
      </c>
      <c r="H2804" s="542">
        <v>8</v>
      </c>
      <c r="I2804" s="636" t="s">
        <v>762</v>
      </c>
    </row>
    <row r="2805" spans="1:20" ht="15.75" thickTop="1" x14ac:dyDescent="0.25">
      <c r="A2805" s="431">
        <v>1408</v>
      </c>
      <c r="B2805" s="673">
        <v>4322</v>
      </c>
      <c r="C2805" s="673">
        <v>5331</v>
      </c>
      <c r="D2805" s="819"/>
      <c r="E2805" s="792" t="s">
        <v>951</v>
      </c>
      <c r="F2805" s="820">
        <v>1760</v>
      </c>
      <c r="G2805" s="820">
        <v>1742</v>
      </c>
      <c r="H2805" s="820">
        <v>1742</v>
      </c>
      <c r="I2805" s="821">
        <v>100</v>
      </c>
    </row>
    <row r="2806" spans="1:20" ht="14.25" x14ac:dyDescent="0.2">
      <c r="A2806" s="431"/>
      <c r="B2806" s="673"/>
      <c r="C2806" s="673"/>
      <c r="D2806" s="552" t="s">
        <v>570</v>
      </c>
      <c r="E2806" s="455" t="s">
        <v>71</v>
      </c>
      <c r="F2806" s="827">
        <v>1760</v>
      </c>
      <c r="G2806" s="827">
        <v>1742</v>
      </c>
      <c r="H2806" s="827">
        <v>1742</v>
      </c>
      <c r="I2806" s="823">
        <f>(H2806/G2806)*100</f>
        <v>100</v>
      </c>
    </row>
    <row r="2807" spans="1:20" ht="15" x14ac:dyDescent="0.25">
      <c r="A2807" s="431">
        <v>1408</v>
      </c>
      <c r="B2807" s="673">
        <v>4322</v>
      </c>
      <c r="C2807" s="673">
        <v>5336</v>
      </c>
      <c r="D2807" s="1068"/>
      <c r="E2807" s="672" t="s">
        <v>2054</v>
      </c>
      <c r="F2807" s="827"/>
      <c r="G2807" s="851">
        <f>G2808+G2810+G2811</f>
        <v>8708</v>
      </c>
      <c r="H2807" s="851">
        <f>H2808+H2810+H2811</f>
        <v>8708</v>
      </c>
      <c r="I2807" s="853">
        <f>(H2807/G2807)*100</f>
        <v>100</v>
      </c>
    </row>
    <row r="2808" spans="1:20" ht="14.25" customHeight="1" x14ac:dyDescent="0.2">
      <c r="A2808" s="431"/>
      <c r="B2808" s="673"/>
      <c r="C2808" s="673"/>
      <c r="D2808" s="1068" t="s">
        <v>1911</v>
      </c>
      <c r="E2808" s="2671" t="s">
        <v>2051</v>
      </c>
      <c r="F2808" s="827"/>
      <c r="G2808" s="837">
        <v>9</v>
      </c>
      <c r="H2808" s="837">
        <v>9</v>
      </c>
      <c r="I2808" s="376">
        <f t="shared" ref="I2808" si="315">(H2808/G2808)*100</f>
        <v>100</v>
      </c>
    </row>
    <row r="2809" spans="1:20" ht="15" x14ac:dyDescent="0.25">
      <c r="A2809" s="431"/>
      <c r="B2809" s="673"/>
      <c r="C2809" s="673"/>
      <c r="D2809" s="1068"/>
      <c r="E2809" s="2671"/>
      <c r="F2809" s="827"/>
      <c r="G2809" s="846"/>
      <c r="H2809" s="846"/>
      <c r="I2809" s="853"/>
    </row>
    <row r="2810" spans="1:20" ht="15" x14ac:dyDescent="0.2">
      <c r="A2810" s="431"/>
      <c r="B2810" s="673"/>
      <c r="C2810" s="673"/>
      <c r="D2810" s="1068" t="s">
        <v>1913</v>
      </c>
      <c r="E2810" s="2113" t="s">
        <v>2052</v>
      </c>
      <c r="F2810" s="2530"/>
      <c r="G2810" s="2531">
        <v>29</v>
      </c>
      <c r="H2810" s="2531">
        <v>29</v>
      </c>
      <c r="I2810" s="376">
        <f t="shared" ref="I2810" si="316">(H2810/G2810)*100</f>
        <v>100</v>
      </c>
    </row>
    <row r="2811" spans="1:20" ht="15" thickBot="1" x14ac:dyDescent="0.25">
      <c r="A2811" s="431"/>
      <c r="B2811" s="673"/>
      <c r="C2811" s="673"/>
      <c r="D2811" s="552" t="s">
        <v>1124</v>
      </c>
      <c r="E2811" s="455" t="s">
        <v>792</v>
      </c>
      <c r="F2811" s="827"/>
      <c r="G2811" s="827">
        <v>8670</v>
      </c>
      <c r="H2811" s="827">
        <v>8670</v>
      </c>
      <c r="I2811" s="823">
        <f>(H2811/G2811)*100</f>
        <v>100</v>
      </c>
    </row>
    <row r="2812" spans="1:20" ht="16.5" thickTop="1" thickBot="1" x14ac:dyDescent="0.3">
      <c r="A2812" s="2672" t="s">
        <v>1105</v>
      </c>
      <c r="B2812" s="2673"/>
      <c r="C2812" s="2673"/>
      <c r="D2812" s="2673"/>
      <c r="E2812" s="2673"/>
      <c r="F2812" s="824">
        <f>F2805</f>
        <v>1760</v>
      </c>
      <c r="G2812" s="824">
        <f>G2805+G2807</f>
        <v>10450</v>
      </c>
      <c r="H2812" s="824">
        <f>H2805+H2807</f>
        <v>10450</v>
      </c>
      <c r="I2812" s="825">
        <f>(H2812/G2812)*100</f>
        <v>100</v>
      </c>
      <c r="R2812" s="382">
        <f>F2812</f>
        <v>1760</v>
      </c>
      <c r="S2812" s="382">
        <f>G2812</f>
        <v>10450</v>
      </c>
      <c r="T2812" s="382">
        <f>H2812</f>
        <v>10450</v>
      </c>
    </row>
    <row r="2813" spans="1:20" ht="13.5" thickTop="1" x14ac:dyDescent="0.2"/>
    <row r="2814" spans="1:20" ht="13.5" thickBot="1" x14ac:dyDescent="0.25">
      <c r="A2814" s="432" t="s">
        <v>1453</v>
      </c>
      <c r="I2814" s="1390" t="s">
        <v>161</v>
      </c>
    </row>
    <row r="2815" spans="1:20" ht="14.25" thickTop="1" thickBot="1" x14ac:dyDescent="0.25">
      <c r="A2815" s="631" t="s">
        <v>624</v>
      </c>
      <c r="B2815" s="774" t="s">
        <v>162</v>
      </c>
      <c r="C2815" s="632" t="s">
        <v>163</v>
      </c>
      <c r="D2815" s="634" t="s">
        <v>705</v>
      </c>
      <c r="E2815" s="634" t="s">
        <v>164</v>
      </c>
      <c r="F2815" s="634" t="s">
        <v>165</v>
      </c>
      <c r="G2815" s="634" t="s">
        <v>881</v>
      </c>
      <c r="H2815" s="634" t="s">
        <v>882</v>
      </c>
      <c r="I2815" s="818" t="s">
        <v>883</v>
      </c>
    </row>
    <row r="2816" spans="1:20" ht="14.25" thickTop="1" thickBot="1" x14ac:dyDescent="0.25">
      <c r="A2816" s="566">
        <v>1</v>
      </c>
      <c r="B2816" s="567">
        <v>2</v>
      </c>
      <c r="C2816" s="567">
        <v>3</v>
      </c>
      <c r="D2816" s="567">
        <v>4</v>
      </c>
      <c r="E2816" s="567">
        <v>5</v>
      </c>
      <c r="F2816" s="541">
        <v>6</v>
      </c>
      <c r="G2816" s="541">
        <v>7</v>
      </c>
      <c r="H2816" s="542">
        <v>8</v>
      </c>
      <c r="I2816" s="636" t="s">
        <v>762</v>
      </c>
    </row>
    <row r="2817" spans="1:20" ht="15.75" thickTop="1" x14ac:dyDescent="0.25">
      <c r="A2817" s="431">
        <v>1420</v>
      </c>
      <c r="B2817" s="673">
        <v>3141</v>
      </c>
      <c r="C2817" s="673">
        <v>5336</v>
      </c>
      <c r="D2817" s="819"/>
      <c r="E2817" s="672" t="s">
        <v>2054</v>
      </c>
      <c r="F2817" s="820"/>
      <c r="G2817" s="820">
        <v>1561</v>
      </c>
      <c r="H2817" s="820">
        <v>1561</v>
      </c>
      <c r="I2817" s="821">
        <f t="shared" ref="I2817:I2818" si="317">(H2817/G2817)*100</f>
        <v>100</v>
      </c>
    </row>
    <row r="2818" spans="1:20" ht="14.25" x14ac:dyDescent="0.2">
      <c r="A2818" s="431"/>
      <c r="B2818" s="673"/>
      <c r="C2818" s="673"/>
      <c r="D2818" s="552" t="s">
        <v>1124</v>
      </c>
      <c r="E2818" s="455" t="s">
        <v>792</v>
      </c>
      <c r="F2818" s="356"/>
      <c r="G2818" s="356">
        <v>1561</v>
      </c>
      <c r="H2818" s="356">
        <v>1561</v>
      </c>
      <c r="I2818" s="823">
        <f t="shared" si="317"/>
        <v>100</v>
      </c>
    </row>
    <row r="2819" spans="1:20" ht="15" x14ac:dyDescent="0.25">
      <c r="A2819" s="431">
        <v>1420</v>
      </c>
      <c r="B2819" s="673">
        <v>3142</v>
      </c>
      <c r="C2819" s="673">
        <v>5331</v>
      </c>
      <c r="D2819" s="1037"/>
      <c r="E2819" s="792" t="s">
        <v>951</v>
      </c>
      <c r="F2819" s="820">
        <f>F2820+F2821+F2822</f>
        <v>6520</v>
      </c>
      <c r="G2819" s="820">
        <f>G2820+G2821+G2822</f>
        <v>6441</v>
      </c>
      <c r="H2819" s="820">
        <f>H2820+H2821+H2822</f>
        <v>6441</v>
      </c>
      <c r="I2819" s="853">
        <f t="shared" ref="I2819:I2826" si="318">(H2819/G2819)*100</f>
        <v>100</v>
      </c>
    </row>
    <row r="2820" spans="1:20" ht="14.25" x14ac:dyDescent="0.2">
      <c r="A2820" s="431"/>
      <c r="B2820" s="673"/>
      <c r="C2820" s="673"/>
      <c r="D2820" s="707" t="s">
        <v>575</v>
      </c>
      <c r="E2820" s="1478" t="s">
        <v>793</v>
      </c>
      <c r="F2820" s="827">
        <v>4179</v>
      </c>
      <c r="G2820" s="827">
        <v>4056</v>
      </c>
      <c r="H2820" s="827">
        <v>4056</v>
      </c>
      <c r="I2820" s="823">
        <f t="shared" si="318"/>
        <v>100</v>
      </c>
    </row>
    <row r="2821" spans="1:20" ht="14.25" x14ac:dyDescent="0.2">
      <c r="A2821" s="431"/>
      <c r="B2821" s="673"/>
      <c r="C2821" s="673"/>
      <c r="D2821" s="552" t="s">
        <v>570</v>
      </c>
      <c r="E2821" s="455" t="s">
        <v>71</v>
      </c>
      <c r="F2821" s="827">
        <v>2341</v>
      </c>
      <c r="G2821" s="827">
        <v>2316</v>
      </c>
      <c r="H2821" s="827">
        <v>2316</v>
      </c>
      <c r="I2821" s="823">
        <f t="shared" si="318"/>
        <v>100</v>
      </c>
    </row>
    <row r="2822" spans="1:20" ht="14.25" x14ac:dyDescent="0.2">
      <c r="A2822" s="431"/>
      <c r="B2822" s="673"/>
      <c r="C2822" s="673"/>
      <c r="D2822" s="1059" t="s">
        <v>665</v>
      </c>
      <c r="E2822" s="1278" t="s">
        <v>1294</v>
      </c>
      <c r="F2822" s="1311"/>
      <c r="G2822" s="451">
        <v>69</v>
      </c>
      <c r="H2822" s="316">
        <v>69</v>
      </c>
      <c r="I2822" s="1074">
        <f t="shared" si="318"/>
        <v>100</v>
      </c>
    </row>
    <row r="2823" spans="1:20" ht="15" x14ac:dyDescent="0.25">
      <c r="A2823" s="431">
        <v>1420</v>
      </c>
      <c r="B2823" s="673">
        <v>3142</v>
      </c>
      <c r="C2823" s="673">
        <v>5336</v>
      </c>
      <c r="D2823" s="552"/>
      <c r="E2823" s="672" t="s">
        <v>2054</v>
      </c>
      <c r="F2823" s="827"/>
      <c r="G2823" s="851">
        <f>G2824+G2825</f>
        <v>3257</v>
      </c>
      <c r="H2823" s="851">
        <f>H2824+H2825</f>
        <v>3257</v>
      </c>
      <c r="I2823" s="853">
        <f t="shared" si="318"/>
        <v>100</v>
      </c>
    </row>
    <row r="2824" spans="1:20" ht="15" x14ac:dyDescent="0.2">
      <c r="A2824" s="431"/>
      <c r="B2824" s="673"/>
      <c r="C2824" s="673"/>
      <c r="D2824" s="1068" t="s">
        <v>1913</v>
      </c>
      <c r="E2824" s="2113" t="s">
        <v>2052</v>
      </c>
      <c r="F2824" s="2530"/>
      <c r="G2824" s="2531">
        <v>31</v>
      </c>
      <c r="H2824" s="2531">
        <v>31</v>
      </c>
      <c r="I2824" s="376">
        <f t="shared" si="318"/>
        <v>100</v>
      </c>
    </row>
    <row r="2825" spans="1:20" ht="15" thickBot="1" x14ac:dyDescent="0.25">
      <c r="A2825" s="431"/>
      <c r="B2825" s="673"/>
      <c r="C2825" s="673"/>
      <c r="D2825" s="552" t="s">
        <v>1124</v>
      </c>
      <c r="E2825" s="455" t="s">
        <v>792</v>
      </c>
      <c r="F2825" s="827"/>
      <c r="G2825" s="827">
        <v>3226</v>
      </c>
      <c r="H2825" s="827">
        <v>3226</v>
      </c>
      <c r="I2825" s="823">
        <f t="shared" si="318"/>
        <v>100</v>
      </c>
    </row>
    <row r="2826" spans="1:20" ht="16.5" thickTop="1" thickBot="1" x14ac:dyDescent="0.3">
      <c r="A2826" s="2672" t="s">
        <v>1105</v>
      </c>
      <c r="B2826" s="2673"/>
      <c r="C2826" s="2673"/>
      <c r="D2826" s="2673"/>
      <c r="E2826" s="2673"/>
      <c r="F2826" s="824">
        <f>F2819</f>
        <v>6520</v>
      </c>
      <c r="G2826" s="824">
        <f>G2819+G2823+G2817</f>
        <v>11259</v>
      </c>
      <c r="H2826" s="824">
        <f>H2819+H2823+H2817</f>
        <v>11259</v>
      </c>
      <c r="I2826" s="825">
        <f t="shared" si="318"/>
        <v>100</v>
      </c>
      <c r="R2826" s="382">
        <f>F2826</f>
        <v>6520</v>
      </c>
      <c r="S2826" s="382">
        <f>G2826</f>
        <v>11259</v>
      </c>
      <c r="T2826" s="382">
        <f>H2826</f>
        <v>11259</v>
      </c>
    </row>
    <row r="2827" spans="1:20" ht="13.5" thickTop="1" x14ac:dyDescent="0.2"/>
    <row r="2828" spans="1:20" ht="13.5" thickBot="1" x14ac:dyDescent="0.25">
      <c r="A2828" s="432" t="s">
        <v>1119</v>
      </c>
      <c r="I2828" s="1390" t="s">
        <v>161</v>
      </c>
    </row>
    <row r="2829" spans="1:20" ht="14.25" thickTop="1" thickBot="1" x14ac:dyDescent="0.25">
      <c r="A2829" s="631" t="s">
        <v>624</v>
      </c>
      <c r="B2829" s="774" t="s">
        <v>162</v>
      </c>
      <c r="C2829" s="632" t="s">
        <v>163</v>
      </c>
      <c r="D2829" s="634" t="s">
        <v>705</v>
      </c>
      <c r="E2829" s="634" t="s">
        <v>164</v>
      </c>
      <c r="F2829" s="634" t="s">
        <v>165</v>
      </c>
      <c r="G2829" s="634" t="s">
        <v>881</v>
      </c>
      <c r="H2829" s="634" t="s">
        <v>882</v>
      </c>
      <c r="I2829" s="818" t="s">
        <v>883</v>
      </c>
    </row>
    <row r="2830" spans="1:20" ht="14.25" thickTop="1" thickBot="1" x14ac:dyDescent="0.25">
      <c r="A2830" s="566">
        <v>1</v>
      </c>
      <c r="B2830" s="567">
        <v>2</v>
      </c>
      <c r="C2830" s="567">
        <v>3</v>
      </c>
      <c r="D2830" s="567">
        <v>4</v>
      </c>
      <c r="E2830" s="567">
        <v>5</v>
      </c>
      <c r="F2830" s="541">
        <v>6</v>
      </c>
      <c r="G2830" s="541">
        <v>7</v>
      </c>
      <c r="H2830" s="542">
        <v>8</v>
      </c>
      <c r="I2830" s="636" t="s">
        <v>762</v>
      </c>
    </row>
    <row r="2831" spans="1:20" ht="15.75" thickTop="1" x14ac:dyDescent="0.25">
      <c r="A2831" s="1402">
        <v>1450</v>
      </c>
      <c r="B2831" s="847">
        <v>3146</v>
      </c>
      <c r="C2831" s="847">
        <v>5331</v>
      </c>
      <c r="D2831" s="852"/>
      <c r="E2831" s="886" t="s">
        <v>951</v>
      </c>
      <c r="F2831" s="845">
        <f>F2832+F2833</f>
        <v>2693</v>
      </c>
      <c r="G2831" s="845">
        <f>G2832+G2833</f>
        <v>2998</v>
      </c>
      <c r="H2831" s="845">
        <f>H2832+H2833</f>
        <v>2998</v>
      </c>
      <c r="I2831" s="849">
        <f t="shared" ref="I2831:I2842" si="319">(H2831/G2831)*100</f>
        <v>100</v>
      </c>
    </row>
    <row r="2832" spans="1:20" ht="14.25" x14ac:dyDescent="0.2">
      <c r="A2832" s="431"/>
      <c r="B2832" s="673"/>
      <c r="C2832" s="673"/>
      <c r="D2832" s="707" t="s">
        <v>575</v>
      </c>
      <c r="E2832" s="1478" t="s">
        <v>793</v>
      </c>
      <c r="F2832" s="827">
        <v>9</v>
      </c>
      <c r="G2832" s="827">
        <v>19</v>
      </c>
      <c r="H2832" s="827">
        <v>19</v>
      </c>
      <c r="I2832" s="823">
        <f t="shared" si="319"/>
        <v>100</v>
      </c>
    </row>
    <row r="2833" spans="1:20" ht="14.25" x14ac:dyDescent="0.2">
      <c r="A2833" s="431"/>
      <c r="B2833" s="750"/>
      <c r="C2833" s="1393"/>
      <c r="D2833" s="552" t="s">
        <v>570</v>
      </c>
      <c r="E2833" s="455" t="s">
        <v>71</v>
      </c>
      <c r="F2833" s="833">
        <v>2684</v>
      </c>
      <c r="G2833" s="833">
        <v>2979</v>
      </c>
      <c r="H2833" s="833">
        <v>2979</v>
      </c>
      <c r="I2833" s="828">
        <f t="shared" si="319"/>
        <v>100</v>
      </c>
    </row>
    <row r="2834" spans="1:20" ht="15" x14ac:dyDescent="0.25">
      <c r="A2834" s="431">
        <v>1450</v>
      </c>
      <c r="B2834" s="750">
        <v>3146</v>
      </c>
      <c r="C2834" s="1393">
        <v>5336</v>
      </c>
      <c r="D2834" s="1068"/>
      <c r="E2834" s="672" t="s">
        <v>2054</v>
      </c>
      <c r="F2834" s="833"/>
      <c r="G2834" s="846">
        <f>G2835+G2837+G2838</f>
        <v>26169</v>
      </c>
      <c r="H2834" s="846">
        <f>H2835+H2837+H2838</f>
        <v>26169</v>
      </c>
      <c r="I2834" s="838">
        <f t="shared" si="319"/>
        <v>100</v>
      </c>
    </row>
    <row r="2835" spans="1:20" ht="14.25" customHeight="1" x14ac:dyDescent="0.2">
      <c r="A2835" s="431"/>
      <c r="B2835" s="750"/>
      <c r="C2835" s="1393"/>
      <c r="D2835" s="1068" t="s">
        <v>1911</v>
      </c>
      <c r="E2835" s="2671" t="s">
        <v>2051</v>
      </c>
      <c r="F2835" s="827"/>
      <c r="G2835" s="837">
        <v>29</v>
      </c>
      <c r="H2835" s="837">
        <v>29</v>
      </c>
      <c r="I2835" s="376">
        <f t="shared" si="319"/>
        <v>100</v>
      </c>
    </row>
    <row r="2836" spans="1:20" ht="15" x14ac:dyDescent="0.25">
      <c r="A2836" s="431"/>
      <c r="B2836" s="750"/>
      <c r="C2836" s="1393"/>
      <c r="D2836" s="1068"/>
      <c r="E2836" s="2671"/>
      <c r="F2836" s="827"/>
      <c r="G2836" s="846"/>
      <c r="H2836" s="846"/>
      <c r="I2836" s="853"/>
    </row>
    <row r="2837" spans="1:20" ht="15" x14ac:dyDescent="0.2">
      <c r="A2837" s="431"/>
      <c r="B2837" s="750"/>
      <c r="C2837" s="1393"/>
      <c r="D2837" s="1068" t="s">
        <v>1913</v>
      </c>
      <c r="E2837" s="2113" t="s">
        <v>2052</v>
      </c>
      <c r="F2837" s="2530"/>
      <c r="G2837" s="2531">
        <v>164</v>
      </c>
      <c r="H2837" s="2531">
        <v>164</v>
      </c>
      <c r="I2837" s="376">
        <f t="shared" ref="I2837" si="320">(H2837/G2837)*100</f>
        <v>100</v>
      </c>
    </row>
    <row r="2838" spans="1:20" ht="14.25" x14ac:dyDescent="0.2">
      <c r="A2838" s="431"/>
      <c r="B2838" s="750"/>
      <c r="C2838" s="1393"/>
      <c r="D2838" s="552" t="s">
        <v>1124</v>
      </c>
      <c r="E2838" s="455" t="s">
        <v>792</v>
      </c>
      <c r="F2838" s="833"/>
      <c r="G2838" s="833">
        <v>25976</v>
      </c>
      <c r="H2838" s="833">
        <v>25976</v>
      </c>
      <c r="I2838" s="828">
        <f t="shared" si="319"/>
        <v>100</v>
      </c>
    </row>
    <row r="2839" spans="1:20" ht="15" x14ac:dyDescent="0.25">
      <c r="A2839" s="431">
        <v>1450</v>
      </c>
      <c r="B2839" s="750">
        <v>3541</v>
      </c>
      <c r="C2839" s="1393">
        <v>5331</v>
      </c>
      <c r="D2839" s="552"/>
      <c r="E2839" s="792" t="s">
        <v>951</v>
      </c>
      <c r="F2839" s="833"/>
      <c r="G2839" s="846">
        <v>150</v>
      </c>
      <c r="H2839" s="846">
        <v>150</v>
      </c>
      <c r="I2839" s="838">
        <f t="shared" si="319"/>
        <v>100</v>
      </c>
    </row>
    <row r="2840" spans="1:20" ht="14.25" x14ac:dyDescent="0.2">
      <c r="A2840" s="431"/>
      <c r="B2840" s="750"/>
      <c r="C2840" s="1393"/>
      <c r="D2840" s="1059" t="s">
        <v>352</v>
      </c>
      <c r="E2840" s="1161" t="s">
        <v>891</v>
      </c>
      <c r="F2840" s="833"/>
      <c r="G2840" s="833">
        <v>150</v>
      </c>
      <c r="H2840" s="833">
        <v>150</v>
      </c>
      <c r="I2840" s="828">
        <f t="shared" si="319"/>
        <v>100</v>
      </c>
    </row>
    <row r="2841" spans="1:20" ht="15" x14ac:dyDescent="0.25">
      <c r="A2841" s="431">
        <v>1450</v>
      </c>
      <c r="B2841" s="673">
        <v>5399</v>
      </c>
      <c r="C2841" s="1392">
        <v>5331</v>
      </c>
      <c r="D2841" s="552"/>
      <c r="E2841" s="792" t="s">
        <v>951</v>
      </c>
      <c r="F2841" s="835"/>
      <c r="G2841" s="846">
        <v>154</v>
      </c>
      <c r="H2841" s="851">
        <v>154</v>
      </c>
      <c r="I2841" s="853">
        <f t="shared" si="319"/>
        <v>100</v>
      </c>
    </row>
    <row r="2842" spans="1:20" ht="15" thickBot="1" x14ac:dyDescent="0.25">
      <c r="A2842" s="431"/>
      <c r="B2842" s="673"/>
      <c r="C2842" s="1392"/>
      <c r="D2842" s="1306" t="s">
        <v>870</v>
      </c>
      <c r="E2842" s="1307" t="s">
        <v>217</v>
      </c>
      <c r="F2842" s="827"/>
      <c r="G2842" s="827">
        <v>154</v>
      </c>
      <c r="H2842" s="827">
        <v>154</v>
      </c>
      <c r="I2842" s="832">
        <f t="shared" si="319"/>
        <v>100</v>
      </c>
    </row>
    <row r="2843" spans="1:20" ht="16.5" thickTop="1" thickBot="1" x14ac:dyDescent="0.3">
      <c r="A2843" s="2672" t="s">
        <v>1105</v>
      </c>
      <c r="B2843" s="2673"/>
      <c r="C2843" s="2673"/>
      <c r="D2843" s="2673"/>
      <c r="E2843" s="2673"/>
      <c r="F2843" s="824">
        <f>F2831</f>
        <v>2693</v>
      </c>
      <c r="G2843" s="824">
        <f>G2831+G2834+G2839+G2841</f>
        <v>29471</v>
      </c>
      <c r="H2843" s="824">
        <f>H2831+H2834+H2839+H2841</f>
        <v>29471</v>
      </c>
      <c r="I2843" s="825">
        <f>(H2843/G2843)*100</f>
        <v>100</v>
      </c>
      <c r="R2843" s="382">
        <f>F2843</f>
        <v>2693</v>
      </c>
      <c r="S2843" s="382">
        <f>G2843</f>
        <v>29471</v>
      </c>
      <c r="T2843" s="382">
        <f>H2843</f>
        <v>29471</v>
      </c>
    </row>
    <row r="2844" spans="1:20" ht="15.75" thickTop="1" x14ac:dyDescent="0.25">
      <c r="A2844" s="368"/>
      <c r="B2844" s="368"/>
      <c r="C2844" s="368"/>
      <c r="D2844" s="368"/>
      <c r="E2844" s="368"/>
      <c r="F2844" s="181"/>
      <c r="G2844" s="181"/>
      <c r="H2844" s="181"/>
      <c r="I2844" s="210"/>
      <c r="R2844" s="382"/>
      <c r="S2844" s="382"/>
      <c r="T2844" s="382"/>
    </row>
    <row r="2845" spans="1:20" ht="13.5" thickBot="1" x14ac:dyDescent="0.25">
      <c r="A2845" s="432" t="s">
        <v>1454</v>
      </c>
      <c r="I2845" s="1390" t="s">
        <v>161</v>
      </c>
    </row>
    <row r="2846" spans="1:20" ht="14.25" thickTop="1" thickBot="1" x14ac:dyDescent="0.25">
      <c r="A2846" s="631" t="s">
        <v>624</v>
      </c>
      <c r="B2846" s="774" t="s">
        <v>162</v>
      </c>
      <c r="C2846" s="632" t="s">
        <v>163</v>
      </c>
      <c r="D2846" s="634" t="s">
        <v>705</v>
      </c>
      <c r="E2846" s="634" t="s">
        <v>164</v>
      </c>
      <c r="F2846" s="634" t="s">
        <v>165</v>
      </c>
      <c r="G2846" s="634" t="s">
        <v>881</v>
      </c>
      <c r="H2846" s="634" t="s">
        <v>882</v>
      </c>
      <c r="I2846" s="818" t="s">
        <v>883</v>
      </c>
    </row>
    <row r="2847" spans="1:20" ht="14.25" thickTop="1" thickBot="1" x14ac:dyDescent="0.25">
      <c r="A2847" s="566">
        <v>1</v>
      </c>
      <c r="B2847" s="567">
        <v>2</v>
      </c>
      <c r="C2847" s="567">
        <v>3</v>
      </c>
      <c r="D2847" s="567">
        <v>4</v>
      </c>
      <c r="E2847" s="567">
        <v>5</v>
      </c>
      <c r="F2847" s="541">
        <v>6</v>
      </c>
      <c r="G2847" s="541">
        <v>7</v>
      </c>
      <c r="H2847" s="542">
        <v>8</v>
      </c>
      <c r="I2847" s="636" t="s">
        <v>762</v>
      </c>
    </row>
    <row r="2848" spans="1:20" ht="15.75" thickTop="1" x14ac:dyDescent="0.25">
      <c r="A2848" s="1402">
        <v>1465</v>
      </c>
      <c r="B2848" s="847">
        <v>3149</v>
      </c>
      <c r="C2848" s="847">
        <v>5331</v>
      </c>
      <c r="D2848" s="852"/>
      <c r="E2848" s="886" t="s">
        <v>951</v>
      </c>
      <c r="F2848" s="845">
        <f>F2849+F2850+F2851</f>
        <v>1788</v>
      </c>
      <c r="G2848" s="845">
        <f>G2849+G2850+G2851</f>
        <v>2183</v>
      </c>
      <c r="H2848" s="845">
        <f>H2849+H2850+H2851</f>
        <v>2183</v>
      </c>
      <c r="I2848" s="849">
        <f t="shared" ref="I2848:I2851" si="321">(H2848/G2848)*100</f>
        <v>100</v>
      </c>
    </row>
    <row r="2849" spans="1:23" ht="14.25" x14ac:dyDescent="0.2">
      <c r="A2849" s="431"/>
      <c r="B2849" s="673"/>
      <c r="C2849" s="673"/>
      <c r="D2849" s="707" t="s">
        <v>575</v>
      </c>
      <c r="E2849" s="1478" t="s">
        <v>793</v>
      </c>
      <c r="F2849" s="356">
        <v>743</v>
      </c>
      <c r="G2849" s="356">
        <v>698</v>
      </c>
      <c r="H2849" s="356">
        <v>698</v>
      </c>
      <c r="I2849" s="823">
        <f t="shared" si="321"/>
        <v>100</v>
      </c>
    </row>
    <row r="2850" spans="1:23" ht="14.25" x14ac:dyDescent="0.2">
      <c r="A2850" s="431"/>
      <c r="B2850" s="673"/>
      <c r="C2850" s="673"/>
      <c r="D2850" s="552" t="s">
        <v>570</v>
      </c>
      <c r="E2850" s="455" t="s">
        <v>71</v>
      </c>
      <c r="F2850" s="827">
        <v>1045</v>
      </c>
      <c r="G2850" s="827">
        <v>1028</v>
      </c>
      <c r="H2850" s="827">
        <v>1028</v>
      </c>
      <c r="I2850" s="823">
        <f t="shared" si="321"/>
        <v>100</v>
      </c>
    </row>
    <row r="2851" spans="1:23" ht="15" thickBot="1" x14ac:dyDescent="0.25">
      <c r="A2851" s="431"/>
      <c r="B2851" s="673"/>
      <c r="C2851" s="673"/>
      <c r="D2851" s="1059" t="s">
        <v>665</v>
      </c>
      <c r="E2851" s="1278" t="s">
        <v>1294</v>
      </c>
      <c r="F2851" s="1311"/>
      <c r="G2851" s="451">
        <v>457</v>
      </c>
      <c r="H2851" s="316">
        <v>457</v>
      </c>
      <c r="I2851" s="1074">
        <f t="shared" si="321"/>
        <v>100</v>
      </c>
    </row>
    <row r="2852" spans="1:23" ht="16.5" thickTop="1" thickBot="1" x14ac:dyDescent="0.3">
      <c r="A2852" s="2672" t="s">
        <v>1105</v>
      </c>
      <c r="B2852" s="2673"/>
      <c r="C2852" s="2673"/>
      <c r="D2852" s="2673"/>
      <c r="E2852" s="2673"/>
      <c r="F2852" s="824">
        <f>F2848</f>
        <v>1788</v>
      </c>
      <c r="G2852" s="824">
        <f>G2848</f>
        <v>2183</v>
      </c>
      <c r="H2852" s="824">
        <f>H2848</f>
        <v>2183</v>
      </c>
      <c r="I2852" s="825">
        <f>(H2852/G2852)*100</f>
        <v>100</v>
      </c>
      <c r="J2852" s="382">
        <f>F2852</f>
        <v>1788</v>
      </c>
      <c r="K2852" s="382" t="e">
        <f>G2852+#REF!</f>
        <v>#REF!</v>
      </c>
      <c r="L2852" s="382" t="e">
        <f>H2852+#REF!</f>
        <v>#REF!</v>
      </c>
      <c r="R2852" s="382">
        <f>F2852</f>
        <v>1788</v>
      </c>
      <c r="S2852" s="382">
        <f>G2852</f>
        <v>2183</v>
      </c>
      <c r="T2852" s="382">
        <f>H2852</f>
        <v>2183</v>
      </c>
      <c r="U2852" s="382"/>
      <c r="V2852" s="382"/>
      <c r="W2852" s="382"/>
    </row>
    <row r="2853" spans="1:23" ht="13.5" thickTop="1" x14ac:dyDescent="0.2">
      <c r="R2853" s="911">
        <f t="shared" ref="R2853:W2853" si="322">SUM(R27:R2852)</f>
        <v>388928</v>
      </c>
      <c r="S2853" s="911">
        <f t="shared" si="322"/>
        <v>2360464</v>
      </c>
      <c r="T2853" s="911">
        <f t="shared" si="322"/>
        <v>2360463</v>
      </c>
      <c r="U2853" s="911">
        <f t="shared" si="322"/>
        <v>0</v>
      </c>
      <c r="V2853" s="911">
        <f t="shared" si="322"/>
        <v>17068</v>
      </c>
      <c r="W2853" s="911">
        <f t="shared" si="322"/>
        <v>17023</v>
      </c>
    </row>
    <row r="2854" spans="1:23" x14ac:dyDescent="0.2">
      <c r="R2854" s="911"/>
      <c r="S2854" s="911"/>
      <c r="T2854" s="911"/>
      <c r="U2854" s="911"/>
      <c r="V2854" s="911"/>
      <c r="W2854" s="911"/>
    </row>
    <row r="2855" spans="1:23" x14ac:dyDescent="0.2">
      <c r="R2855" s="911"/>
      <c r="S2855" s="911"/>
      <c r="T2855" s="911"/>
      <c r="U2855" s="911"/>
      <c r="V2855" s="911"/>
      <c r="W2855" s="911"/>
    </row>
    <row r="2856" spans="1:23" x14ac:dyDescent="0.2">
      <c r="R2856" s="911"/>
      <c r="S2856" s="911"/>
      <c r="T2856" s="911"/>
      <c r="U2856" s="911"/>
      <c r="V2856" s="911"/>
      <c r="W2856" s="911"/>
    </row>
    <row r="2857" spans="1:23" x14ac:dyDescent="0.2">
      <c r="R2857" s="911"/>
      <c r="S2857" s="911"/>
      <c r="T2857" s="911"/>
      <c r="U2857" s="911"/>
      <c r="V2857" s="911"/>
      <c r="W2857" s="911"/>
    </row>
    <row r="2858" spans="1:23" x14ac:dyDescent="0.2">
      <c r="R2858" s="911"/>
      <c r="S2858" s="911"/>
      <c r="T2858" s="911"/>
      <c r="U2858" s="911"/>
      <c r="V2858" s="911"/>
      <c r="W2858" s="911"/>
    </row>
    <row r="2859" spans="1:23" ht="13.5" thickBot="1" x14ac:dyDescent="0.25">
      <c r="A2859" s="432" t="s">
        <v>1024</v>
      </c>
      <c r="I2859" s="1390" t="s">
        <v>161</v>
      </c>
      <c r="R2859" s="911"/>
      <c r="S2859" s="911"/>
      <c r="T2859" s="911"/>
      <c r="U2859" s="911"/>
      <c r="V2859" s="911"/>
      <c r="W2859" s="911"/>
    </row>
    <row r="2860" spans="1:23" ht="14.25" thickTop="1" thickBot="1" x14ac:dyDescent="0.25">
      <c r="A2860" s="631" t="s">
        <v>624</v>
      </c>
      <c r="B2860" s="774" t="s">
        <v>162</v>
      </c>
      <c r="C2860" s="632" t="s">
        <v>163</v>
      </c>
      <c r="D2860" s="634" t="s">
        <v>705</v>
      </c>
      <c r="E2860" s="634" t="s">
        <v>164</v>
      </c>
      <c r="F2860" s="634" t="s">
        <v>165</v>
      </c>
      <c r="G2860" s="634" t="s">
        <v>881</v>
      </c>
      <c r="H2860" s="634" t="s">
        <v>882</v>
      </c>
      <c r="I2860" s="818" t="s">
        <v>883</v>
      </c>
      <c r="R2860" s="911">
        <f>R2853+U2853</f>
        <v>388928</v>
      </c>
      <c r="S2860" s="911">
        <f>S2853+V2853</f>
        <v>2377532</v>
      </c>
      <c r="T2860" s="911">
        <f>T2853+W2853</f>
        <v>2377486</v>
      </c>
      <c r="U2860" s="911"/>
      <c r="V2860" s="911" t="s">
        <v>1455</v>
      </c>
      <c r="W2860" s="911"/>
    </row>
    <row r="2861" spans="1:23" ht="14.25" thickTop="1" thickBot="1" x14ac:dyDescent="0.25">
      <c r="A2861" s="566">
        <v>1</v>
      </c>
      <c r="B2861" s="567">
        <v>2</v>
      </c>
      <c r="C2861" s="567">
        <v>3</v>
      </c>
      <c r="D2861" s="567">
        <v>4</v>
      </c>
      <c r="E2861" s="567">
        <v>5</v>
      </c>
      <c r="F2861" s="541">
        <v>6</v>
      </c>
      <c r="G2861" s="541">
        <v>7</v>
      </c>
      <c r="H2861" s="542">
        <v>8</v>
      </c>
      <c r="I2861" s="636" t="s">
        <v>762</v>
      </c>
      <c r="R2861" s="911"/>
      <c r="S2861" s="911"/>
      <c r="T2861" s="911"/>
      <c r="U2861" s="911"/>
      <c r="V2861" s="911"/>
      <c r="W2861" s="911"/>
    </row>
    <row r="2862" spans="1:23" ht="15.75" thickTop="1" x14ac:dyDescent="0.25">
      <c r="A2862" s="1391"/>
      <c r="B2862" s="154">
        <v>3299</v>
      </c>
      <c r="C2862" s="85">
        <v>5331</v>
      </c>
      <c r="D2862" s="1069"/>
      <c r="E2862" s="1057" t="s">
        <v>1023</v>
      </c>
      <c r="F2862" s="71">
        <f>F2863+F2864+F2865+F2866+F2867</f>
        <v>7966</v>
      </c>
      <c r="G2862" s="94">
        <v>5</v>
      </c>
      <c r="H2862" s="820">
        <v>0</v>
      </c>
      <c r="I2862" s="821">
        <v>0</v>
      </c>
      <c r="R2862" s="911"/>
      <c r="S2862" s="911"/>
      <c r="T2862" s="911"/>
      <c r="U2862" s="911"/>
      <c r="V2862" s="911"/>
      <c r="W2862" s="911"/>
    </row>
    <row r="2863" spans="1:23" ht="15" x14ac:dyDescent="0.25">
      <c r="A2863" s="431"/>
      <c r="B2863" s="154"/>
      <c r="C2863" s="1080"/>
      <c r="D2863" s="1069" t="s">
        <v>570</v>
      </c>
      <c r="E2863" s="1753" t="s">
        <v>23</v>
      </c>
      <c r="F2863" s="1120">
        <v>466</v>
      </c>
      <c r="G2863" s="448">
        <v>0</v>
      </c>
      <c r="H2863" s="827">
        <v>0</v>
      </c>
      <c r="I2863" s="823">
        <v>0</v>
      </c>
      <c r="R2863" s="911"/>
      <c r="S2863" s="911"/>
      <c r="T2863" s="911"/>
      <c r="U2863" s="911"/>
      <c r="V2863" s="911"/>
      <c r="W2863" s="911"/>
    </row>
    <row r="2864" spans="1:23" ht="14.25" x14ac:dyDescent="0.2">
      <c r="A2864" s="431"/>
      <c r="B2864" s="154"/>
      <c r="C2864" s="1088"/>
      <c r="D2864" s="1069" t="s">
        <v>1122</v>
      </c>
      <c r="E2864" s="1294" t="s">
        <v>24</v>
      </c>
      <c r="F2864" s="1120">
        <v>150</v>
      </c>
      <c r="G2864" s="448">
        <v>0</v>
      </c>
      <c r="H2864" s="827">
        <v>0</v>
      </c>
      <c r="I2864" s="823">
        <v>0</v>
      </c>
      <c r="R2864" s="911"/>
      <c r="S2864" s="911"/>
      <c r="T2864" s="911"/>
      <c r="U2864" s="911"/>
      <c r="V2864" s="911"/>
      <c r="W2864" s="911"/>
    </row>
    <row r="2865" spans="1:23" ht="14.25" x14ac:dyDescent="0.2">
      <c r="A2865" s="431"/>
      <c r="B2865" s="154"/>
      <c r="C2865" s="1088"/>
      <c r="D2865" s="1069" t="s">
        <v>490</v>
      </c>
      <c r="E2865" s="1294" t="s">
        <v>1241</v>
      </c>
      <c r="F2865" s="1120">
        <v>50</v>
      </c>
      <c r="G2865" s="448">
        <v>5</v>
      </c>
      <c r="H2865" s="827">
        <v>0</v>
      </c>
      <c r="I2865" s="823">
        <v>0</v>
      </c>
      <c r="R2865" s="911"/>
      <c r="S2865" s="911"/>
      <c r="T2865" s="911"/>
      <c r="U2865" s="911"/>
      <c r="V2865" s="911"/>
      <c r="W2865" s="911"/>
    </row>
    <row r="2866" spans="1:23" ht="14.25" x14ac:dyDescent="0.2">
      <c r="A2866" s="431"/>
      <c r="B2866" s="154"/>
      <c r="C2866" s="1088"/>
      <c r="D2866" s="1069" t="s">
        <v>924</v>
      </c>
      <c r="E2866" s="1168" t="s">
        <v>925</v>
      </c>
      <c r="F2866" s="1120">
        <v>5600</v>
      </c>
      <c r="G2866" s="448">
        <v>0</v>
      </c>
      <c r="H2866" s="827">
        <v>0</v>
      </c>
      <c r="I2866" s="823">
        <v>0</v>
      </c>
      <c r="R2866" s="911"/>
      <c r="S2866" s="911"/>
      <c r="T2866" s="911"/>
      <c r="U2866" s="911"/>
      <c r="V2866" s="911"/>
      <c r="W2866" s="911"/>
    </row>
    <row r="2867" spans="1:23" ht="14.25" x14ac:dyDescent="0.2">
      <c r="A2867" s="431"/>
      <c r="B2867" s="154"/>
      <c r="C2867" s="19"/>
      <c r="D2867" s="1059" t="s">
        <v>1917</v>
      </c>
      <c r="E2867" s="2556" t="s">
        <v>1918</v>
      </c>
      <c r="F2867" s="1311">
        <v>1700</v>
      </c>
      <c r="G2867" s="451">
        <v>0</v>
      </c>
      <c r="H2867" s="316">
        <v>0</v>
      </c>
      <c r="I2867" s="1074">
        <v>0</v>
      </c>
      <c r="R2867" s="911"/>
      <c r="S2867" s="911"/>
      <c r="T2867" s="911"/>
      <c r="U2867" s="911"/>
      <c r="V2867" s="911"/>
      <c r="W2867" s="911"/>
    </row>
    <row r="2868" spans="1:23" ht="15" x14ac:dyDescent="0.25">
      <c r="A2868" s="431"/>
      <c r="B2868" s="19">
        <v>3792</v>
      </c>
      <c r="C2868" s="19">
        <v>5331</v>
      </c>
      <c r="D2868" s="1069"/>
      <c r="E2868" s="1057" t="s">
        <v>1023</v>
      </c>
      <c r="F2868" s="71">
        <v>340</v>
      </c>
      <c r="G2868" s="313">
        <v>3</v>
      </c>
      <c r="H2868" s="851">
        <v>0</v>
      </c>
      <c r="I2868" s="853">
        <v>0</v>
      </c>
      <c r="R2868" s="911"/>
      <c r="S2868" s="911"/>
      <c r="T2868" s="911"/>
      <c r="U2868" s="911"/>
      <c r="V2868" s="911"/>
      <c r="W2868" s="911"/>
    </row>
    <row r="2869" spans="1:23" ht="15" thickBot="1" x14ac:dyDescent="0.25">
      <c r="A2869" s="1394"/>
      <c r="B2869" s="1082"/>
      <c r="C2869" s="1088"/>
      <c r="D2869" s="552" t="s">
        <v>1319</v>
      </c>
      <c r="E2869" s="457" t="s">
        <v>1116</v>
      </c>
      <c r="F2869" s="1120">
        <v>340</v>
      </c>
      <c r="G2869" s="448">
        <v>3</v>
      </c>
      <c r="H2869" s="827">
        <v>0</v>
      </c>
      <c r="I2869" s="823">
        <v>0</v>
      </c>
      <c r="R2869" s="911"/>
      <c r="S2869" s="911"/>
      <c r="T2869" s="911"/>
      <c r="U2869" s="911"/>
      <c r="V2869" s="911"/>
      <c r="W2869" s="911"/>
    </row>
    <row r="2870" spans="1:23" ht="16.5" thickTop="1" thickBot="1" x14ac:dyDescent="0.3">
      <c r="A2870" s="2549" t="s">
        <v>1105</v>
      </c>
      <c r="B2870" s="1411"/>
      <c r="C2870" s="1411"/>
      <c r="D2870" s="1411"/>
      <c r="E2870" s="1412"/>
      <c r="F2870" s="824">
        <f>F2862+F2868</f>
        <v>8306</v>
      </c>
      <c r="G2870" s="824">
        <f>G2862+G2868</f>
        <v>8</v>
      </c>
      <c r="H2870" s="824">
        <f>H2862</f>
        <v>0</v>
      </c>
      <c r="I2870" s="825">
        <v>0</v>
      </c>
      <c r="R2870" s="911">
        <f>F2870</f>
        <v>8306</v>
      </c>
      <c r="S2870" s="911">
        <f>G2870</f>
        <v>8</v>
      </c>
      <c r="T2870" s="911">
        <f>H2870</f>
        <v>0</v>
      </c>
      <c r="U2870" s="911"/>
      <c r="V2870" s="911" t="s">
        <v>1215</v>
      </c>
      <c r="W2870" s="911"/>
    </row>
    <row r="2871" spans="1:23" ht="13.5" thickTop="1" x14ac:dyDescent="0.2">
      <c r="A2871" s="1044"/>
      <c r="B2871" s="1044"/>
      <c r="C2871" s="1044"/>
      <c r="D2871" s="1044"/>
      <c r="E2871" s="1044"/>
      <c r="F2871" s="1324"/>
      <c r="G2871" s="1324"/>
      <c r="H2871" s="1324"/>
      <c r="I2871" s="1324"/>
      <c r="R2871" s="911">
        <f>R2860+R2870</f>
        <v>397234</v>
      </c>
      <c r="S2871" s="911">
        <f>S2860+S2870</f>
        <v>2377540</v>
      </c>
      <c r="T2871" s="911">
        <f>T2860+T2870</f>
        <v>2377486</v>
      </c>
      <c r="V2871" s="432" t="s">
        <v>1456</v>
      </c>
    </row>
    <row r="2872" spans="1:23" ht="15" x14ac:dyDescent="0.25">
      <c r="A2872" s="1397"/>
      <c r="B2872" s="1088"/>
      <c r="C2872" s="85"/>
      <c r="D2872" s="1059"/>
      <c r="E2872" s="1057"/>
      <c r="F2872" s="94"/>
      <c r="G2872" s="94"/>
      <c r="H2872" s="181"/>
      <c r="I2872" s="210"/>
    </row>
    <row r="2873" spans="1:23" ht="14.25" x14ac:dyDescent="0.2">
      <c r="A2873" s="1397"/>
      <c r="B2873" s="1088"/>
      <c r="C2873" s="85"/>
      <c r="D2873" s="1059"/>
      <c r="E2873" s="85"/>
      <c r="F2873" s="1311">
        <f>F2863+F2864+F2865+F2866</f>
        <v>6266</v>
      </c>
      <c r="G2873" s="448"/>
      <c r="H2873" s="841"/>
      <c r="I2873" s="893"/>
      <c r="R2873" s="382"/>
      <c r="S2873" s="382"/>
      <c r="T2873" s="382"/>
    </row>
    <row r="2874" spans="1:23" ht="14.25" x14ac:dyDescent="0.2">
      <c r="A2874" s="1397"/>
      <c r="B2874" s="1088"/>
      <c r="C2874" s="85"/>
      <c r="D2874" s="1059"/>
      <c r="E2874" s="1064"/>
      <c r="F2874" s="1311"/>
      <c r="G2874" s="448"/>
      <c r="H2874" s="841"/>
      <c r="I2874" s="893"/>
      <c r="R2874" s="1397"/>
      <c r="S2874" s="1397"/>
      <c r="T2874" s="1397"/>
    </row>
    <row r="2875" spans="1:23" ht="15" x14ac:dyDescent="0.25">
      <c r="A2875" s="1397"/>
      <c r="B2875" s="1088"/>
      <c r="C2875" s="1080"/>
      <c r="D2875" s="1059"/>
      <c r="E2875" s="85"/>
      <c r="F2875" s="1311"/>
      <c r="G2875" s="448"/>
      <c r="H2875" s="841"/>
      <c r="I2875" s="893"/>
    </row>
    <row r="2876" spans="1:23" ht="15" x14ac:dyDescent="0.25">
      <c r="A2876" s="1397"/>
      <c r="B2876" s="1088"/>
      <c r="C2876" s="1080"/>
      <c r="D2876" s="1059"/>
      <c r="E2876" s="85"/>
      <c r="F2876" s="1311"/>
      <c r="G2876" s="448"/>
      <c r="H2876" s="841"/>
      <c r="I2876" s="893"/>
      <c r="R2876" s="382"/>
      <c r="S2876" s="382"/>
      <c r="T2876" s="382"/>
    </row>
    <row r="2877" spans="1:23" ht="14.25" x14ac:dyDescent="0.2">
      <c r="A2877" s="1397"/>
      <c r="B2877" s="1088"/>
      <c r="C2877" s="1088"/>
      <c r="D2877" s="1059"/>
      <c r="E2877" s="1063"/>
      <c r="F2877" s="1311"/>
      <c r="G2877" s="448"/>
      <c r="H2877" s="841"/>
      <c r="I2877" s="893"/>
    </row>
    <row r="2878" spans="1:23" ht="14.25" x14ac:dyDescent="0.2">
      <c r="A2878" s="1397"/>
      <c r="B2878" s="1088"/>
      <c r="C2878" s="1088"/>
      <c r="D2878" s="1059"/>
      <c r="E2878" s="1063"/>
      <c r="F2878" s="1311"/>
      <c r="G2878" s="448"/>
      <c r="H2878" s="841"/>
      <c r="I2878" s="893"/>
    </row>
    <row r="2879" spans="1:23" ht="14.25" x14ac:dyDescent="0.2">
      <c r="A2879" s="1397"/>
      <c r="B2879" s="1088"/>
      <c r="C2879" s="1088"/>
      <c r="D2879" s="1059"/>
      <c r="E2879" s="1063"/>
      <c r="F2879" s="1311"/>
      <c r="G2879" s="448"/>
      <c r="H2879" s="841"/>
      <c r="I2879" s="893"/>
    </row>
    <row r="2880" spans="1:23" ht="14.25" x14ac:dyDescent="0.2">
      <c r="A2880" s="1397"/>
      <c r="B2880" s="1088"/>
      <c r="C2880" s="1088"/>
      <c r="D2880" s="1325"/>
      <c r="E2880" s="1197"/>
      <c r="F2880" s="1311"/>
      <c r="G2880" s="448"/>
      <c r="H2880" s="841"/>
      <c r="I2880" s="893"/>
    </row>
    <row r="2881" spans="1:20" ht="14.25" x14ac:dyDescent="0.2">
      <c r="A2881" s="1397"/>
      <c r="B2881" s="1088"/>
      <c r="C2881" s="1088"/>
      <c r="D2881" s="1325"/>
      <c r="E2881" s="1273"/>
      <c r="F2881" s="1311"/>
      <c r="G2881" s="448"/>
      <c r="H2881" s="841"/>
      <c r="I2881" s="893"/>
    </row>
    <row r="2882" spans="1:20" ht="15" x14ac:dyDescent="0.25">
      <c r="A2882" s="368"/>
      <c r="B2882" s="1413"/>
      <c r="C2882" s="1413"/>
      <c r="D2882" s="1413"/>
      <c r="E2882" s="1413"/>
      <c r="F2882" s="181"/>
      <c r="G2882" s="181"/>
      <c r="H2882" s="181"/>
      <c r="I2882" s="210"/>
      <c r="R2882" s="382"/>
      <c r="S2882" s="382"/>
      <c r="T2882" s="382"/>
    </row>
    <row r="2893" spans="1:20" x14ac:dyDescent="0.2">
      <c r="B2893" s="381"/>
      <c r="D2893" s="381"/>
      <c r="F2893" s="381"/>
      <c r="G2893" s="381"/>
      <c r="H2893" s="381"/>
      <c r="I2893" s="381"/>
      <c r="R2893" s="911"/>
      <c r="S2893" s="911"/>
      <c r="T2893" s="911"/>
    </row>
  </sheetData>
  <mergeCells count="285">
    <mergeCell ref="A2787:E2787"/>
    <mergeCell ref="E2796:E2797"/>
    <mergeCell ref="E2808:E2809"/>
    <mergeCell ref="E2576:E2577"/>
    <mergeCell ref="E2591:E2592"/>
    <mergeCell ref="E2605:E2606"/>
    <mergeCell ref="E2622:E2623"/>
    <mergeCell ref="A2634:E2634"/>
    <mergeCell ref="E2645:E2646"/>
    <mergeCell ref="E2660:E2661"/>
    <mergeCell ref="E2676:E2677"/>
    <mergeCell ref="E2691:E2692"/>
    <mergeCell ref="A2580:E2580"/>
    <mergeCell ref="A2595:E2595"/>
    <mergeCell ref="A2611:E2611"/>
    <mergeCell ref="E2145:E2146"/>
    <mergeCell ref="E2167:E2168"/>
    <mergeCell ref="E2195:E2196"/>
    <mergeCell ref="A2216:E2216"/>
    <mergeCell ref="E2249:E2250"/>
    <mergeCell ref="D2263:D2265"/>
    <mergeCell ref="E2263:E2265"/>
    <mergeCell ref="E2266:E2267"/>
    <mergeCell ref="E2305:E2306"/>
    <mergeCell ref="E1871:E1872"/>
    <mergeCell ref="E1896:E1897"/>
    <mergeCell ref="A1908:E1908"/>
    <mergeCell ref="A1935:E1935"/>
    <mergeCell ref="E2108:E2109"/>
    <mergeCell ref="A2092:E2092"/>
    <mergeCell ref="E1925:E1926"/>
    <mergeCell ref="D1946:D1948"/>
    <mergeCell ref="E1986:E1987"/>
    <mergeCell ref="E1983:E1985"/>
    <mergeCell ref="E2020:E2021"/>
    <mergeCell ref="E2048:E2049"/>
    <mergeCell ref="D2067:D2069"/>
    <mergeCell ref="E2067:E2069"/>
    <mergeCell ref="E2078:E2079"/>
    <mergeCell ref="A2006:E2006"/>
    <mergeCell ref="A2029:E2029"/>
    <mergeCell ref="A2059:E2059"/>
    <mergeCell ref="E1946:E1948"/>
    <mergeCell ref="E1950:E1951"/>
    <mergeCell ref="E702:E703"/>
    <mergeCell ref="E705:E706"/>
    <mergeCell ref="E730:E731"/>
    <mergeCell ref="E761:E762"/>
    <mergeCell ref="E784:E785"/>
    <mergeCell ref="E884:E885"/>
    <mergeCell ref="E901:E902"/>
    <mergeCell ref="E931:E932"/>
    <mergeCell ref="E1804:E1806"/>
    <mergeCell ref="E1251:E1252"/>
    <mergeCell ref="E1166:E1167"/>
    <mergeCell ref="E1200:E1201"/>
    <mergeCell ref="E1234:E1235"/>
    <mergeCell ref="E1268:E1269"/>
    <mergeCell ref="E1275:E1276"/>
    <mergeCell ref="E1541:E1542"/>
    <mergeCell ref="E1581:E1582"/>
    <mergeCell ref="E1603:E1604"/>
    <mergeCell ref="E1624:E1625"/>
    <mergeCell ref="E1638:E1639"/>
    <mergeCell ref="A1591:E1591"/>
    <mergeCell ref="A1610:E1610"/>
    <mergeCell ref="A1628:E1628"/>
    <mergeCell ref="A1569:E1569"/>
    <mergeCell ref="E573:E574"/>
    <mergeCell ref="E580:E581"/>
    <mergeCell ref="E608:E609"/>
    <mergeCell ref="E616:E617"/>
    <mergeCell ref="E635:E636"/>
    <mergeCell ref="E651:E652"/>
    <mergeCell ref="E655:E656"/>
    <mergeCell ref="E676:E677"/>
    <mergeCell ref="E699:E701"/>
    <mergeCell ref="E298:E299"/>
    <mergeCell ref="E314:E315"/>
    <mergeCell ref="E332:E333"/>
    <mergeCell ref="A1857:E1857"/>
    <mergeCell ref="A1882:E1882"/>
    <mergeCell ref="A1827:E1827"/>
    <mergeCell ref="A1964:E1964"/>
    <mergeCell ref="A715:E715"/>
    <mergeCell ref="A872:E872"/>
    <mergeCell ref="A890:E890"/>
    <mergeCell ref="A920:E920"/>
    <mergeCell ref="A1043:E1043"/>
    <mergeCell ref="A960:E960"/>
    <mergeCell ref="A1146:E1146"/>
    <mergeCell ref="A1222:E1222"/>
    <mergeCell ref="A990:E990"/>
    <mergeCell ref="A1008:E1008"/>
    <mergeCell ref="A1085:E1085"/>
    <mergeCell ref="A1111:E1111"/>
    <mergeCell ref="A1186:E1186"/>
    <mergeCell ref="A1240:E1240"/>
    <mergeCell ref="A1257:E1257"/>
    <mergeCell ref="A1530:E1530"/>
    <mergeCell ref="E866:E867"/>
    <mergeCell ref="A289:E289"/>
    <mergeCell ref="E154:E155"/>
    <mergeCell ref="E161:E162"/>
    <mergeCell ref="E192:E193"/>
    <mergeCell ref="E214:E215"/>
    <mergeCell ref="E221:E222"/>
    <mergeCell ref="E228:E229"/>
    <mergeCell ref="E254:E255"/>
    <mergeCell ref="E258:E259"/>
    <mergeCell ref="E285:E286"/>
    <mergeCell ref="A182:E182"/>
    <mergeCell ref="A206:E206"/>
    <mergeCell ref="A246:E246"/>
    <mergeCell ref="S736:S737"/>
    <mergeCell ref="S739:S740"/>
    <mergeCell ref="A743:E743"/>
    <mergeCell ref="A771:E771"/>
    <mergeCell ref="A788:E788"/>
    <mergeCell ref="A810:E810"/>
    <mergeCell ref="A831:E831"/>
    <mergeCell ref="A854:E854"/>
    <mergeCell ref="A747:E747"/>
    <mergeCell ref="A791:E791"/>
    <mergeCell ref="E804:E805"/>
    <mergeCell ref="E823:E824"/>
    <mergeCell ref="E844:E845"/>
    <mergeCell ref="R2275:R2277"/>
    <mergeCell ref="S2275:S2277"/>
    <mergeCell ref="A2290:E2290"/>
    <mergeCell ref="A2153:E2153"/>
    <mergeCell ref="A2180:E2180"/>
    <mergeCell ref="A2213:E2213"/>
    <mergeCell ref="A1787:E1787"/>
    <mergeCell ref="A1652:E1652"/>
    <mergeCell ref="A1667:E1667"/>
    <mergeCell ref="A1756:E1756"/>
    <mergeCell ref="A1700:E1700"/>
    <mergeCell ref="A1715:E1715"/>
    <mergeCell ref="A1731:E1731"/>
    <mergeCell ref="E1678:E1679"/>
    <mergeCell ref="E1711:E1712"/>
    <mergeCell ref="E1725:E1726"/>
    <mergeCell ref="E1743:E1744"/>
    <mergeCell ref="A2129:E2129"/>
    <mergeCell ref="E1841:E1842"/>
    <mergeCell ref="D1868:D1870"/>
    <mergeCell ref="E1771:E1772"/>
    <mergeCell ref="E1807:E1808"/>
    <mergeCell ref="E1663:E1664"/>
    <mergeCell ref="E1868:E1870"/>
    <mergeCell ref="A2483:E2483"/>
    <mergeCell ref="A2498:E2498"/>
    <mergeCell ref="A2511:E2511"/>
    <mergeCell ref="A2525:E2525"/>
    <mergeCell ref="A2539:E2539"/>
    <mergeCell ref="A2551:E2551"/>
    <mergeCell ref="A2565:E2565"/>
    <mergeCell ref="A2425:E2425"/>
    <mergeCell ref="E2434:E2435"/>
    <mergeCell ref="E2448:E2449"/>
    <mergeCell ref="E2465:E2466"/>
    <mergeCell ref="E2477:E2478"/>
    <mergeCell ref="E2493:E2494"/>
    <mergeCell ref="E2507:E2508"/>
    <mergeCell ref="E2521:E2522"/>
    <mergeCell ref="E2535:E2536"/>
    <mergeCell ref="E2547:E2548"/>
    <mergeCell ref="E2561:E2562"/>
    <mergeCell ref="A2385:E2385"/>
    <mergeCell ref="A2320:E2320"/>
    <mergeCell ref="A2239:E2239"/>
    <mergeCell ref="A2255:E2255"/>
    <mergeCell ref="A2454:E2454"/>
    <mergeCell ref="A2469:E2469"/>
    <mergeCell ref="E2341:E2342"/>
    <mergeCell ref="E2394:E2395"/>
    <mergeCell ref="E2405:E2406"/>
    <mergeCell ref="E2420:E2421"/>
    <mergeCell ref="A2358:E2358"/>
    <mergeCell ref="A2398:E2398"/>
    <mergeCell ref="A2411:E2411"/>
    <mergeCell ref="A2438:E2438"/>
    <mergeCell ref="A2852:E2852"/>
    <mergeCell ref="A2631:E2631"/>
    <mergeCell ref="A2649:E2649"/>
    <mergeCell ref="A2664:E2664"/>
    <mergeCell ref="A2681:E2681"/>
    <mergeCell ref="A2695:E2695"/>
    <mergeCell ref="A2712:E2712"/>
    <mergeCell ref="A2726:E2726"/>
    <mergeCell ref="E2768:E2769"/>
    <mergeCell ref="A2740:E2740"/>
    <mergeCell ref="A2754:E2754"/>
    <mergeCell ref="A2770:E2770"/>
    <mergeCell ref="A2784:E2784"/>
    <mergeCell ref="A2800:E2800"/>
    <mergeCell ref="A2812:E2812"/>
    <mergeCell ref="A2826:E2826"/>
    <mergeCell ref="A2843:E2843"/>
    <mergeCell ref="E2835:E2836"/>
    <mergeCell ref="E2708:E2709"/>
    <mergeCell ref="E2722:E2723"/>
    <mergeCell ref="E2736:E2737"/>
    <mergeCell ref="E2750:E2751"/>
    <mergeCell ref="E2763:E2764"/>
    <mergeCell ref="E2780:E2781"/>
    <mergeCell ref="E18:E19"/>
    <mergeCell ref="E38:E39"/>
    <mergeCell ref="E54:E55"/>
    <mergeCell ref="E82:E83"/>
    <mergeCell ref="E110:E111"/>
    <mergeCell ref="E118:E119"/>
    <mergeCell ref="A1282:E1282"/>
    <mergeCell ref="A1321:E1321"/>
    <mergeCell ref="A1360:E1360"/>
    <mergeCell ref="A302:E302"/>
    <mergeCell ref="A318:E318"/>
    <mergeCell ref="A351:E351"/>
    <mergeCell ref="E363:E364"/>
    <mergeCell ref="A451:E451"/>
    <mergeCell ref="A501:E501"/>
    <mergeCell ref="A384:E384"/>
    <mergeCell ref="A27:E27"/>
    <mergeCell ref="A44:E44"/>
    <mergeCell ref="A62:E62"/>
    <mergeCell ref="A102:E102"/>
    <mergeCell ref="A145:E145"/>
    <mergeCell ref="E380:E381"/>
    <mergeCell ref="E394:E395"/>
    <mergeCell ref="A406:E406"/>
    <mergeCell ref="E419:E420"/>
    <mergeCell ref="E447:E448"/>
    <mergeCell ref="A367:E367"/>
    <mergeCell ref="A402:E402"/>
    <mergeCell ref="A429:E429"/>
    <mergeCell ref="E460:E461"/>
    <mergeCell ref="E487:E488"/>
    <mergeCell ref="E491:E492"/>
    <mergeCell ref="E511:E512"/>
    <mergeCell ref="E530:E531"/>
    <mergeCell ref="E533:E534"/>
    <mergeCell ref="E536:E537"/>
    <mergeCell ref="E539:E540"/>
    <mergeCell ref="E542:E543"/>
    <mergeCell ref="A521:E521"/>
    <mergeCell ref="E1131:E1132"/>
    <mergeCell ref="E972:E973"/>
    <mergeCell ref="E1004:E1005"/>
    <mergeCell ref="E1027:E1028"/>
    <mergeCell ref="E1066:E1067"/>
    <mergeCell ref="A1088:E1088"/>
    <mergeCell ref="E1100:E1101"/>
    <mergeCell ref="D1128:D1130"/>
    <mergeCell ref="E1128:E1130"/>
    <mergeCell ref="E952:E953"/>
    <mergeCell ref="E970:E971"/>
    <mergeCell ref="A557:E557"/>
    <mergeCell ref="A599:E599"/>
    <mergeCell ref="A639:E639"/>
    <mergeCell ref="A661:E661"/>
    <mergeCell ref="A682:E682"/>
    <mergeCell ref="A941:E941"/>
    <mergeCell ref="E566:E567"/>
    <mergeCell ref="D1296:D1298"/>
    <mergeCell ref="E1296:E1298"/>
    <mergeCell ref="E1292:E1293"/>
    <mergeCell ref="E1294:E1295"/>
    <mergeCell ref="E1300:E1301"/>
    <mergeCell ref="D1342:D1344"/>
    <mergeCell ref="E1342:E1344"/>
    <mergeCell ref="E1345:E1346"/>
    <mergeCell ref="E1371:E1372"/>
    <mergeCell ref="D1399:D1401"/>
    <mergeCell ref="E1399:E1401"/>
    <mergeCell ref="E1408:E1409"/>
    <mergeCell ref="E1441:E1442"/>
    <mergeCell ref="E1468:E1469"/>
    <mergeCell ref="E1484:E1485"/>
    <mergeCell ref="E1520:E1521"/>
    <mergeCell ref="A1388:E1388"/>
    <mergeCell ref="A1424:E1424"/>
    <mergeCell ref="A1457:E1457"/>
    <mergeCell ref="A1474:E1474"/>
    <mergeCell ref="A1504:E1504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9" firstPageNumber="47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 enableFormatConditionsCalculation="0">
    <tabColor rgb="FFFF0000"/>
  </sheetPr>
  <dimension ref="A1:IV499"/>
  <sheetViews>
    <sheetView showGridLines="0" view="pageBreakPreview" topLeftCell="A441" zoomScaleNormal="100" zoomScaleSheetLayoutView="100" workbookViewId="0">
      <selection activeCell="I10" sqref="I10"/>
    </sheetView>
  </sheetViews>
  <sheetFormatPr defaultRowHeight="14.25" x14ac:dyDescent="0.2"/>
  <cols>
    <col min="1" max="1" width="4.7109375" style="381" customWidth="1"/>
    <col min="2" max="2" width="4.7109375" style="643" customWidth="1"/>
    <col min="3" max="3" width="4.7109375" style="381" customWidth="1"/>
    <col min="4" max="4" width="8.85546875" style="814" customWidth="1"/>
    <col min="5" max="5" width="48.85546875" style="381" customWidth="1"/>
    <col min="6" max="6" width="11.42578125" style="524" customWidth="1"/>
    <col min="7" max="7" width="12.42578125" style="524" customWidth="1"/>
    <col min="8" max="8" width="10.85546875" style="524" customWidth="1"/>
    <col min="9" max="9" width="6.7109375" style="1530" customWidth="1"/>
    <col min="10" max="10" width="9.28515625" style="381" bestFit="1" customWidth="1"/>
    <col min="11" max="12" width="10.140625" style="381" bestFit="1" customWidth="1"/>
    <col min="13" max="256" width="9.140625" style="381"/>
    <col min="257" max="259" width="4.7109375" style="381" customWidth="1"/>
    <col min="260" max="260" width="8.85546875" style="381" customWidth="1"/>
    <col min="261" max="261" width="48.85546875" style="381" customWidth="1"/>
    <col min="262" max="262" width="11.42578125" style="381" customWidth="1"/>
    <col min="263" max="263" width="12.42578125" style="381" customWidth="1"/>
    <col min="264" max="264" width="10.85546875" style="381" customWidth="1"/>
    <col min="265" max="265" width="6.7109375" style="381" customWidth="1"/>
    <col min="266" max="512" width="9.140625" style="381"/>
    <col min="513" max="515" width="4.7109375" style="381" customWidth="1"/>
    <col min="516" max="516" width="8.85546875" style="381" customWidth="1"/>
    <col min="517" max="517" width="48.85546875" style="381" customWidth="1"/>
    <col min="518" max="518" width="11.42578125" style="381" customWidth="1"/>
    <col min="519" max="519" width="12.42578125" style="381" customWidth="1"/>
    <col min="520" max="520" width="10.85546875" style="381" customWidth="1"/>
    <col min="521" max="521" width="6.7109375" style="381" customWidth="1"/>
    <col min="522" max="768" width="9.140625" style="381"/>
    <col min="769" max="771" width="4.7109375" style="381" customWidth="1"/>
    <col min="772" max="772" width="8.85546875" style="381" customWidth="1"/>
    <col min="773" max="773" width="48.85546875" style="381" customWidth="1"/>
    <col min="774" max="774" width="11.42578125" style="381" customWidth="1"/>
    <col min="775" max="775" width="12.42578125" style="381" customWidth="1"/>
    <col min="776" max="776" width="10.85546875" style="381" customWidth="1"/>
    <col min="777" max="777" width="6.7109375" style="381" customWidth="1"/>
    <col min="778" max="1024" width="9.140625" style="381"/>
    <col min="1025" max="1027" width="4.7109375" style="381" customWidth="1"/>
    <col min="1028" max="1028" width="8.85546875" style="381" customWidth="1"/>
    <col min="1029" max="1029" width="48.85546875" style="381" customWidth="1"/>
    <col min="1030" max="1030" width="11.42578125" style="381" customWidth="1"/>
    <col min="1031" max="1031" width="12.42578125" style="381" customWidth="1"/>
    <col min="1032" max="1032" width="10.85546875" style="381" customWidth="1"/>
    <col min="1033" max="1033" width="6.7109375" style="381" customWidth="1"/>
    <col min="1034" max="1280" width="9.140625" style="381"/>
    <col min="1281" max="1283" width="4.7109375" style="381" customWidth="1"/>
    <col min="1284" max="1284" width="8.85546875" style="381" customWidth="1"/>
    <col min="1285" max="1285" width="48.85546875" style="381" customWidth="1"/>
    <col min="1286" max="1286" width="11.42578125" style="381" customWidth="1"/>
    <col min="1287" max="1287" width="12.42578125" style="381" customWidth="1"/>
    <col min="1288" max="1288" width="10.85546875" style="381" customWidth="1"/>
    <col min="1289" max="1289" width="6.7109375" style="381" customWidth="1"/>
    <col min="1290" max="1536" width="9.140625" style="381"/>
    <col min="1537" max="1539" width="4.7109375" style="381" customWidth="1"/>
    <col min="1540" max="1540" width="8.85546875" style="381" customWidth="1"/>
    <col min="1541" max="1541" width="48.85546875" style="381" customWidth="1"/>
    <col min="1542" max="1542" width="11.42578125" style="381" customWidth="1"/>
    <col min="1543" max="1543" width="12.42578125" style="381" customWidth="1"/>
    <col min="1544" max="1544" width="10.85546875" style="381" customWidth="1"/>
    <col min="1545" max="1545" width="6.7109375" style="381" customWidth="1"/>
    <col min="1546" max="1792" width="9.140625" style="381"/>
    <col min="1793" max="1795" width="4.7109375" style="381" customWidth="1"/>
    <col min="1796" max="1796" width="8.85546875" style="381" customWidth="1"/>
    <col min="1797" max="1797" width="48.85546875" style="381" customWidth="1"/>
    <col min="1798" max="1798" width="11.42578125" style="381" customWidth="1"/>
    <col min="1799" max="1799" width="12.42578125" style="381" customWidth="1"/>
    <col min="1800" max="1800" width="10.85546875" style="381" customWidth="1"/>
    <col min="1801" max="1801" width="6.7109375" style="381" customWidth="1"/>
    <col min="1802" max="2048" width="9.140625" style="381"/>
    <col min="2049" max="2051" width="4.7109375" style="381" customWidth="1"/>
    <col min="2052" max="2052" width="8.85546875" style="381" customWidth="1"/>
    <col min="2053" max="2053" width="48.85546875" style="381" customWidth="1"/>
    <col min="2054" max="2054" width="11.42578125" style="381" customWidth="1"/>
    <col min="2055" max="2055" width="12.42578125" style="381" customWidth="1"/>
    <col min="2056" max="2056" width="10.85546875" style="381" customWidth="1"/>
    <col min="2057" max="2057" width="6.7109375" style="381" customWidth="1"/>
    <col min="2058" max="2304" width="9.140625" style="381"/>
    <col min="2305" max="2307" width="4.7109375" style="381" customWidth="1"/>
    <col min="2308" max="2308" width="8.85546875" style="381" customWidth="1"/>
    <col min="2309" max="2309" width="48.85546875" style="381" customWidth="1"/>
    <col min="2310" max="2310" width="11.42578125" style="381" customWidth="1"/>
    <col min="2311" max="2311" width="12.42578125" style="381" customWidth="1"/>
    <col min="2312" max="2312" width="10.85546875" style="381" customWidth="1"/>
    <col min="2313" max="2313" width="6.7109375" style="381" customWidth="1"/>
    <col min="2314" max="2560" width="9.140625" style="381"/>
    <col min="2561" max="2563" width="4.7109375" style="381" customWidth="1"/>
    <col min="2564" max="2564" width="8.85546875" style="381" customWidth="1"/>
    <col min="2565" max="2565" width="48.85546875" style="381" customWidth="1"/>
    <col min="2566" max="2566" width="11.42578125" style="381" customWidth="1"/>
    <col min="2567" max="2567" width="12.42578125" style="381" customWidth="1"/>
    <col min="2568" max="2568" width="10.85546875" style="381" customWidth="1"/>
    <col min="2569" max="2569" width="6.7109375" style="381" customWidth="1"/>
    <col min="2570" max="2816" width="9.140625" style="381"/>
    <col min="2817" max="2819" width="4.7109375" style="381" customWidth="1"/>
    <col min="2820" max="2820" width="8.85546875" style="381" customWidth="1"/>
    <col min="2821" max="2821" width="48.85546875" style="381" customWidth="1"/>
    <col min="2822" max="2822" width="11.42578125" style="381" customWidth="1"/>
    <col min="2823" max="2823" width="12.42578125" style="381" customWidth="1"/>
    <col min="2824" max="2824" width="10.85546875" style="381" customWidth="1"/>
    <col min="2825" max="2825" width="6.7109375" style="381" customWidth="1"/>
    <col min="2826" max="3072" width="9.140625" style="381"/>
    <col min="3073" max="3075" width="4.7109375" style="381" customWidth="1"/>
    <col min="3076" max="3076" width="8.85546875" style="381" customWidth="1"/>
    <col min="3077" max="3077" width="48.85546875" style="381" customWidth="1"/>
    <col min="3078" max="3078" width="11.42578125" style="381" customWidth="1"/>
    <col min="3079" max="3079" width="12.42578125" style="381" customWidth="1"/>
    <col min="3080" max="3080" width="10.85546875" style="381" customWidth="1"/>
    <col min="3081" max="3081" width="6.7109375" style="381" customWidth="1"/>
    <col min="3082" max="3328" width="9.140625" style="381"/>
    <col min="3329" max="3331" width="4.7109375" style="381" customWidth="1"/>
    <col min="3332" max="3332" width="8.85546875" style="381" customWidth="1"/>
    <col min="3333" max="3333" width="48.85546875" style="381" customWidth="1"/>
    <col min="3334" max="3334" width="11.42578125" style="381" customWidth="1"/>
    <col min="3335" max="3335" width="12.42578125" style="381" customWidth="1"/>
    <col min="3336" max="3336" width="10.85546875" style="381" customWidth="1"/>
    <col min="3337" max="3337" width="6.7109375" style="381" customWidth="1"/>
    <col min="3338" max="3584" width="9.140625" style="381"/>
    <col min="3585" max="3587" width="4.7109375" style="381" customWidth="1"/>
    <col min="3588" max="3588" width="8.85546875" style="381" customWidth="1"/>
    <col min="3589" max="3589" width="48.85546875" style="381" customWidth="1"/>
    <col min="3590" max="3590" width="11.42578125" style="381" customWidth="1"/>
    <col min="3591" max="3591" width="12.42578125" style="381" customWidth="1"/>
    <col min="3592" max="3592" width="10.85546875" style="381" customWidth="1"/>
    <col min="3593" max="3593" width="6.7109375" style="381" customWidth="1"/>
    <col min="3594" max="3840" width="9.140625" style="381"/>
    <col min="3841" max="3843" width="4.7109375" style="381" customWidth="1"/>
    <col min="3844" max="3844" width="8.85546875" style="381" customWidth="1"/>
    <col min="3845" max="3845" width="48.85546875" style="381" customWidth="1"/>
    <col min="3846" max="3846" width="11.42578125" style="381" customWidth="1"/>
    <col min="3847" max="3847" width="12.42578125" style="381" customWidth="1"/>
    <col min="3848" max="3848" width="10.85546875" style="381" customWidth="1"/>
    <col min="3849" max="3849" width="6.7109375" style="381" customWidth="1"/>
    <col min="3850" max="4096" width="9.140625" style="381"/>
    <col min="4097" max="4099" width="4.7109375" style="381" customWidth="1"/>
    <col min="4100" max="4100" width="8.85546875" style="381" customWidth="1"/>
    <col min="4101" max="4101" width="48.85546875" style="381" customWidth="1"/>
    <col min="4102" max="4102" width="11.42578125" style="381" customWidth="1"/>
    <col min="4103" max="4103" width="12.42578125" style="381" customWidth="1"/>
    <col min="4104" max="4104" width="10.85546875" style="381" customWidth="1"/>
    <col min="4105" max="4105" width="6.7109375" style="381" customWidth="1"/>
    <col min="4106" max="4352" width="9.140625" style="381"/>
    <col min="4353" max="4355" width="4.7109375" style="381" customWidth="1"/>
    <col min="4356" max="4356" width="8.85546875" style="381" customWidth="1"/>
    <col min="4357" max="4357" width="48.85546875" style="381" customWidth="1"/>
    <col min="4358" max="4358" width="11.42578125" style="381" customWidth="1"/>
    <col min="4359" max="4359" width="12.42578125" style="381" customWidth="1"/>
    <col min="4360" max="4360" width="10.85546875" style="381" customWidth="1"/>
    <col min="4361" max="4361" width="6.7109375" style="381" customWidth="1"/>
    <col min="4362" max="4608" width="9.140625" style="381"/>
    <col min="4609" max="4611" width="4.7109375" style="381" customWidth="1"/>
    <col min="4612" max="4612" width="8.85546875" style="381" customWidth="1"/>
    <col min="4613" max="4613" width="48.85546875" style="381" customWidth="1"/>
    <col min="4614" max="4614" width="11.42578125" style="381" customWidth="1"/>
    <col min="4615" max="4615" width="12.42578125" style="381" customWidth="1"/>
    <col min="4616" max="4616" width="10.85546875" style="381" customWidth="1"/>
    <col min="4617" max="4617" width="6.7109375" style="381" customWidth="1"/>
    <col min="4618" max="4864" width="9.140625" style="381"/>
    <col min="4865" max="4867" width="4.7109375" style="381" customWidth="1"/>
    <col min="4868" max="4868" width="8.85546875" style="381" customWidth="1"/>
    <col min="4869" max="4869" width="48.85546875" style="381" customWidth="1"/>
    <col min="4870" max="4870" width="11.42578125" style="381" customWidth="1"/>
    <col min="4871" max="4871" width="12.42578125" style="381" customWidth="1"/>
    <col min="4872" max="4872" width="10.85546875" style="381" customWidth="1"/>
    <col min="4873" max="4873" width="6.7109375" style="381" customWidth="1"/>
    <col min="4874" max="5120" width="9.140625" style="381"/>
    <col min="5121" max="5123" width="4.7109375" style="381" customWidth="1"/>
    <col min="5124" max="5124" width="8.85546875" style="381" customWidth="1"/>
    <col min="5125" max="5125" width="48.85546875" style="381" customWidth="1"/>
    <col min="5126" max="5126" width="11.42578125" style="381" customWidth="1"/>
    <col min="5127" max="5127" width="12.42578125" style="381" customWidth="1"/>
    <col min="5128" max="5128" width="10.85546875" style="381" customWidth="1"/>
    <col min="5129" max="5129" width="6.7109375" style="381" customWidth="1"/>
    <col min="5130" max="5376" width="9.140625" style="381"/>
    <col min="5377" max="5379" width="4.7109375" style="381" customWidth="1"/>
    <col min="5380" max="5380" width="8.85546875" style="381" customWidth="1"/>
    <col min="5381" max="5381" width="48.85546875" style="381" customWidth="1"/>
    <col min="5382" max="5382" width="11.42578125" style="381" customWidth="1"/>
    <col min="5383" max="5383" width="12.42578125" style="381" customWidth="1"/>
    <col min="5384" max="5384" width="10.85546875" style="381" customWidth="1"/>
    <col min="5385" max="5385" width="6.7109375" style="381" customWidth="1"/>
    <col min="5386" max="5632" width="9.140625" style="381"/>
    <col min="5633" max="5635" width="4.7109375" style="381" customWidth="1"/>
    <col min="5636" max="5636" width="8.85546875" style="381" customWidth="1"/>
    <col min="5637" max="5637" width="48.85546875" style="381" customWidth="1"/>
    <col min="5638" max="5638" width="11.42578125" style="381" customWidth="1"/>
    <col min="5639" max="5639" width="12.42578125" style="381" customWidth="1"/>
    <col min="5640" max="5640" width="10.85546875" style="381" customWidth="1"/>
    <col min="5641" max="5641" width="6.7109375" style="381" customWidth="1"/>
    <col min="5642" max="5888" width="9.140625" style="381"/>
    <col min="5889" max="5891" width="4.7109375" style="381" customWidth="1"/>
    <col min="5892" max="5892" width="8.85546875" style="381" customWidth="1"/>
    <col min="5893" max="5893" width="48.85546875" style="381" customWidth="1"/>
    <col min="5894" max="5894" width="11.42578125" style="381" customWidth="1"/>
    <col min="5895" max="5895" width="12.42578125" style="381" customWidth="1"/>
    <col min="5896" max="5896" width="10.85546875" style="381" customWidth="1"/>
    <col min="5897" max="5897" width="6.7109375" style="381" customWidth="1"/>
    <col min="5898" max="6144" width="9.140625" style="381"/>
    <col min="6145" max="6147" width="4.7109375" style="381" customWidth="1"/>
    <col min="6148" max="6148" width="8.85546875" style="381" customWidth="1"/>
    <col min="6149" max="6149" width="48.85546875" style="381" customWidth="1"/>
    <col min="6150" max="6150" width="11.42578125" style="381" customWidth="1"/>
    <col min="6151" max="6151" width="12.42578125" style="381" customWidth="1"/>
    <col min="6152" max="6152" width="10.85546875" style="381" customWidth="1"/>
    <col min="6153" max="6153" width="6.7109375" style="381" customWidth="1"/>
    <col min="6154" max="6400" width="9.140625" style="381"/>
    <col min="6401" max="6403" width="4.7109375" style="381" customWidth="1"/>
    <col min="6404" max="6404" width="8.85546875" style="381" customWidth="1"/>
    <col min="6405" max="6405" width="48.85546875" style="381" customWidth="1"/>
    <col min="6406" max="6406" width="11.42578125" style="381" customWidth="1"/>
    <col min="6407" max="6407" width="12.42578125" style="381" customWidth="1"/>
    <col min="6408" max="6408" width="10.85546875" style="381" customWidth="1"/>
    <col min="6409" max="6409" width="6.7109375" style="381" customWidth="1"/>
    <col min="6410" max="6656" width="9.140625" style="381"/>
    <col min="6657" max="6659" width="4.7109375" style="381" customWidth="1"/>
    <col min="6660" max="6660" width="8.85546875" style="381" customWidth="1"/>
    <col min="6661" max="6661" width="48.85546875" style="381" customWidth="1"/>
    <col min="6662" max="6662" width="11.42578125" style="381" customWidth="1"/>
    <col min="6663" max="6663" width="12.42578125" style="381" customWidth="1"/>
    <col min="6664" max="6664" width="10.85546875" style="381" customWidth="1"/>
    <col min="6665" max="6665" width="6.7109375" style="381" customWidth="1"/>
    <col min="6666" max="6912" width="9.140625" style="381"/>
    <col min="6913" max="6915" width="4.7109375" style="381" customWidth="1"/>
    <col min="6916" max="6916" width="8.85546875" style="381" customWidth="1"/>
    <col min="6917" max="6917" width="48.85546875" style="381" customWidth="1"/>
    <col min="6918" max="6918" width="11.42578125" style="381" customWidth="1"/>
    <col min="6919" max="6919" width="12.42578125" style="381" customWidth="1"/>
    <col min="6920" max="6920" width="10.85546875" style="381" customWidth="1"/>
    <col min="6921" max="6921" width="6.7109375" style="381" customWidth="1"/>
    <col min="6922" max="7168" width="9.140625" style="381"/>
    <col min="7169" max="7171" width="4.7109375" style="381" customWidth="1"/>
    <col min="7172" max="7172" width="8.85546875" style="381" customWidth="1"/>
    <col min="7173" max="7173" width="48.85546875" style="381" customWidth="1"/>
    <col min="7174" max="7174" width="11.42578125" style="381" customWidth="1"/>
    <col min="7175" max="7175" width="12.42578125" style="381" customWidth="1"/>
    <col min="7176" max="7176" width="10.85546875" style="381" customWidth="1"/>
    <col min="7177" max="7177" width="6.7109375" style="381" customWidth="1"/>
    <col min="7178" max="7424" width="9.140625" style="381"/>
    <col min="7425" max="7427" width="4.7109375" style="381" customWidth="1"/>
    <col min="7428" max="7428" width="8.85546875" style="381" customWidth="1"/>
    <col min="7429" max="7429" width="48.85546875" style="381" customWidth="1"/>
    <col min="7430" max="7430" width="11.42578125" style="381" customWidth="1"/>
    <col min="7431" max="7431" width="12.42578125" style="381" customWidth="1"/>
    <col min="7432" max="7432" width="10.85546875" style="381" customWidth="1"/>
    <col min="7433" max="7433" width="6.7109375" style="381" customWidth="1"/>
    <col min="7434" max="7680" width="9.140625" style="381"/>
    <col min="7681" max="7683" width="4.7109375" style="381" customWidth="1"/>
    <col min="7684" max="7684" width="8.85546875" style="381" customWidth="1"/>
    <col min="7685" max="7685" width="48.85546875" style="381" customWidth="1"/>
    <col min="7686" max="7686" width="11.42578125" style="381" customWidth="1"/>
    <col min="7687" max="7687" width="12.42578125" style="381" customWidth="1"/>
    <col min="7688" max="7688" width="10.85546875" style="381" customWidth="1"/>
    <col min="7689" max="7689" width="6.7109375" style="381" customWidth="1"/>
    <col min="7690" max="7936" width="9.140625" style="381"/>
    <col min="7937" max="7939" width="4.7109375" style="381" customWidth="1"/>
    <col min="7940" max="7940" width="8.85546875" style="381" customWidth="1"/>
    <col min="7941" max="7941" width="48.85546875" style="381" customWidth="1"/>
    <col min="7942" max="7942" width="11.42578125" style="381" customWidth="1"/>
    <col min="7943" max="7943" width="12.42578125" style="381" customWidth="1"/>
    <col min="7944" max="7944" width="10.85546875" style="381" customWidth="1"/>
    <col min="7945" max="7945" width="6.7109375" style="381" customWidth="1"/>
    <col min="7946" max="8192" width="9.140625" style="381"/>
    <col min="8193" max="8195" width="4.7109375" style="381" customWidth="1"/>
    <col min="8196" max="8196" width="8.85546875" style="381" customWidth="1"/>
    <col min="8197" max="8197" width="48.85546875" style="381" customWidth="1"/>
    <col min="8198" max="8198" width="11.42578125" style="381" customWidth="1"/>
    <col min="8199" max="8199" width="12.42578125" style="381" customWidth="1"/>
    <col min="8200" max="8200" width="10.85546875" style="381" customWidth="1"/>
    <col min="8201" max="8201" width="6.7109375" style="381" customWidth="1"/>
    <col min="8202" max="8448" width="9.140625" style="381"/>
    <col min="8449" max="8451" width="4.7109375" style="381" customWidth="1"/>
    <col min="8452" max="8452" width="8.85546875" style="381" customWidth="1"/>
    <col min="8453" max="8453" width="48.85546875" style="381" customWidth="1"/>
    <col min="8454" max="8454" width="11.42578125" style="381" customWidth="1"/>
    <col min="8455" max="8455" width="12.42578125" style="381" customWidth="1"/>
    <col min="8456" max="8456" width="10.85546875" style="381" customWidth="1"/>
    <col min="8457" max="8457" width="6.7109375" style="381" customWidth="1"/>
    <col min="8458" max="8704" width="9.140625" style="381"/>
    <col min="8705" max="8707" width="4.7109375" style="381" customWidth="1"/>
    <col min="8708" max="8708" width="8.85546875" style="381" customWidth="1"/>
    <col min="8709" max="8709" width="48.85546875" style="381" customWidth="1"/>
    <col min="8710" max="8710" width="11.42578125" style="381" customWidth="1"/>
    <col min="8711" max="8711" width="12.42578125" style="381" customWidth="1"/>
    <col min="8712" max="8712" width="10.85546875" style="381" customWidth="1"/>
    <col min="8713" max="8713" width="6.7109375" style="381" customWidth="1"/>
    <col min="8714" max="8960" width="9.140625" style="381"/>
    <col min="8961" max="8963" width="4.7109375" style="381" customWidth="1"/>
    <col min="8964" max="8964" width="8.85546875" style="381" customWidth="1"/>
    <col min="8965" max="8965" width="48.85546875" style="381" customWidth="1"/>
    <col min="8966" max="8966" width="11.42578125" style="381" customWidth="1"/>
    <col min="8967" max="8967" width="12.42578125" style="381" customWidth="1"/>
    <col min="8968" max="8968" width="10.85546875" style="381" customWidth="1"/>
    <col min="8969" max="8969" width="6.7109375" style="381" customWidth="1"/>
    <col min="8970" max="9216" width="9.140625" style="381"/>
    <col min="9217" max="9219" width="4.7109375" style="381" customWidth="1"/>
    <col min="9220" max="9220" width="8.85546875" style="381" customWidth="1"/>
    <col min="9221" max="9221" width="48.85546875" style="381" customWidth="1"/>
    <col min="9222" max="9222" width="11.42578125" style="381" customWidth="1"/>
    <col min="9223" max="9223" width="12.42578125" style="381" customWidth="1"/>
    <col min="9224" max="9224" width="10.85546875" style="381" customWidth="1"/>
    <col min="9225" max="9225" width="6.7109375" style="381" customWidth="1"/>
    <col min="9226" max="9472" width="9.140625" style="381"/>
    <col min="9473" max="9475" width="4.7109375" style="381" customWidth="1"/>
    <col min="9476" max="9476" width="8.85546875" style="381" customWidth="1"/>
    <col min="9477" max="9477" width="48.85546875" style="381" customWidth="1"/>
    <col min="9478" max="9478" width="11.42578125" style="381" customWidth="1"/>
    <col min="9479" max="9479" width="12.42578125" style="381" customWidth="1"/>
    <col min="9480" max="9480" width="10.85546875" style="381" customWidth="1"/>
    <col min="9481" max="9481" width="6.7109375" style="381" customWidth="1"/>
    <col min="9482" max="9728" width="9.140625" style="381"/>
    <col min="9729" max="9731" width="4.7109375" style="381" customWidth="1"/>
    <col min="9732" max="9732" width="8.85546875" style="381" customWidth="1"/>
    <col min="9733" max="9733" width="48.85546875" style="381" customWidth="1"/>
    <col min="9734" max="9734" width="11.42578125" style="381" customWidth="1"/>
    <col min="9735" max="9735" width="12.42578125" style="381" customWidth="1"/>
    <col min="9736" max="9736" width="10.85546875" style="381" customWidth="1"/>
    <col min="9737" max="9737" width="6.7109375" style="381" customWidth="1"/>
    <col min="9738" max="9984" width="9.140625" style="381"/>
    <col min="9985" max="9987" width="4.7109375" style="381" customWidth="1"/>
    <col min="9988" max="9988" width="8.85546875" style="381" customWidth="1"/>
    <col min="9989" max="9989" width="48.85546875" style="381" customWidth="1"/>
    <col min="9990" max="9990" width="11.42578125" style="381" customWidth="1"/>
    <col min="9991" max="9991" width="12.42578125" style="381" customWidth="1"/>
    <col min="9992" max="9992" width="10.85546875" style="381" customWidth="1"/>
    <col min="9993" max="9993" width="6.7109375" style="381" customWidth="1"/>
    <col min="9994" max="10240" width="9.140625" style="381"/>
    <col min="10241" max="10243" width="4.7109375" style="381" customWidth="1"/>
    <col min="10244" max="10244" width="8.85546875" style="381" customWidth="1"/>
    <col min="10245" max="10245" width="48.85546875" style="381" customWidth="1"/>
    <col min="10246" max="10246" width="11.42578125" style="381" customWidth="1"/>
    <col min="10247" max="10247" width="12.42578125" style="381" customWidth="1"/>
    <col min="10248" max="10248" width="10.85546875" style="381" customWidth="1"/>
    <col min="10249" max="10249" width="6.7109375" style="381" customWidth="1"/>
    <col min="10250" max="10496" width="9.140625" style="381"/>
    <col min="10497" max="10499" width="4.7109375" style="381" customWidth="1"/>
    <col min="10500" max="10500" width="8.85546875" style="381" customWidth="1"/>
    <col min="10501" max="10501" width="48.85546875" style="381" customWidth="1"/>
    <col min="10502" max="10502" width="11.42578125" style="381" customWidth="1"/>
    <col min="10503" max="10503" width="12.42578125" style="381" customWidth="1"/>
    <col min="10504" max="10504" width="10.85546875" style="381" customWidth="1"/>
    <col min="10505" max="10505" width="6.7109375" style="381" customWidth="1"/>
    <col min="10506" max="10752" width="9.140625" style="381"/>
    <col min="10753" max="10755" width="4.7109375" style="381" customWidth="1"/>
    <col min="10756" max="10756" width="8.85546875" style="381" customWidth="1"/>
    <col min="10757" max="10757" width="48.85546875" style="381" customWidth="1"/>
    <col min="10758" max="10758" width="11.42578125" style="381" customWidth="1"/>
    <col min="10759" max="10759" width="12.42578125" style="381" customWidth="1"/>
    <col min="10760" max="10760" width="10.85546875" style="381" customWidth="1"/>
    <col min="10761" max="10761" width="6.7109375" style="381" customWidth="1"/>
    <col min="10762" max="11008" width="9.140625" style="381"/>
    <col min="11009" max="11011" width="4.7109375" style="381" customWidth="1"/>
    <col min="11012" max="11012" width="8.85546875" style="381" customWidth="1"/>
    <col min="11013" max="11013" width="48.85546875" style="381" customWidth="1"/>
    <col min="11014" max="11014" width="11.42578125" style="381" customWidth="1"/>
    <col min="11015" max="11015" width="12.42578125" style="381" customWidth="1"/>
    <col min="11016" max="11016" width="10.85546875" style="381" customWidth="1"/>
    <col min="11017" max="11017" width="6.7109375" style="381" customWidth="1"/>
    <col min="11018" max="11264" width="9.140625" style="381"/>
    <col min="11265" max="11267" width="4.7109375" style="381" customWidth="1"/>
    <col min="11268" max="11268" width="8.85546875" style="381" customWidth="1"/>
    <col min="11269" max="11269" width="48.85546875" style="381" customWidth="1"/>
    <col min="11270" max="11270" width="11.42578125" style="381" customWidth="1"/>
    <col min="11271" max="11271" width="12.42578125" style="381" customWidth="1"/>
    <col min="11272" max="11272" width="10.85546875" style="381" customWidth="1"/>
    <col min="11273" max="11273" width="6.7109375" style="381" customWidth="1"/>
    <col min="11274" max="11520" width="9.140625" style="381"/>
    <col min="11521" max="11523" width="4.7109375" style="381" customWidth="1"/>
    <col min="11524" max="11524" width="8.85546875" style="381" customWidth="1"/>
    <col min="11525" max="11525" width="48.85546875" style="381" customWidth="1"/>
    <col min="11526" max="11526" width="11.42578125" style="381" customWidth="1"/>
    <col min="11527" max="11527" width="12.42578125" style="381" customWidth="1"/>
    <col min="11528" max="11528" width="10.85546875" style="381" customWidth="1"/>
    <col min="11529" max="11529" width="6.7109375" style="381" customWidth="1"/>
    <col min="11530" max="11776" width="9.140625" style="381"/>
    <col min="11777" max="11779" width="4.7109375" style="381" customWidth="1"/>
    <col min="11780" max="11780" width="8.85546875" style="381" customWidth="1"/>
    <col min="11781" max="11781" width="48.85546875" style="381" customWidth="1"/>
    <col min="11782" max="11782" width="11.42578125" style="381" customWidth="1"/>
    <col min="11783" max="11783" width="12.42578125" style="381" customWidth="1"/>
    <col min="11784" max="11784" width="10.85546875" style="381" customWidth="1"/>
    <col min="11785" max="11785" width="6.7109375" style="381" customWidth="1"/>
    <col min="11786" max="12032" width="9.140625" style="381"/>
    <col min="12033" max="12035" width="4.7109375" style="381" customWidth="1"/>
    <col min="12036" max="12036" width="8.85546875" style="381" customWidth="1"/>
    <col min="12037" max="12037" width="48.85546875" style="381" customWidth="1"/>
    <col min="12038" max="12038" width="11.42578125" style="381" customWidth="1"/>
    <col min="12039" max="12039" width="12.42578125" style="381" customWidth="1"/>
    <col min="12040" max="12040" width="10.85546875" style="381" customWidth="1"/>
    <col min="12041" max="12041" width="6.7109375" style="381" customWidth="1"/>
    <col min="12042" max="12288" width="9.140625" style="381"/>
    <col min="12289" max="12291" width="4.7109375" style="381" customWidth="1"/>
    <col min="12292" max="12292" width="8.85546875" style="381" customWidth="1"/>
    <col min="12293" max="12293" width="48.85546875" style="381" customWidth="1"/>
    <col min="12294" max="12294" width="11.42578125" style="381" customWidth="1"/>
    <col min="12295" max="12295" width="12.42578125" style="381" customWidth="1"/>
    <col min="12296" max="12296" width="10.85546875" style="381" customWidth="1"/>
    <col min="12297" max="12297" width="6.7109375" style="381" customWidth="1"/>
    <col min="12298" max="12544" width="9.140625" style="381"/>
    <col min="12545" max="12547" width="4.7109375" style="381" customWidth="1"/>
    <col min="12548" max="12548" width="8.85546875" style="381" customWidth="1"/>
    <col min="12549" max="12549" width="48.85546875" style="381" customWidth="1"/>
    <col min="12550" max="12550" width="11.42578125" style="381" customWidth="1"/>
    <col min="12551" max="12551" width="12.42578125" style="381" customWidth="1"/>
    <col min="12552" max="12552" width="10.85546875" style="381" customWidth="1"/>
    <col min="12553" max="12553" width="6.7109375" style="381" customWidth="1"/>
    <col min="12554" max="12800" width="9.140625" style="381"/>
    <col min="12801" max="12803" width="4.7109375" style="381" customWidth="1"/>
    <col min="12804" max="12804" width="8.85546875" style="381" customWidth="1"/>
    <col min="12805" max="12805" width="48.85546875" style="381" customWidth="1"/>
    <col min="12806" max="12806" width="11.42578125" style="381" customWidth="1"/>
    <col min="12807" max="12807" width="12.42578125" style="381" customWidth="1"/>
    <col min="12808" max="12808" width="10.85546875" style="381" customWidth="1"/>
    <col min="12809" max="12809" width="6.7109375" style="381" customWidth="1"/>
    <col min="12810" max="13056" width="9.140625" style="381"/>
    <col min="13057" max="13059" width="4.7109375" style="381" customWidth="1"/>
    <col min="13060" max="13060" width="8.85546875" style="381" customWidth="1"/>
    <col min="13061" max="13061" width="48.85546875" style="381" customWidth="1"/>
    <col min="13062" max="13062" width="11.42578125" style="381" customWidth="1"/>
    <col min="13063" max="13063" width="12.42578125" style="381" customWidth="1"/>
    <col min="13064" max="13064" width="10.85546875" style="381" customWidth="1"/>
    <col min="13065" max="13065" width="6.7109375" style="381" customWidth="1"/>
    <col min="13066" max="13312" width="9.140625" style="381"/>
    <col min="13313" max="13315" width="4.7109375" style="381" customWidth="1"/>
    <col min="13316" max="13316" width="8.85546875" style="381" customWidth="1"/>
    <col min="13317" max="13317" width="48.85546875" style="381" customWidth="1"/>
    <col min="13318" max="13318" width="11.42578125" style="381" customWidth="1"/>
    <col min="13319" max="13319" width="12.42578125" style="381" customWidth="1"/>
    <col min="13320" max="13320" width="10.85546875" style="381" customWidth="1"/>
    <col min="13321" max="13321" width="6.7109375" style="381" customWidth="1"/>
    <col min="13322" max="13568" width="9.140625" style="381"/>
    <col min="13569" max="13571" width="4.7109375" style="381" customWidth="1"/>
    <col min="13572" max="13572" width="8.85546875" style="381" customWidth="1"/>
    <col min="13573" max="13573" width="48.85546875" style="381" customWidth="1"/>
    <col min="13574" max="13574" width="11.42578125" style="381" customWidth="1"/>
    <col min="13575" max="13575" width="12.42578125" style="381" customWidth="1"/>
    <col min="13576" max="13576" width="10.85546875" style="381" customWidth="1"/>
    <col min="13577" max="13577" width="6.7109375" style="381" customWidth="1"/>
    <col min="13578" max="13824" width="9.140625" style="381"/>
    <col min="13825" max="13827" width="4.7109375" style="381" customWidth="1"/>
    <col min="13828" max="13828" width="8.85546875" style="381" customWidth="1"/>
    <col min="13829" max="13829" width="48.85546875" style="381" customWidth="1"/>
    <col min="13830" max="13830" width="11.42578125" style="381" customWidth="1"/>
    <col min="13831" max="13831" width="12.42578125" style="381" customWidth="1"/>
    <col min="13832" max="13832" width="10.85546875" style="381" customWidth="1"/>
    <col min="13833" max="13833" width="6.7109375" style="381" customWidth="1"/>
    <col min="13834" max="14080" width="9.140625" style="381"/>
    <col min="14081" max="14083" width="4.7109375" style="381" customWidth="1"/>
    <col min="14084" max="14084" width="8.85546875" style="381" customWidth="1"/>
    <col min="14085" max="14085" width="48.85546875" style="381" customWidth="1"/>
    <col min="14086" max="14086" width="11.42578125" style="381" customWidth="1"/>
    <col min="14087" max="14087" width="12.42578125" style="381" customWidth="1"/>
    <col min="14088" max="14088" width="10.85546875" style="381" customWidth="1"/>
    <col min="14089" max="14089" width="6.7109375" style="381" customWidth="1"/>
    <col min="14090" max="14336" width="9.140625" style="381"/>
    <col min="14337" max="14339" width="4.7109375" style="381" customWidth="1"/>
    <col min="14340" max="14340" width="8.85546875" style="381" customWidth="1"/>
    <col min="14341" max="14341" width="48.85546875" style="381" customWidth="1"/>
    <col min="14342" max="14342" width="11.42578125" style="381" customWidth="1"/>
    <col min="14343" max="14343" width="12.42578125" style="381" customWidth="1"/>
    <col min="14344" max="14344" width="10.85546875" style="381" customWidth="1"/>
    <col min="14345" max="14345" width="6.7109375" style="381" customWidth="1"/>
    <col min="14346" max="14592" width="9.140625" style="381"/>
    <col min="14593" max="14595" width="4.7109375" style="381" customWidth="1"/>
    <col min="14596" max="14596" width="8.85546875" style="381" customWidth="1"/>
    <col min="14597" max="14597" width="48.85546875" style="381" customWidth="1"/>
    <col min="14598" max="14598" width="11.42578125" style="381" customWidth="1"/>
    <col min="14599" max="14599" width="12.42578125" style="381" customWidth="1"/>
    <col min="14600" max="14600" width="10.85546875" style="381" customWidth="1"/>
    <col min="14601" max="14601" width="6.7109375" style="381" customWidth="1"/>
    <col min="14602" max="14848" width="9.140625" style="381"/>
    <col min="14849" max="14851" width="4.7109375" style="381" customWidth="1"/>
    <col min="14852" max="14852" width="8.85546875" style="381" customWidth="1"/>
    <col min="14853" max="14853" width="48.85546875" style="381" customWidth="1"/>
    <col min="14854" max="14854" width="11.42578125" style="381" customWidth="1"/>
    <col min="14855" max="14855" width="12.42578125" style="381" customWidth="1"/>
    <col min="14856" max="14856" width="10.85546875" style="381" customWidth="1"/>
    <col min="14857" max="14857" width="6.7109375" style="381" customWidth="1"/>
    <col min="14858" max="15104" width="9.140625" style="381"/>
    <col min="15105" max="15107" width="4.7109375" style="381" customWidth="1"/>
    <col min="15108" max="15108" width="8.85546875" style="381" customWidth="1"/>
    <col min="15109" max="15109" width="48.85546875" style="381" customWidth="1"/>
    <col min="15110" max="15110" width="11.42578125" style="381" customWidth="1"/>
    <col min="15111" max="15111" width="12.42578125" style="381" customWidth="1"/>
    <col min="15112" max="15112" width="10.85546875" style="381" customWidth="1"/>
    <col min="15113" max="15113" width="6.7109375" style="381" customWidth="1"/>
    <col min="15114" max="15360" width="9.140625" style="381"/>
    <col min="15361" max="15363" width="4.7109375" style="381" customWidth="1"/>
    <col min="15364" max="15364" width="8.85546875" style="381" customWidth="1"/>
    <col min="15365" max="15365" width="48.85546875" style="381" customWidth="1"/>
    <col min="15366" max="15366" width="11.42578125" style="381" customWidth="1"/>
    <col min="15367" max="15367" width="12.42578125" style="381" customWidth="1"/>
    <col min="15368" max="15368" width="10.85546875" style="381" customWidth="1"/>
    <col min="15369" max="15369" width="6.7109375" style="381" customWidth="1"/>
    <col min="15370" max="15616" width="9.140625" style="381"/>
    <col min="15617" max="15619" width="4.7109375" style="381" customWidth="1"/>
    <col min="15620" max="15620" width="8.85546875" style="381" customWidth="1"/>
    <col min="15621" max="15621" width="48.85546875" style="381" customWidth="1"/>
    <col min="15622" max="15622" width="11.42578125" style="381" customWidth="1"/>
    <col min="15623" max="15623" width="12.42578125" style="381" customWidth="1"/>
    <col min="15624" max="15624" width="10.85546875" style="381" customWidth="1"/>
    <col min="15625" max="15625" width="6.7109375" style="381" customWidth="1"/>
    <col min="15626" max="15872" width="9.140625" style="381"/>
    <col min="15873" max="15875" width="4.7109375" style="381" customWidth="1"/>
    <col min="15876" max="15876" width="8.85546875" style="381" customWidth="1"/>
    <col min="15877" max="15877" width="48.85546875" style="381" customWidth="1"/>
    <col min="15878" max="15878" width="11.42578125" style="381" customWidth="1"/>
    <col min="15879" max="15879" width="12.42578125" style="381" customWidth="1"/>
    <col min="15880" max="15880" width="10.85546875" style="381" customWidth="1"/>
    <col min="15881" max="15881" width="6.7109375" style="381" customWidth="1"/>
    <col min="15882" max="16128" width="9.140625" style="381"/>
    <col min="16129" max="16131" width="4.7109375" style="381" customWidth="1"/>
    <col min="16132" max="16132" width="8.85546875" style="381" customWidth="1"/>
    <col min="16133" max="16133" width="48.85546875" style="381" customWidth="1"/>
    <col min="16134" max="16134" width="11.42578125" style="381" customWidth="1"/>
    <col min="16135" max="16135" width="12.42578125" style="381" customWidth="1"/>
    <col min="16136" max="16136" width="10.85546875" style="381" customWidth="1"/>
    <col min="16137" max="16137" width="6.7109375" style="381" customWidth="1"/>
    <col min="16138" max="16384" width="9.140625" style="381"/>
  </cols>
  <sheetData>
    <row r="1" spans="1:10" ht="18.75" thickBot="1" x14ac:dyDescent="0.3">
      <c r="A1" s="463" t="s">
        <v>710</v>
      </c>
      <c r="B1" s="464"/>
      <c r="C1" s="488"/>
      <c r="D1" s="489"/>
      <c r="E1" s="1389"/>
      <c r="F1" s="1451"/>
      <c r="G1" s="467" t="s">
        <v>711</v>
      </c>
      <c r="J1" s="17"/>
    </row>
    <row r="2" spans="1:10" ht="12.75" customHeight="1" x14ac:dyDescent="0.25">
      <c r="B2" s="6"/>
      <c r="C2" s="28"/>
      <c r="D2" s="63"/>
      <c r="E2" s="10"/>
      <c r="F2" s="461"/>
      <c r="G2" s="461"/>
      <c r="H2" s="168"/>
      <c r="I2" s="210"/>
      <c r="J2" s="17"/>
    </row>
    <row r="3" spans="1:10" ht="12.75" customHeight="1" x14ac:dyDescent="0.25">
      <c r="A3" s="67" t="s">
        <v>367</v>
      </c>
      <c r="B3" s="28"/>
      <c r="C3" s="523" t="s">
        <v>216</v>
      </c>
      <c r="D3" s="813"/>
      <c r="E3" s="307"/>
      <c r="F3" s="168"/>
      <c r="G3" s="181"/>
      <c r="H3" s="181"/>
    </row>
    <row r="4" spans="1:10" ht="12.75" customHeight="1" x14ac:dyDescent="0.25">
      <c r="A4" s="6"/>
      <c r="B4" s="28"/>
      <c r="C4" s="2516" t="s">
        <v>464</v>
      </c>
      <c r="E4" s="307"/>
      <c r="F4" s="168"/>
      <c r="G4" s="181"/>
      <c r="H4" s="181"/>
    </row>
    <row r="5" spans="1:10" ht="6.75" customHeight="1" x14ac:dyDescent="0.25">
      <c r="B5" s="6"/>
      <c r="C5" s="28"/>
      <c r="D5" s="63"/>
      <c r="E5" s="10"/>
      <c r="F5" s="461"/>
      <c r="G5" s="461"/>
      <c r="H5" s="168"/>
      <c r="I5" s="210"/>
      <c r="J5" s="17"/>
    </row>
    <row r="6" spans="1:10" ht="18" x14ac:dyDescent="0.25">
      <c r="A6" s="33" t="s">
        <v>355</v>
      </c>
      <c r="B6" s="33"/>
      <c r="C6" s="28"/>
      <c r="D6" s="63"/>
      <c r="E6" s="10"/>
      <c r="F6" s="461"/>
      <c r="G6" s="461"/>
      <c r="H6" s="168"/>
      <c r="I6" s="210"/>
      <c r="J6" s="17"/>
    </row>
    <row r="7" spans="1:10" ht="15" thickBot="1" x14ac:dyDescent="0.25">
      <c r="A7" s="432" t="s">
        <v>795</v>
      </c>
      <c r="B7" s="629"/>
      <c r="C7" s="629"/>
      <c r="D7" s="815"/>
      <c r="E7" s="630"/>
      <c r="H7" s="1531"/>
      <c r="I7" s="817" t="s">
        <v>161</v>
      </c>
    </row>
    <row r="8" spans="1:10" s="107" customFormat="1" ht="20.25" customHeight="1" thickTop="1" thickBot="1" x14ac:dyDescent="0.25">
      <c r="A8" s="631" t="s">
        <v>624</v>
      </c>
      <c r="B8" s="774" t="s">
        <v>162</v>
      </c>
      <c r="C8" s="632" t="s">
        <v>163</v>
      </c>
      <c r="D8" s="634" t="s">
        <v>705</v>
      </c>
      <c r="E8" s="634" t="s">
        <v>164</v>
      </c>
      <c r="F8" s="634" t="s">
        <v>165</v>
      </c>
      <c r="G8" s="634" t="s">
        <v>881</v>
      </c>
      <c r="H8" s="634" t="s">
        <v>882</v>
      </c>
      <c r="I8" s="818" t="s">
        <v>883</v>
      </c>
    </row>
    <row r="9" spans="1:10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542">
        <v>8</v>
      </c>
      <c r="I9" s="636" t="s">
        <v>762</v>
      </c>
    </row>
    <row r="10" spans="1:10" ht="15.75" thickTop="1" x14ac:dyDescent="0.25">
      <c r="A10" s="1391">
        <v>1500</v>
      </c>
      <c r="B10" s="673">
        <v>3111</v>
      </c>
      <c r="C10" s="673">
        <v>5213</v>
      </c>
      <c r="D10" s="819"/>
      <c r="E10" s="792" t="s">
        <v>1173</v>
      </c>
      <c r="F10" s="820"/>
      <c r="G10" s="820">
        <f>SUM(G11:G11)</f>
        <v>1388</v>
      </c>
      <c r="H10" s="820">
        <f>SUM(H11:H11)</f>
        <v>1388</v>
      </c>
      <c r="I10" s="821">
        <f>(H10/G10)*100</f>
        <v>100</v>
      </c>
    </row>
    <row r="11" spans="1:10" ht="15.75" thickBot="1" x14ac:dyDescent="0.3">
      <c r="A11" s="431"/>
      <c r="B11" s="673"/>
      <c r="C11" s="673"/>
      <c r="D11" s="1069" t="s">
        <v>1130</v>
      </c>
      <c r="E11" s="1276" t="s">
        <v>0</v>
      </c>
      <c r="F11" s="820"/>
      <c r="G11" s="356">
        <v>1388</v>
      </c>
      <c r="H11" s="822">
        <v>1388</v>
      </c>
      <c r="I11" s="823">
        <f>(H11/G11)*100</f>
        <v>100</v>
      </c>
    </row>
    <row r="12" spans="1:10" ht="18" customHeight="1" thickTop="1" thickBot="1" x14ac:dyDescent="0.3">
      <c r="A12" s="2672" t="s">
        <v>1105</v>
      </c>
      <c r="B12" s="2673"/>
      <c r="C12" s="2673"/>
      <c r="D12" s="2673"/>
      <c r="E12" s="2673"/>
      <c r="F12" s="824">
        <f>SUM(F10)</f>
        <v>0</v>
      </c>
      <c r="G12" s="824">
        <f>SUM(G10)</f>
        <v>1388</v>
      </c>
      <c r="H12" s="824">
        <f>SUM(H10)</f>
        <v>1388</v>
      </c>
      <c r="I12" s="825">
        <f>(H12/G12)*100</f>
        <v>100</v>
      </c>
    </row>
    <row r="13" spans="1:10" ht="15" thickTop="1" x14ac:dyDescent="0.2"/>
    <row r="15" spans="1:10" ht="13.5" customHeight="1" thickBot="1" x14ac:dyDescent="0.25">
      <c r="A15" s="432" t="s">
        <v>2035</v>
      </c>
      <c r="I15" s="817" t="s">
        <v>161</v>
      </c>
    </row>
    <row r="16" spans="1:10" s="107" customFormat="1" ht="20.25" customHeight="1" thickTop="1" thickBot="1" x14ac:dyDescent="0.25">
      <c r="A16" s="631" t="s">
        <v>624</v>
      </c>
      <c r="B16" s="774" t="s">
        <v>162</v>
      </c>
      <c r="C16" s="632" t="s">
        <v>163</v>
      </c>
      <c r="D16" s="634" t="s">
        <v>705</v>
      </c>
      <c r="E16" s="634" t="s">
        <v>164</v>
      </c>
      <c r="F16" s="634" t="s">
        <v>165</v>
      </c>
      <c r="G16" s="634" t="s">
        <v>881</v>
      </c>
      <c r="H16" s="634" t="s">
        <v>882</v>
      </c>
      <c r="I16" s="818" t="s">
        <v>883</v>
      </c>
    </row>
    <row r="17" spans="1:9" s="383" customFormat="1" ht="13.5" thickTop="1" thickBot="1" x14ac:dyDescent="0.25">
      <c r="A17" s="566">
        <v>1</v>
      </c>
      <c r="B17" s="567">
        <v>2</v>
      </c>
      <c r="C17" s="567">
        <v>3</v>
      </c>
      <c r="D17" s="567">
        <v>4</v>
      </c>
      <c r="E17" s="567">
        <v>5</v>
      </c>
      <c r="F17" s="541">
        <v>6</v>
      </c>
      <c r="G17" s="541">
        <v>7</v>
      </c>
      <c r="H17" s="542">
        <v>8</v>
      </c>
      <c r="I17" s="636" t="s">
        <v>762</v>
      </c>
    </row>
    <row r="18" spans="1:9" ht="15.75" thickTop="1" x14ac:dyDescent="0.25">
      <c r="A18" s="431">
        <v>1502</v>
      </c>
      <c r="B18" s="673">
        <v>3111</v>
      </c>
      <c r="C18" s="673">
        <v>5213</v>
      </c>
      <c r="D18" s="819"/>
      <c r="E18" s="792" t="s">
        <v>1173</v>
      </c>
      <c r="F18" s="820"/>
      <c r="G18" s="820">
        <f>SUM(G19:G20)</f>
        <v>1615</v>
      </c>
      <c r="H18" s="820">
        <f>SUM(H19:H20)</f>
        <v>1615</v>
      </c>
      <c r="I18" s="826">
        <f t="shared" ref="I18:I23" si="0">(H18/G18)*100</f>
        <v>100</v>
      </c>
    </row>
    <row r="19" spans="1:9" x14ac:dyDescent="0.2">
      <c r="A19" s="431"/>
      <c r="B19" s="673"/>
      <c r="C19" s="673"/>
      <c r="D19" s="1069" t="s">
        <v>1130</v>
      </c>
      <c r="E19" s="1276" t="s">
        <v>0</v>
      </c>
      <c r="F19" s="827"/>
      <c r="G19" s="827">
        <v>1548</v>
      </c>
      <c r="H19" s="827">
        <v>1548</v>
      </c>
      <c r="I19" s="828">
        <f t="shared" si="0"/>
        <v>100</v>
      </c>
    </row>
    <row r="20" spans="1:9" ht="15.75" customHeight="1" x14ac:dyDescent="0.2">
      <c r="A20" s="431"/>
      <c r="B20" s="673"/>
      <c r="C20" s="673"/>
      <c r="D20" s="1068" t="s">
        <v>381</v>
      </c>
      <c r="E20" s="1509" t="s">
        <v>1</v>
      </c>
      <c r="F20" s="827"/>
      <c r="G20" s="827">
        <v>67</v>
      </c>
      <c r="H20" s="827">
        <v>67</v>
      </c>
      <c r="I20" s="828">
        <f t="shared" si="0"/>
        <v>100</v>
      </c>
    </row>
    <row r="21" spans="1:9" ht="15" x14ac:dyDescent="0.25">
      <c r="A21" s="431">
        <v>1502</v>
      </c>
      <c r="B21" s="673">
        <v>3141</v>
      </c>
      <c r="C21" s="1392">
        <v>5213</v>
      </c>
      <c r="D21" s="829"/>
      <c r="E21" s="792" t="s">
        <v>1173</v>
      </c>
      <c r="F21" s="820"/>
      <c r="G21" s="820">
        <f>G22</f>
        <v>235</v>
      </c>
      <c r="H21" s="820">
        <f>H22</f>
        <v>235</v>
      </c>
      <c r="I21" s="821">
        <f t="shared" si="0"/>
        <v>100</v>
      </c>
    </row>
    <row r="22" spans="1:9" ht="18" customHeight="1" thickBot="1" x14ac:dyDescent="0.25">
      <c r="A22" s="1409"/>
      <c r="B22" s="830"/>
      <c r="C22" s="830"/>
      <c r="D22" s="1069" t="s">
        <v>1130</v>
      </c>
      <c r="E22" s="1276" t="s">
        <v>0</v>
      </c>
      <c r="F22" s="831"/>
      <c r="G22" s="831">
        <v>235</v>
      </c>
      <c r="H22" s="831">
        <v>235</v>
      </c>
      <c r="I22" s="832">
        <f t="shared" si="0"/>
        <v>100</v>
      </c>
    </row>
    <row r="23" spans="1:9" ht="16.5" thickTop="1" thickBot="1" x14ac:dyDescent="0.3">
      <c r="A23" s="2672" t="s">
        <v>1105</v>
      </c>
      <c r="B23" s="2673"/>
      <c r="C23" s="2673"/>
      <c r="D23" s="2673"/>
      <c r="E23" s="2673"/>
      <c r="F23" s="824">
        <f>SUM(F18,F21)</f>
        <v>0</v>
      </c>
      <c r="G23" s="824">
        <f>SUM(G18,G21)</f>
        <v>1850</v>
      </c>
      <c r="H23" s="824">
        <f>SUM(H18,H21)</f>
        <v>1850</v>
      </c>
      <c r="I23" s="825">
        <f t="shared" si="0"/>
        <v>100</v>
      </c>
    </row>
    <row r="24" spans="1:9" ht="15" thickTop="1" x14ac:dyDescent="0.2"/>
    <row r="26" spans="1:9" ht="20.25" customHeight="1" thickBot="1" x14ac:dyDescent="0.25">
      <c r="A26" s="432" t="s">
        <v>796</v>
      </c>
      <c r="I26" s="817" t="s">
        <v>161</v>
      </c>
    </row>
    <row r="27" spans="1:9" s="107" customFormat="1" ht="12.75" thickTop="1" thickBot="1" x14ac:dyDescent="0.25">
      <c r="A27" s="631" t="s">
        <v>624</v>
      </c>
      <c r="B27" s="774" t="s">
        <v>162</v>
      </c>
      <c r="C27" s="632" t="s">
        <v>163</v>
      </c>
      <c r="D27" s="634" t="s">
        <v>705</v>
      </c>
      <c r="E27" s="634" t="s">
        <v>164</v>
      </c>
      <c r="F27" s="634" t="s">
        <v>165</v>
      </c>
      <c r="G27" s="634" t="s">
        <v>881</v>
      </c>
      <c r="H27" s="634" t="s">
        <v>882</v>
      </c>
      <c r="I27" s="818" t="s">
        <v>883</v>
      </c>
    </row>
    <row r="28" spans="1:9" s="383" customFormat="1" ht="15" customHeight="1" thickTop="1" thickBot="1" x14ac:dyDescent="0.25">
      <c r="A28" s="566">
        <v>1</v>
      </c>
      <c r="B28" s="567">
        <v>2</v>
      </c>
      <c r="C28" s="567">
        <v>3</v>
      </c>
      <c r="D28" s="567">
        <v>4</v>
      </c>
      <c r="E28" s="567">
        <v>5</v>
      </c>
      <c r="F28" s="541">
        <v>6</v>
      </c>
      <c r="G28" s="541">
        <v>7</v>
      </c>
      <c r="H28" s="542">
        <v>8</v>
      </c>
      <c r="I28" s="636" t="s">
        <v>762</v>
      </c>
    </row>
    <row r="29" spans="1:9" s="107" customFormat="1" ht="15.75" thickTop="1" x14ac:dyDescent="0.25">
      <c r="A29" s="431">
        <v>1503</v>
      </c>
      <c r="B29" s="673">
        <v>3112</v>
      </c>
      <c r="C29" s="673">
        <v>5213</v>
      </c>
      <c r="D29" s="819"/>
      <c r="E29" s="792" t="s">
        <v>1173</v>
      </c>
      <c r="F29" s="820"/>
      <c r="G29" s="820">
        <f>SUM(G30:G31)</f>
        <v>3637</v>
      </c>
      <c r="H29" s="820">
        <f>SUM(H30:H31)</f>
        <v>3637</v>
      </c>
      <c r="I29" s="821">
        <f t="shared" ref="I29:I34" si="1">(H29/G29)*100</f>
        <v>100</v>
      </c>
    </row>
    <row r="30" spans="1:9" ht="15.75" customHeight="1" x14ac:dyDescent="0.2">
      <c r="A30" s="431"/>
      <c r="B30" s="750"/>
      <c r="C30" s="750"/>
      <c r="D30" s="1069" t="s">
        <v>1130</v>
      </c>
      <c r="E30" s="1276" t="s">
        <v>0</v>
      </c>
      <c r="F30" s="833"/>
      <c r="G30" s="833">
        <v>3569</v>
      </c>
      <c r="H30" s="833">
        <v>3569</v>
      </c>
      <c r="I30" s="828">
        <f t="shared" si="1"/>
        <v>100</v>
      </c>
    </row>
    <row r="31" spans="1:9" x14ac:dyDescent="0.2">
      <c r="A31" s="431"/>
      <c r="B31" s="750"/>
      <c r="C31" s="750"/>
      <c r="D31" s="1068" t="s">
        <v>381</v>
      </c>
      <c r="E31" s="1509" t="s">
        <v>1</v>
      </c>
      <c r="F31" s="833"/>
      <c r="G31" s="833">
        <v>68</v>
      </c>
      <c r="H31" s="833">
        <v>68</v>
      </c>
      <c r="I31" s="828">
        <f t="shared" si="1"/>
        <v>100</v>
      </c>
    </row>
    <row r="32" spans="1:9" ht="18" customHeight="1" x14ac:dyDescent="0.25">
      <c r="A32" s="431">
        <v>1503</v>
      </c>
      <c r="B32" s="673">
        <v>3141</v>
      </c>
      <c r="C32" s="1392">
        <v>5213</v>
      </c>
      <c r="D32" s="829"/>
      <c r="E32" s="792" t="s">
        <v>1173</v>
      </c>
      <c r="F32" s="820"/>
      <c r="G32" s="820">
        <f>SUM(G33:G33)</f>
        <v>120</v>
      </c>
      <c r="H32" s="820">
        <f>SUM(H33:H33)</f>
        <v>120</v>
      </c>
      <c r="I32" s="821">
        <f t="shared" si="1"/>
        <v>100</v>
      </c>
    </row>
    <row r="33" spans="1:9" ht="15" thickBot="1" x14ac:dyDescent="0.25">
      <c r="A33" s="1409"/>
      <c r="B33" s="830"/>
      <c r="C33" s="830"/>
      <c r="D33" s="1069" t="s">
        <v>1130</v>
      </c>
      <c r="E33" s="1276" t="s">
        <v>0</v>
      </c>
      <c r="F33" s="831"/>
      <c r="G33" s="831">
        <v>120</v>
      </c>
      <c r="H33" s="831">
        <v>120</v>
      </c>
      <c r="I33" s="832">
        <f t="shared" si="1"/>
        <v>100</v>
      </c>
    </row>
    <row r="34" spans="1:9" ht="16.5" thickTop="1" thickBot="1" x14ac:dyDescent="0.3">
      <c r="A34" s="2672" t="s">
        <v>1105</v>
      </c>
      <c r="B34" s="2673"/>
      <c r="C34" s="2673"/>
      <c r="D34" s="2673"/>
      <c r="E34" s="2673"/>
      <c r="F34" s="824">
        <v>0</v>
      </c>
      <c r="G34" s="824">
        <f>SUM(G29,G32)</f>
        <v>3757</v>
      </c>
      <c r="H34" s="824">
        <f>SUM(H29,H32)</f>
        <v>3757</v>
      </c>
      <c r="I34" s="825">
        <f t="shared" si="1"/>
        <v>100</v>
      </c>
    </row>
    <row r="35" spans="1:9" ht="20.25" customHeight="1" thickTop="1" x14ac:dyDescent="0.2"/>
    <row r="36" spans="1:9" ht="20.25" customHeight="1" x14ac:dyDescent="0.2"/>
    <row r="37" spans="1:9" ht="15" thickBot="1" x14ac:dyDescent="0.25">
      <c r="A37" s="432" t="s">
        <v>447</v>
      </c>
      <c r="I37" s="817" t="s">
        <v>161</v>
      </c>
    </row>
    <row r="38" spans="1:9" s="107" customFormat="1" ht="12.75" thickTop="1" thickBot="1" x14ac:dyDescent="0.25">
      <c r="A38" s="631" t="s">
        <v>624</v>
      </c>
      <c r="B38" s="774" t="s">
        <v>162</v>
      </c>
      <c r="C38" s="632" t="s">
        <v>163</v>
      </c>
      <c r="D38" s="634" t="s">
        <v>705</v>
      </c>
      <c r="E38" s="634" t="s">
        <v>164</v>
      </c>
      <c r="F38" s="634" t="s">
        <v>165</v>
      </c>
      <c r="G38" s="634" t="s">
        <v>881</v>
      </c>
      <c r="H38" s="634" t="s">
        <v>882</v>
      </c>
      <c r="I38" s="818" t="s">
        <v>883</v>
      </c>
    </row>
    <row r="39" spans="1:9" s="383" customFormat="1" ht="13.5" thickTop="1" thickBot="1" x14ac:dyDescent="0.25">
      <c r="A39" s="566">
        <v>1</v>
      </c>
      <c r="B39" s="567">
        <v>2</v>
      </c>
      <c r="C39" s="567">
        <v>3</v>
      </c>
      <c r="D39" s="567">
        <v>4</v>
      </c>
      <c r="E39" s="567">
        <v>5</v>
      </c>
      <c r="F39" s="541">
        <v>6</v>
      </c>
      <c r="G39" s="541">
        <v>7</v>
      </c>
      <c r="H39" s="542">
        <v>8</v>
      </c>
      <c r="I39" s="636" t="s">
        <v>762</v>
      </c>
    </row>
    <row r="40" spans="1:9" ht="15.75" thickTop="1" x14ac:dyDescent="0.25">
      <c r="A40" s="431">
        <v>1504</v>
      </c>
      <c r="B40" s="673">
        <v>3111</v>
      </c>
      <c r="C40" s="673">
        <v>5221</v>
      </c>
      <c r="D40" s="819"/>
      <c r="E40" s="792" t="s">
        <v>1174</v>
      </c>
      <c r="F40" s="820"/>
      <c r="G40" s="820">
        <f>G41+G42</f>
        <v>988</v>
      </c>
      <c r="H40" s="820">
        <f>H41+H42</f>
        <v>988</v>
      </c>
      <c r="I40" s="826">
        <f t="shared" ref="I40:I45" si="2">(H40/G40)*100</f>
        <v>100</v>
      </c>
    </row>
    <row r="41" spans="1:9" ht="15.75" customHeight="1" x14ac:dyDescent="0.2">
      <c r="A41" s="431"/>
      <c r="B41" s="750"/>
      <c r="C41" s="750"/>
      <c r="D41" s="1069" t="s">
        <v>1130</v>
      </c>
      <c r="E41" s="1276" t="s">
        <v>0</v>
      </c>
      <c r="F41" s="833"/>
      <c r="G41" s="833">
        <v>901</v>
      </c>
      <c r="H41" s="833">
        <v>901</v>
      </c>
      <c r="I41" s="828">
        <f t="shared" si="2"/>
        <v>100</v>
      </c>
    </row>
    <row r="42" spans="1:9" x14ac:dyDescent="0.2">
      <c r="A42" s="431"/>
      <c r="B42" s="750"/>
      <c r="C42" s="750"/>
      <c r="D42" s="552" t="s">
        <v>381</v>
      </c>
      <c r="E42" s="1509" t="s">
        <v>1</v>
      </c>
      <c r="F42" s="833"/>
      <c r="G42" s="833">
        <v>87</v>
      </c>
      <c r="H42" s="833">
        <v>87</v>
      </c>
      <c r="I42" s="828">
        <f t="shared" si="2"/>
        <v>100</v>
      </c>
    </row>
    <row r="43" spans="1:9" ht="18" customHeight="1" x14ac:dyDescent="0.25">
      <c r="A43" s="431">
        <v>1504</v>
      </c>
      <c r="B43" s="673">
        <v>3141</v>
      </c>
      <c r="C43" s="1392">
        <v>5221</v>
      </c>
      <c r="D43" s="829"/>
      <c r="E43" s="672" t="s">
        <v>1174</v>
      </c>
      <c r="F43" s="820"/>
      <c r="G43" s="820">
        <f>G44</f>
        <v>42</v>
      </c>
      <c r="H43" s="820">
        <f>H44</f>
        <v>42</v>
      </c>
      <c r="I43" s="821">
        <f t="shared" si="2"/>
        <v>100</v>
      </c>
    </row>
    <row r="44" spans="1:9" ht="15" thickBot="1" x14ac:dyDescent="0.25">
      <c r="A44" s="1409"/>
      <c r="B44" s="830"/>
      <c r="C44" s="830"/>
      <c r="D44" s="1081" t="s">
        <v>1130</v>
      </c>
      <c r="E44" s="1276" t="s">
        <v>0</v>
      </c>
      <c r="F44" s="831"/>
      <c r="G44" s="831">
        <v>42</v>
      </c>
      <c r="H44" s="831">
        <v>42</v>
      </c>
      <c r="I44" s="832">
        <f t="shared" si="2"/>
        <v>100</v>
      </c>
    </row>
    <row r="45" spans="1:9" ht="16.5" thickTop="1" thickBot="1" x14ac:dyDescent="0.3">
      <c r="A45" s="2672" t="s">
        <v>1105</v>
      </c>
      <c r="B45" s="2673"/>
      <c r="C45" s="2673"/>
      <c r="D45" s="2673"/>
      <c r="E45" s="2673"/>
      <c r="F45" s="824">
        <f>SUM(F40,F43)</f>
        <v>0</v>
      </c>
      <c r="G45" s="824">
        <f>G40+G43</f>
        <v>1030</v>
      </c>
      <c r="H45" s="824">
        <f>H40+H43</f>
        <v>1030</v>
      </c>
      <c r="I45" s="825">
        <f t="shared" si="2"/>
        <v>100</v>
      </c>
    </row>
    <row r="46" spans="1:9" ht="15" thickTop="1" x14ac:dyDescent="0.2"/>
    <row r="48" spans="1:9" ht="15" thickBot="1" x14ac:dyDescent="0.25">
      <c r="A48" s="432" t="s">
        <v>1216</v>
      </c>
      <c r="I48" s="817" t="s">
        <v>161</v>
      </c>
    </row>
    <row r="49" spans="1:9" thickTop="1" thickBot="1" x14ac:dyDescent="0.25">
      <c r="A49" s="631" t="s">
        <v>624</v>
      </c>
      <c r="B49" s="774" t="s">
        <v>162</v>
      </c>
      <c r="C49" s="632" t="s">
        <v>163</v>
      </c>
      <c r="D49" s="634" t="s">
        <v>705</v>
      </c>
      <c r="E49" s="634" t="s">
        <v>164</v>
      </c>
      <c r="F49" s="634" t="s">
        <v>165</v>
      </c>
      <c r="G49" s="634" t="s">
        <v>881</v>
      </c>
      <c r="H49" s="634" t="s">
        <v>882</v>
      </c>
      <c r="I49" s="818" t="s">
        <v>883</v>
      </c>
    </row>
    <row r="50" spans="1:9" thickTop="1" thickBot="1" x14ac:dyDescent="0.25">
      <c r="A50" s="566">
        <v>1</v>
      </c>
      <c r="B50" s="567">
        <v>2</v>
      </c>
      <c r="C50" s="567">
        <v>3</v>
      </c>
      <c r="D50" s="567">
        <v>4</v>
      </c>
      <c r="E50" s="567">
        <v>5</v>
      </c>
      <c r="F50" s="541">
        <v>6</v>
      </c>
      <c r="G50" s="541">
        <v>7</v>
      </c>
      <c r="H50" s="542">
        <v>8</v>
      </c>
      <c r="I50" s="636" t="s">
        <v>762</v>
      </c>
    </row>
    <row r="51" spans="1:9" ht="15.75" thickTop="1" x14ac:dyDescent="0.25">
      <c r="A51" s="431">
        <v>1506</v>
      </c>
      <c r="B51" s="673">
        <v>3111</v>
      </c>
      <c r="C51" s="673">
        <v>5213</v>
      </c>
      <c r="D51" s="819"/>
      <c r="E51" s="792" t="s">
        <v>1173</v>
      </c>
      <c r="F51" s="820"/>
      <c r="G51" s="820">
        <f>SUM(G52:G52)</f>
        <v>815</v>
      </c>
      <c r="H51" s="820">
        <f>SUM(H52:H52)</f>
        <v>815</v>
      </c>
      <c r="I51" s="826">
        <f>(H51/G51)*100</f>
        <v>100</v>
      </c>
    </row>
    <row r="52" spans="1:9" x14ac:dyDescent="0.2">
      <c r="A52" s="431"/>
      <c r="B52" s="750"/>
      <c r="C52" s="750"/>
      <c r="D52" s="1069" t="s">
        <v>1130</v>
      </c>
      <c r="E52" s="1276" t="s">
        <v>0</v>
      </c>
      <c r="F52" s="833"/>
      <c r="G52" s="833">
        <v>815</v>
      </c>
      <c r="H52" s="833">
        <v>815</v>
      </c>
      <c r="I52" s="828">
        <f>(H52/G52)*100</f>
        <v>100</v>
      </c>
    </row>
    <row r="53" spans="1:9" ht="15" x14ac:dyDescent="0.25">
      <c r="A53" s="431">
        <v>1506</v>
      </c>
      <c r="B53" s="750">
        <v>3141</v>
      </c>
      <c r="C53" s="750">
        <v>5213</v>
      </c>
      <c r="D53" s="1069"/>
      <c r="E53" s="792" t="s">
        <v>1173</v>
      </c>
      <c r="F53" s="833"/>
      <c r="G53" s="846">
        <v>32</v>
      </c>
      <c r="H53" s="846">
        <v>32</v>
      </c>
      <c r="I53" s="821">
        <f>(H53/G53)*100</f>
        <v>100</v>
      </c>
    </row>
    <row r="54" spans="1:9" ht="15" thickBot="1" x14ac:dyDescent="0.25">
      <c r="A54" s="431"/>
      <c r="B54" s="750"/>
      <c r="C54" s="750"/>
      <c r="D54" s="1069" t="s">
        <v>1130</v>
      </c>
      <c r="E54" s="1276" t="s">
        <v>0</v>
      </c>
      <c r="F54" s="833"/>
      <c r="G54" s="833">
        <v>32</v>
      </c>
      <c r="H54" s="833">
        <v>32</v>
      </c>
      <c r="I54" s="828">
        <f>(H54/G54)*100</f>
        <v>100</v>
      </c>
    </row>
    <row r="55" spans="1:9" ht="16.5" thickTop="1" thickBot="1" x14ac:dyDescent="0.3">
      <c r="A55" s="2672" t="s">
        <v>1105</v>
      </c>
      <c r="B55" s="2673"/>
      <c r="C55" s="2673"/>
      <c r="D55" s="2673"/>
      <c r="E55" s="2673"/>
      <c r="F55" s="824">
        <v>0</v>
      </c>
      <c r="G55" s="824">
        <f>G51+G53</f>
        <v>847</v>
      </c>
      <c r="H55" s="824">
        <f>H51+H53</f>
        <v>847</v>
      </c>
      <c r="I55" s="825">
        <f>(H55/G55)*100</f>
        <v>100</v>
      </c>
    </row>
    <row r="56" spans="1:9" ht="15" thickTop="1" x14ac:dyDescent="0.2"/>
    <row r="58" spans="1:9" ht="15" thickBot="1" x14ac:dyDescent="0.25">
      <c r="A58" s="432" t="s">
        <v>1457</v>
      </c>
      <c r="I58" s="817" t="s">
        <v>161</v>
      </c>
    </row>
    <row r="59" spans="1:9" s="107" customFormat="1" ht="15.75" customHeight="1" thickTop="1" thickBot="1" x14ac:dyDescent="0.25">
      <c r="A59" s="631" t="s">
        <v>624</v>
      </c>
      <c r="B59" s="774" t="s">
        <v>162</v>
      </c>
      <c r="C59" s="632" t="s">
        <v>163</v>
      </c>
      <c r="D59" s="634" t="s">
        <v>705</v>
      </c>
      <c r="E59" s="634" t="s">
        <v>164</v>
      </c>
      <c r="F59" s="634" t="s">
        <v>165</v>
      </c>
      <c r="G59" s="634" t="s">
        <v>881</v>
      </c>
      <c r="H59" s="634" t="s">
        <v>882</v>
      </c>
      <c r="I59" s="818" t="s">
        <v>883</v>
      </c>
    </row>
    <row r="60" spans="1:9" s="383" customFormat="1" ht="13.5" thickTop="1" thickBot="1" x14ac:dyDescent="0.25">
      <c r="A60" s="566">
        <v>1</v>
      </c>
      <c r="B60" s="567">
        <v>2</v>
      </c>
      <c r="C60" s="567">
        <v>3</v>
      </c>
      <c r="D60" s="567">
        <v>4</v>
      </c>
      <c r="E60" s="567">
        <v>5</v>
      </c>
      <c r="F60" s="541">
        <v>6</v>
      </c>
      <c r="G60" s="541">
        <v>7</v>
      </c>
      <c r="H60" s="542">
        <v>8</v>
      </c>
      <c r="I60" s="636" t="s">
        <v>762</v>
      </c>
    </row>
    <row r="61" spans="1:9" ht="18" customHeight="1" thickTop="1" x14ac:dyDescent="0.25">
      <c r="A61" s="1391">
        <v>1507</v>
      </c>
      <c r="B61" s="673">
        <v>3111</v>
      </c>
      <c r="C61" s="673">
        <v>5213</v>
      </c>
      <c r="D61" s="839"/>
      <c r="E61" s="792" t="s">
        <v>1173</v>
      </c>
      <c r="F61" s="820"/>
      <c r="G61" s="820">
        <f>G62+G63</f>
        <v>2084</v>
      </c>
      <c r="H61" s="820">
        <f>H62+H63</f>
        <v>2084</v>
      </c>
      <c r="I61" s="826">
        <f t="shared" ref="I61:I66" si="3">(H61/G61)*100</f>
        <v>100</v>
      </c>
    </row>
    <row r="62" spans="1:9" x14ac:dyDescent="0.2">
      <c r="A62" s="434"/>
      <c r="B62" s="840"/>
      <c r="C62" s="673"/>
      <c r="D62" s="1069" t="s">
        <v>1130</v>
      </c>
      <c r="E62" s="1291" t="s">
        <v>0</v>
      </c>
      <c r="F62" s="841"/>
      <c r="G62" s="827">
        <v>1969</v>
      </c>
      <c r="H62" s="841">
        <v>1969</v>
      </c>
      <c r="I62" s="823">
        <f t="shared" si="3"/>
        <v>100</v>
      </c>
    </row>
    <row r="63" spans="1:9" x14ac:dyDescent="0.2">
      <c r="A63" s="431"/>
      <c r="B63" s="746"/>
      <c r="C63" s="673"/>
      <c r="D63" s="552" t="s">
        <v>381</v>
      </c>
      <c r="E63" s="1509" t="s">
        <v>1</v>
      </c>
      <c r="F63" s="827"/>
      <c r="G63" s="833">
        <v>115</v>
      </c>
      <c r="H63" s="827">
        <v>115</v>
      </c>
      <c r="I63" s="823">
        <f t="shared" si="3"/>
        <v>100</v>
      </c>
    </row>
    <row r="64" spans="1:9" ht="15" x14ac:dyDescent="0.25">
      <c r="A64" s="431">
        <v>1507</v>
      </c>
      <c r="B64" s="750">
        <v>3141</v>
      </c>
      <c r="C64" s="673">
        <v>5213</v>
      </c>
      <c r="D64" s="819"/>
      <c r="E64" s="792" t="s">
        <v>1173</v>
      </c>
      <c r="F64" s="835"/>
      <c r="G64" s="835">
        <v>93</v>
      </c>
      <c r="H64" s="835">
        <v>93</v>
      </c>
      <c r="I64" s="836">
        <f t="shared" si="3"/>
        <v>100</v>
      </c>
    </row>
    <row r="65" spans="1:9" ht="15" thickBot="1" x14ac:dyDescent="0.25">
      <c r="A65" s="431"/>
      <c r="B65" s="750"/>
      <c r="C65" s="750"/>
      <c r="D65" s="1081" t="s">
        <v>1130</v>
      </c>
      <c r="E65" s="1291" t="s">
        <v>0</v>
      </c>
      <c r="F65" s="833"/>
      <c r="G65" s="833">
        <v>93</v>
      </c>
      <c r="H65" s="833">
        <v>93</v>
      </c>
      <c r="I65" s="828">
        <f t="shared" si="3"/>
        <v>100</v>
      </c>
    </row>
    <row r="66" spans="1:9" ht="16.5" thickTop="1" thickBot="1" x14ac:dyDescent="0.3">
      <c r="A66" s="2672" t="s">
        <v>1105</v>
      </c>
      <c r="B66" s="2673"/>
      <c r="C66" s="2673"/>
      <c r="D66" s="2673"/>
      <c r="E66" s="2673"/>
      <c r="F66" s="824">
        <f>SUM(F61,F64)</f>
        <v>0</v>
      </c>
      <c r="G66" s="824">
        <f>SUM(G61,G64)</f>
        <v>2177</v>
      </c>
      <c r="H66" s="824">
        <f>SUM(H61,H64,)</f>
        <v>2177</v>
      </c>
      <c r="I66" s="825">
        <f t="shared" si="3"/>
        <v>100</v>
      </c>
    </row>
    <row r="67" spans="1:9" ht="20.25" customHeight="1" thickTop="1" thickBot="1" x14ac:dyDescent="0.25">
      <c r="A67" s="432" t="s">
        <v>2030</v>
      </c>
      <c r="I67" s="817" t="s">
        <v>161</v>
      </c>
    </row>
    <row r="68" spans="1:9" s="107" customFormat="1" ht="12.75" thickTop="1" thickBot="1" x14ac:dyDescent="0.25">
      <c r="A68" s="631" t="s">
        <v>624</v>
      </c>
      <c r="B68" s="774" t="s">
        <v>162</v>
      </c>
      <c r="C68" s="632" t="s">
        <v>163</v>
      </c>
      <c r="D68" s="634" t="s">
        <v>705</v>
      </c>
      <c r="E68" s="634" t="s">
        <v>164</v>
      </c>
      <c r="F68" s="634" t="s">
        <v>165</v>
      </c>
      <c r="G68" s="634" t="s">
        <v>881</v>
      </c>
      <c r="H68" s="634" t="s">
        <v>882</v>
      </c>
      <c r="I68" s="818" t="s">
        <v>883</v>
      </c>
    </row>
    <row r="69" spans="1:9" s="383" customFormat="1" ht="13.5" thickTop="1" thickBot="1" x14ac:dyDescent="0.25">
      <c r="A69" s="566">
        <v>1</v>
      </c>
      <c r="B69" s="567">
        <v>2</v>
      </c>
      <c r="C69" s="567">
        <v>3</v>
      </c>
      <c r="D69" s="567">
        <v>4</v>
      </c>
      <c r="E69" s="567">
        <v>5</v>
      </c>
      <c r="F69" s="541">
        <v>6</v>
      </c>
      <c r="G69" s="541">
        <v>7</v>
      </c>
      <c r="H69" s="542">
        <v>8</v>
      </c>
      <c r="I69" s="636" t="s">
        <v>762</v>
      </c>
    </row>
    <row r="70" spans="1:9" ht="15.75" thickTop="1" x14ac:dyDescent="0.25">
      <c r="A70" s="1391">
        <v>1508</v>
      </c>
      <c r="B70" s="673">
        <v>3111</v>
      </c>
      <c r="C70" s="673">
        <v>5213</v>
      </c>
      <c r="D70" s="839"/>
      <c r="E70" s="792" t="s">
        <v>1173</v>
      </c>
      <c r="F70" s="820"/>
      <c r="G70" s="820">
        <f>G71</f>
        <v>1259</v>
      </c>
      <c r="H70" s="820">
        <f>H71</f>
        <v>1259</v>
      </c>
      <c r="I70" s="826">
        <f>(H70/G70)*100</f>
        <v>100</v>
      </c>
    </row>
    <row r="71" spans="1:9" ht="15.75" customHeight="1" x14ac:dyDescent="0.2">
      <c r="A71" s="434"/>
      <c r="B71" s="840"/>
      <c r="C71" s="673"/>
      <c r="D71" s="1069" t="s">
        <v>1130</v>
      </c>
      <c r="E71" s="1291" t="s">
        <v>0</v>
      </c>
      <c r="F71" s="841"/>
      <c r="G71" s="827">
        <v>1259</v>
      </c>
      <c r="H71" s="841">
        <v>1259</v>
      </c>
      <c r="I71" s="823">
        <f>(H71/G71)*100</f>
        <v>100</v>
      </c>
    </row>
    <row r="72" spans="1:9" ht="15" x14ac:dyDescent="0.25">
      <c r="A72" s="431">
        <v>1508</v>
      </c>
      <c r="B72" s="750">
        <v>3141</v>
      </c>
      <c r="C72" s="673">
        <v>5213</v>
      </c>
      <c r="D72" s="819"/>
      <c r="E72" s="792" t="s">
        <v>1173</v>
      </c>
      <c r="F72" s="835"/>
      <c r="G72" s="835">
        <v>64</v>
      </c>
      <c r="H72" s="835">
        <v>64</v>
      </c>
      <c r="I72" s="836">
        <f>(H72/G72)*100</f>
        <v>100</v>
      </c>
    </row>
    <row r="73" spans="1:9" ht="18" customHeight="1" thickBot="1" x14ac:dyDescent="0.25">
      <c r="A73" s="431"/>
      <c r="B73" s="750"/>
      <c r="C73" s="750"/>
      <c r="D73" s="1081" t="s">
        <v>1130</v>
      </c>
      <c r="E73" s="1291" t="s">
        <v>0</v>
      </c>
      <c r="F73" s="833"/>
      <c r="G73" s="833">
        <v>64</v>
      </c>
      <c r="H73" s="833">
        <v>64</v>
      </c>
      <c r="I73" s="828">
        <f>(H73/G73)*100</f>
        <v>100</v>
      </c>
    </row>
    <row r="74" spans="1:9" ht="16.5" thickTop="1" thickBot="1" x14ac:dyDescent="0.3">
      <c r="A74" s="2672" t="s">
        <v>1105</v>
      </c>
      <c r="B74" s="2673"/>
      <c r="C74" s="2673"/>
      <c r="D74" s="2673"/>
      <c r="E74" s="2673"/>
      <c r="F74" s="824">
        <f>SUM(F70,F72)</f>
        <v>0</v>
      </c>
      <c r="G74" s="824">
        <f>SUM(G70,G72,)</f>
        <v>1323</v>
      </c>
      <c r="H74" s="824">
        <f>SUM(H70,H72,)</f>
        <v>1323</v>
      </c>
      <c r="I74" s="825">
        <f>(H74/G74)*100</f>
        <v>100</v>
      </c>
    </row>
    <row r="75" spans="1:9" ht="15" thickTop="1" x14ac:dyDescent="0.2"/>
    <row r="77" spans="1:9" ht="15" thickBot="1" x14ac:dyDescent="0.25">
      <c r="A77" s="432" t="s">
        <v>1606</v>
      </c>
      <c r="I77" s="817" t="s">
        <v>161</v>
      </c>
    </row>
    <row r="78" spans="1:9" s="107" customFormat="1" ht="20.25" customHeight="1" thickTop="1" thickBot="1" x14ac:dyDescent="0.25">
      <c r="A78" s="631" t="s">
        <v>624</v>
      </c>
      <c r="B78" s="774" t="s">
        <v>162</v>
      </c>
      <c r="C78" s="632" t="s">
        <v>163</v>
      </c>
      <c r="D78" s="634" t="s">
        <v>705</v>
      </c>
      <c r="E78" s="634" t="s">
        <v>164</v>
      </c>
      <c r="F78" s="634" t="s">
        <v>165</v>
      </c>
      <c r="G78" s="634" t="s">
        <v>881</v>
      </c>
      <c r="H78" s="634" t="s">
        <v>882</v>
      </c>
      <c r="I78" s="818" t="s">
        <v>883</v>
      </c>
    </row>
    <row r="79" spans="1:9" s="383" customFormat="1" ht="13.5" thickTop="1" thickBot="1" x14ac:dyDescent="0.25">
      <c r="A79" s="566">
        <v>1</v>
      </c>
      <c r="B79" s="567">
        <v>2</v>
      </c>
      <c r="C79" s="567">
        <v>3</v>
      </c>
      <c r="D79" s="567">
        <v>4</v>
      </c>
      <c r="E79" s="567">
        <v>5</v>
      </c>
      <c r="F79" s="541">
        <v>6</v>
      </c>
      <c r="G79" s="541">
        <v>7</v>
      </c>
      <c r="H79" s="542">
        <v>8</v>
      </c>
      <c r="I79" s="636" t="s">
        <v>762</v>
      </c>
    </row>
    <row r="80" spans="1:9" ht="15" customHeight="1" thickTop="1" x14ac:dyDescent="0.25">
      <c r="A80" s="1391">
        <v>1509</v>
      </c>
      <c r="B80" s="673">
        <v>3111</v>
      </c>
      <c r="C80" s="673">
        <v>5213</v>
      </c>
      <c r="D80" s="839"/>
      <c r="E80" s="792" t="s">
        <v>1173</v>
      </c>
      <c r="F80" s="820"/>
      <c r="G80" s="820">
        <f>G81+G82</f>
        <v>1848</v>
      </c>
      <c r="H80" s="820">
        <f>H81+H82</f>
        <v>1848</v>
      </c>
      <c r="I80" s="826">
        <f t="shared" ref="I80:I85" si="4">(H80/G80)*100</f>
        <v>100</v>
      </c>
    </row>
    <row r="81" spans="1:9" x14ac:dyDescent="0.2">
      <c r="A81" s="434"/>
      <c r="B81" s="840"/>
      <c r="C81" s="673"/>
      <c r="D81" s="1069" t="s">
        <v>1130</v>
      </c>
      <c r="E81" s="1291" t="s">
        <v>0</v>
      </c>
      <c r="F81" s="841"/>
      <c r="G81" s="827">
        <v>1772</v>
      </c>
      <c r="H81" s="841">
        <v>1772</v>
      </c>
      <c r="I81" s="823">
        <f t="shared" si="4"/>
        <v>100</v>
      </c>
    </row>
    <row r="82" spans="1:9" x14ac:dyDescent="0.2">
      <c r="A82" s="431"/>
      <c r="B82" s="746"/>
      <c r="C82" s="673"/>
      <c r="D82" s="552" t="s">
        <v>381</v>
      </c>
      <c r="E82" s="1509" t="s">
        <v>1</v>
      </c>
      <c r="F82" s="827"/>
      <c r="G82" s="833">
        <v>76</v>
      </c>
      <c r="H82" s="841">
        <v>76</v>
      </c>
      <c r="I82" s="823">
        <f t="shared" si="4"/>
        <v>100</v>
      </c>
    </row>
    <row r="83" spans="1:9" ht="15" x14ac:dyDescent="0.25">
      <c r="A83" s="431">
        <v>1509</v>
      </c>
      <c r="B83" s="750">
        <v>3141</v>
      </c>
      <c r="C83" s="673">
        <v>5213</v>
      </c>
      <c r="D83" s="819"/>
      <c r="E83" s="792" t="s">
        <v>1173</v>
      </c>
      <c r="F83" s="835"/>
      <c r="G83" s="835">
        <v>83</v>
      </c>
      <c r="H83" s="835">
        <v>83</v>
      </c>
      <c r="I83" s="836">
        <f t="shared" si="4"/>
        <v>100</v>
      </c>
    </row>
    <row r="84" spans="1:9" ht="15" thickBot="1" x14ac:dyDescent="0.25">
      <c r="A84" s="431"/>
      <c r="B84" s="750"/>
      <c r="C84" s="750"/>
      <c r="D84" s="1081" t="s">
        <v>1130</v>
      </c>
      <c r="E84" s="1291" t="s">
        <v>0</v>
      </c>
      <c r="F84" s="833"/>
      <c r="G84" s="833">
        <v>83</v>
      </c>
      <c r="H84" s="833">
        <v>83</v>
      </c>
      <c r="I84" s="828">
        <f t="shared" si="4"/>
        <v>100</v>
      </c>
    </row>
    <row r="85" spans="1:9" ht="15" customHeight="1" thickTop="1" thickBot="1" x14ac:dyDescent="0.3">
      <c r="A85" s="2672" t="s">
        <v>1105</v>
      </c>
      <c r="B85" s="2673"/>
      <c r="C85" s="2673"/>
      <c r="D85" s="2673"/>
      <c r="E85" s="2673"/>
      <c r="F85" s="824">
        <f>SUM(F80,F83)</f>
        <v>0</v>
      </c>
      <c r="G85" s="824">
        <f>SUM(G80,G83)</f>
        <v>1931</v>
      </c>
      <c r="H85" s="824">
        <f>SUM(H80,H83)</f>
        <v>1931</v>
      </c>
      <c r="I85" s="825">
        <f t="shared" si="4"/>
        <v>100</v>
      </c>
    </row>
    <row r="86" spans="1:9" ht="15.75" customHeight="1" thickTop="1" x14ac:dyDescent="0.2"/>
    <row r="87" spans="1:9" ht="15.75" customHeight="1" x14ac:dyDescent="0.2"/>
    <row r="88" spans="1:9" ht="15.75" customHeight="1" thickBot="1" x14ac:dyDescent="0.25">
      <c r="A88" s="432" t="s">
        <v>1607</v>
      </c>
      <c r="I88" s="817" t="s">
        <v>161</v>
      </c>
    </row>
    <row r="89" spans="1:9" s="107" customFormat="1" ht="15.75" customHeight="1" thickTop="1" thickBot="1" x14ac:dyDescent="0.25">
      <c r="A89" s="631" t="s">
        <v>624</v>
      </c>
      <c r="B89" s="774" t="s">
        <v>162</v>
      </c>
      <c r="C89" s="632" t="s">
        <v>163</v>
      </c>
      <c r="D89" s="634" t="s">
        <v>705</v>
      </c>
      <c r="E89" s="634" t="s">
        <v>164</v>
      </c>
      <c r="F89" s="634" t="s">
        <v>165</v>
      </c>
      <c r="G89" s="634" t="s">
        <v>881</v>
      </c>
      <c r="H89" s="634" t="s">
        <v>882</v>
      </c>
      <c r="I89" s="818" t="s">
        <v>883</v>
      </c>
    </row>
    <row r="90" spans="1:9" s="383" customFormat="1" ht="13.5" thickTop="1" thickBot="1" x14ac:dyDescent="0.25">
      <c r="A90" s="566">
        <v>1</v>
      </c>
      <c r="B90" s="567">
        <v>2</v>
      </c>
      <c r="C90" s="567">
        <v>3</v>
      </c>
      <c r="D90" s="567">
        <v>4</v>
      </c>
      <c r="E90" s="567">
        <v>5</v>
      </c>
      <c r="F90" s="541">
        <v>6</v>
      </c>
      <c r="G90" s="541">
        <v>7</v>
      </c>
      <c r="H90" s="542">
        <v>8</v>
      </c>
      <c r="I90" s="636" t="s">
        <v>762</v>
      </c>
    </row>
    <row r="91" spans="1:9" s="107" customFormat="1" ht="15.75" thickTop="1" x14ac:dyDescent="0.25">
      <c r="A91" s="431">
        <v>1510</v>
      </c>
      <c r="B91" s="673">
        <v>3114</v>
      </c>
      <c r="C91" s="673">
        <v>5213</v>
      </c>
      <c r="D91" s="819"/>
      <c r="E91" s="792" t="s">
        <v>1173</v>
      </c>
      <c r="F91" s="820"/>
      <c r="G91" s="820">
        <f>SUM(G92:G93)</f>
        <v>7072</v>
      </c>
      <c r="H91" s="820">
        <f>SUM(H92:H93)</f>
        <v>7072</v>
      </c>
      <c r="I91" s="821">
        <f>(H91/G91)*100</f>
        <v>100</v>
      </c>
    </row>
    <row r="92" spans="1:9" x14ac:dyDescent="0.2">
      <c r="A92" s="431"/>
      <c r="B92" s="673"/>
      <c r="C92" s="673"/>
      <c r="D92" s="1069" t="s">
        <v>1130</v>
      </c>
      <c r="E92" s="1291" t="s">
        <v>0</v>
      </c>
      <c r="F92" s="827"/>
      <c r="G92" s="827">
        <v>6406</v>
      </c>
      <c r="H92" s="827">
        <v>6406</v>
      </c>
      <c r="I92" s="823">
        <f>(H92/G92)*100</f>
        <v>100</v>
      </c>
    </row>
    <row r="93" spans="1:9" x14ac:dyDescent="0.2">
      <c r="A93" s="431"/>
      <c r="B93" s="673"/>
      <c r="C93" s="673"/>
      <c r="D93" s="1068" t="s">
        <v>381</v>
      </c>
      <c r="E93" s="1509" t="s">
        <v>1</v>
      </c>
      <c r="F93" s="827"/>
      <c r="G93" s="827">
        <v>666</v>
      </c>
      <c r="H93" s="827">
        <v>666</v>
      </c>
      <c r="I93" s="823">
        <f>(H93/G93)*100</f>
        <v>100</v>
      </c>
    </row>
    <row r="94" spans="1:9" s="107" customFormat="1" ht="15" x14ac:dyDescent="0.25">
      <c r="A94" s="431">
        <v>1510</v>
      </c>
      <c r="B94" s="673">
        <v>3124</v>
      </c>
      <c r="C94" s="1392">
        <v>5213</v>
      </c>
      <c r="D94" s="829"/>
      <c r="E94" s="792" t="s">
        <v>1173</v>
      </c>
      <c r="F94" s="820"/>
      <c r="G94" s="820">
        <f>SUM(G95:G96)</f>
        <v>5456</v>
      </c>
      <c r="H94" s="820">
        <f>SUM(H95:H96)</f>
        <v>5456</v>
      </c>
      <c r="I94" s="821">
        <f t="shared" ref="I94:I102" si="5">(H94/G94)*100</f>
        <v>100</v>
      </c>
    </row>
    <row r="95" spans="1:9" x14ac:dyDescent="0.2">
      <c r="A95" s="431"/>
      <c r="B95" s="750"/>
      <c r="C95" s="750"/>
      <c r="D95" s="1069" t="s">
        <v>1130</v>
      </c>
      <c r="E95" s="1291" t="s">
        <v>0</v>
      </c>
      <c r="F95" s="833"/>
      <c r="G95" s="833">
        <v>5216</v>
      </c>
      <c r="H95" s="833">
        <v>5216</v>
      </c>
      <c r="I95" s="828">
        <f t="shared" si="5"/>
        <v>100</v>
      </c>
    </row>
    <row r="96" spans="1:9" x14ac:dyDescent="0.2">
      <c r="A96" s="431"/>
      <c r="B96" s="750"/>
      <c r="C96" s="750"/>
      <c r="D96" s="1068" t="s">
        <v>381</v>
      </c>
      <c r="E96" s="1509" t="s">
        <v>1</v>
      </c>
      <c r="F96" s="833"/>
      <c r="G96" s="833">
        <v>240</v>
      </c>
      <c r="H96" s="833">
        <v>240</v>
      </c>
      <c r="I96" s="828">
        <f t="shared" si="5"/>
        <v>100</v>
      </c>
    </row>
    <row r="97" spans="1:9" ht="15" x14ac:dyDescent="0.25">
      <c r="A97" s="431">
        <v>1510</v>
      </c>
      <c r="B97" s="750">
        <v>3142</v>
      </c>
      <c r="C97" s="1393">
        <v>5213</v>
      </c>
      <c r="D97" s="829"/>
      <c r="E97" s="672" t="s">
        <v>1173</v>
      </c>
      <c r="F97" s="835"/>
      <c r="G97" s="835">
        <f>SUM(G98:G98)</f>
        <v>63</v>
      </c>
      <c r="H97" s="835">
        <f>SUM(H98:H98)</f>
        <v>63</v>
      </c>
      <c r="I97" s="836">
        <f t="shared" si="5"/>
        <v>100</v>
      </c>
    </row>
    <row r="98" spans="1:9" ht="20.25" customHeight="1" x14ac:dyDescent="0.25">
      <c r="A98" s="431"/>
      <c r="B98" s="750"/>
      <c r="C98" s="1393"/>
      <c r="D98" s="1069" t="s">
        <v>1130</v>
      </c>
      <c r="E98" s="1293" t="s">
        <v>0</v>
      </c>
      <c r="F98" s="835"/>
      <c r="G98" s="837">
        <v>63</v>
      </c>
      <c r="H98" s="837">
        <v>63</v>
      </c>
      <c r="I98" s="828">
        <f t="shared" si="5"/>
        <v>100</v>
      </c>
    </row>
    <row r="99" spans="1:9" ht="15" x14ac:dyDescent="0.25">
      <c r="A99" s="431">
        <v>1510</v>
      </c>
      <c r="B99" s="750">
        <v>3143</v>
      </c>
      <c r="C99" s="1393">
        <v>5213</v>
      </c>
      <c r="D99" s="829"/>
      <c r="E99" s="672" t="s">
        <v>1173</v>
      </c>
      <c r="F99" s="835"/>
      <c r="G99" s="835">
        <v>216</v>
      </c>
      <c r="H99" s="835">
        <v>216</v>
      </c>
      <c r="I99" s="836">
        <f t="shared" si="5"/>
        <v>100</v>
      </c>
    </row>
    <row r="100" spans="1:9" x14ac:dyDescent="0.2">
      <c r="A100" s="431"/>
      <c r="B100" s="750"/>
      <c r="C100" s="750"/>
      <c r="D100" s="1069" t="s">
        <v>1130</v>
      </c>
      <c r="E100" s="1293" t="s">
        <v>0</v>
      </c>
      <c r="F100" s="833"/>
      <c r="G100" s="833">
        <v>216</v>
      </c>
      <c r="H100" s="833">
        <v>216</v>
      </c>
      <c r="I100" s="828">
        <f t="shared" si="5"/>
        <v>100</v>
      </c>
    </row>
    <row r="101" spans="1:9" ht="15" x14ac:dyDescent="0.25">
      <c r="A101" s="1507">
        <v>1510</v>
      </c>
      <c r="B101" s="750">
        <v>3145</v>
      </c>
      <c r="C101" s="750">
        <v>5213</v>
      </c>
      <c r="D101" s="819"/>
      <c r="E101" s="672" t="s">
        <v>1173</v>
      </c>
      <c r="F101" s="835"/>
      <c r="G101" s="835">
        <f>SUM(G102:G102)</f>
        <v>728</v>
      </c>
      <c r="H101" s="835">
        <f>SUM(H102:H102)</f>
        <v>728</v>
      </c>
      <c r="I101" s="838">
        <f t="shared" si="5"/>
        <v>100</v>
      </c>
    </row>
    <row r="102" spans="1:9" ht="15" thickBot="1" x14ac:dyDescent="0.25">
      <c r="A102" s="431"/>
      <c r="B102" s="673"/>
      <c r="C102" s="673"/>
      <c r="D102" s="1069" t="s">
        <v>1130</v>
      </c>
      <c r="E102" s="1293" t="s">
        <v>0</v>
      </c>
      <c r="F102" s="827"/>
      <c r="G102" s="827">
        <v>728</v>
      </c>
      <c r="H102" s="827">
        <v>728</v>
      </c>
      <c r="I102" s="828">
        <f t="shared" si="5"/>
        <v>100</v>
      </c>
    </row>
    <row r="103" spans="1:9" ht="16.5" thickTop="1" thickBot="1" x14ac:dyDescent="0.3">
      <c r="A103" s="2672" t="s">
        <v>1105</v>
      </c>
      <c r="B103" s="2673"/>
      <c r="C103" s="2673"/>
      <c r="D103" s="2673"/>
      <c r="E103" s="2673"/>
      <c r="F103" s="824">
        <v>0</v>
      </c>
      <c r="G103" s="824">
        <f>SUM(G91,G94,G97,G99,G101)</f>
        <v>13535</v>
      </c>
      <c r="H103" s="824">
        <f>SUM(H91,H94,H97,H99,H101)</f>
        <v>13535</v>
      </c>
      <c r="I103" s="825">
        <f>(H103/G103)*100</f>
        <v>100</v>
      </c>
    </row>
    <row r="104" spans="1:9" ht="15" thickTop="1" x14ac:dyDescent="0.2"/>
    <row r="106" spans="1:9" ht="18" customHeight="1" thickBot="1" x14ac:dyDescent="0.25">
      <c r="A106" s="432" t="s">
        <v>741</v>
      </c>
      <c r="I106" s="817" t="s">
        <v>161</v>
      </c>
    </row>
    <row r="107" spans="1:9" s="107" customFormat="1" ht="12.75" thickTop="1" thickBot="1" x14ac:dyDescent="0.25">
      <c r="A107" s="631" t="s">
        <v>624</v>
      </c>
      <c r="B107" s="774" t="s">
        <v>162</v>
      </c>
      <c r="C107" s="632" t="s">
        <v>163</v>
      </c>
      <c r="D107" s="634" t="s">
        <v>705</v>
      </c>
      <c r="E107" s="634" t="s">
        <v>164</v>
      </c>
      <c r="F107" s="634" t="s">
        <v>165</v>
      </c>
      <c r="G107" s="634" t="s">
        <v>881</v>
      </c>
      <c r="H107" s="634" t="s">
        <v>882</v>
      </c>
      <c r="I107" s="818" t="s">
        <v>883</v>
      </c>
    </row>
    <row r="108" spans="1:9" s="383" customFormat="1" ht="13.5" thickTop="1" thickBot="1" x14ac:dyDescent="0.25">
      <c r="A108" s="566">
        <v>1</v>
      </c>
      <c r="B108" s="567">
        <v>2</v>
      </c>
      <c r="C108" s="567">
        <v>3</v>
      </c>
      <c r="D108" s="567">
        <v>4</v>
      </c>
      <c r="E108" s="567">
        <v>5</v>
      </c>
      <c r="F108" s="541">
        <v>6</v>
      </c>
      <c r="G108" s="541">
        <v>7</v>
      </c>
      <c r="H108" s="542">
        <v>8</v>
      </c>
      <c r="I108" s="636" t="s">
        <v>762</v>
      </c>
    </row>
    <row r="109" spans="1:9" ht="15.75" thickTop="1" x14ac:dyDescent="0.25">
      <c r="A109" s="1391">
        <v>1511</v>
      </c>
      <c r="B109" s="673">
        <v>3114</v>
      </c>
      <c r="C109" s="673">
        <v>5221</v>
      </c>
      <c r="D109" s="839"/>
      <c r="E109" s="672" t="s">
        <v>1174</v>
      </c>
      <c r="F109" s="820"/>
      <c r="G109" s="820">
        <f>G110+G111</f>
        <v>1998</v>
      </c>
      <c r="H109" s="820">
        <f>H110+H111</f>
        <v>1998</v>
      </c>
      <c r="I109" s="826">
        <f t="shared" ref="I109:I114" si="6">(H109/G109)*100</f>
        <v>100</v>
      </c>
    </row>
    <row r="110" spans="1:9" ht="15" customHeight="1" x14ac:dyDescent="0.2">
      <c r="A110" s="434"/>
      <c r="B110" s="840"/>
      <c r="C110" s="673"/>
      <c r="D110" s="1069" t="s">
        <v>1130</v>
      </c>
      <c r="E110" s="1291" t="s">
        <v>0</v>
      </c>
      <c r="F110" s="841"/>
      <c r="G110" s="827">
        <v>1838</v>
      </c>
      <c r="H110" s="841">
        <v>1838</v>
      </c>
      <c r="I110" s="823">
        <f t="shared" si="6"/>
        <v>100</v>
      </c>
    </row>
    <row r="111" spans="1:9" x14ac:dyDescent="0.2">
      <c r="A111" s="434"/>
      <c r="B111" s="673"/>
      <c r="C111" s="750"/>
      <c r="D111" s="1068" t="s">
        <v>381</v>
      </c>
      <c r="E111" s="1509" t="s">
        <v>1</v>
      </c>
      <c r="F111" s="841"/>
      <c r="G111" s="827">
        <v>160</v>
      </c>
      <c r="H111" s="827">
        <v>160</v>
      </c>
      <c r="I111" s="828">
        <f t="shared" si="6"/>
        <v>100</v>
      </c>
    </row>
    <row r="112" spans="1:9" ht="15.75" customHeight="1" x14ac:dyDescent="0.25">
      <c r="A112" s="431">
        <v>1511</v>
      </c>
      <c r="B112" s="750">
        <v>3141</v>
      </c>
      <c r="C112" s="1393">
        <v>5221</v>
      </c>
      <c r="D112" s="829"/>
      <c r="E112" s="672" t="s">
        <v>1174</v>
      </c>
      <c r="F112" s="835"/>
      <c r="G112" s="835">
        <v>8</v>
      </c>
      <c r="H112" s="835">
        <v>8</v>
      </c>
      <c r="I112" s="836">
        <f t="shared" si="6"/>
        <v>100</v>
      </c>
    </row>
    <row r="113" spans="1:9" ht="15" thickBot="1" x14ac:dyDescent="0.25">
      <c r="A113" s="431"/>
      <c r="B113" s="750"/>
      <c r="C113" s="750"/>
      <c r="D113" s="1081" t="s">
        <v>1130</v>
      </c>
      <c r="E113" s="1291" t="s">
        <v>0</v>
      </c>
      <c r="F113" s="833"/>
      <c r="G113" s="833">
        <v>8</v>
      </c>
      <c r="H113" s="833">
        <v>8</v>
      </c>
      <c r="I113" s="828">
        <f t="shared" si="6"/>
        <v>100</v>
      </c>
    </row>
    <row r="114" spans="1:9" s="1483" customFormat="1" ht="16.5" thickTop="1" thickBot="1" x14ac:dyDescent="0.25">
      <c r="A114" s="2683" t="s">
        <v>1105</v>
      </c>
      <c r="B114" s="2684"/>
      <c r="C114" s="2684"/>
      <c r="D114" s="2684"/>
      <c r="E114" s="2684"/>
      <c r="F114" s="1494">
        <f>SUM(F109,F112)</f>
        <v>0</v>
      </c>
      <c r="G114" s="1494">
        <f>SUM(G109,G112,)</f>
        <v>2006</v>
      </c>
      <c r="H114" s="1494">
        <f>SUM(H109,H112,)</f>
        <v>2006</v>
      </c>
      <c r="I114" s="1495">
        <f t="shared" si="6"/>
        <v>100</v>
      </c>
    </row>
    <row r="115" spans="1:9" s="1483" customFormat="1" ht="15.75" customHeight="1" thickTop="1" x14ac:dyDescent="0.2">
      <c r="B115" s="1497"/>
      <c r="D115" s="1498"/>
      <c r="F115" s="1532"/>
      <c r="G115" s="1532"/>
      <c r="H115" s="1532"/>
      <c r="I115" s="1533"/>
    </row>
    <row r="116" spans="1:9" s="1483" customFormat="1" ht="15.75" customHeight="1" x14ac:dyDescent="0.2">
      <c r="B116" s="1497"/>
      <c r="D116" s="1498"/>
      <c r="F116" s="1532"/>
      <c r="G116" s="1532"/>
      <c r="H116" s="1532"/>
      <c r="I116" s="1533"/>
    </row>
    <row r="117" spans="1:9" s="1483" customFormat="1" ht="15" thickBot="1" x14ac:dyDescent="0.25">
      <c r="A117" s="1510" t="s">
        <v>1608</v>
      </c>
      <c r="B117" s="1497"/>
      <c r="D117" s="1498"/>
      <c r="F117" s="1532"/>
      <c r="G117" s="1532"/>
      <c r="H117" s="1532"/>
      <c r="I117" s="1534" t="s">
        <v>161</v>
      </c>
    </row>
    <row r="118" spans="1:9" s="1540" customFormat="1" ht="12.75" thickTop="1" thickBot="1" x14ac:dyDescent="0.25">
      <c r="A118" s="1535" t="s">
        <v>624</v>
      </c>
      <c r="B118" s="1536" t="s">
        <v>162</v>
      </c>
      <c r="C118" s="1537" t="s">
        <v>163</v>
      </c>
      <c r="D118" s="1538" t="s">
        <v>705</v>
      </c>
      <c r="E118" s="1538" t="s">
        <v>164</v>
      </c>
      <c r="F118" s="1538" t="s">
        <v>165</v>
      </c>
      <c r="G118" s="1538" t="s">
        <v>881</v>
      </c>
      <c r="H118" s="1538" t="s">
        <v>882</v>
      </c>
      <c r="I118" s="1539" t="s">
        <v>883</v>
      </c>
    </row>
    <row r="119" spans="1:9" s="1506" customFormat="1" ht="18" customHeight="1" thickTop="1" thickBot="1" x14ac:dyDescent="0.25">
      <c r="A119" s="1501">
        <v>1</v>
      </c>
      <c r="B119" s="1502">
        <v>2</v>
      </c>
      <c r="C119" s="1502">
        <v>3</v>
      </c>
      <c r="D119" s="1502">
        <v>4</v>
      </c>
      <c r="E119" s="1502">
        <v>5</v>
      </c>
      <c r="F119" s="1503">
        <v>6</v>
      </c>
      <c r="G119" s="1503">
        <v>7</v>
      </c>
      <c r="H119" s="1504">
        <v>8</v>
      </c>
      <c r="I119" s="1505" t="s">
        <v>762</v>
      </c>
    </row>
    <row r="120" spans="1:9" s="1483" customFormat="1" ht="15.75" thickTop="1" x14ac:dyDescent="0.2">
      <c r="A120" s="1507">
        <v>1512</v>
      </c>
      <c r="B120" s="1508">
        <v>3114</v>
      </c>
      <c r="C120" s="1541">
        <v>5221</v>
      </c>
      <c r="D120" s="1542"/>
      <c r="E120" s="1543" t="s">
        <v>1174</v>
      </c>
      <c r="F120" s="1544"/>
      <c r="G120" s="1544">
        <f>SUM(G121:G123)</f>
        <v>5081</v>
      </c>
      <c r="H120" s="1544">
        <f>SUM(H121:H123)</f>
        <v>5081</v>
      </c>
      <c r="I120" s="1545">
        <f t="shared" ref="I120:I131" si="7">(H120/G120)*100</f>
        <v>100</v>
      </c>
    </row>
    <row r="121" spans="1:9" s="1483" customFormat="1" ht="15" x14ac:dyDescent="0.2">
      <c r="A121" s="1507"/>
      <c r="B121" s="1508"/>
      <c r="C121" s="1541"/>
      <c r="D121" s="1068" t="s">
        <v>926</v>
      </c>
      <c r="E121" s="1290" t="s">
        <v>2031</v>
      </c>
      <c r="F121" s="1544"/>
      <c r="G121" s="1377">
        <v>11</v>
      </c>
      <c r="H121" s="1377">
        <v>11</v>
      </c>
      <c r="I121" s="1297">
        <f t="shared" si="7"/>
        <v>100</v>
      </c>
    </row>
    <row r="122" spans="1:9" s="1483" customFormat="1" x14ac:dyDescent="0.2">
      <c r="A122" s="1507"/>
      <c r="B122" s="1508"/>
      <c r="C122" s="1541"/>
      <c r="D122" s="1068" t="s">
        <v>1130</v>
      </c>
      <c r="E122" s="1290" t="s">
        <v>0</v>
      </c>
      <c r="F122" s="1301"/>
      <c r="G122" s="1301">
        <v>4558</v>
      </c>
      <c r="H122" s="1301">
        <v>4558</v>
      </c>
      <c r="I122" s="1297">
        <f t="shared" si="7"/>
        <v>100</v>
      </c>
    </row>
    <row r="123" spans="1:9" s="1483" customFormat="1" x14ac:dyDescent="0.2">
      <c r="A123" s="1507"/>
      <c r="B123" s="1524"/>
      <c r="C123" s="1525"/>
      <c r="D123" s="1068" t="s">
        <v>381</v>
      </c>
      <c r="E123" s="1509" t="s">
        <v>1</v>
      </c>
      <c r="F123" s="1296"/>
      <c r="G123" s="1301">
        <v>512</v>
      </c>
      <c r="H123" s="1301">
        <v>512</v>
      </c>
      <c r="I123" s="1297">
        <f t="shared" si="7"/>
        <v>100</v>
      </c>
    </row>
    <row r="124" spans="1:9" s="1483" customFormat="1" ht="15" x14ac:dyDescent="0.2">
      <c r="A124" s="1507">
        <v>1512</v>
      </c>
      <c r="B124" s="1524">
        <v>3124</v>
      </c>
      <c r="C124" s="1524">
        <v>5221</v>
      </c>
      <c r="D124" s="1546"/>
      <c r="E124" s="1547" t="s">
        <v>1174</v>
      </c>
      <c r="F124" s="1548"/>
      <c r="G124" s="1548">
        <f>G126+G125</f>
        <v>1359</v>
      </c>
      <c r="H124" s="1548">
        <f>H126+H125</f>
        <v>1359</v>
      </c>
      <c r="I124" s="1549">
        <f t="shared" si="7"/>
        <v>100</v>
      </c>
    </row>
    <row r="125" spans="1:9" s="1483" customFormat="1" x14ac:dyDescent="0.2">
      <c r="A125" s="1507"/>
      <c r="B125" s="1524"/>
      <c r="C125" s="1524"/>
      <c r="D125" s="1068" t="s">
        <v>1130</v>
      </c>
      <c r="E125" s="1290" t="s">
        <v>0</v>
      </c>
      <c r="F125" s="1296"/>
      <c r="G125" s="1296">
        <v>1238</v>
      </c>
      <c r="H125" s="1296">
        <v>1238</v>
      </c>
      <c r="I125" s="1300">
        <f t="shared" si="7"/>
        <v>100</v>
      </c>
    </row>
    <row r="126" spans="1:9" s="1483" customFormat="1" x14ac:dyDescent="0.2">
      <c r="A126" s="1507"/>
      <c r="B126" s="1524"/>
      <c r="C126" s="1524"/>
      <c r="D126" s="1068" t="s">
        <v>381</v>
      </c>
      <c r="E126" s="1509" t="s">
        <v>1</v>
      </c>
      <c r="F126" s="1296"/>
      <c r="G126" s="1296">
        <v>121</v>
      </c>
      <c r="H126" s="1296">
        <v>121</v>
      </c>
      <c r="I126" s="1300">
        <f t="shared" si="7"/>
        <v>100</v>
      </c>
    </row>
    <row r="127" spans="1:9" s="1483" customFormat="1" ht="15" x14ac:dyDescent="0.2">
      <c r="A127" s="1507">
        <v>1512</v>
      </c>
      <c r="B127" s="1524">
        <v>3141</v>
      </c>
      <c r="C127" s="1524">
        <v>5221</v>
      </c>
      <c r="D127" s="1068"/>
      <c r="E127" s="1547" t="s">
        <v>1174</v>
      </c>
      <c r="F127" s="1296"/>
      <c r="G127" s="1298">
        <v>32</v>
      </c>
      <c r="H127" s="1298">
        <v>32</v>
      </c>
      <c r="I127" s="1299">
        <f t="shared" si="7"/>
        <v>100</v>
      </c>
    </row>
    <row r="128" spans="1:9" s="1483" customFormat="1" x14ac:dyDescent="0.2">
      <c r="A128" s="1507"/>
      <c r="B128" s="1524"/>
      <c r="C128" s="1524"/>
      <c r="D128" s="1068" t="s">
        <v>1130</v>
      </c>
      <c r="E128" s="1290" t="s">
        <v>0</v>
      </c>
      <c r="F128" s="1296"/>
      <c r="G128" s="1296">
        <v>32</v>
      </c>
      <c r="H128" s="1296">
        <v>32</v>
      </c>
      <c r="I128" s="1300">
        <f t="shared" si="7"/>
        <v>100</v>
      </c>
    </row>
    <row r="129" spans="1:9" s="1483" customFormat="1" ht="15" x14ac:dyDescent="0.2">
      <c r="A129" s="1507">
        <v>1512</v>
      </c>
      <c r="B129" s="1524">
        <v>3792</v>
      </c>
      <c r="C129" s="1524">
        <v>5221</v>
      </c>
      <c r="D129" s="1068"/>
      <c r="E129" s="1547" t="s">
        <v>1174</v>
      </c>
      <c r="F129" s="1296"/>
      <c r="G129" s="1298">
        <v>10</v>
      </c>
      <c r="H129" s="1298">
        <v>10</v>
      </c>
      <c r="I129" s="1299">
        <f t="shared" si="7"/>
        <v>100</v>
      </c>
    </row>
    <row r="130" spans="1:9" s="1483" customFormat="1" ht="15" thickBot="1" x14ac:dyDescent="0.25">
      <c r="A130" s="1507"/>
      <c r="B130" s="1524"/>
      <c r="C130" s="1524"/>
      <c r="D130" s="1059" t="s">
        <v>1319</v>
      </c>
      <c r="E130" s="117" t="s">
        <v>369</v>
      </c>
      <c r="F130" s="1296"/>
      <c r="G130" s="1296">
        <v>10</v>
      </c>
      <c r="H130" s="1296">
        <v>10</v>
      </c>
      <c r="I130" s="1300">
        <f t="shared" si="7"/>
        <v>100</v>
      </c>
    </row>
    <row r="131" spans="1:9" s="1483" customFormat="1" ht="16.5" thickTop="1" thickBot="1" x14ac:dyDescent="0.25">
      <c r="A131" s="2683" t="s">
        <v>1105</v>
      </c>
      <c r="B131" s="2684"/>
      <c r="C131" s="2684"/>
      <c r="D131" s="2684"/>
      <c r="E131" s="2684"/>
      <c r="F131" s="1494">
        <f>SUM(F120)</f>
        <v>0</v>
      </c>
      <c r="G131" s="1494">
        <f>SUM(G120,G124,G127,G129)</f>
        <v>6482</v>
      </c>
      <c r="H131" s="1494">
        <f>SUM(H120,H124,H127,H129)</f>
        <v>6482</v>
      </c>
      <c r="I131" s="1495">
        <f t="shared" si="7"/>
        <v>100</v>
      </c>
    </row>
    <row r="132" spans="1:9" ht="15" thickTop="1" x14ac:dyDescent="0.2"/>
    <row r="134" spans="1:9" s="1483" customFormat="1" ht="15" thickBot="1" x14ac:dyDescent="0.25">
      <c r="A134" s="1510" t="s">
        <v>877</v>
      </c>
      <c r="B134" s="1497"/>
      <c r="D134" s="1498"/>
      <c r="F134" s="1532"/>
      <c r="G134" s="1532"/>
      <c r="H134" s="1532"/>
      <c r="I134" s="1534" t="s">
        <v>161</v>
      </c>
    </row>
    <row r="135" spans="1:9" s="1540" customFormat="1" ht="20.25" customHeight="1" thickTop="1" thickBot="1" x14ac:dyDescent="0.25">
      <c r="A135" s="1535" t="s">
        <v>624</v>
      </c>
      <c r="B135" s="1536" t="s">
        <v>162</v>
      </c>
      <c r="C135" s="1537" t="s">
        <v>163</v>
      </c>
      <c r="D135" s="1538" t="s">
        <v>705</v>
      </c>
      <c r="E135" s="1538" t="s">
        <v>164</v>
      </c>
      <c r="F135" s="1538" t="s">
        <v>165</v>
      </c>
      <c r="G135" s="1538" t="s">
        <v>881</v>
      </c>
      <c r="H135" s="1538" t="s">
        <v>882</v>
      </c>
      <c r="I135" s="1539" t="s">
        <v>883</v>
      </c>
    </row>
    <row r="136" spans="1:9" s="1506" customFormat="1" ht="13.5" thickTop="1" thickBot="1" x14ac:dyDescent="0.25">
      <c r="A136" s="1501">
        <v>1</v>
      </c>
      <c r="B136" s="1502">
        <v>2</v>
      </c>
      <c r="C136" s="1502">
        <v>3</v>
      </c>
      <c r="D136" s="1502">
        <v>4</v>
      </c>
      <c r="E136" s="1502">
        <v>5</v>
      </c>
      <c r="F136" s="1503">
        <v>6</v>
      </c>
      <c r="G136" s="1503">
        <v>7</v>
      </c>
      <c r="H136" s="1504">
        <v>8</v>
      </c>
      <c r="I136" s="1505" t="s">
        <v>762</v>
      </c>
    </row>
    <row r="137" spans="1:9" s="1483" customFormat="1" ht="15.75" thickTop="1" x14ac:dyDescent="0.2">
      <c r="A137" s="1507">
        <v>1513</v>
      </c>
      <c r="B137" s="1508">
        <v>3112</v>
      </c>
      <c r="C137" s="1508">
        <v>5221</v>
      </c>
      <c r="D137" s="1486"/>
      <c r="E137" s="1547" t="s">
        <v>1174</v>
      </c>
      <c r="F137" s="1544"/>
      <c r="G137" s="1550">
        <f>SUM(G138:G139)</f>
        <v>705</v>
      </c>
      <c r="H137" s="1550">
        <f>SUM(H138:H139)</f>
        <v>705</v>
      </c>
      <c r="I137" s="1489">
        <f t="shared" ref="I137:I152" si="8">(H137/G137)*100</f>
        <v>100</v>
      </c>
    </row>
    <row r="138" spans="1:9" s="1483" customFormat="1" x14ac:dyDescent="0.2">
      <c r="A138" s="1507"/>
      <c r="B138" s="1524"/>
      <c r="C138" s="1524"/>
      <c r="D138" s="1068" t="s">
        <v>1130</v>
      </c>
      <c r="E138" s="1290" t="s">
        <v>0</v>
      </c>
      <c r="F138" s="1296"/>
      <c r="G138" s="1296">
        <v>590</v>
      </c>
      <c r="H138" s="1296">
        <v>590</v>
      </c>
      <c r="I138" s="1300">
        <f>(H138/G138)*100</f>
        <v>100</v>
      </c>
    </row>
    <row r="139" spans="1:9" s="1483" customFormat="1" x14ac:dyDescent="0.2">
      <c r="A139" s="1507"/>
      <c r="B139" s="1524"/>
      <c r="C139" s="1524"/>
      <c r="D139" s="1068" t="s">
        <v>381</v>
      </c>
      <c r="E139" s="1509" t="s">
        <v>1</v>
      </c>
      <c r="F139" s="1296"/>
      <c r="G139" s="1296">
        <v>115</v>
      </c>
      <c r="H139" s="1296">
        <v>115</v>
      </c>
      <c r="I139" s="1300">
        <f>(H139/G139)*100</f>
        <v>100</v>
      </c>
    </row>
    <row r="140" spans="1:9" s="1483" customFormat="1" ht="15.75" customHeight="1" x14ac:dyDescent="0.2">
      <c r="A140" s="1507">
        <v>1513</v>
      </c>
      <c r="B140" s="1524">
        <v>3114</v>
      </c>
      <c r="C140" s="1525">
        <v>5221</v>
      </c>
      <c r="D140" s="1542"/>
      <c r="E140" s="1547" t="s">
        <v>1174</v>
      </c>
      <c r="F140" s="1548"/>
      <c r="G140" s="1548">
        <f>SUM(G141:G144)</f>
        <v>7806</v>
      </c>
      <c r="H140" s="1548">
        <f>SUM(H141:H144)</f>
        <v>7806</v>
      </c>
      <c r="I140" s="1549">
        <f t="shared" si="8"/>
        <v>100</v>
      </c>
    </row>
    <row r="141" spans="1:9" s="1483" customFormat="1" ht="15.75" customHeight="1" x14ac:dyDescent="0.2">
      <c r="A141" s="1507"/>
      <c r="B141" s="1524"/>
      <c r="C141" s="1525"/>
      <c r="D141" s="1068" t="s">
        <v>926</v>
      </c>
      <c r="E141" s="1290" t="s">
        <v>2031</v>
      </c>
      <c r="F141" s="1548"/>
      <c r="G141" s="1551">
        <v>27</v>
      </c>
      <c r="H141" s="1551">
        <v>27</v>
      </c>
      <c r="I141" s="1300">
        <f t="shared" si="8"/>
        <v>100</v>
      </c>
    </row>
    <row r="142" spans="1:9" s="1483" customFormat="1" ht="15.75" customHeight="1" x14ac:dyDescent="0.2">
      <c r="A142" s="1507"/>
      <c r="B142" s="1524"/>
      <c r="C142" s="1525"/>
      <c r="D142" s="1068" t="s">
        <v>1903</v>
      </c>
      <c r="E142" s="2515" t="s">
        <v>2032</v>
      </c>
      <c r="F142" s="1548"/>
      <c r="G142" s="1551">
        <v>1</v>
      </c>
      <c r="H142" s="1551">
        <v>1</v>
      </c>
      <c r="I142" s="1300">
        <f t="shared" si="8"/>
        <v>100</v>
      </c>
    </row>
    <row r="143" spans="1:9" s="1483" customFormat="1" ht="15.75" customHeight="1" x14ac:dyDescent="0.2">
      <c r="A143" s="1507"/>
      <c r="B143" s="1524"/>
      <c r="C143" s="1525"/>
      <c r="D143" s="1068" t="s">
        <v>1130</v>
      </c>
      <c r="E143" s="1290" t="s">
        <v>0</v>
      </c>
      <c r="F143" s="1548"/>
      <c r="G143" s="1551">
        <v>7016</v>
      </c>
      <c r="H143" s="1551">
        <v>7016</v>
      </c>
      <c r="I143" s="1300">
        <f t="shared" si="8"/>
        <v>100</v>
      </c>
    </row>
    <row r="144" spans="1:9" s="1483" customFormat="1" ht="15.75" customHeight="1" x14ac:dyDescent="0.2">
      <c r="A144" s="1507"/>
      <c r="B144" s="1524"/>
      <c r="C144" s="1525"/>
      <c r="D144" s="1068" t="s">
        <v>381</v>
      </c>
      <c r="E144" s="1509" t="s">
        <v>1</v>
      </c>
      <c r="F144" s="1548"/>
      <c r="G144" s="1551">
        <v>762</v>
      </c>
      <c r="H144" s="1551">
        <v>762</v>
      </c>
      <c r="I144" s="1300">
        <f t="shared" si="8"/>
        <v>100</v>
      </c>
    </row>
    <row r="145" spans="1:9" s="1483" customFormat="1" ht="15.75" customHeight="1" x14ac:dyDescent="0.2">
      <c r="A145" s="1507">
        <v>1513</v>
      </c>
      <c r="B145" s="1524">
        <v>3124</v>
      </c>
      <c r="C145" s="1525">
        <v>5221</v>
      </c>
      <c r="D145" s="1542"/>
      <c r="E145" s="1547" t="s">
        <v>1174</v>
      </c>
      <c r="F145" s="1548"/>
      <c r="G145" s="1298">
        <f>SUM(G146:G147)</f>
        <v>3217</v>
      </c>
      <c r="H145" s="1298">
        <f>SUM(H146:H147)</f>
        <v>3217</v>
      </c>
      <c r="I145" s="1299">
        <v>100</v>
      </c>
    </row>
    <row r="146" spans="1:9" s="1483" customFormat="1" ht="15.75" customHeight="1" x14ac:dyDescent="0.2">
      <c r="A146" s="1507"/>
      <c r="B146" s="1524"/>
      <c r="C146" s="1525"/>
      <c r="D146" s="1068" t="s">
        <v>1130</v>
      </c>
      <c r="E146" s="1290" t="s">
        <v>0</v>
      </c>
      <c r="F146" s="1548"/>
      <c r="G146" s="1551">
        <v>2869</v>
      </c>
      <c r="H146" s="1551">
        <v>2869</v>
      </c>
      <c r="I146" s="1300">
        <f t="shared" si="8"/>
        <v>100</v>
      </c>
    </row>
    <row r="147" spans="1:9" s="1483" customFormat="1" ht="15.75" customHeight="1" x14ac:dyDescent="0.2">
      <c r="A147" s="1507"/>
      <c r="B147" s="1524"/>
      <c r="C147" s="1525"/>
      <c r="D147" s="1068" t="s">
        <v>381</v>
      </c>
      <c r="E147" s="1509" t="s">
        <v>1</v>
      </c>
      <c r="F147" s="1548"/>
      <c r="G147" s="1551">
        <v>348</v>
      </c>
      <c r="H147" s="1551">
        <v>348</v>
      </c>
      <c r="I147" s="1300">
        <f t="shared" si="8"/>
        <v>100</v>
      </c>
    </row>
    <row r="148" spans="1:9" s="1483" customFormat="1" ht="15.75" customHeight="1" x14ac:dyDescent="0.2">
      <c r="A148" s="1507">
        <v>1513</v>
      </c>
      <c r="B148" s="1524">
        <v>3141</v>
      </c>
      <c r="C148" s="1525">
        <v>5221</v>
      </c>
      <c r="D148" s="1542"/>
      <c r="E148" s="1547" t="s">
        <v>1174</v>
      </c>
      <c r="F148" s="1548"/>
      <c r="G148" s="1298">
        <f>G149</f>
        <v>45</v>
      </c>
      <c r="H148" s="1298">
        <f>H149</f>
        <v>45</v>
      </c>
      <c r="I148" s="1299">
        <f t="shared" si="8"/>
        <v>100</v>
      </c>
    </row>
    <row r="149" spans="1:9" s="1483" customFormat="1" ht="15.75" customHeight="1" x14ac:dyDescent="0.2">
      <c r="A149" s="1507"/>
      <c r="B149" s="1524"/>
      <c r="C149" s="1525"/>
      <c r="D149" s="1068" t="s">
        <v>1130</v>
      </c>
      <c r="E149" s="1290" t="s">
        <v>0</v>
      </c>
      <c r="F149" s="1548"/>
      <c r="G149" s="1551">
        <v>45</v>
      </c>
      <c r="H149" s="1551">
        <v>45</v>
      </c>
      <c r="I149" s="1300">
        <f t="shared" si="8"/>
        <v>100</v>
      </c>
    </row>
    <row r="150" spans="1:9" s="1483" customFormat="1" ht="15.75" customHeight="1" x14ac:dyDescent="0.2">
      <c r="A150" s="1507">
        <v>1513</v>
      </c>
      <c r="B150" s="1524">
        <v>3143</v>
      </c>
      <c r="C150" s="1525">
        <v>5221</v>
      </c>
      <c r="D150" s="1542"/>
      <c r="E150" s="1547" t="s">
        <v>1174</v>
      </c>
      <c r="F150" s="1548"/>
      <c r="G150" s="1298">
        <v>243</v>
      </c>
      <c r="H150" s="1298">
        <v>243</v>
      </c>
      <c r="I150" s="1299">
        <v>100</v>
      </c>
    </row>
    <row r="151" spans="1:9" s="1483" customFormat="1" ht="15.75" customHeight="1" thickBot="1" x14ac:dyDescent="0.25">
      <c r="A151" s="1507"/>
      <c r="B151" s="1524"/>
      <c r="C151" s="1525"/>
      <c r="D151" s="1068" t="s">
        <v>1130</v>
      </c>
      <c r="E151" s="1290" t="s">
        <v>0</v>
      </c>
      <c r="F151" s="1548"/>
      <c r="G151" s="1551">
        <v>243</v>
      </c>
      <c r="H151" s="1551">
        <v>243</v>
      </c>
      <c r="I151" s="1300">
        <f t="shared" si="8"/>
        <v>100</v>
      </c>
    </row>
    <row r="152" spans="1:9" s="1483" customFormat="1" ht="15.75" customHeight="1" thickTop="1" thickBot="1" x14ac:dyDescent="0.25">
      <c r="A152" s="2683" t="s">
        <v>1105</v>
      </c>
      <c r="B152" s="2684"/>
      <c r="C152" s="2684"/>
      <c r="D152" s="2684"/>
      <c r="E152" s="2684"/>
      <c r="F152" s="1494">
        <f>SUM(F137,F140)</f>
        <v>0</v>
      </c>
      <c r="G152" s="1494">
        <f>SUM(G137,G140,G145,G150,G148)</f>
        <v>12016</v>
      </c>
      <c r="H152" s="1494">
        <f>SUM(H137,H140,H145,H150,H148)</f>
        <v>12016</v>
      </c>
      <c r="I152" s="1495">
        <f t="shared" si="8"/>
        <v>100</v>
      </c>
    </row>
    <row r="153" spans="1:9" s="1483" customFormat="1" ht="18" customHeight="1" thickTop="1" x14ac:dyDescent="0.2">
      <c r="B153" s="1497"/>
      <c r="D153" s="1498"/>
      <c r="F153" s="1532"/>
      <c r="G153" s="1532"/>
      <c r="H153" s="1532"/>
      <c r="I153" s="1533"/>
    </row>
    <row r="154" spans="1:9" s="1483" customFormat="1" ht="18" customHeight="1" x14ac:dyDescent="0.2">
      <c r="B154" s="1497"/>
      <c r="D154" s="1498"/>
      <c r="F154" s="1532"/>
      <c r="G154" s="1532"/>
      <c r="H154" s="1532"/>
      <c r="I154" s="1533"/>
    </row>
    <row r="155" spans="1:9" s="1483" customFormat="1" ht="15" thickBot="1" x14ac:dyDescent="0.25">
      <c r="A155" s="1510" t="s">
        <v>2036</v>
      </c>
      <c r="B155" s="1497"/>
      <c r="D155" s="1498"/>
      <c r="F155" s="1532"/>
      <c r="G155" s="1532"/>
      <c r="H155" s="1532"/>
      <c r="I155" s="1534" t="s">
        <v>161</v>
      </c>
    </row>
    <row r="156" spans="1:9" s="107" customFormat="1" ht="12.75" thickTop="1" thickBot="1" x14ac:dyDescent="0.25">
      <c r="A156" s="631" t="s">
        <v>624</v>
      </c>
      <c r="B156" s="774" t="s">
        <v>162</v>
      </c>
      <c r="C156" s="632" t="s">
        <v>163</v>
      </c>
      <c r="D156" s="634" t="s">
        <v>705</v>
      </c>
      <c r="E156" s="634" t="s">
        <v>164</v>
      </c>
      <c r="F156" s="634" t="s">
        <v>165</v>
      </c>
      <c r="G156" s="634" t="s">
        <v>881</v>
      </c>
      <c r="H156" s="634" t="s">
        <v>882</v>
      </c>
      <c r="I156" s="818" t="s">
        <v>883</v>
      </c>
    </row>
    <row r="157" spans="1:9" s="383" customFormat="1" ht="20.25" customHeight="1" thickTop="1" thickBot="1" x14ac:dyDescent="0.25">
      <c r="A157" s="566">
        <v>1</v>
      </c>
      <c r="B157" s="567">
        <v>2</v>
      </c>
      <c r="C157" s="567">
        <v>3</v>
      </c>
      <c r="D157" s="567">
        <v>4</v>
      </c>
      <c r="E157" s="567">
        <v>5</v>
      </c>
      <c r="F157" s="541">
        <v>6</v>
      </c>
      <c r="G157" s="541">
        <v>7</v>
      </c>
      <c r="H157" s="542">
        <v>8</v>
      </c>
      <c r="I157" s="636" t="s">
        <v>762</v>
      </c>
    </row>
    <row r="158" spans="1:9" ht="15.75" thickTop="1" x14ac:dyDescent="0.25">
      <c r="A158" s="1402">
        <v>1514</v>
      </c>
      <c r="B158" s="847">
        <v>3111</v>
      </c>
      <c r="C158" s="775">
        <v>5222</v>
      </c>
      <c r="D158" s="839"/>
      <c r="E158" s="848" t="s">
        <v>221</v>
      </c>
      <c r="F158" s="845"/>
      <c r="G158" s="845">
        <f>SUM(G159:G159)</f>
        <v>860</v>
      </c>
      <c r="H158" s="845">
        <f>SUM(H159:H159)</f>
        <v>860</v>
      </c>
      <c r="I158" s="849">
        <f t="shared" ref="I158:I170" si="9">(H158/G158)*100</f>
        <v>100</v>
      </c>
    </row>
    <row r="159" spans="1:9" x14ac:dyDescent="0.2">
      <c r="A159" s="431"/>
      <c r="B159" s="750"/>
      <c r="C159" s="750"/>
      <c r="D159" s="1069" t="s">
        <v>1130</v>
      </c>
      <c r="E159" s="1291" t="s">
        <v>0</v>
      </c>
      <c r="F159" s="833"/>
      <c r="G159" s="833">
        <v>860</v>
      </c>
      <c r="H159" s="833">
        <v>860</v>
      </c>
      <c r="I159" s="828">
        <f t="shared" si="9"/>
        <v>100</v>
      </c>
    </row>
    <row r="160" spans="1:9" ht="15" x14ac:dyDescent="0.25">
      <c r="A160" s="431">
        <v>1514</v>
      </c>
      <c r="B160" s="750">
        <v>3112</v>
      </c>
      <c r="C160" s="1393">
        <v>5222</v>
      </c>
      <c r="D160" s="829"/>
      <c r="E160" s="672" t="s">
        <v>221</v>
      </c>
      <c r="F160" s="835"/>
      <c r="G160" s="835">
        <f>SUM(G161:G162)</f>
        <v>1322</v>
      </c>
      <c r="H160" s="835">
        <f>SUM(H161:H162)</f>
        <v>1322</v>
      </c>
      <c r="I160" s="836">
        <f t="shared" si="9"/>
        <v>100</v>
      </c>
    </row>
    <row r="161" spans="1:9" ht="15.75" customHeight="1" x14ac:dyDescent="0.2">
      <c r="A161" s="431"/>
      <c r="B161" s="750"/>
      <c r="C161" s="750"/>
      <c r="D161" s="1069" t="s">
        <v>1130</v>
      </c>
      <c r="E161" s="1291" t="s">
        <v>0</v>
      </c>
      <c r="F161" s="833"/>
      <c r="G161" s="833">
        <v>1189</v>
      </c>
      <c r="H161" s="833">
        <v>1189</v>
      </c>
      <c r="I161" s="828">
        <f t="shared" si="9"/>
        <v>100</v>
      </c>
    </row>
    <row r="162" spans="1:9" x14ac:dyDescent="0.2">
      <c r="A162" s="431"/>
      <c r="B162" s="750"/>
      <c r="C162" s="750"/>
      <c r="D162" s="1068" t="s">
        <v>381</v>
      </c>
      <c r="E162" s="1509" t="s">
        <v>1</v>
      </c>
      <c r="F162" s="833"/>
      <c r="G162" s="833">
        <v>133</v>
      </c>
      <c r="H162" s="833">
        <v>133</v>
      </c>
      <c r="I162" s="828">
        <f t="shared" si="9"/>
        <v>100</v>
      </c>
    </row>
    <row r="163" spans="1:9" ht="15" x14ac:dyDescent="0.25">
      <c r="A163" s="431">
        <v>1514</v>
      </c>
      <c r="B163" s="750">
        <v>3114</v>
      </c>
      <c r="C163" s="750">
        <v>5222</v>
      </c>
      <c r="D163" s="819"/>
      <c r="E163" s="672" t="s">
        <v>221</v>
      </c>
      <c r="F163" s="835"/>
      <c r="G163" s="835">
        <f>SUM(G164:G165)</f>
        <v>4341</v>
      </c>
      <c r="H163" s="835">
        <f>SUM(H164:H165)</f>
        <v>4341</v>
      </c>
      <c r="I163" s="836">
        <f t="shared" si="9"/>
        <v>100</v>
      </c>
    </row>
    <row r="164" spans="1:9" ht="15" x14ac:dyDescent="0.25">
      <c r="A164" s="431"/>
      <c r="B164" s="750"/>
      <c r="C164" s="750"/>
      <c r="D164" s="1069" t="s">
        <v>1130</v>
      </c>
      <c r="E164" s="1291" t="s">
        <v>0</v>
      </c>
      <c r="F164" s="835"/>
      <c r="G164" s="837">
        <v>3981</v>
      </c>
      <c r="H164" s="837">
        <v>3981</v>
      </c>
      <c r="I164" s="828">
        <f t="shared" si="9"/>
        <v>100</v>
      </c>
    </row>
    <row r="165" spans="1:9" ht="15" x14ac:dyDescent="0.25">
      <c r="A165" s="431"/>
      <c r="B165" s="750"/>
      <c r="C165" s="750"/>
      <c r="D165" s="1068" t="s">
        <v>381</v>
      </c>
      <c r="E165" s="1509" t="s">
        <v>1</v>
      </c>
      <c r="F165" s="835"/>
      <c r="G165" s="837">
        <v>360</v>
      </c>
      <c r="H165" s="837">
        <v>360</v>
      </c>
      <c r="I165" s="828">
        <f t="shared" si="9"/>
        <v>100</v>
      </c>
    </row>
    <row r="166" spans="1:9" ht="15" x14ac:dyDescent="0.25">
      <c r="A166" s="431">
        <v>1514</v>
      </c>
      <c r="B166" s="750">
        <v>3141</v>
      </c>
      <c r="C166" s="750">
        <v>5222</v>
      </c>
      <c r="D166" s="819"/>
      <c r="E166" s="672" t="s">
        <v>221</v>
      </c>
      <c r="F166" s="835"/>
      <c r="G166" s="835">
        <v>68</v>
      </c>
      <c r="H166" s="835">
        <v>68</v>
      </c>
      <c r="I166" s="836">
        <f t="shared" si="9"/>
        <v>100</v>
      </c>
    </row>
    <row r="167" spans="1:9" x14ac:dyDescent="0.2">
      <c r="A167" s="431"/>
      <c r="B167" s="750"/>
      <c r="C167" s="750"/>
      <c r="D167" s="1069" t="s">
        <v>1130</v>
      </c>
      <c r="E167" s="1291" t="s">
        <v>0</v>
      </c>
      <c r="F167" s="833"/>
      <c r="G167" s="833">
        <v>68</v>
      </c>
      <c r="H167" s="833">
        <v>68</v>
      </c>
      <c r="I167" s="828">
        <f t="shared" si="9"/>
        <v>100</v>
      </c>
    </row>
    <row r="168" spans="1:9" ht="15" x14ac:dyDescent="0.25">
      <c r="A168" s="431">
        <v>1514</v>
      </c>
      <c r="B168" s="750">
        <v>3143</v>
      </c>
      <c r="C168" s="750">
        <v>5222</v>
      </c>
      <c r="D168" s="819"/>
      <c r="E168" s="672" t="s">
        <v>221</v>
      </c>
      <c r="F168" s="835"/>
      <c r="G168" s="835">
        <v>144</v>
      </c>
      <c r="H168" s="835">
        <v>144</v>
      </c>
      <c r="I168" s="836">
        <f t="shared" si="9"/>
        <v>100</v>
      </c>
    </row>
    <row r="169" spans="1:9" ht="15" thickBot="1" x14ac:dyDescent="0.25">
      <c r="A169" s="431"/>
      <c r="B169" s="750"/>
      <c r="C169" s="750"/>
      <c r="D169" s="1069" t="s">
        <v>1130</v>
      </c>
      <c r="E169" s="1291" t="s">
        <v>0</v>
      </c>
      <c r="F169" s="833"/>
      <c r="G169" s="833">
        <v>144</v>
      </c>
      <c r="H169" s="833">
        <v>144</v>
      </c>
      <c r="I169" s="828">
        <f t="shared" si="9"/>
        <v>100</v>
      </c>
    </row>
    <row r="170" spans="1:9" ht="16.5" thickTop="1" thickBot="1" x14ac:dyDescent="0.3">
      <c r="A170" s="2672" t="s">
        <v>1105</v>
      </c>
      <c r="B170" s="2673"/>
      <c r="C170" s="2673"/>
      <c r="D170" s="2673"/>
      <c r="E170" s="2673"/>
      <c r="F170" s="824">
        <f>SUM(F158,F160)</f>
        <v>0</v>
      </c>
      <c r="G170" s="824">
        <f>SUM(G158,G160,G163,G166,G168)</f>
        <v>6735</v>
      </c>
      <c r="H170" s="824">
        <f>SUM(H158,H160,H163,H166,H168,)</f>
        <v>6735</v>
      </c>
      <c r="I170" s="825">
        <f t="shared" si="9"/>
        <v>100</v>
      </c>
    </row>
    <row r="171" spans="1:9" ht="18" customHeight="1" thickTop="1" x14ac:dyDescent="0.25">
      <c r="A171" s="368"/>
      <c r="B171" s="368"/>
      <c r="C171" s="368"/>
      <c r="D171" s="368"/>
      <c r="E171" s="368"/>
      <c r="F171" s="181"/>
      <c r="G171" s="181"/>
      <c r="H171" s="181"/>
      <c r="I171" s="210"/>
    </row>
    <row r="172" spans="1:9" ht="18" customHeight="1" thickBot="1" x14ac:dyDescent="0.25">
      <c r="A172" s="432" t="s">
        <v>742</v>
      </c>
      <c r="I172" s="817" t="s">
        <v>161</v>
      </c>
    </row>
    <row r="173" spans="1:9" s="107" customFormat="1" ht="12.75" thickTop="1" thickBot="1" x14ac:dyDescent="0.25">
      <c r="A173" s="631" t="s">
        <v>624</v>
      </c>
      <c r="B173" s="774" t="s">
        <v>162</v>
      </c>
      <c r="C173" s="632" t="s">
        <v>163</v>
      </c>
      <c r="D173" s="634" t="s">
        <v>705</v>
      </c>
      <c r="E173" s="634" t="s">
        <v>164</v>
      </c>
      <c r="F173" s="634" t="s">
        <v>165</v>
      </c>
      <c r="G173" s="634" t="s">
        <v>881</v>
      </c>
      <c r="H173" s="634" t="s">
        <v>882</v>
      </c>
      <c r="I173" s="818" t="s">
        <v>883</v>
      </c>
    </row>
    <row r="174" spans="1:9" s="383" customFormat="1" ht="20.25" customHeight="1" thickTop="1" thickBot="1" x14ac:dyDescent="0.25">
      <c r="A174" s="566">
        <v>1</v>
      </c>
      <c r="B174" s="567">
        <v>2</v>
      </c>
      <c r="C174" s="567">
        <v>3</v>
      </c>
      <c r="D174" s="567">
        <v>4</v>
      </c>
      <c r="E174" s="567">
        <v>5</v>
      </c>
      <c r="F174" s="541">
        <v>6</v>
      </c>
      <c r="G174" s="541">
        <v>7</v>
      </c>
      <c r="H174" s="542">
        <v>8</v>
      </c>
      <c r="I174" s="636" t="s">
        <v>762</v>
      </c>
    </row>
    <row r="175" spans="1:9" ht="15.75" thickTop="1" x14ac:dyDescent="0.25">
      <c r="A175" s="1402">
        <v>1515</v>
      </c>
      <c r="B175" s="847">
        <v>3111</v>
      </c>
      <c r="C175" s="775">
        <v>5213</v>
      </c>
      <c r="D175" s="850"/>
      <c r="E175" s="672" t="s">
        <v>1173</v>
      </c>
      <c r="F175" s="845"/>
      <c r="G175" s="845">
        <f>SUM(G176:G176)</f>
        <v>4998</v>
      </c>
      <c r="H175" s="845">
        <f>SUM(H176:H176)</f>
        <v>4998</v>
      </c>
      <c r="I175" s="849">
        <f t="shared" ref="I175:I186" si="10">(H175/G175)*100</f>
        <v>100</v>
      </c>
    </row>
    <row r="176" spans="1:9" x14ac:dyDescent="0.2">
      <c r="A176" s="431"/>
      <c r="B176" s="750"/>
      <c r="C176" s="750"/>
      <c r="D176" s="1069" t="s">
        <v>1130</v>
      </c>
      <c r="E176" s="1291" t="s">
        <v>0</v>
      </c>
      <c r="F176" s="833"/>
      <c r="G176" s="833">
        <v>4998</v>
      </c>
      <c r="H176" s="833">
        <v>4998</v>
      </c>
      <c r="I176" s="828">
        <f t="shared" si="10"/>
        <v>100</v>
      </c>
    </row>
    <row r="177" spans="1:12" ht="15" x14ac:dyDescent="0.25">
      <c r="A177" s="431">
        <v>1515</v>
      </c>
      <c r="B177" s="750">
        <v>3113</v>
      </c>
      <c r="C177" s="1393">
        <v>5213</v>
      </c>
      <c r="D177" s="829"/>
      <c r="E177" s="672" t="s">
        <v>1173</v>
      </c>
      <c r="F177" s="835"/>
      <c r="G177" s="835">
        <f>SUM(G178:G179)</f>
        <v>5702</v>
      </c>
      <c r="H177" s="835">
        <f>SUM(H178:H179)</f>
        <v>5702</v>
      </c>
      <c r="I177" s="836">
        <f t="shared" si="10"/>
        <v>100</v>
      </c>
    </row>
    <row r="178" spans="1:12" ht="15" x14ac:dyDescent="0.25">
      <c r="A178" s="431"/>
      <c r="B178" s="750"/>
      <c r="C178" s="1393"/>
      <c r="D178" s="1068" t="s">
        <v>1903</v>
      </c>
      <c r="E178" s="2515" t="s">
        <v>2032</v>
      </c>
      <c r="F178" s="835"/>
      <c r="G178" s="837">
        <v>2</v>
      </c>
      <c r="H178" s="837">
        <v>2</v>
      </c>
      <c r="I178" s="828">
        <f>(H178/G178)*100</f>
        <v>100</v>
      </c>
    </row>
    <row r="179" spans="1:12" ht="15.75" customHeight="1" x14ac:dyDescent="0.2">
      <c r="A179" s="431"/>
      <c r="B179" s="750"/>
      <c r="C179" s="1393"/>
      <c r="D179" s="1069" t="s">
        <v>1130</v>
      </c>
      <c r="E179" s="1291" t="s">
        <v>0</v>
      </c>
      <c r="F179" s="833"/>
      <c r="G179" s="833">
        <v>5700</v>
      </c>
      <c r="H179" s="833">
        <v>5700</v>
      </c>
      <c r="I179" s="828">
        <f>(H179/G179)*100</f>
        <v>100</v>
      </c>
    </row>
    <row r="180" spans="1:12" ht="15.75" customHeight="1" x14ac:dyDescent="0.25">
      <c r="A180" s="431">
        <v>1515</v>
      </c>
      <c r="B180" s="750">
        <v>3141</v>
      </c>
      <c r="C180" s="750">
        <v>5213</v>
      </c>
      <c r="D180" s="819"/>
      <c r="E180" s="672" t="s">
        <v>1173</v>
      </c>
      <c r="F180" s="835"/>
      <c r="G180" s="835">
        <f>SUM(G181:G181)</f>
        <v>326</v>
      </c>
      <c r="H180" s="835">
        <f>SUM(H181:H181)</f>
        <v>326</v>
      </c>
      <c r="I180" s="836">
        <f t="shared" si="10"/>
        <v>100</v>
      </c>
    </row>
    <row r="181" spans="1:12" x14ac:dyDescent="0.2">
      <c r="A181" s="431"/>
      <c r="B181" s="750"/>
      <c r="C181" s="750"/>
      <c r="D181" s="1069" t="s">
        <v>1130</v>
      </c>
      <c r="E181" s="1291" t="s">
        <v>0</v>
      </c>
      <c r="F181" s="833"/>
      <c r="G181" s="833">
        <v>326</v>
      </c>
      <c r="H181" s="833">
        <v>326</v>
      </c>
      <c r="I181" s="828">
        <f t="shared" si="10"/>
        <v>100</v>
      </c>
    </row>
    <row r="182" spans="1:12" ht="15" x14ac:dyDescent="0.25">
      <c r="A182" s="431">
        <v>1515</v>
      </c>
      <c r="B182" s="750">
        <v>3143</v>
      </c>
      <c r="C182" s="750">
        <v>5213</v>
      </c>
      <c r="D182" s="819"/>
      <c r="E182" s="672" t="s">
        <v>1173</v>
      </c>
      <c r="F182" s="835"/>
      <c r="G182" s="835">
        <f>SUM(G183:G183)</f>
        <v>1097</v>
      </c>
      <c r="H182" s="835">
        <f>SUM(H183:H183)</f>
        <v>1097</v>
      </c>
      <c r="I182" s="836">
        <f t="shared" si="10"/>
        <v>100</v>
      </c>
    </row>
    <row r="183" spans="1:12" x14ac:dyDescent="0.2">
      <c r="A183" s="431"/>
      <c r="B183" s="750"/>
      <c r="C183" s="750"/>
      <c r="D183" s="1069" t="s">
        <v>1130</v>
      </c>
      <c r="E183" s="1291" t="s">
        <v>0</v>
      </c>
      <c r="F183" s="833"/>
      <c r="G183" s="833">
        <v>1097</v>
      </c>
      <c r="H183" s="833">
        <v>1097</v>
      </c>
      <c r="I183" s="828">
        <f t="shared" si="10"/>
        <v>100</v>
      </c>
    </row>
    <row r="184" spans="1:12" ht="15" x14ac:dyDescent="0.25">
      <c r="A184" s="431">
        <v>1515</v>
      </c>
      <c r="B184" s="750">
        <v>3421</v>
      </c>
      <c r="C184" s="673">
        <v>5213</v>
      </c>
      <c r="D184" s="819"/>
      <c r="E184" s="672" t="s">
        <v>1173</v>
      </c>
      <c r="F184" s="820"/>
      <c r="G184" s="851">
        <f>G185</f>
        <v>90</v>
      </c>
      <c r="H184" s="846">
        <f>H185</f>
        <v>90</v>
      </c>
      <c r="I184" s="838">
        <f t="shared" si="10"/>
        <v>100</v>
      </c>
    </row>
    <row r="185" spans="1:12" ht="15" thickBot="1" x14ac:dyDescent="0.25">
      <c r="A185" s="431"/>
      <c r="B185" s="673"/>
      <c r="C185" s="673"/>
      <c r="D185" s="1069" t="s">
        <v>1130</v>
      </c>
      <c r="E185" s="1291" t="s">
        <v>0</v>
      </c>
      <c r="F185" s="827"/>
      <c r="G185" s="827">
        <v>90</v>
      </c>
      <c r="H185" s="827">
        <v>90</v>
      </c>
      <c r="I185" s="823">
        <v>100</v>
      </c>
    </row>
    <row r="186" spans="1:12" ht="16.5" thickTop="1" thickBot="1" x14ac:dyDescent="0.3">
      <c r="A186" s="2672" t="s">
        <v>1105</v>
      </c>
      <c r="B186" s="2673"/>
      <c r="C186" s="2673"/>
      <c r="D186" s="2673"/>
      <c r="E186" s="2673"/>
      <c r="F186" s="824">
        <f>SUM(F175,F177)</f>
        <v>0</v>
      </c>
      <c r="G186" s="824">
        <f>SUM(G175,G177,G180,G182,G184)</f>
        <v>12213</v>
      </c>
      <c r="H186" s="824">
        <f>SUM(H175,H177,H180,H182,H184)</f>
        <v>12213</v>
      </c>
      <c r="I186" s="825">
        <f t="shared" si="10"/>
        <v>100</v>
      </c>
      <c r="K186" s="382">
        <f>SUM(G186,G170,G152,G131,G114,G103,G45,G34,G23,G12,G55,G74,G66,G85)</f>
        <v>67290</v>
      </c>
      <c r="L186" s="382">
        <f>SUM(H186,H170,H152,H131,H114,H103,H45,H34,H23,H12,H55,H74,H66,H85)</f>
        <v>67290</v>
      </c>
    </row>
    <row r="187" spans="1:12" ht="18" customHeight="1" thickTop="1" x14ac:dyDescent="0.25">
      <c r="A187" s="368"/>
      <c r="B187" s="368"/>
      <c r="C187" s="368"/>
      <c r="D187" s="368"/>
      <c r="E187" s="368"/>
      <c r="F187" s="181"/>
      <c r="G187" s="181"/>
      <c r="H187" s="181"/>
      <c r="I187" s="210"/>
      <c r="K187" s="382"/>
      <c r="L187" s="382"/>
    </row>
    <row r="188" spans="1:12" ht="18" customHeight="1" x14ac:dyDescent="0.25">
      <c r="A188" s="368"/>
      <c r="B188" s="368"/>
      <c r="C188" s="368"/>
      <c r="D188" s="368"/>
      <c r="E188" s="368"/>
      <c r="F188" s="181"/>
      <c r="G188" s="181"/>
      <c r="H188" s="181"/>
      <c r="I188" s="210"/>
      <c r="K188" s="382"/>
      <c r="L188" s="382"/>
    </row>
    <row r="189" spans="1:12" ht="13.5" customHeight="1" thickBot="1" x14ac:dyDescent="0.25">
      <c r="A189" s="432" t="s">
        <v>329</v>
      </c>
      <c r="I189" s="817" t="s">
        <v>161</v>
      </c>
    </row>
    <row r="190" spans="1:12" s="107" customFormat="1" ht="12.75" thickTop="1" thickBot="1" x14ac:dyDescent="0.25">
      <c r="A190" s="631" t="s">
        <v>624</v>
      </c>
      <c r="B190" s="774" t="s">
        <v>162</v>
      </c>
      <c r="C190" s="632" t="s">
        <v>163</v>
      </c>
      <c r="D190" s="634" t="s">
        <v>705</v>
      </c>
      <c r="E190" s="634" t="s">
        <v>164</v>
      </c>
      <c r="F190" s="634" t="s">
        <v>165</v>
      </c>
      <c r="G190" s="634" t="s">
        <v>881</v>
      </c>
      <c r="H190" s="634" t="s">
        <v>882</v>
      </c>
      <c r="I190" s="818" t="s">
        <v>883</v>
      </c>
    </row>
    <row r="191" spans="1:12" s="383" customFormat="1" ht="20.25" customHeight="1" thickTop="1" thickBot="1" x14ac:dyDescent="0.25">
      <c r="A191" s="566">
        <v>1</v>
      </c>
      <c r="B191" s="567">
        <v>2</v>
      </c>
      <c r="C191" s="567">
        <v>3</v>
      </c>
      <c r="D191" s="567">
        <v>4</v>
      </c>
      <c r="E191" s="567">
        <v>5</v>
      </c>
      <c r="F191" s="541">
        <v>6</v>
      </c>
      <c r="G191" s="541">
        <v>7</v>
      </c>
      <c r="H191" s="542">
        <v>8</v>
      </c>
      <c r="I191" s="636" t="s">
        <v>762</v>
      </c>
    </row>
    <row r="192" spans="1:12" ht="15.75" thickTop="1" x14ac:dyDescent="0.25">
      <c r="A192" s="1402">
        <v>1516</v>
      </c>
      <c r="B192" s="847">
        <v>3113</v>
      </c>
      <c r="C192" s="847">
        <v>5213</v>
      </c>
      <c r="D192" s="852"/>
      <c r="E192" s="792" t="s">
        <v>1173</v>
      </c>
      <c r="F192" s="845"/>
      <c r="G192" s="845">
        <f>SUM(G193:G194)</f>
        <v>3682</v>
      </c>
      <c r="H192" s="845">
        <f>SUM(H193:H194)</f>
        <v>3682</v>
      </c>
      <c r="I192" s="849">
        <f t="shared" ref="I192:I199" si="11">(H192/G192)*100</f>
        <v>100</v>
      </c>
    </row>
    <row r="193" spans="1:9" x14ac:dyDescent="0.2">
      <c r="A193" s="431"/>
      <c r="B193" s="750"/>
      <c r="C193" s="750"/>
      <c r="D193" s="1069" t="s">
        <v>1130</v>
      </c>
      <c r="E193" s="1291" t="s">
        <v>0</v>
      </c>
      <c r="F193" s="833"/>
      <c r="G193" s="833">
        <v>3425</v>
      </c>
      <c r="H193" s="833">
        <v>3425</v>
      </c>
      <c r="I193" s="828">
        <f t="shared" si="11"/>
        <v>100</v>
      </c>
    </row>
    <row r="194" spans="1:9" x14ac:dyDescent="0.2">
      <c r="A194" s="431"/>
      <c r="B194" s="750"/>
      <c r="C194" s="750"/>
      <c r="D194" s="1068" t="s">
        <v>381</v>
      </c>
      <c r="E194" s="1509" t="s">
        <v>1</v>
      </c>
      <c r="F194" s="833"/>
      <c r="G194" s="833">
        <v>257</v>
      </c>
      <c r="H194" s="833">
        <v>257</v>
      </c>
      <c r="I194" s="828">
        <f t="shared" si="11"/>
        <v>100</v>
      </c>
    </row>
    <row r="195" spans="1:9" ht="15" x14ac:dyDescent="0.25">
      <c r="A195" s="431">
        <v>1516</v>
      </c>
      <c r="B195" s="750">
        <v>3141</v>
      </c>
      <c r="C195" s="750">
        <v>5213</v>
      </c>
      <c r="D195" s="1068"/>
      <c r="E195" s="672" t="s">
        <v>1173</v>
      </c>
      <c r="F195" s="833"/>
      <c r="G195" s="846">
        <v>6</v>
      </c>
      <c r="H195" s="846">
        <v>6</v>
      </c>
      <c r="I195" s="838">
        <f t="shared" si="11"/>
        <v>100</v>
      </c>
    </row>
    <row r="196" spans="1:9" x14ac:dyDescent="0.2">
      <c r="A196" s="431"/>
      <c r="B196" s="750"/>
      <c r="C196" s="750"/>
      <c r="D196" s="1069" t="s">
        <v>1130</v>
      </c>
      <c r="E196" s="1291" t="s">
        <v>0</v>
      </c>
      <c r="F196" s="833"/>
      <c r="G196" s="833">
        <v>6</v>
      </c>
      <c r="H196" s="833">
        <v>6</v>
      </c>
      <c r="I196" s="828">
        <f t="shared" si="11"/>
        <v>100</v>
      </c>
    </row>
    <row r="197" spans="1:9" ht="15" x14ac:dyDescent="0.25">
      <c r="A197" s="431">
        <v>1516</v>
      </c>
      <c r="B197" s="673">
        <v>3143</v>
      </c>
      <c r="C197" s="1392">
        <v>5213</v>
      </c>
      <c r="D197" s="829"/>
      <c r="E197" s="672" t="s">
        <v>1173</v>
      </c>
      <c r="F197" s="820"/>
      <c r="G197" s="820">
        <f>SUM(G198:G198)</f>
        <v>343</v>
      </c>
      <c r="H197" s="820">
        <f>SUM(H198:H198)</f>
        <v>343</v>
      </c>
      <c r="I197" s="821">
        <f t="shared" si="11"/>
        <v>100</v>
      </c>
    </row>
    <row r="198" spans="1:9" ht="15" thickBot="1" x14ac:dyDescent="0.25">
      <c r="A198" s="1409"/>
      <c r="B198" s="830"/>
      <c r="C198" s="830"/>
      <c r="D198" s="718" t="s">
        <v>1130</v>
      </c>
      <c r="E198" s="834" t="s">
        <v>2</v>
      </c>
      <c r="F198" s="831"/>
      <c r="G198" s="831">
        <v>343</v>
      </c>
      <c r="H198" s="831">
        <v>343</v>
      </c>
      <c r="I198" s="832">
        <f t="shared" si="11"/>
        <v>100</v>
      </c>
    </row>
    <row r="199" spans="1:9" ht="15.75" customHeight="1" thickTop="1" thickBot="1" x14ac:dyDescent="0.3">
      <c r="A199" s="2672" t="s">
        <v>1105</v>
      </c>
      <c r="B199" s="2673"/>
      <c r="C199" s="2673"/>
      <c r="D199" s="2673"/>
      <c r="E199" s="2673"/>
      <c r="F199" s="824">
        <f>SUM(F192,F197)</f>
        <v>0</v>
      </c>
      <c r="G199" s="824">
        <f>SUM(G192,G195,G197)</f>
        <v>4031</v>
      </c>
      <c r="H199" s="824">
        <f>SUM(H192,H195,H197)</f>
        <v>4031</v>
      </c>
      <c r="I199" s="825">
        <f t="shared" si="11"/>
        <v>100</v>
      </c>
    </row>
    <row r="200" spans="1:9" s="1397" customFormat="1" ht="15.75" thickTop="1" x14ac:dyDescent="0.25">
      <c r="A200" s="368"/>
      <c r="B200" s="368"/>
      <c r="C200" s="368"/>
      <c r="D200" s="368"/>
      <c r="E200" s="368"/>
      <c r="F200" s="181"/>
      <c r="G200" s="181"/>
      <c r="H200" s="181"/>
      <c r="I200" s="210"/>
    </row>
    <row r="201" spans="1:9" ht="18" customHeight="1" thickBot="1" x14ac:dyDescent="0.25">
      <c r="A201" s="432" t="s">
        <v>491</v>
      </c>
      <c r="I201" s="817" t="s">
        <v>161</v>
      </c>
    </row>
    <row r="202" spans="1:9" s="107" customFormat="1" ht="12.75" thickTop="1" thickBot="1" x14ac:dyDescent="0.25">
      <c r="A202" s="631" t="s">
        <v>624</v>
      </c>
      <c r="B202" s="774" t="s">
        <v>162</v>
      </c>
      <c r="C202" s="632" t="s">
        <v>163</v>
      </c>
      <c r="D202" s="634" t="s">
        <v>705</v>
      </c>
      <c r="E202" s="634" t="s">
        <v>164</v>
      </c>
      <c r="F202" s="634" t="s">
        <v>165</v>
      </c>
      <c r="G202" s="634" t="s">
        <v>881</v>
      </c>
      <c r="H202" s="634" t="s">
        <v>882</v>
      </c>
      <c r="I202" s="818" t="s">
        <v>883</v>
      </c>
    </row>
    <row r="203" spans="1:9" s="383" customFormat="1" ht="20.25" customHeight="1" thickTop="1" thickBot="1" x14ac:dyDescent="0.25">
      <c r="A203" s="566">
        <v>1</v>
      </c>
      <c r="B203" s="567">
        <v>2</v>
      </c>
      <c r="C203" s="567">
        <v>3</v>
      </c>
      <c r="D203" s="567">
        <v>4</v>
      </c>
      <c r="E203" s="567">
        <v>5</v>
      </c>
      <c r="F203" s="541">
        <v>6</v>
      </c>
      <c r="G203" s="541">
        <v>7</v>
      </c>
      <c r="H203" s="542">
        <v>8</v>
      </c>
      <c r="I203" s="636" t="s">
        <v>762</v>
      </c>
    </row>
    <row r="204" spans="1:9" ht="15.75" thickTop="1" x14ac:dyDescent="0.25">
      <c r="A204" s="1402">
        <v>1517</v>
      </c>
      <c r="B204" s="847">
        <v>3112</v>
      </c>
      <c r="C204" s="847">
        <v>5221</v>
      </c>
      <c r="D204" s="852"/>
      <c r="E204" s="792" t="s">
        <v>1174</v>
      </c>
      <c r="F204" s="845"/>
      <c r="G204" s="845">
        <f>SUM(G205:G206)</f>
        <v>3399</v>
      </c>
      <c r="H204" s="845">
        <f>SUM(H205:H206)</f>
        <v>3399</v>
      </c>
      <c r="I204" s="849">
        <f t="shared" ref="I204:I216" si="12">(H204/G204)*100</f>
        <v>100</v>
      </c>
    </row>
    <row r="205" spans="1:9" x14ac:dyDescent="0.2">
      <c r="A205" s="431"/>
      <c r="B205" s="750"/>
      <c r="C205" s="750"/>
      <c r="D205" s="1069" t="s">
        <v>1130</v>
      </c>
      <c r="E205" s="834" t="s">
        <v>2</v>
      </c>
      <c r="F205" s="833"/>
      <c r="G205" s="833">
        <v>3388</v>
      </c>
      <c r="H205" s="833">
        <v>3388</v>
      </c>
      <c r="I205" s="823">
        <f t="shared" si="12"/>
        <v>100</v>
      </c>
    </row>
    <row r="206" spans="1:9" x14ac:dyDescent="0.2">
      <c r="A206" s="431"/>
      <c r="B206" s="750"/>
      <c r="C206" s="750"/>
      <c r="D206" s="1068" t="s">
        <v>381</v>
      </c>
      <c r="E206" s="1509" t="s">
        <v>1</v>
      </c>
      <c r="F206" s="833"/>
      <c r="G206" s="833">
        <v>11</v>
      </c>
      <c r="H206" s="833">
        <v>11</v>
      </c>
      <c r="I206" s="823">
        <f t="shared" si="12"/>
        <v>100</v>
      </c>
    </row>
    <row r="207" spans="1:9" ht="15" x14ac:dyDescent="0.25">
      <c r="A207" s="431">
        <v>1517</v>
      </c>
      <c r="B207" s="750">
        <v>3114</v>
      </c>
      <c r="C207" s="1393">
        <v>5221</v>
      </c>
      <c r="D207" s="829"/>
      <c r="E207" s="672" t="s">
        <v>1174</v>
      </c>
      <c r="F207" s="835"/>
      <c r="G207" s="835">
        <f>SUM(G208:G210)</f>
        <v>18400</v>
      </c>
      <c r="H207" s="835">
        <f>SUM(H208:H210)</f>
        <v>18400</v>
      </c>
      <c r="I207" s="836">
        <f t="shared" si="12"/>
        <v>100</v>
      </c>
    </row>
    <row r="208" spans="1:9" ht="15" x14ac:dyDescent="0.25">
      <c r="A208" s="431"/>
      <c r="B208" s="750"/>
      <c r="C208" s="1393"/>
      <c r="D208" s="1068" t="s">
        <v>1903</v>
      </c>
      <c r="E208" s="2515" t="s">
        <v>2032</v>
      </c>
      <c r="F208" s="835"/>
      <c r="G208" s="837">
        <v>4</v>
      </c>
      <c r="H208" s="837">
        <v>4</v>
      </c>
      <c r="I208" s="828">
        <f>(H208/G208)*100</f>
        <v>100</v>
      </c>
    </row>
    <row r="209" spans="1:9" ht="15" x14ac:dyDescent="0.25">
      <c r="A209" s="431"/>
      <c r="B209" s="750"/>
      <c r="C209" s="1393"/>
      <c r="D209" s="1069" t="s">
        <v>1130</v>
      </c>
      <c r="E209" s="834" t="s">
        <v>2</v>
      </c>
      <c r="F209" s="835"/>
      <c r="G209" s="837">
        <v>17700</v>
      </c>
      <c r="H209" s="837">
        <v>17700</v>
      </c>
      <c r="I209" s="828">
        <f>(H209/G209)*100</f>
        <v>100</v>
      </c>
    </row>
    <row r="210" spans="1:9" ht="15.75" customHeight="1" x14ac:dyDescent="0.25">
      <c r="A210" s="431"/>
      <c r="B210" s="750"/>
      <c r="C210" s="1393"/>
      <c r="D210" s="1068" t="s">
        <v>381</v>
      </c>
      <c r="E210" s="1509" t="s">
        <v>1</v>
      </c>
      <c r="F210" s="835"/>
      <c r="G210" s="837">
        <v>696</v>
      </c>
      <c r="H210" s="837">
        <v>696</v>
      </c>
      <c r="I210" s="828">
        <f t="shared" si="12"/>
        <v>100</v>
      </c>
    </row>
    <row r="211" spans="1:9" ht="15.75" customHeight="1" x14ac:dyDescent="0.25">
      <c r="A211" s="431">
        <v>1517</v>
      </c>
      <c r="B211" s="750">
        <v>3141</v>
      </c>
      <c r="C211" s="1393">
        <v>5221</v>
      </c>
      <c r="D211" s="829"/>
      <c r="E211" s="672" t="s">
        <v>1174</v>
      </c>
      <c r="F211" s="835"/>
      <c r="G211" s="835">
        <f>SUM(G212:G212)</f>
        <v>162</v>
      </c>
      <c r="H211" s="835">
        <f>SUM(H212:H212)</f>
        <v>162</v>
      </c>
      <c r="I211" s="836">
        <f>(H211/G211)*100</f>
        <v>100</v>
      </c>
    </row>
    <row r="212" spans="1:9" ht="15.75" customHeight="1" x14ac:dyDescent="0.2">
      <c r="A212" s="431"/>
      <c r="B212" s="750"/>
      <c r="C212" s="750"/>
      <c r="D212" s="1069" t="s">
        <v>1130</v>
      </c>
      <c r="E212" s="834" t="s">
        <v>2</v>
      </c>
      <c r="F212" s="833"/>
      <c r="G212" s="833">
        <v>162</v>
      </c>
      <c r="H212" s="833">
        <v>162</v>
      </c>
      <c r="I212" s="828">
        <f t="shared" si="12"/>
        <v>100</v>
      </c>
    </row>
    <row r="213" spans="1:9" ht="15.75" customHeight="1" x14ac:dyDescent="0.25">
      <c r="A213" s="431">
        <v>1517</v>
      </c>
      <c r="B213" s="750">
        <v>3143</v>
      </c>
      <c r="C213" s="750">
        <v>5221</v>
      </c>
      <c r="D213" s="552"/>
      <c r="E213" s="672" t="s">
        <v>1174</v>
      </c>
      <c r="F213" s="833"/>
      <c r="G213" s="846">
        <f>SUM(G214:G214)</f>
        <v>1264</v>
      </c>
      <c r="H213" s="846">
        <f>SUM(H214:H214)</f>
        <v>1264</v>
      </c>
      <c r="I213" s="836">
        <f>(H213/G213)*100</f>
        <v>100</v>
      </c>
    </row>
    <row r="214" spans="1:9" ht="15.75" customHeight="1" x14ac:dyDescent="0.2">
      <c r="A214" s="431"/>
      <c r="B214" s="750"/>
      <c r="C214" s="750"/>
      <c r="D214" s="1069" t="s">
        <v>1130</v>
      </c>
      <c r="E214" s="1293" t="s">
        <v>0</v>
      </c>
      <c r="F214" s="833"/>
      <c r="G214" s="833">
        <v>1264</v>
      </c>
      <c r="H214" s="833">
        <v>1264</v>
      </c>
      <c r="I214" s="828">
        <f t="shared" si="12"/>
        <v>100</v>
      </c>
    </row>
    <row r="215" spans="1:9" ht="15" x14ac:dyDescent="0.25">
      <c r="A215" s="431">
        <v>1517</v>
      </c>
      <c r="B215" s="750">
        <v>3146</v>
      </c>
      <c r="C215" s="1393">
        <v>5221</v>
      </c>
      <c r="D215" s="829"/>
      <c r="E215" s="1231" t="s">
        <v>1174</v>
      </c>
      <c r="F215" s="835"/>
      <c r="G215" s="835">
        <f>SUM(G216:G216)</f>
        <v>8470</v>
      </c>
      <c r="H215" s="835">
        <f>SUM(H216:H216)</f>
        <v>8470</v>
      </c>
      <c r="I215" s="836">
        <f t="shared" si="12"/>
        <v>100</v>
      </c>
    </row>
    <row r="216" spans="1:9" ht="15" thickBot="1" x14ac:dyDescent="0.25">
      <c r="A216" s="431"/>
      <c r="B216" s="750"/>
      <c r="C216" s="750"/>
      <c r="D216" s="1069" t="s">
        <v>1130</v>
      </c>
      <c r="E216" s="1293" t="s">
        <v>0</v>
      </c>
      <c r="F216" s="833"/>
      <c r="G216" s="833">
        <v>8470</v>
      </c>
      <c r="H216" s="833">
        <v>8470</v>
      </c>
      <c r="I216" s="828">
        <f t="shared" si="12"/>
        <v>100</v>
      </c>
    </row>
    <row r="217" spans="1:9" ht="16.5" thickTop="1" thickBot="1" x14ac:dyDescent="0.3">
      <c r="A217" s="2672" t="s">
        <v>1105</v>
      </c>
      <c r="B217" s="2673"/>
      <c r="C217" s="2673"/>
      <c r="D217" s="2673"/>
      <c r="E217" s="2673"/>
      <c r="F217" s="824">
        <f>SUM(F204,F207)</f>
        <v>0</v>
      </c>
      <c r="G217" s="824">
        <f>SUM(G204,G207,G211,G215,G213)</f>
        <v>31695</v>
      </c>
      <c r="H217" s="824">
        <f>SUM(H204,H207,H211,H215,H213)</f>
        <v>31695</v>
      </c>
      <c r="I217" s="825">
        <f>(H217/G217)*100</f>
        <v>100</v>
      </c>
    </row>
    <row r="218" spans="1:9" ht="15.75" customHeight="1" thickTop="1" x14ac:dyDescent="0.2"/>
    <row r="219" spans="1:9" ht="15.75" customHeight="1" x14ac:dyDescent="0.2"/>
    <row r="220" spans="1:9" ht="18" customHeight="1" thickBot="1" x14ac:dyDescent="0.25">
      <c r="A220" s="432" t="s">
        <v>492</v>
      </c>
      <c r="I220" s="817" t="s">
        <v>161</v>
      </c>
    </row>
    <row r="221" spans="1:9" s="107" customFormat="1" ht="12.75" customHeight="1" thickTop="1" thickBot="1" x14ac:dyDescent="0.25">
      <c r="A221" s="631" t="s">
        <v>624</v>
      </c>
      <c r="B221" s="774" t="s">
        <v>162</v>
      </c>
      <c r="C221" s="632" t="s">
        <v>163</v>
      </c>
      <c r="D221" s="634" t="s">
        <v>705</v>
      </c>
      <c r="E221" s="634" t="s">
        <v>164</v>
      </c>
      <c r="F221" s="634" t="s">
        <v>165</v>
      </c>
      <c r="G221" s="634" t="s">
        <v>881</v>
      </c>
      <c r="H221" s="634" t="s">
        <v>882</v>
      </c>
      <c r="I221" s="818" t="s">
        <v>883</v>
      </c>
    </row>
    <row r="222" spans="1:9" s="383" customFormat="1" ht="12.75" customHeight="1" thickTop="1" thickBot="1" x14ac:dyDescent="0.25">
      <c r="A222" s="566">
        <v>1</v>
      </c>
      <c r="B222" s="567">
        <v>2</v>
      </c>
      <c r="C222" s="567">
        <v>3</v>
      </c>
      <c r="D222" s="567">
        <v>4</v>
      </c>
      <c r="E222" s="567">
        <v>5</v>
      </c>
      <c r="F222" s="541">
        <v>6</v>
      </c>
      <c r="G222" s="541">
        <v>7</v>
      </c>
      <c r="H222" s="542">
        <v>8</v>
      </c>
      <c r="I222" s="636" t="s">
        <v>762</v>
      </c>
    </row>
    <row r="223" spans="1:9" ht="15.75" thickTop="1" x14ac:dyDescent="0.25">
      <c r="A223" s="1402">
        <v>1518</v>
      </c>
      <c r="B223" s="847">
        <v>3114</v>
      </c>
      <c r="C223" s="847">
        <v>5221</v>
      </c>
      <c r="D223" s="852"/>
      <c r="E223" s="792" t="s">
        <v>1174</v>
      </c>
      <c r="F223" s="845"/>
      <c r="G223" s="845">
        <f>SUM(G224:G225)</f>
        <v>5638</v>
      </c>
      <c r="H223" s="845">
        <f>SUM(H224:H225)</f>
        <v>5638</v>
      </c>
      <c r="I223" s="849">
        <f t="shared" ref="I223:I235" si="13">(H223/G223)*100</f>
        <v>100</v>
      </c>
    </row>
    <row r="224" spans="1:9" ht="20.25" customHeight="1" x14ac:dyDescent="0.25">
      <c r="A224" s="431"/>
      <c r="B224" s="750"/>
      <c r="C224" s="750"/>
      <c r="D224" s="1069" t="s">
        <v>1130</v>
      </c>
      <c r="E224" s="1291" t="s">
        <v>0</v>
      </c>
      <c r="F224" s="835"/>
      <c r="G224" s="837">
        <v>5117</v>
      </c>
      <c r="H224" s="837">
        <v>5117</v>
      </c>
      <c r="I224" s="823">
        <f>(H224/G224)*100</f>
        <v>100</v>
      </c>
    </row>
    <row r="225" spans="1:9" ht="15" x14ac:dyDescent="0.25">
      <c r="A225" s="431"/>
      <c r="B225" s="750"/>
      <c r="C225" s="750"/>
      <c r="D225" s="1068" t="s">
        <v>381</v>
      </c>
      <c r="E225" s="1509" t="s">
        <v>1</v>
      </c>
      <c r="F225" s="835"/>
      <c r="G225" s="837">
        <v>521</v>
      </c>
      <c r="H225" s="837">
        <v>521</v>
      </c>
      <c r="I225" s="828">
        <f>(H225/G225)*100</f>
        <v>100</v>
      </c>
    </row>
    <row r="226" spans="1:9" ht="15" x14ac:dyDescent="0.25">
      <c r="A226" s="431">
        <v>1518</v>
      </c>
      <c r="B226" s="750">
        <v>3124</v>
      </c>
      <c r="C226" s="1393">
        <v>5221</v>
      </c>
      <c r="D226" s="829"/>
      <c r="E226" s="672" t="s">
        <v>1174</v>
      </c>
      <c r="F226" s="835"/>
      <c r="G226" s="835">
        <f>SUM(G227:G228)</f>
        <v>2001</v>
      </c>
      <c r="H226" s="835">
        <f>SUM(H227:H228)</f>
        <v>2001</v>
      </c>
      <c r="I226" s="836">
        <f t="shared" si="13"/>
        <v>100</v>
      </c>
    </row>
    <row r="227" spans="1:9" x14ac:dyDescent="0.2">
      <c r="A227" s="431"/>
      <c r="B227" s="750"/>
      <c r="C227" s="750"/>
      <c r="D227" s="1069" t="s">
        <v>1130</v>
      </c>
      <c r="E227" s="1291" t="s">
        <v>0</v>
      </c>
      <c r="F227" s="833"/>
      <c r="G227" s="833">
        <v>1888</v>
      </c>
      <c r="H227" s="833">
        <v>1888</v>
      </c>
      <c r="I227" s="828">
        <f t="shared" si="13"/>
        <v>100</v>
      </c>
    </row>
    <row r="228" spans="1:9" x14ac:dyDescent="0.2">
      <c r="A228" s="431"/>
      <c r="B228" s="750"/>
      <c r="C228" s="750"/>
      <c r="D228" s="1068" t="s">
        <v>381</v>
      </c>
      <c r="E228" s="1509" t="s">
        <v>1</v>
      </c>
      <c r="F228" s="833"/>
      <c r="G228" s="833">
        <v>113</v>
      </c>
      <c r="H228" s="833">
        <v>113</v>
      </c>
      <c r="I228" s="828">
        <f t="shared" si="13"/>
        <v>100</v>
      </c>
    </row>
    <row r="229" spans="1:9" ht="15" customHeight="1" x14ac:dyDescent="0.25">
      <c r="A229" s="431">
        <v>1518</v>
      </c>
      <c r="B229" s="750">
        <v>3141</v>
      </c>
      <c r="C229" s="750">
        <v>5221</v>
      </c>
      <c r="D229" s="1069"/>
      <c r="E229" s="672" t="s">
        <v>1174</v>
      </c>
      <c r="F229" s="833"/>
      <c r="G229" s="846">
        <v>98</v>
      </c>
      <c r="H229" s="846">
        <v>98</v>
      </c>
      <c r="I229" s="838">
        <f t="shared" si="13"/>
        <v>100</v>
      </c>
    </row>
    <row r="230" spans="1:9" x14ac:dyDescent="0.2">
      <c r="A230" s="431"/>
      <c r="B230" s="750"/>
      <c r="C230" s="750"/>
      <c r="D230" s="1069" t="s">
        <v>1130</v>
      </c>
      <c r="E230" s="1291" t="s">
        <v>0</v>
      </c>
      <c r="F230" s="833"/>
      <c r="G230" s="833">
        <v>98</v>
      </c>
      <c r="H230" s="833">
        <v>98</v>
      </c>
      <c r="I230" s="828">
        <f t="shared" si="13"/>
        <v>100</v>
      </c>
    </row>
    <row r="231" spans="1:9" ht="15.75" customHeight="1" x14ac:dyDescent="0.25">
      <c r="A231" s="431">
        <v>1518</v>
      </c>
      <c r="B231" s="750">
        <v>3142</v>
      </c>
      <c r="C231" s="750">
        <v>5221</v>
      </c>
      <c r="D231" s="1069"/>
      <c r="E231" s="672" t="s">
        <v>1174</v>
      </c>
      <c r="F231" s="833"/>
      <c r="G231" s="846">
        <v>45</v>
      </c>
      <c r="H231" s="846">
        <v>45</v>
      </c>
      <c r="I231" s="838">
        <f t="shared" si="13"/>
        <v>100</v>
      </c>
    </row>
    <row r="232" spans="1:9" x14ac:dyDescent="0.2">
      <c r="A232" s="431"/>
      <c r="B232" s="750"/>
      <c r="C232" s="750"/>
      <c r="D232" s="1069" t="s">
        <v>1130</v>
      </c>
      <c r="E232" s="1291" t="s">
        <v>0</v>
      </c>
      <c r="F232" s="833"/>
      <c r="G232" s="833">
        <v>45</v>
      </c>
      <c r="H232" s="833">
        <v>45</v>
      </c>
      <c r="I232" s="828">
        <f t="shared" si="13"/>
        <v>100</v>
      </c>
    </row>
    <row r="233" spans="1:9" ht="15.75" customHeight="1" x14ac:dyDescent="0.25">
      <c r="A233" s="431">
        <v>1518</v>
      </c>
      <c r="B233" s="673">
        <v>3143</v>
      </c>
      <c r="C233" s="1392">
        <v>5221</v>
      </c>
      <c r="D233" s="829"/>
      <c r="E233" s="672" t="s">
        <v>1174</v>
      </c>
      <c r="F233" s="820"/>
      <c r="G233" s="820">
        <v>351</v>
      </c>
      <c r="H233" s="820">
        <v>351</v>
      </c>
      <c r="I233" s="821">
        <f t="shared" si="13"/>
        <v>100</v>
      </c>
    </row>
    <row r="234" spans="1:9" ht="15" thickBot="1" x14ac:dyDescent="0.25">
      <c r="A234" s="1409"/>
      <c r="B234" s="830"/>
      <c r="C234" s="830"/>
      <c r="D234" s="1069" t="s">
        <v>1130</v>
      </c>
      <c r="E234" s="1291" t="s">
        <v>0</v>
      </c>
      <c r="F234" s="831"/>
      <c r="G234" s="831">
        <v>351</v>
      </c>
      <c r="H234" s="831">
        <v>351</v>
      </c>
      <c r="I234" s="832">
        <f t="shared" si="13"/>
        <v>100</v>
      </c>
    </row>
    <row r="235" spans="1:9" ht="18" customHeight="1" thickTop="1" thickBot="1" x14ac:dyDescent="0.3">
      <c r="A235" s="2672" t="s">
        <v>1105</v>
      </c>
      <c r="B235" s="2673"/>
      <c r="C235" s="2673"/>
      <c r="D235" s="2673"/>
      <c r="E235" s="2673"/>
      <c r="F235" s="824">
        <f>SUM(F223,F226)</f>
        <v>0</v>
      </c>
      <c r="G235" s="824">
        <f>SUM(G223,G226,G233,G229,G231)</f>
        <v>8133</v>
      </c>
      <c r="H235" s="824">
        <f>SUM(H223,H226,H233,H229,H231)</f>
        <v>8133</v>
      </c>
      <c r="I235" s="825">
        <f t="shared" si="13"/>
        <v>100</v>
      </c>
    </row>
    <row r="236" spans="1:9" ht="18" customHeight="1" thickTop="1" x14ac:dyDescent="0.25">
      <c r="A236" s="368"/>
      <c r="B236" s="368"/>
      <c r="C236" s="368"/>
      <c r="D236" s="368"/>
      <c r="E236" s="368"/>
      <c r="F236" s="181"/>
      <c r="G236" s="181"/>
      <c r="H236" s="181"/>
      <c r="I236" s="210"/>
    </row>
    <row r="237" spans="1:9" ht="18" customHeight="1" x14ac:dyDescent="0.25">
      <c r="A237" s="368"/>
      <c r="B237" s="368"/>
      <c r="C237" s="368"/>
      <c r="D237" s="368"/>
      <c r="E237" s="368"/>
      <c r="F237" s="181"/>
      <c r="G237" s="181"/>
      <c r="H237" s="181"/>
      <c r="I237" s="210"/>
    </row>
    <row r="238" spans="1:9" ht="15" thickBot="1" x14ac:dyDescent="0.25">
      <c r="A238" s="432" t="s">
        <v>1217</v>
      </c>
      <c r="I238" s="817" t="s">
        <v>161</v>
      </c>
    </row>
    <row r="239" spans="1:9" s="107" customFormat="1" ht="20.25" customHeight="1" thickTop="1" thickBot="1" x14ac:dyDescent="0.25">
      <c r="A239" s="631" t="s">
        <v>624</v>
      </c>
      <c r="B239" s="774" t="s">
        <v>162</v>
      </c>
      <c r="C239" s="632" t="s">
        <v>163</v>
      </c>
      <c r="D239" s="634" t="s">
        <v>705</v>
      </c>
      <c r="E239" s="634" t="s">
        <v>164</v>
      </c>
      <c r="F239" s="634" t="s">
        <v>165</v>
      </c>
      <c r="G239" s="634" t="s">
        <v>881</v>
      </c>
      <c r="H239" s="634" t="s">
        <v>882</v>
      </c>
      <c r="I239" s="818" t="s">
        <v>883</v>
      </c>
    </row>
    <row r="240" spans="1:9" s="383" customFormat="1" ht="13.5" thickTop="1" thickBot="1" x14ac:dyDescent="0.25">
      <c r="A240" s="566">
        <v>1</v>
      </c>
      <c r="B240" s="567">
        <v>2</v>
      </c>
      <c r="C240" s="567">
        <v>3</v>
      </c>
      <c r="D240" s="567">
        <v>4</v>
      </c>
      <c r="E240" s="567">
        <v>5</v>
      </c>
      <c r="F240" s="541">
        <v>6</v>
      </c>
      <c r="G240" s="541">
        <v>7</v>
      </c>
      <c r="H240" s="542">
        <v>8</v>
      </c>
      <c r="I240" s="636" t="s">
        <v>762</v>
      </c>
    </row>
    <row r="241" spans="1:9" ht="15.75" thickTop="1" x14ac:dyDescent="0.25">
      <c r="A241" s="1402">
        <v>1519</v>
      </c>
      <c r="B241" s="847">
        <v>3111</v>
      </c>
      <c r="C241" s="847">
        <v>5213</v>
      </c>
      <c r="D241" s="852"/>
      <c r="E241" s="792" t="s">
        <v>1173</v>
      </c>
      <c r="F241" s="845"/>
      <c r="G241" s="845">
        <f>SUM(G242:G242)</f>
        <v>1795</v>
      </c>
      <c r="H241" s="845">
        <f>SUM(H242:H242)</f>
        <v>1795</v>
      </c>
      <c r="I241" s="849">
        <f t="shared" ref="I241:I255" si="14">(H241/G241)*100</f>
        <v>100</v>
      </c>
    </row>
    <row r="242" spans="1:9" x14ac:dyDescent="0.2">
      <c r="A242" s="431"/>
      <c r="B242" s="750"/>
      <c r="C242" s="750"/>
      <c r="D242" s="1069" t="s">
        <v>1130</v>
      </c>
      <c r="E242" s="1291" t="s">
        <v>0</v>
      </c>
      <c r="F242" s="833"/>
      <c r="G242" s="833">
        <v>1795</v>
      </c>
      <c r="H242" s="833">
        <v>1795</v>
      </c>
      <c r="I242" s="828">
        <f t="shared" si="14"/>
        <v>100</v>
      </c>
    </row>
    <row r="243" spans="1:9" ht="15.75" customHeight="1" x14ac:dyDescent="0.25">
      <c r="A243" s="431">
        <v>1519</v>
      </c>
      <c r="B243" s="673">
        <v>3113</v>
      </c>
      <c r="C243" s="1392">
        <v>5213</v>
      </c>
      <c r="D243" s="829"/>
      <c r="E243" s="672" t="s">
        <v>1173</v>
      </c>
      <c r="F243" s="820"/>
      <c r="G243" s="820">
        <f>SUM(G244:G249)</f>
        <v>5949</v>
      </c>
      <c r="H243" s="820">
        <f>SUM(H244:H249)</f>
        <v>5949</v>
      </c>
      <c r="I243" s="821">
        <f t="shared" si="14"/>
        <v>100</v>
      </c>
    </row>
    <row r="244" spans="1:9" ht="15.75" customHeight="1" x14ac:dyDescent="0.25">
      <c r="A244" s="431"/>
      <c r="B244" s="673"/>
      <c r="C244" s="1392"/>
      <c r="D244" s="1069" t="s">
        <v>937</v>
      </c>
      <c r="E244" s="2429" t="s">
        <v>2033</v>
      </c>
      <c r="F244" s="820"/>
      <c r="G244" s="356">
        <v>5</v>
      </c>
      <c r="H244" s="356">
        <v>5</v>
      </c>
      <c r="I244" s="823">
        <f t="shared" si="14"/>
        <v>100</v>
      </c>
    </row>
    <row r="245" spans="1:9" ht="15.75" customHeight="1" x14ac:dyDescent="0.25">
      <c r="A245" s="431"/>
      <c r="B245" s="673"/>
      <c r="C245" s="1392"/>
      <c r="D245" s="1068" t="s">
        <v>926</v>
      </c>
      <c r="E245" s="1791" t="s">
        <v>1602</v>
      </c>
      <c r="F245" s="820"/>
      <c r="G245" s="356">
        <v>6</v>
      </c>
      <c r="H245" s="356">
        <v>6</v>
      </c>
      <c r="I245" s="823">
        <f t="shared" si="14"/>
        <v>100</v>
      </c>
    </row>
    <row r="246" spans="1:9" ht="15.75" customHeight="1" x14ac:dyDescent="0.25">
      <c r="A246" s="431"/>
      <c r="B246" s="673"/>
      <c r="C246" s="1392"/>
      <c r="D246" s="1068" t="s">
        <v>1903</v>
      </c>
      <c r="E246" s="2515" t="s">
        <v>2032</v>
      </c>
      <c r="F246" s="820"/>
      <c r="G246" s="356">
        <v>3</v>
      </c>
      <c r="H246" s="356">
        <v>3</v>
      </c>
      <c r="I246" s="823">
        <f t="shared" si="14"/>
        <v>100</v>
      </c>
    </row>
    <row r="247" spans="1:9" ht="15.75" customHeight="1" x14ac:dyDescent="0.2">
      <c r="A247" s="431"/>
      <c r="B247" s="673"/>
      <c r="C247" s="673"/>
      <c r="D247" s="552" t="s">
        <v>1130</v>
      </c>
      <c r="E247" s="1291" t="s">
        <v>0</v>
      </c>
      <c r="F247" s="827"/>
      <c r="G247" s="827">
        <v>5426</v>
      </c>
      <c r="H247" s="827">
        <v>5426</v>
      </c>
      <c r="I247" s="823">
        <f t="shared" si="14"/>
        <v>100</v>
      </c>
    </row>
    <row r="248" spans="1:9" ht="15.75" customHeight="1" x14ac:dyDescent="0.2">
      <c r="A248" s="431"/>
      <c r="B248" s="673"/>
      <c r="C248" s="673"/>
      <c r="D248" s="1068" t="s">
        <v>381</v>
      </c>
      <c r="E248" s="1509" t="s">
        <v>1</v>
      </c>
      <c r="F248" s="827"/>
      <c r="G248" s="827">
        <v>400</v>
      </c>
      <c r="H248" s="827">
        <v>400</v>
      </c>
      <c r="I248" s="823">
        <f t="shared" si="14"/>
        <v>100</v>
      </c>
    </row>
    <row r="249" spans="1:9" ht="12.75" customHeight="1" x14ac:dyDescent="0.2">
      <c r="A249" s="431"/>
      <c r="B249" s="673"/>
      <c r="C249" s="673"/>
      <c r="D249" s="1325" t="s">
        <v>799</v>
      </c>
      <c r="E249" s="2663" t="s">
        <v>929</v>
      </c>
      <c r="F249" s="827"/>
      <c r="G249" s="827">
        <v>109</v>
      </c>
      <c r="H249" s="827">
        <v>109</v>
      </c>
      <c r="I249" s="823">
        <f t="shared" si="14"/>
        <v>100</v>
      </c>
    </row>
    <row r="250" spans="1:9" ht="12.75" customHeight="1" x14ac:dyDescent="0.2">
      <c r="A250" s="431"/>
      <c r="B250" s="673"/>
      <c r="C250" s="673"/>
      <c r="D250" s="552"/>
      <c r="E250" s="2633"/>
      <c r="F250" s="827"/>
      <c r="G250" s="827"/>
      <c r="H250" s="827"/>
      <c r="I250" s="823"/>
    </row>
    <row r="251" spans="1:9" ht="15" x14ac:dyDescent="0.25">
      <c r="A251" s="431">
        <v>1519</v>
      </c>
      <c r="B251" s="673">
        <v>3141</v>
      </c>
      <c r="C251" s="673">
        <v>5213</v>
      </c>
      <c r="D251" s="1068"/>
      <c r="E251" s="672" t="s">
        <v>1173</v>
      </c>
      <c r="F251" s="827"/>
      <c r="G251" s="851">
        <v>88</v>
      </c>
      <c r="H251" s="851">
        <v>88</v>
      </c>
      <c r="I251" s="853">
        <f t="shared" si="14"/>
        <v>100</v>
      </c>
    </row>
    <row r="252" spans="1:9" x14ac:dyDescent="0.2">
      <c r="A252" s="431"/>
      <c r="B252" s="673"/>
      <c r="C252" s="673"/>
      <c r="D252" s="552" t="s">
        <v>1130</v>
      </c>
      <c r="E252" s="1291" t="s">
        <v>0</v>
      </c>
      <c r="F252" s="827"/>
      <c r="G252" s="827">
        <v>88</v>
      </c>
      <c r="H252" s="827">
        <v>88</v>
      </c>
      <c r="I252" s="823">
        <f t="shared" si="14"/>
        <v>100</v>
      </c>
    </row>
    <row r="253" spans="1:9" ht="15" x14ac:dyDescent="0.25">
      <c r="A253" s="431">
        <v>1519</v>
      </c>
      <c r="B253" s="673">
        <v>3143</v>
      </c>
      <c r="C253" s="673">
        <v>5213</v>
      </c>
      <c r="D253" s="552"/>
      <c r="E253" s="672" t="s">
        <v>1173</v>
      </c>
      <c r="F253" s="827"/>
      <c r="G253" s="851">
        <f>G254</f>
        <v>855</v>
      </c>
      <c r="H253" s="851">
        <f>H254</f>
        <v>855</v>
      </c>
      <c r="I253" s="821">
        <f t="shared" si="14"/>
        <v>100</v>
      </c>
    </row>
    <row r="254" spans="1:9" ht="15" thickBot="1" x14ac:dyDescent="0.25">
      <c r="A254" s="431"/>
      <c r="B254" s="673"/>
      <c r="C254" s="673"/>
      <c r="D254" s="1069" t="s">
        <v>1130</v>
      </c>
      <c r="E254" s="1291" t="s">
        <v>0</v>
      </c>
      <c r="F254" s="827"/>
      <c r="G254" s="827">
        <v>855</v>
      </c>
      <c r="H254" s="827">
        <v>855</v>
      </c>
      <c r="I254" s="828">
        <f t="shared" si="14"/>
        <v>100</v>
      </c>
    </row>
    <row r="255" spans="1:9" ht="18" customHeight="1" thickTop="1" thickBot="1" x14ac:dyDescent="0.3">
      <c r="A255" s="2672" t="s">
        <v>1105</v>
      </c>
      <c r="B255" s="2673"/>
      <c r="C255" s="2673"/>
      <c r="D255" s="2673"/>
      <c r="E255" s="2673"/>
      <c r="F255" s="824">
        <f>SUM(F241,F243)</f>
        <v>0</v>
      </c>
      <c r="G255" s="824">
        <f>SUM(G241,G243,G253,G251)</f>
        <v>8687</v>
      </c>
      <c r="H255" s="824">
        <f>SUM(H241,H243,H253,H251)</f>
        <v>8687</v>
      </c>
      <c r="I255" s="825">
        <f t="shared" si="14"/>
        <v>100</v>
      </c>
    </row>
    <row r="256" spans="1:9" ht="18" customHeight="1" thickTop="1" x14ac:dyDescent="0.25">
      <c r="A256" s="368"/>
      <c r="B256" s="368"/>
      <c r="C256" s="368"/>
      <c r="D256" s="368"/>
      <c r="E256" s="368"/>
      <c r="F256" s="181"/>
      <c r="G256" s="181"/>
      <c r="H256" s="181"/>
      <c r="I256" s="210"/>
    </row>
    <row r="257" spans="1:9" ht="20.25" customHeight="1" thickBot="1" x14ac:dyDescent="0.25">
      <c r="A257" s="432" t="s">
        <v>2034</v>
      </c>
      <c r="I257" s="817" t="s">
        <v>161</v>
      </c>
    </row>
    <row r="258" spans="1:9" s="107" customFormat="1" ht="12.75" thickTop="1" thickBot="1" x14ac:dyDescent="0.25">
      <c r="A258" s="631" t="s">
        <v>624</v>
      </c>
      <c r="B258" s="774" t="s">
        <v>162</v>
      </c>
      <c r="C258" s="632" t="s">
        <v>163</v>
      </c>
      <c r="D258" s="634" t="s">
        <v>705</v>
      </c>
      <c r="E258" s="634" t="s">
        <v>164</v>
      </c>
      <c r="F258" s="634" t="s">
        <v>165</v>
      </c>
      <c r="G258" s="634" t="s">
        <v>881</v>
      </c>
      <c r="H258" s="634" t="s">
        <v>882</v>
      </c>
      <c r="I258" s="818" t="s">
        <v>883</v>
      </c>
    </row>
    <row r="259" spans="1:9" s="383" customFormat="1" ht="13.5" thickTop="1" thickBot="1" x14ac:dyDescent="0.25">
      <c r="A259" s="566">
        <v>1</v>
      </c>
      <c r="B259" s="567">
        <v>2</v>
      </c>
      <c r="C259" s="567">
        <v>3</v>
      </c>
      <c r="D259" s="567">
        <v>4</v>
      </c>
      <c r="E259" s="567">
        <v>5</v>
      </c>
      <c r="F259" s="541">
        <v>6</v>
      </c>
      <c r="G259" s="541">
        <v>7</v>
      </c>
      <c r="H259" s="542">
        <v>8</v>
      </c>
      <c r="I259" s="636" t="s">
        <v>762</v>
      </c>
    </row>
    <row r="260" spans="1:9" ht="15" customHeight="1" thickTop="1" x14ac:dyDescent="0.25">
      <c r="A260" s="1402">
        <v>1520</v>
      </c>
      <c r="B260" s="847">
        <v>3111</v>
      </c>
      <c r="C260" s="847">
        <v>5213</v>
      </c>
      <c r="D260" s="852"/>
      <c r="E260" s="792" t="s">
        <v>1173</v>
      </c>
      <c r="F260" s="845"/>
      <c r="G260" s="845">
        <f>SUM(G261:G261)</f>
        <v>1617</v>
      </c>
      <c r="H260" s="845">
        <f>SUM(H261:H261)</f>
        <v>1617</v>
      </c>
      <c r="I260" s="849">
        <f t="shared" ref="I260:I264" si="15">(H260/G260)*100</f>
        <v>100</v>
      </c>
    </row>
    <row r="261" spans="1:9" x14ac:dyDescent="0.2">
      <c r="A261" s="431"/>
      <c r="B261" s="750"/>
      <c r="C261" s="750"/>
      <c r="D261" s="1069" t="s">
        <v>1130</v>
      </c>
      <c r="E261" s="1291" t="s">
        <v>0</v>
      </c>
      <c r="F261" s="833"/>
      <c r="G261" s="833">
        <v>1617</v>
      </c>
      <c r="H261" s="833">
        <v>1617</v>
      </c>
      <c r="I261" s="828">
        <f t="shared" si="15"/>
        <v>100</v>
      </c>
    </row>
    <row r="262" spans="1:9" ht="14.25" customHeight="1" x14ac:dyDescent="0.25">
      <c r="A262" s="431">
        <v>1520</v>
      </c>
      <c r="B262" s="673">
        <v>3141</v>
      </c>
      <c r="C262" s="1392">
        <v>5213</v>
      </c>
      <c r="D262" s="829"/>
      <c r="E262" s="672" t="s">
        <v>1173</v>
      </c>
      <c r="F262" s="820"/>
      <c r="G262" s="820">
        <f>SUM(G263:G263)</f>
        <v>75</v>
      </c>
      <c r="H262" s="820">
        <f>SUM(H263:H263)</f>
        <v>75</v>
      </c>
      <c r="I262" s="821">
        <f t="shared" si="15"/>
        <v>100</v>
      </c>
    </row>
    <row r="263" spans="1:9" ht="18" customHeight="1" thickBot="1" x14ac:dyDescent="0.25">
      <c r="A263" s="431"/>
      <c r="B263" s="673"/>
      <c r="C263" s="673"/>
      <c r="D263" s="552" t="s">
        <v>1130</v>
      </c>
      <c r="E263" s="1291" t="s">
        <v>0</v>
      </c>
      <c r="F263" s="827"/>
      <c r="G263" s="827">
        <v>75</v>
      </c>
      <c r="H263" s="827">
        <v>75</v>
      </c>
      <c r="I263" s="823">
        <f t="shared" si="15"/>
        <v>100</v>
      </c>
    </row>
    <row r="264" spans="1:9" ht="16.5" thickTop="1" thickBot="1" x14ac:dyDescent="0.3">
      <c r="A264" s="2672" t="s">
        <v>1105</v>
      </c>
      <c r="B264" s="2673"/>
      <c r="C264" s="2673"/>
      <c r="D264" s="2673"/>
      <c r="E264" s="2673"/>
      <c r="F264" s="824">
        <f>SUM(F260,F262)</f>
        <v>0</v>
      </c>
      <c r="G264" s="824">
        <f>G260+G262</f>
        <v>1692</v>
      </c>
      <c r="H264" s="824">
        <f>H260+H262</f>
        <v>1692</v>
      </c>
      <c r="I264" s="825">
        <f t="shared" si="15"/>
        <v>100</v>
      </c>
    </row>
    <row r="265" spans="1:9" ht="15.75" thickTop="1" x14ac:dyDescent="0.25">
      <c r="A265" s="368"/>
      <c r="B265" s="368"/>
      <c r="C265" s="368"/>
      <c r="D265" s="368"/>
      <c r="E265" s="368"/>
      <c r="F265" s="181"/>
      <c r="G265" s="181"/>
      <c r="H265" s="181"/>
      <c r="I265" s="210"/>
    </row>
    <row r="266" spans="1:9" ht="15" thickBot="1" x14ac:dyDescent="0.25">
      <c r="A266" s="432" t="s">
        <v>2037</v>
      </c>
      <c r="I266" s="817" t="s">
        <v>161</v>
      </c>
    </row>
    <row r="267" spans="1:9" s="107" customFormat="1" ht="12.75" thickTop="1" thickBot="1" x14ac:dyDescent="0.25">
      <c r="A267" s="631" t="s">
        <v>624</v>
      </c>
      <c r="B267" s="774" t="s">
        <v>162</v>
      </c>
      <c r="C267" s="632" t="s">
        <v>163</v>
      </c>
      <c r="D267" s="634" t="s">
        <v>705</v>
      </c>
      <c r="E267" s="634" t="s">
        <v>164</v>
      </c>
      <c r="F267" s="634" t="s">
        <v>165</v>
      </c>
      <c r="G267" s="634" t="s">
        <v>881</v>
      </c>
      <c r="H267" s="634" t="s">
        <v>882</v>
      </c>
      <c r="I267" s="818" t="s">
        <v>883</v>
      </c>
    </row>
    <row r="268" spans="1:9" s="383" customFormat="1" ht="18" customHeight="1" thickTop="1" thickBot="1" x14ac:dyDescent="0.25">
      <c r="A268" s="566">
        <v>1</v>
      </c>
      <c r="B268" s="567">
        <v>2</v>
      </c>
      <c r="C268" s="567">
        <v>3</v>
      </c>
      <c r="D268" s="567">
        <v>4</v>
      </c>
      <c r="E268" s="567">
        <v>5</v>
      </c>
      <c r="F268" s="541">
        <v>6</v>
      </c>
      <c r="G268" s="541">
        <v>7</v>
      </c>
      <c r="H268" s="542">
        <v>8</v>
      </c>
      <c r="I268" s="636" t="s">
        <v>762</v>
      </c>
    </row>
    <row r="269" spans="1:9" ht="15.75" thickTop="1" x14ac:dyDescent="0.25">
      <c r="A269" s="1402">
        <v>1521</v>
      </c>
      <c r="B269" s="847">
        <v>3111</v>
      </c>
      <c r="C269" s="847">
        <v>5212</v>
      </c>
      <c r="D269" s="852"/>
      <c r="E269" s="672" t="s">
        <v>1611</v>
      </c>
      <c r="F269" s="845"/>
      <c r="G269" s="845">
        <v>287</v>
      </c>
      <c r="H269" s="845">
        <v>287</v>
      </c>
      <c r="I269" s="849">
        <f>(H269/G269)*100</f>
        <v>100</v>
      </c>
    </row>
    <row r="270" spans="1:9" ht="15" customHeight="1" x14ac:dyDescent="0.25">
      <c r="A270" s="431"/>
      <c r="B270" s="673"/>
      <c r="C270" s="673"/>
      <c r="D270" s="1069" t="s">
        <v>1130</v>
      </c>
      <c r="E270" s="1291" t="s">
        <v>0</v>
      </c>
      <c r="F270" s="820"/>
      <c r="G270" s="356">
        <v>287</v>
      </c>
      <c r="H270" s="356">
        <v>287</v>
      </c>
      <c r="I270" s="854">
        <v>100</v>
      </c>
    </row>
    <row r="271" spans="1:9" ht="13.5" customHeight="1" x14ac:dyDescent="0.25">
      <c r="A271" s="431">
        <v>1521</v>
      </c>
      <c r="B271" s="673">
        <v>3141</v>
      </c>
      <c r="C271" s="673">
        <v>5212</v>
      </c>
      <c r="D271" s="1069"/>
      <c r="E271" s="672" t="s">
        <v>1611</v>
      </c>
      <c r="F271" s="820"/>
      <c r="G271" s="851">
        <v>14</v>
      </c>
      <c r="H271" s="851">
        <v>14</v>
      </c>
      <c r="I271" s="853">
        <v>100</v>
      </c>
    </row>
    <row r="272" spans="1:9" ht="15" thickBot="1" x14ac:dyDescent="0.25">
      <c r="A272" s="431"/>
      <c r="B272" s="673"/>
      <c r="C272" s="673"/>
      <c r="D272" s="1069" t="s">
        <v>1130</v>
      </c>
      <c r="E272" s="1291" t="s">
        <v>0</v>
      </c>
      <c r="F272" s="827"/>
      <c r="G272" s="827">
        <v>14</v>
      </c>
      <c r="H272" s="827">
        <v>14</v>
      </c>
      <c r="I272" s="855">
        <f>(H272/G272)*100</f>
        <v>100</v>
      </c>
    </row>
    <row r="273" spans="1:9" ht="16.5" thickTop="1" thickBot="1" x14ac:dyDescent="0.3">
      <c r="A273" s="2672" t="s">
        <v>1105</v>
      </c>
      <c r="B273" s="2673"/>
      <c r="C273" s="2673"/>
      <c r="D273" s="2673"/>
      <c r="E273" s="2673"/>
      <c r="F273" s="824">
        <f>SUM(F269)</f>
        <v>0</v>
      </c>
      <c r="G273" s="824">
        <f>G269+G271</f>
        <v>301</v>
      </c>
      <c r="H273" s="824">
        <f>H269+H271</f>
        <v>301</v>
      </c>
      <c r="I273" s="856">
        <f>(H273/G273)*100</f>
        <v>100</v>
      </c>
    </row>
    <row r="274" spans="1:9" ht="15.75" thickTop="1" x14ac:dyDescent="0.25">
      <c r="A274" s="368"/>
      <c r="B274" s="368"/>
      <c r="C274" s="368"/>
      <c r="D274" s="368"/>
      <c r="E274" s="368"/>
      <c r="F274" s="181"/>
      <c r="G274" s="181"/>
      <c r="H274" s="181"/>
      <c r="I274" s="210"/>
    </row>
    <row r="275" spans="1:9" ht="15" thickBot="1" x14ac:dyDescent="0.25">
      <c r="A275" s="432" t="s">
        <v>2038</v>
      </c>
      <c r="I275" s="817" t="s">
        <v>161</v>
      </c>
    </row>
    <row r="276" spans="1:9" s="107" customFormat="1" ht="12.75" thickTop="1" thickBot="1" x14ac:dyDescent="0.25">
      <c r="A276" s="631" t="s">
        <v>624</v>
      </c>
      <c r="B276" s="774" t="s">
        <v>162</v>
      </c>
      <c r="C276" s="632" t="s">
        <v>163</v>
      </c>
      <c r="D276" s="634" t="s">
        <v>705</v>
      </c>
      <c r="E276" s="634" t="s">
        <v>164</v>
      </c>
      <c r="F276" s="634" t="s">
        <v>165</v>
      </c>
      <c r="G276" s="634" t="s">
        <v>881</v>
      </c>
      <c r="H276" s="634" t="s">
        <v>882</v>
      </c>
      <c r="I276" s="818" t="s">
        <v>883</v>
      </c>
    </row>
    <row r="277" spans="1:9" s="383" customFormat="1" ht="18" customHeight="1" thickTop="1" thickBot="1" x14ac:dyDescent="0.25">
      <c r="A277" s="566">
        <v>1</v>
      </c>
      <c r="B277" s="567">
        <v>2</v>
      </c>
      <c r="C277" s="567">
        <v>3</v>
      </c>
      <c r="D277" s="567">
        <v>4</v>
      </c>
      <c r="E277" s="567">
        <v>5</v>
      </c>
      <c r="F277" s="541">
        <v>6</v>
      </c>
      <c r="G277" s="541">
        <v>7</v>
      </c>
      <c r="H277" s="542">
        <v>8</v>
      </c>
      <c r="I277" s="636" t="s">
        <v>762</v>
      </c>
    </row>
    <row r="278" spans="1:9" ht="15.75" thickTop="1" x14ac:dyDescent="0.25">
      <c r="A278" s="1402">
        <v>1522</v>
      </c>
      <c r="B278" s="847">
        <v>3111</v>
      </c>
      <c r="C278" s="847">
        <v>5213</v>
      </c>
      <c r="D278" s="852"/>
      <c r="E278" s="672" t="s">
        <v>1173</v>
      </c>
      <c r="F278" s="845"/>
      <c r="G278" s="845">
        <v>97</v>
      </c>
      <c r="H278" s="845">
        <v>97</v>
      </c>
      <c r="I278" s="849">
        <f>(H278/G278)*100</f>
        <v>100</v>
      </c>
    </row>
    <row r="279" spans="1:9" ht="15" customHeight="1" x14ac:dyDescent="0.25">
      <c r="A279" s="431"/>
      <c r="B279" s="673"/>
      <c r="C279" s="673"/>
      <c r="D279" s="1069" t="s">
        <v>1130</v>
      </c>
      <c r="E279" s="1291" t="s">
        <v>0</v>
      </c>
      <c r="F279" s="820"/>
      <c r="G279" s="356">
        <v>97</v>
      </c>
      <c r="H279" s="356">
        <v>97</v>
      </c>
      <c r="I279" s="854">
        <v>100</v>
      </c>
    </row>
    <row r="280" spans="1:9" ht="13.5" customHeight="1" x14ac:dyDescent="0.25">
      <c r="A280" s="431">
        <v>1522</v>
      </c>
      <c r="B280" s="673">
        <v>3141</v>
      </c>
      <c r="C280" s="673">
        <v>5213</v>
      </c>
      <c r="D280" s="1069"/>
      <c r="E280" s="672" t="s">
        <v>1173</v>
      </c>
      <c r="F280" s="820"/>
      <c r="G280" s="851">
        <v>4</v>
      </c>
      <c r="H280" s="851">
        <v>4</v>
      </c>
      <c r="I280" s="853">
        <v>100</v>
      </c>
    </row>
    <row r="281" spans="1:9" ht="15" thickBot="1" x14ac:dyDescent="0.25">
      <c r="A281" s="431"/>
      <c r="B281" s="673"/>
      <c r="C281" s="673"/>
      <c r="D281" s="1069" t="s">
        <v>1130</v>
      </c>
      <c r="E281" s="1291" t="s">
        <v>0</v>
      </c>
      <c r="F281" s="827"/>
      <c r="G281" s="827">
        <v>4</v>
      </c>
      <c r="H281" s="827">
        <v>4</v>
      </c>
      <c r="I281" s="855">
        <f>(H281/G281)*100</f>
        <v>100</v>
      </c>
    </row>
    <row r="282" spans="1:9" ht="16.5" thickTop="1" thickBot="1" x14ac:dyDescent="0.3">
      <c r="A282" s="2672" t="s">
        <v>1105</v>
      </c>
      <c r="B282" s="2673"/>
      <c r="C282" s="2673"/>
      <c r="D282" s="2673"/>
      <c r="E282" s="2673"/>
      <c r="F282" s="824">
        <f>SUM(F278)</f>
        <v>0</v>
      </c>
      <c r="G282" s="824">
        <f>G278+G280</f>
        <v>101</v>
      </c>
      <c r="H282" s="824">
        <f>H278+H280</f>
        <v>101</v>
      </c>
      <c r="I282" s="856">
        <f>(H282/G282)*100</f>
        <v>100</v>
      </c>
    </row>
    <row r="283" spans="1:9" ht="15.75" thickTop="1" x14ac:dyDescent="0.25">
      <c r="A283" s="368"/>
      <c r="B283" s="368"/>
      <c r="C283" s="368"/>
      <c r="D283" s="368"/>
      <c r="E283" s="368"/>
      <c r="F283" s="181"/>
      <c r="G283" s="181"/>
      <c r="H283" s="181"/>
      <c r="I283" s="210"/>
    </row>
    <row r="284" spans="1:9" ht="15" thickBot="1" x14ac:dyDescent="0.25">
      <c r="A284" s="432" t="s">
        <v>494</v>
      </c>
      <c r="I284" s="817" t="s">
        <v>161</v>
      </c>
    </row>
    <row r="285" spans="1:9" s="107" customFormat="1" ht="12.75" thickTop="1" thickBot="1" x14ac:dyDescent="0.25">
      <c r="A285" s="631" t="s">
        <v>624</v>
      </c>
      <c r="B285" s="774" t="s">
        <v>162</v>
      </c>
      <c r="C285" s="632" t="s">
        <v>163</v>
      </c>
      <c r="D285" s="634" t="s">
        <v>705</v>
      </c>
      <c r="E285" s="634" t="s">
        <v>164</v>
      </c>
      <c r="F285" s="634" t="s">
        <v>165</v>
      </c>
      <c r="G285" s="634" t="s">
        <v>881</v>
      </c>
      <c r="H285" s="634" t="s">
        <v>882</v>
      </c>
      <c r="I285" s="818" t="s">
        <v>883</v>
      </c>
    </row>
    <row r="286" spans="1:9" s="383" customFormat="1" ht="18" customHeight="1" thickTop="1" thickBot="1" x14ac:dyDescent="0.25">
      <c r="A286" s="566">
        <v>1</v>
      </c>
      <c r="B286" s="567">
        <v>2</v>
      </c>
      <c r="C286" s="567">
        <v>3</v>
      </c>
      <c r="D286" s="567">
        <v>4</v>
      </c>
      <c r="E286" s="567">
        <v>5</v>
      </c>
      <c r="F286" s="541">
        <v>6</v>
      </c>
      <c r="G286" s="541">
        <v>7</v>
      </c>
      <c r="H286" s="542">
        <v>8</v>
      </c>
      <c r="I286" s="636" t="s">
        <v>762</v>
      </c>
    </row>
    <row r="287" spans="1:9" ht="15.75" thickTop="1" x14ac:dyDescent="0.25">
      <c r="A287" s="1402">
        <v>1532</v>
      </c>
      <c r="B287" s="847">
        <v>3122</v>
      </c>
      <c r="C287" s="847">
        <v>5213</v>
      </c>
      <c r="D287" s="852"/>
      <c r="E287" s="792" t="s">
        <v>1173</v>
      </c>
      <c r="F287" s="845"/>
      <c r="G287" s="845">
        <v>3020</v>
      </c>
      <c r="H287" s="845">
        <v>3020</v>
      </c>
      <c r="I287" s="849">
        <f>(H287/G287)*100</f>
        <v>100</v>
      </c>
    </row>
    <row r="288" spans="1:9" ht="15" thickBot="1" x14ac:dyDescent="0.25">
      <c r="A288" s="431"/>
      <c r="B288" s="673"/>
      <c r="C288" s="673"/>
      <c r="D288" s="1069" t="s">
        <v>1130</v>
      </c>
      <c r="E288" s="1291" t="s">
        <v>0</v>
      </c>
      <c r="F288" s="827"/>
      <c r="G288" s="827">
        <v>3020</v>
      </c>
      <c r="H288" s="827">
        <v>3020</v>
      </c>
      <c r="I288" s="855">
        <f>(H288/G288)*100</f>
        <v>100</v>
      </c>
    </row>
    <row r="289" spans="1:256" ht="16.5" thickTop="1" thickBot="1" x14ac:dyDescent="0.3">
      <c r="A289" s="2672" t="s">
        <v>1105</v>
      </c>
      <c r="B289" s="2673"/>
      <c r="C289" s="2673"/>
      <c r="D289" s="2673"/>
      <c r="E289" s="2673"/>
      <c r="F289" s="824">
        <f>SUM(F287)</f>
        <v>0</v>
      </c>
      <c r="G289" s="824">
        <f>G287</f>
        <v>3020</v>
      </c>
      <c r="H289" s="824">
        <f>H287</f>
        <v>3020</v>
      </c>
      <c r="I289" s="856">
        <f>(H289/G289)*100</f>
        <v>100</v>
      </c>
    </row>
    <row r="290" spans="1:256" ht="15" customHeight="1" thickTop="1" x14ac:dyDescent="0.2"/>
    <row r="291" spans="1:256" ht="15" customHeight="1" x14ac:dyDescent="0.2"/>
    <row r="292" spans="1:256" ht="15" thickBot="1" x14ac:dyDescent="0.25">
      <c r="A292" s="432" t="s">
        <v>254</v>
      </c>
      <c r="I292" s="817" t="s">
        <v>161</v>
      </c>
    </row>
    <row r="293" spans="1:256" s="107" customFormat="1" ht="12.75" thickTop="1" thickBot="1" x14ac:dyDescent="0.25">
      <c r="A293" s="631" t="s">
        <v>624</v>
      </c>
      <c r="B293" s="774" t="s">
        <v>162</v>
      </c>
      <c r="C293" s="632" t="s">
        <v>163</v>
      </c>
      <c r="D293" s="634" t="s">
        <v>705</v>
      </c>
      <c r="E293" s="634" t="s">
        <v>164</v>
      </c>
      <c r="F293" s="634" t="s">
        <v>165</v>
      </c>
      <c r="G293" s="634" t="s">
        <v>881</v>
      </c>
      <c r="H293" s="634" t="s">
        <v>882</v>
      </c>
      <c r="I293" s="818" t="s">
        <v>883</v>
      </c>
    </row>
    <row r="294" spans="1:256" s="383" customFormat="1" ht="18" customHeight="1" thickTop="1" thickBot="1" x14ac:dyDescent="0.25">
      <c r="A294" s="566">
        <v>1</v>
      </c>
      <c r="B294" s="567">
        <v>2</v>
      </c>
      <c r="C294" s="567">
        <v>3</v>
      </c>
      <c r="D294" s="567">
        <v>4</v>
      </c>
      <c r="E294" s="567">
        <v>5</v>
      </c>
      <c r="F294" s="541">
        <v>6</v>
      </c>
      <c r="G294" s="541">
        <v>7</v>
      </c>
      <c r="H294" s="542">
        <v>8</v>
      </c>
      <c r="I294" s="636" t="s">
        <v>762</v>
      </c>
    </row>
    <row r="295" spans="1:256" ht="15.75" thickTop="1" x14ac:dyDescent="0.25">
      <c r="A295" s="1402">
        <v>1533</v>
      </c>
      <c r="B295" s="847">
        <v>3122</v>
      </c>
      <c r="C295" s="847">
        <v>5213</v>
      </c>
      <c r="D295" s="852"/>
      <c r="E295" s="792" t="s">
        <v>1173</v>
      </c>
      <c r="F295" s="845"/>
      <c r="G295" s="845">
        <v>3368</v>
      </c>
      <c r="H295" s="845">
        <v>3368</v>
      </c>
      <c r="I295" s="849">
        <f>(H295/G295)*100</f>
        <v>100</v>
      </c>
    </row>
    <row r="296" spans="1:256" ht="15" thickBot="1" x14ac:dyDescent="0.25">
      <c r="A296" s="431"/>
      <c r="B296" s="750"/>
      <c r="C296" s="750"/>
      <c r="D296" s="1069" t="s">
        <v>1130</v>
      </c>
      <c r="E296" s="1291" t="s">
        <v>0</v>
      </c>
      <c r="F296" s="833"/>
      <c r="G296" s="833">
        <v>3368</v>
      </c>
      <c r="H296" s="833">
        <v>3368</v>
      </c>
      <c r="I296" s="828">
        <f>(H296/G296)*100</f>
        <v>100</v>
      </c>
    </row>
    <row r="297" spans="1:256" s="1483" customFormat="1" ht="20.25" customHeight="1" thickTop="1" thickBot="1" x14ac:dyDescent="0.25">
      <c r="A297" s="2683" t="s">
        <v>1105</v>
      </c>
      <c r="B297" s="2684"/>
      <c r="C297" s="2684"/>
      <c r="D297" s="2684"/>
      <c r="E297" s="2684"/>
      <c r="F297" s="1494">
        <f>SUM(F295)</f>
        <v>0</v>
      </c>
      <c r="G297" s="1494">
        <f>SUM(G295)</f>
        <v>3368</v>
      </c>
      <c r="H297" s="1494">
        <f>SUM(H295)</f>
        <v>3368</v>
      </c>
      <c r="I297" s="1495">
        <f>(H297/G297)*100</f>
        <v>100</v>
      </c>
    </row>
    <row r="298" spans="1:256" s="1483" customFormat="1" ht="15" thickTop="1" x14ac:dyDescent="0.2">
      <c r="B298" s="1497"/>
      <c r="D298" s="1498"/>
      <c r="F298" s="1532"/>
      <c r="G298" s="1532"/>
      <c r="H298" s="1532"/>
      <c r="I298" s="1533"/>
    </row>
    <row r="299" spans="1:256" s="1483" customFormat="1" ht="13.5" customHeight="1" x14ac:dyDescent="0.2">
      <c r="B299" s="1497"/>
      <c r="D299" s="1498"/>
      <c r="F299" s="1532"/>
      <c r="G299" s="1532"/>
      <c r="H299" s="1532"/>
      <c r="I299" s="1533"/>
    </row>
    <row r="300" spans="1:256" s="1483" customFormat="1" ht="15" thickBot="1" x14ac:dyDescent="0.25">
      <c r="A300" s="1510" t="s">
        <v>2039</v>
      </c>
      <c r="B300" s="1497"/>
      <c r="D300" s="1498"/>
      <c r="F300" s="1532"/>
      <c r="G300" s="1532"/>
      <c r="H300" s="1532"/>
      <c r="I300" s="1534" t="s">
        <v>161</v>
      </c>
    </row>
    <row r="301" spans="1:256" s="1540" customFormat="1" ht="15" customHeight="1" thickTop="1" thickBot="1" x14ac:dyDescent="0.25">
      <c r="A301" s="1535" t="s">
        <v>624</v>
      </c>
      <c r="B301" s="1536" t="s">
        <v>162</v>
      </c>
      <c r="C301" s="1537" t="s">
        <v>163</v>
      </c>
      <c r="D301" s="1538" t="s">
        <v>705</v>
      </c>
      <c r="E301" s="1538" t="s">
        <v>164</v>
      </c>
      <c r="F301" s="1538" t="s">
        <v>165</v>
      </c>
      <c r="G301" s="1538" t="s">
        <v>881</v>
      </c>
      <c r="H301" s="1538" t="s">
        <v>882</v>
      </c>
      <c r="I301" s="1539" t="s">
        <v>883</v>
      </c>
    </row>
    <row r="302" spans="1:256" s="1506" customFormat="1" ht="13.5" thickTop="1" thickBot="1" x14ac:dyDescent="0.25">
      <c r="A302" s="1501">
        <v>1</v>
      </c>
      <c r="B302" s="1502">
        <v>2</v>
      </c>
      <c r="C302" s="1502">
        <v>3</v>
      </c>
      <c r="D302" s="1502">
        <v>4</v>
      </c>
      <c r="E302" s="1502">
        <v>5</v>
      </c>
      <c r="F302" s="1503">
        <v>6</v>
      </c>
      <c r="G302" s="1503">
        <v>7</v>
      </c>
      <c r="H302" s="1504">
        <v>8</v>
      </c>
      <c r="I302" s="1505" t="s">
        <v>762</v>
      </c>
    </row>
    <row r="303" spans="1:256" s="1483" customFormat="1" ht="15.75" thickTop="1" x14ac:dyDescent="0.2">
      <c r="A303" s="1552">
        <v>1535</v>
      </c>
      <c r="B303" s="1553">
        <v>3122</v>
      </c>
      <c r="C303" s="1553">
        <v>5213</v>
      </c>
      <c r="D303" s="1554"/>
      <c r="E303" s="1543" t="s">
        <v>1173</v>
      </c>
      <c r="F303" s="1550"/>
      <c r="G303" s="1550">
        <f>SUM(G304:G304)</f>
        <v>3393</v>
      </c>
      <c r="H303" s="1550">
        <f>SUM(H304:H304)</f>
        <v>3393</v>
      </c>
      <c r="I303" s="1555">
        <f>(H303/G303)*100</f>
        <v>100</v>
      </c>
      <c r="IV303" s="1496">
        <f>SUM(I303:IU303)</f>
        <v>100</v>
      </c>
    </row>
    <row r="304" spans="1:256" s="1483" customFormat="1" ht="15" customHeight="1" thickBot="1" x14ac:dyDescent="0.25">
      <c r="A304" s="1507"/>
      <c r="B304" s="1524"/>
      <c r="C304" s="1524"/>
      <c r="D304" s="1068" t="s">
        <v>1130</v>
      </c>
      <c r="E304" s="1290" t="s">
        <v>0</v>
      </c>
      <c r="F304" s="1296"/>
      <c r="G304" s="1296">
        <v>3393</v>
      </c>
      <c r="H304" s="1296">
        <v>3393</v>
      </c>
      <c r="I304" s="1300">
        <f>(H304/G304)*100</f>
        <v>100</v>
      </c>
      <c r="IV304" s="1483">
        <f>SUM(A304:IU304)</f>
        <v>6886</v>
      </c>
    </row>
    <row r="305" spans="1:256" s="1483" customFormat="1" ht="16.5" thickTop="1" thickBot="1" x14ac:dyDescent="0.25">
      <c r="A305" s="2683" t="s">
        <v>1105</v>
      </c>
      <c r="B305" s="2684"/>
      <c r="C305" s="2684"/>
      <c r="D305" s="2684"/>
      <c r="E305" s="2684"/>
      <c r="F305" s="1494">
        <f>SUM(F303)</f>
        <v>0</v>
      </c>
      <c r="G305" s="1494">
        <f>SUM(G303)</f>
        <v>3393</v>
      </c>
      <c r="H305" s="1494">
        <f>SUM(H303)</f>
        <v>3393</v>
      </c>
      <c r="I305" s="1495">
        <f>(H305/G305)*100</f>
        <v>100</v>
      </c>
      <c r="IV305" s="1496">
        <f>SUM(IV303:IV304)</f>
        <v>6986</v>
      </c>
    </row>
    <row r="306" spans="1:256" s="1483" customFormat="1" ht="15" thickTop="1" x14ac:dyDescent="0.2">
      <c r="B306" s="1497"/>
      <c r="D306" s="1498"/>
      <c r="F306" s="1532"/>
      <c r="G306" s="1532"/>
      <c r="H306" s="1532"/>
      <c r="I306" s="1533"/>
    </row>
    <row r="307" spans="1:256" s="1483" customFormat="1" ht="15" thickBot="1" x14ac:dyDescent="0.25">
      <c r="A307" s="1510" t="s">
        <v>1817</v>
      </c>
      <c r="B307" s="1497"/>
      <c r="D307" s="1498"/>
      <c r="F307" s="1532"/>
      <c r="G307" s="1532"/>
      <c r="H307" s="1532"/>
      <c r="I307" s="1534" t="s">
        <v>161</v>
      </c>
    </row>
    <row r="308" spans="1:256" s="1540" customFormat="1" ht="18" customHeight="1" thickTop="1" thickBot="1" x14ac:dyDescent="0.25">
      <c r="A308" s="1535" t="s">
        <v>624</v>
      </c>
      <c r="B308" s="1536" t="s">
        <v>162</v>
      </c>
      <c r="C308" s="1537" t="s">
        <v>163</v>
      </c>
      <c r="D308" s="1538" t="s">
        <v>705</v>
      </c>
      <c r="E308" s="1538" t="s">
        <v>164</v>
      </c>
      <c r="F308" s="1538" t="s">
        <v>165</v>
      </c>
      <c r="G308" s="1538" t="s">
        <v>881</v>
      </c>
      <c r="H308" s="1538" t="s">
        <v>882</v>
      </c>
      <c r="I308" s="1539" t="s">
        <v>883</v>
      </c>
    </row>
    <row r="309" spans="1:256" s="1506" customFormat="1" ht="18" customHeight="1" thickTop="1" thickBot="1" x14ac:dyDescent="0.25">
      <c r="A309" s="1501">
        <v>1</v>
      </c>
      <c r="B309" s="1502">
        <v>2</v>
      </c>
      <c r="C309" s="1502">
        <v>3</v>
      </c>
      <c r="D309" s="1502">
        <v>4</v>
      </c>
      <c r="E309" s="1502">
        <v>5</v>
      </c>
      <c r="F309" s="1503">
        <v>6</v>
      </c>
      <c r="G309" s="1503">
        <v>7</v>
      </c>
      <c r="H309" s="1504">
        <v>8</v>
      </c>
      <c r="I309" s="1505" t="s">
        <v>762</v>
      </c>
    </row>
    <row r="310" spans="1:256" s="1483" customFormat="1" ht="15.75" thickTop="1" x14ac:dyDescent="0.2">
      <c r="A310" s="1552">
        <v>1536</v>
      </c>
      <c r="B310" s="1553">
        <v>3122</v>
      </c>
      <c r="C310" s="1553">
        <v>5213</v>
      </c>
      <c r="D310" s="1554"/>
      <c r="E310" s="1543" t="s">
        <v>1173</v>
      </c>
      <c r="F310" s="1550"/>
      <c r="G310" s="1550">
        <f>SUM(G311:G311)</f>
        <v>6854</v>
      </c>
      <c r="H310" s="1550">
        <f>SUM(H311:H311)</f>
        <v>6854</v>
      </c>
      <c r="I310" s="1555">
        <f t="shared" ref="I310:I318" si="16">(H310/G310)*100</f>
        <v>100</v>
      </c>
      <c r="IV310" s="1496">
        <f>SUM(I310:IU310)</f>
        <v>100</v>
      </c>
    </row>
    <row r="311" spans="1:256" s="1483" customFormat="1" ht="20.25" customHeight="1" x14ac:dyDescent="0.2">
      <c r="A311" s="1507"/>
      <c r="B311" s="1524"/>
      <c r="C311" s="1524"/>
      <c r="D311" s="1068" t="s">
        <v>1130</v>
      </c>
      <c r="E311" s="1290" t="s">
        <v>0</v>
      </c>
      <c r="F311" s="1296"/>
      <c r="G311" s="1296">
        <v>6854</v>
      </c>
      <c r="H311" s="1301">
        <v>6854</v>
      </c>
      <c r="I311" s="1297">
        <f t="shared" si="16"/>
        <v>100</v>
      </c>
      <c r="IV311" s="1483">
        <f>SUM(A311:IU311)</f>
        <v>13808</v>
      </c>
    </row>
    <row r="312" spans="1:256" s="1483" customFormat="1" ht="15" x14ac:dyDescent="0.2">
      <c r="A312" s="1507">
        <v>1536</v>
      </c>
      <c r="B312" s="1524">
        <v>3123</v>
      </c>
      <c r="C312" s="1524">
        <v>5213</v>
      </c>
      <c r="D312" s="1557"/>
      <c r="E312" s="1547" t="s">
        <v>1173</v>
      </c>
      <c r="F312" s="1548"/>
      <c r="G312" s="1548">
        <f>SUM(G313:G313)</f>
        <v>1544</v>
      </c>
      <c r="H312" s="1548">
        <f>SUM(H313:H313)</f>
        <v>1544</v>
      </c>
      <c r="I312" s="1549">
        <f t="shared" si="16"/>
        <v>100</v>
      </c>
      <c r="IV312" s="1496">
        <f>SUM(I312:IU312)</f>
        <v>100</v>
      </c>
    </row>
    <row r="313" spans="1:256" s="1483" customFormat="1" x14ac:dyDescent="0.2">
      <c r="A313" s="1507"/>
      <c r="B313" s="1524"/>
      <c r="C313" s="1524"/>
      <c r="D313" s="1068" t="s">
        <v>1130</v>
      </c>
      <c r="E313" s="1290" t="s">
        <v>0</v>
      </c>
      <c r="F313" s="1296"/>
      <c r="G313" s="1296">
        <v>1544</v>
      </c>
      <c r="H313" s="1296">
        <v>1544</v>
      </c>
      <c r="I313" s="1300">
        <f t="shared" si="16"/>
        <v>100</v>
      </c>
    </row>
    <row r="314" spans="1:256" s="1483" customFormat="1" ht="15" customHeight="1" x14ac:dyDescent="0.2">
      <c r="A314" s="1507">
        <v>1536</v>
      </c>
      <c r="B314" s="1508">
        <v>3142</v>
      </c>
      <c r="C314" s="1508">
        <v>5213</v>
      </c>
      <c r="D314" s="1558"/>
      <c r="E314" s="1547" t="s">
        <v>1173</v>
      </c>
      <c r="F314" s="1301"/>
      <c r="G314" s="1559">
        <v>62</v>
      </c>
      <c r="H314" s="1298">
        <v>62</v>
      </c>
      <c r="I314" s="1560">
        <f t="shared" si="16"/>
        <v>100</v>
      </c>
    </row>
    <row r="315" spans="1:256" s="1483" customFormat="1" x14ac:dyDescent="0.2">
      <c r="A315" s="1507"/>
      <c r="B315" s="1508"/>
      <c r="C315" s="1508"/>
      <c r="D315" s="1068" t="s">
        <v>1130</v>
      </c>
      <c r="E315" s="1290" t="s">
        <v>0</v>
      </c>
      <c r="F315" s="1301"/>
      <c r="G315" s="1301">
        <v>62</v>
      </c>
      <c r="H315" s="1301">
        <v>62</v>
      </c>
      <c r="I315" s="1297">
        <f t="shared" si="16"/>
        <v>100</v>
      </c>
    </row>
    <row r="316" spans="1:256" s="1483" customFormat="1" ht="15" x14ac:dyDescent="0.2">
      <c r="A316" s="1507">
        <v>1536</v>
      </c>
      <c r="B316" s="1508">
        <v>3429</v>
      </c>
      <c r="C316" s="1508">
        <v>5213</v>
      </c>
      <c r="D316" s="1068"/>
      <c r="E316" s="1547" t="s">
        <v>1173</v>
      </c>
      <c r="F316" s="1301"/>
      <c r="G316" s="1559">
        <v>25</v>
      </c>
      <c r="H316" s="1559">
        <v>25</v>
      </c>
      <c r="I316" s="1560">
        <f t="shared" si="16"/>
        <v>100</v>
      </c>
    </row>
    <row r="317" spans="1:256" s="1483" customFormat="1" ht="15" thickBot="1" x14ac:dyDescent="0.25">
      <c r="A317" s="1507"/>
      <c r="B317" s="1508"/>
      <c r="C317" s="1508"/>
      <c r="D317" s="1561" t="s">
        <v>1202</v>
      </c>
      <c r="E317" s="1562" t="s">
        <v>1818</v>
      </c>
      <c r="F317" s="1301"/>
      <c r="G317" s="1301">
        <v>25</v>
      </c>
      <c r="H317" s="1301">
        <v>25</v>
      </c>
      <c r="I317" s="1297">
        <f t="shared" si="16"/>
        <v>100</v>
      </c>
    </row>
    <row r="318" spans="1:256" s="1483" customFormat="1" ht="16.5" thickTop="1" thickBot="1" x14ac:dyDescent="0.25">
      <c r="A318" s="2683" t="s">
        <v>1105</v>
      </c>
      <c r="B318" s="2684"/>
      <c r="C318" s="2684"/>
      <c r="D318" s="2684"/>
      <c r="E318" s="2684"/>
      <c r="F318" s="1494">
        <f>SUM(F310)</f>
        <v>0</v>
      </c>
      <c r="G318" s="1494">
        <f>SUM(G310,G312,G314,G316)</f>
        <v>8485</v>
      </c>
      <c r="H318" s="1494">
        <f>SUM(H310,H312,H314,H316)</f>
        <v>8485</v>
      </c>
      <c r="I318" s="1495">
        <f t="shared" si="16"/>
        <v>100</v>
      </c>
      <c r="IV318" s="1496">
        <f>SUM(IV310:IV311)</f>
        <v>13908</v>
      </c>
    </row>
    <row r="319" spans="1:256" s="1483" customFormat="1" ht="18" customHeight="1" thickTop="1" x14ac:dyDescent="0.2">
      <c r="A319" s="1480"/>
      <c r="B319" s="1480"/>
      <c r="C319" s="1480"/>
      <c r="D319" s="1480"/>
      <c r="E319" s="1480"/>
      <c r="F319" s="1522"/>
      <c r="G319" s="1522"/>
      <c r="H319" s="1522"/>
      <c r="I319" s="1523"/>
      <c r="IV319" s="1496"/>
    </row>
    <row r="320" spans="1:256" s="1483" customFormat="1" ht="15" thickBot="1" x14ac:dyDescent="0.25">
      <c r="A320" s="1510" t="s">
        <v>1458</v>
      </c>
      <c r="B320" s="1497"/>
      <c r="D320" s="1498"/>
      <c r="F320" s="1532"/>
      <c r="G320" s="1532"/>
      <c r="H320" s="1532"/>
      <c r="I320" s="1534" t="s">
        <v>161</v>
      </c>
    </row>
    <row r="321" spans="1:256" s="1540" customFormat="1" ht="20.25" customHeight="1" thickTop="1" thickBot="1" x14ac:dyDescent="0.25">
      <c r="A321" s="1535" t="s">
        <v>624</v>
      </c>
      <c r="B321" s="1536" t="s">
        <v>162</v>
      </c>
      <c r="C321" s="1537" t="s">
        <v>163</v>
      </c>
      <c r="D321" s="1538" t="s">
        <v>705</v>
      </c>
      <c r="E321" s="1538" t="s">
        <v>164</v>
      </c>
      <c r="F321" s="1538" t="s">
        <v>165</v>
      </c>
      <c r="G321" s="1538" t="s">
        <v>881</v>
      </c>
      <c r="H321" s="1538" t="s">
        <v>882</v>
      </c>
      <c r="I321" s="1539" t="s">
        <v>883</v>
      </c>
    </row>
    <row r="322" spans="1:256" s="1506" customFormat="1" ht="13.5" thickTop="1" thickBot="1" x14ac:dyDescent="0.25">
      <c r="A322" s="1501">
        <v>1</v>
      </c>
      <c r="B322" s="1502">
        <v>2</v>
      </c>
      <c r="C322" s="1502">
        <v>3</v>
      </c>
      <c r="D322" s="1502">
        <v>4</v>
      </c>
      <c r="E322" s="1502">
        <v>5</v>
      </c>
      <c r="F322" s="1503">
        <v>6</v>
      </c>
      <c r="G322" s="1503">
        <v>7</v>
      </c>
      <c r="H322" s="1504">
        <v>8</v>
      </c>
      <c r="I322" s="1505" t="s">
        <v>762</v>
      </c>
    </row>
    <row r="323" spans="1:256" s="1483" customFormat="1" ht="15.75" thickTop="1" x14ac:dyDescent="0.2">
      <c r="A323" s="1552">
        <v>1537</v>
      </c>
      <c r="B323" s="1553">
        <v>3122</v>
      </c>
      <c r="C323" s="1553">
        <v>5213</v>
      </c>
      <c r="D323" s="1554"/>
      <c r="E323" s="1543" t="s">
        <v>1173</v>
      </c>
      <c r="F323" s="1550"/>
      <c r="G323" s="1550">
        <f>SUM(G324:G325)</f>
        <v>7641</v>
      </c>
      <c r="H323" s="1550">
        <f>SUM(H324:H325)</f>
        <v>7641</v>
      </c>
      <c r="I323" s="1555">
        <f>(H323/G323)*100</f>
        <v>100</v>
      </c>
      <c r="IV323" s="1496">
        <f>SUM(I323:IU323)</f>
        <v>100</v>
      </c>
    </row>
    <row r="324" spans="1:256" s="1483" customFormat="1" ht="15" x14ac:dyDescent="0.2">
      <c r="A324" s="1507"/>
      <c r="B324" s="1524"/>
      <c r="C324" s="1524"/>
      <c r="D324" s="1068" t="s">
        <v>1504</v>
      </c>
      <c r="E324" s="1795" t="s">
        <v>1604</v>
      </c>
      <c r="F324" s="1548"/>
      <c r="G324" s="1551">
        <v>4</v>
      </c>
      <c r="H324" s="1551">
        <v>4</v>
      </c>
      <c r="I324" s="1556">
        <v>100</v>
      </c>
      <c r="IV324" s="1496"/>
    </row>
    <row r="325" spans="1:256" s="1483" customFormat="1" ht="14.25" customHeight="1" x14ac:dyDescent="0.2">
      <c r="A325" s="1507"/>
      <c r="B325" s="1524"/>
      <c r="C325" s="1524"/>
      <c r="D325" s="1068" t="s">
        <v>1130</v>
      </c>
      <c r="E325" s="1290" t="s">
        <v>0</v>
      </c>
      <c r="F325" s="1296"/>
      <c r="G325" s="1296">
        <v>7637</v>
      </c>
      <c r="H325" s="1296">
        <v>7637</v>
      </c>
      <c r="I325" s="1556">
        <v>100</v>
      </c>
    </row>
    <row r="326" spans="1:256" s="1483" customFormat="1" ht="15" x14ac:dyDescent="0.2">
      <c r="A326" s="1507">
        <v>1537</v>
      </c>
      <c r="B326" s="1524">
        <v>3142</v>
      </c>
      <c r="C326" s="1524">
        <v>5213</v>
      </c>
      <c r="D326" s="748"/>
      <c r="E326" s="1547" t="s">
        <v>1173</v>
      </c>
      <c r="F326" s="1296"/>
      <c r="G326" s="1298">
        <f>G327</f>
        <v>134</v>
      </c>
      <c r="H326" s="1298">
        <f>H327</f>
        <v>134</v>
      </c>
      <c r="I326" s="1560">
        <v>100</v>
      </c>
    </row>
    <row r="327" spans="1:256" s="1483" customFormat="1" ht="15" thickBot="1" x14ac:dyDescent="0.25">
      <c r="A327" s="1507"/>
      <c r="B327" s="1524"/>
      <c r="C327" s="1524"/>
      <c r="D327" s="748" t="s">
        <v>1130</v>
      </c>
      <c r="E327" s="1563" t="s">
        <v>2</v>
      </c>
      <c r="F327" s="1296"/>
      <c r="G327" s="1296">
        <v>134</v>
      </c>
      <c r="H327" s="1296">
        <v>134</v>
      </c>
      <c r="I327" s="1556">
        <v>100</v>
      </c>
    </row>
    <row r="328" spans="1:256" s="1483" customFormat="1" ht="16.5" thickTop="1" thickBot="1" x14ac:dyDescent="0.25">
      <c r="A328" s="2683" t="s">
        <v>1105</v>
      </c>
      <c r="B328" s="2684"/>
      <c r="C328" s="2684"/>
      <c r="D328" s="2684"/>
      <c r="E328" s="2684"/>
      <c r="F328" s="1494">
        <v>0</v>
      </c>
      <c r="G328" s="1494">
        <f>SUM(G323,G326)</f>
        <v>7775</v>
      </c>
      <c r="H328" s="1494">
        <f>SUM(H323,H326)</f>
        <v>7775</v>
      </c>
      <c r="I328" s="1495">
        <f>(H328/G328)*100</f>
        <v>100</v>
      </c>
      <c r="IV328" s="1496">
        <f>SUM(IV320:IV323)</f>
        <v>100</v>
      </c>
    </row>
    <row r="329" spans="1:256" s="1483" customFormat="1" ht="15" thickTop="1" x14ac:dyDescent="0.2">
      <c r="B329" s="1497"/>
      <c r="D329" s="1498"/>
      <c r="F329" s="1532"/>
      <c r="G329" s="1532"/>
      <c r="H329" s="1532"/>
      <c r="I329" s="1533"/>
    </row>
    <row r="330" spans="1:256" s="1483" customFormat="1" x14ac:dyDescent="0.2">
      <c r="B330" s="1497"/>
      <c r="D330" s="1498"/>
      <c r="F330" s="1532"/>
      <c r="G330" s="1532"/>
      <c r="H330" s="1532"/>
      <c r="I330" s="1533"/>
    </row>
    <row r="331" spans="1:256" s="1483" customFormat="1" x14ac:dyDescent="0.2">
      <c r="B331" s="1497"/>
      <c r="D331" s="1498"/>
      <c r="F331" s="1532"/>
      <c r="G331" s="1532"/>
      <c r="H331" s="1532"/>
      <c r="I331" s="1533"/>
    </row>
    <row r="332" spans="1:256" s="1483" customFormat="1" ht="18" customHeight="1" thickBot="1" x14ac:dyDescent="0.25">
      <c r="A332" s="1510" t="s">
        <v>539</v>
      </c>
      <c r="B332" s="1497"/>
      <c r="D332" s="1498"/>
      <c r="F332" s="1532"/>
      <c r="G332" s="1532"/>
      <c r="H332" s="1532"/>
      <c r="I332" s="1534" t="s">
        <v>161</v>
      </c>
    </row>
    <row r="333" spans="1:256" s="1540" customFormat="1" ht="12.75" thickTop="1" thickBot="1" x14ac:dyDescent="0.25">
      <c r="A333" s="1535" t="s">
        <v>624</v>
      </c>
      <c r="B333" s="1536" t="s">
        <v>162</v>
      </c>
      <c r="C333" s="1537" t="s">
        <v>163</v>
      </c>
      <c r="D333" s="1538" t="s">
        <v>705</v>
      </c>
      <c r="E333" s="1538" t="s">
        <v>164</v>
      </c>
      <c r="F333" s="1538" t="s">
        <v>165</v>
      </c>
      <c r="G333" s="1538" t="s">
        <v>881</v>
      </c>
      <c r="H333" s="1538" t="s">
        <v>882</v>
      </c>
      <c r="I333" s="1539" t="s">
        <v>883</v>
      </c>
    </row>
    <row r="334" spans="1:256" s="1506" customFormat="1" ht="20.25" customHeight="1" thickTop="1" thickBot="1" x14ac:dyDescent="0.25">
      <c r="A334" s="1501">
        <v>1</v>
      </c>
      <c r="B334" s="1502">
        <v>2</v>
      </c>
      <c r="C334" s="1502">
        <v>3</v>
      </c>
      <c r="D334" s="1502">
        <v>4</v>
      </c>
      <c r="E334" s="1502">
        <v>5</v>
      </c>
      <c r="F334" s="1503">
        <v>6</v>
      </c>
      <c r="G334" s="1503">
        <v>7</v>
      </c>
      <c r="H334" s="1504">
        <v>8</v>
      </c>
      <c r="I334" s="1505" t="s">
        <v>762</v>
      </c>
    </row>
    <row r="335" spans="1:256" s="1483" customFormat="1" ht="15.75" thickTop="1" x14ac:dyDescent="0.2">
      <c r="A335" s="1552">
        <v>1539</v>
      </c>
      <c r="B335" s="1553">
        <v>3122</v>
      </c>
      <c r="C335" s="1553">
        <v>5213</v>
      </c>
      <c r="D335" s="1554"/>
      <c r="E335" s="1543" t="s">
        <v>1173</v>
      </c>
      <c r="F335" s="1550"/>
      <c r="G335" s="1550">
        <f>SUM(G337:G337)</f>
        <v>9279</v>
      </c>
      <c r="H335" s="1550">
        <f>SUM(H337:H337)</f>
        <v>9279</v>
      </c>
      <c r="I335" s="1555">
        <f>(H335/G335)*100</f>
        <v>100</v>
      </c>
      <c r="IV335" s="1496">
        <f>SUM(I335:IU335)</f>
        <v>100</v>
      </c>
    </row>
    <row r="336" spans="1:256" s="1483" customFormat="1" ht="15" x14ac:dyDescent="0.2">
      <c r="A336" s="1507"/>
      <c r="B336" s="1524"/>
      <c r="C336" s="1508"/>
      <c r="D336" s="1325" t="s">
        <v>1667</v>
      </c>
      <c r="E336" s="1795" t="s">
        <v>1824</v>
      </c>
      <c r="F336" s="1544"/>
      <c r="G336" s="1377">
        <v>24</v>
      </c>
      <c r="H336" s="1377">
        <v>24</v>
      </c>
      <c r="I336" s="1297">
        <f>(H336/G336)*100</f>
        <v>100</v>
      </c>
      <c r="IV336" s="1496"/>
    </row>
    <row r="337" spans="1:256" s="1483" customFormat="1" x14ac:dyDescent="0.2">
      <c r="A337" s="1507"/>
      <c r="B337" s="1524"/>
      <c r="C337" s="1508"/>
      <c r="D337" s="1068" t="s">
        <v>1130</v>
      </c>
      <c r="E337" s="1290" t="s">
        <v>0</v>
      </c>
      <c r="F337" s="1301"/>
      <c r="G337" s="1301">
        <v>9279</v>
      </c>
      <c r="H337" s="1301">
        <v>9279</v>
      </c>
      <c r="I337" s="1297">
        <f>(H337/G337)*100</f>
        <v>100</v>
      </c>
      <c r="IV337" s="1483">
        <f>SUM(A337:IU337)</f>
        <v>18658</v>
      </c>
    </row>
    <row r="338" spans="1:256" s="1483" customFormat="1" ht="15" customHeight="1" x14ac:dyDescent="0.2">
      <c r="A338" s="1507">
        <v>1539</v>
      </c>
      <c r="B338" s="1508">
        <v>3146</v>
      </c>
      <c r="C338" s="1508">
        <v>5213</v>
      </c>
      <c r="D338" s="1546"/>
      <c r="E338" s="1547" t="s">
        <v>1173</v>
      </c>
      <c r="F338" s="1559"/>
      <c r="G338" s="1559">
        <f>G339</f>
        <v>1795</v>
      </c>
      <c r="H338" s="1559">
        <f>H339</f>
        <v>1795</v>
      </c>
      <c r="I338" s="1560">
        <f>(H338/G338)*100</f>
        <v>100</v>
      </c>
    </row>
    <row r="339" spans="1:256" s="1483" customFormat="1" ht="15" thickBot="1" x14ac:dyDescent="0.25">
      <c r="A339" s="1507"/>
      <c r="B339" s="1508"/>
      <c r="C339" s="1508"/>
      <c r="D339" s="1068" t="s">
        <v>1130</v>
      </c>
      <c r="E339" s="1290" t="s">
        <v>0</v>
      </c>
      <c r="F339" s="1301"/>
      <c r="G339" s="1301">
        <v>1795</v>
      </c>
      <c r="H339" s="1301">
        <v>1795</v>
      </c>
      <c r="I339" s="1297">
        <v>100</v>
      </c>
    </row>
    <row r="340" spans="1:256" s="1483" customFormat="1" ht="16.5" thickTop="1" thickBot="1" x14ac:dyDescent="0.25">
      <c r="A340" s="2683" t="s">
        <v>1105</v>
      </c>
      <c r="B340" s="2684"/>
      <c r="C340" s="2684"/>
      <c r="D340" s="2684"/>
      <c r="E340" s="2684"/>
      <c r="F340" s="1494">
        <f>SUM(F335)</f>
        <v>0</v>
      </c>
      <c r="G340" s="1494">
        <f>SUM(G335,G338)</f>
        <v>11074</v>
      </c>
      <c r="H340" s="1494">
        <f>SUM(H335,H338)</f>
        <v>11074</v>
      </c>
      <c r="I340" s="1495">
        <f>(H340/G340)*100</f>
        <v>100</v>
      </c>
      <c r="IV340" s="1496">
        <f>SUM(IV335:IV337)</f>
        <v>18758</v>
      </c>
    </row>
    <row r="341" spans="1:256" s="1483" customFormat="1" ht="15.75" thickTop="1" x14ac:dyDescent="0.2">
      <c r="A341" s="1480"/>
      <c r="B341" s="1480"/>
      <c r="C341" s="1480"/>
      <c r="D341" s="1480"/>
      <c r="E341" s="1480"/>
      <c r="F341" s="1522"/>
      <c r="G341" s="1522"/>
      <c r="H341" s="1522"/>
      <c r="I341" s="1523"/>
      <c r="IV341" s="1496"/>
    </row>
    <row r="342" spans="1:256" s="1483" customFormat="1" ht="15" x14ac:dyDescent="0.2">
      <c r="A342" s="1480"/>
      <c r="B342" s="1480"/>
      <c r="C342" s="1480"/>
      <c r="D342" s="1480"/>
      <c r="E342" s="1480"/>
      <c r="F342" s="1522"/>
      <c r="G342" s="1522"/>
      <c r="H342" s="1522"/>
      <c r="I342" s="1523"/>
      <c r="IV342" s="1496"/>
    </row>
    <row r="343" spans="1:256" s="1483" customFormat="1" ht="18" customHeight="1" thickBot="1" x14ac:dyDescent="0.25">
      <c r="A343" s="1510" t="s">
        <v>2040</v>
      </c>
      <c r="B343" s="1497"/>
      <c r="D343" s="1498"/>
      <c r="F343" s="1532"/>
      <c r="G343" s="1532"/>
      <c r="H343" s="1532"/>
      <c r="I343" s="1534" t="s">
        <v>161</v>
      </c>
    </row>
    <row r="344" spans="1:256" s="1540" customFormat="1" ht="12.75" thickTop="1" thickBot="1" x14ac:dyDescent="0.25">
      <c r="A344" s="1535" t="s">
        <v>624</v>
      </c>
      <c r="B344" s="1536" t="s">
        <v>162</v>
      </c>
      <c r="C344" s="1537" t="s">
        <v>163</v>
      </c>
      <c r="D344" s="1538" t="s">
        <v>705</v>
      </c>
      <c r="E344" s="1538" t="s">
        <v>164</v>
      </c>
      <c r="F344" s="1538" t="s">
        <v>165</v>
      </c>
      <c r="G344" s="1538" t="s">
        <v>881</v>
      </c>
      <c r="H344" s="1538" t="s">
        <v>882</v>
      </c>
      <c r="I344" s="1539" t="s">
        <v>883</v>
      </c>
    </row>
    <row r="345" spans="1:256" s="1506" customFormat="1" ht="13.5" thickTop="1" thickBot="1" x14ac:dyDescent="0.25">
      <c r="A345" s="1501">
        <v>1</v>
      </c>
      <c r="B345" s="1502">
        <v>2</v>
      </c>
      <c r="C345" s="1502">
        <v>3</v>
      </c>
      <c r="D345" s="1502">
        <v>4</v>
      </c>
      <c r="E345" s="1502">
        <v>5</v>
      </c>
      <c r="F345" s="1503">
        <v>6</v>
      </c>
      <c r="G345" s="1503">
        <v>7</v>
      </c>
      <c r="H345" s="1504">
        <v>8</v>
      </c>
      <c r="I345" s="1505" t="s">
        <v>762</v>
      </c>
    </row>
    <row r="346" spans="1:256" s="1506" customFormat="1" ht="15.75" thickTop="1" x14ac:dyDescent="0.2">
      <c r="A346" s="1507">
        <v>1540</v>
      </c>
      <c r="B346" s="1508">
        <v>3121</v>
      </c>
      <c r="C346" s="1508">
        <v>5213</v>
      </c>
      <c r="D346" s="1546"/>
      <c r="E346" s="1543" t="s">
        <v>1173</v>
      </c>
      <c r="F346" s="1544"/>
      <c r="G346" s="1544">
        <v>1222</v>
      </c>
      <c r="H346" s="1544">
        <v>1222</v>
      </c>
      <c r="I346" s="1545">
        <f>(H346/G346)*100</f>
        <v>100</v>
      </c>
    </row>
    <row r="347" spans="1:256" s="1506" customFormat="1" ht="20.25" customHeight="1" x14ac:dyDescent="0.2">
      <c r="A347" s="1507"/>
      <c r="B347" s="1524"/>
      <c r="C347" s="1524"/>
      <c r="D347" s="1068" t="s">
        <v>1130</v>
      </c>
      <c r="E347" s="1290" t="s">
        <v>0</v>
      </c>
      <c r="F347" s="1548"/>
      <c r="G347" s="1551">
        <v>1222</v>
      </c>
      <c r="H347" s="1551">
        <v>1222</v>
      </c>
      <c r="I347" s="1556">
        <v>100</v>
      </c>
    </row>
    <row r="348" spans="1:256" s="1483" customFormat="1" ht="15" x14ac:dyDescent="0.2">
      <c r="A348" s="1507">
        <v>1540</v>
      </c>
      <c r="B348" s="1508">
        <v>3122</v>
      </c>
      <c r="C348" s="1508">
        <v>5213</v>
      </c>
      <c r="D348" s="1546"/>
      <c r="E348" s="1543" t="s">
        <v>1173</v>
      </c>
      <c r="F348" s="1544"/>
      <c r="G348" s="1544">
        <f>SUM(G349:G349)</f>
        <v>3315</v>
      </c>
      <c r="H348" s="1544">
        <f>SUM(H349:H349)</f>
        <v>3315</v>
      </c>
      <c r="I348" s="1545">
        <f>(H348/G348)*100</f>
        <v>100</v>
      </c>
      <c r="IV348" s="1496">
        <f>SUM(I348:IU348)</f>
        <v>100</v>
      </c>
    </row>
    <row r="349" spans="1:256" s="1483" customFormat="1" ht="15" thickBot="1" x14ac:dyDescent="0.25">
      <c r="A349" s="1507"/>
      <c r="B349" s="1524"/>
      <c r="C349" s="1524"/>
      <c r="D349" s="1068" t="s">
        <v>1130</v>
      </c>
      <c r="E349" s="2501" t="s">
        <v>0</v>
      </c>
      <c r="F349" s="1301"/>
      <c r="G349" s="1296">
        <v>3315</v>
      </c>
      <c r="H349" s="1296">
        <v>3315</v>
      </c>
      <c r="I349" s="1300">
        <f>(H349/G349)*100</f>
        <v>100</v>
      </c>
      <c r="IV349" s="1483">
        <f>SUM(A349:IU349)</f>
        <v>6730</v>
      </c>
    </row>
    <row r="350" spans="1:256" s="1483" customFormat="1" ht="18" customHeight="1" thickTop="1" thickBot="1" x14ac:dyDescent="0.25">
      <c r="A350" s="2683" t="s">
        <v>1105</v>
      </c>
      <c r="B350" s="2684"/>
      <c r="C350" s="2684"/>
      <c r="D350" s="2684"/>
      <c r="E350" s="2699"/>
      <c r="F350" s="1494">
        <f>SUM(F348)</f>
        <v>0</v>
      </c>
      <c r="G350" s="1494">
        <f>SUM(G348,G346)</f>
        <v>4537</v>
      </c>
      <c r="H350" s="1494">
        <f>SUM(H348,H346)</f>
        <v>4537</v>
      </c>
      <c r="I350" s="1495">
        <f>(H350/G350)*100</f>
        <v>100</v>
      </c>
      <c r="IV350" s="1496">
        <f>SUM(IV348:IV349)</f>
        <v>6830</v>
      </c>
    </row>
    <row r="351" spans="1:256" s="1483" customFormat="1" ht="18" customHeight="1" thickTop="1" x14ac:dyDescent="0.2">
      <c r="B351" s="1497"/>
      <c r="D351" s="1498"/>
      <c r="F351" s="1532"/>
      <c r="G351" s="1532"/>
      <c r="H351" s="1532"/>
      <c r="I351" s="1533"/>
    </row>
    <row r="352" spans="1:256" s="1483" customFormat="1" ht="18" customHeight="1" x14ac:dyDescent="0.2">
      <c r="B352" s="1497"/>
      <c r="D352" s="1498"/>
      <c r="F352" s="1532"/>
      <c r="G352" s="1532"/>
      <c r="H352" s="1532"/>
      <c r="I352" s="1533"/>
    </row>
    <row r="353" spans="1:256" s="1483" customFormat="1" ht="15" thickBot="1" x14ac:dyDescent="0.25">
      <c r="A353" s="1510" t="s">
        <v>540</v>
      </c>
      <c r="B353" s="1497"/>
      <c r="D353" s="1498"/>
      <c r="F353" s="1532"/>
      <c r="G353" s="1532"/>
      <c r="H353" s="1532"/>
      <c r="I353" s="1534" t="s">
        <v>161</v>
      </c>
    </row>
    <row r="354" spans="1:256" s="1540" customFormat="1" ht="20.25" customHeight="1" thickTop="1" thickBot="1" x14ac:dyDescent="0.25">
      <c r="A354" s="1535" t="s">
        <v>624</v>
      </c>
      <c r="B354" s="1536" t="s">
        <v>162</v>
      </c>
      <c r="C354" s="1537" t="s">
        <v>163</v>
      </c>
      <c r="D354" s="1538" t="s">
        <v>705</v>
      </c>
      <c r="E354" s="1538" t="s">
        <v>164</v>
      </c>
      <c r="F354" s="1538" t="s">
        <v>165</v>
      </c>
      <c r="G354" s="1538" t="s">
        <v>881</v>
      </c>
      <c r="H354" s="1538" t="s">
        <v>882</v>
      </c>
      <c r="I354" s="1539" t="s">
        <v>883</v>
      </c>
    </row>
    <row r="355" spans="1:256" s="1506" customFormat="1" ht="13.5" thickTop="1" thickBot="1" x14ac:dyDescent="0.25">
      <c r="A355" s="1501">
        <v>1</v>
      </c>
      <c r="B355" s="1502">
        <v>2</v>
      </c>
      <c r="C355" s="1502">
        <v>3</v>
      </c>
      <c r="D355" s="1502">
        <v>4</v>
      </c>
      <c r="E355" s="1502">
        <v>5</v>
      </c>
      <c r="F355" s="1503">
        <v>6</v>
      </c>
      <c r="G355" s="1503">
        <v>7</v>
      </c>
      <c r="H355" s="1504">
        <v>8</v>
      </c>
      <c r="I355" s="1505" t="s">
        <v>762</v>
      </c>
    </row>
    <row r="356" spans="1:256" s="1483" customFormat="1" ht="15.75" thickTop="1" x14ac:dyDescent="0.2">
      <c r="A356" s="1552">
        <v>1542</v>
      </c>
      <c r="B356" s="1553">
        <v>3150</v>
      </c>
      <c r="C356" s="1553">
        <v>5213</v>
      </c>
      <c r="D356" s="1554"/>
      <c r="E356" s="1543" t="s">
        <v>1173</v>
      </c>
      <c r="F356" s="1550"/>
      <c r="G356" s="1550">
        <f>SUM(G357:G357)</f>
        <v>3123</v>
      </c>
      <c r="H356" s="1550">
        <f>SUM(H357:H357)</f>
        <v>3123</v>
      </c>
      <c r="I356" s="1555">
        <f>(H356/G356)*100</f>
        <v>100</v>
      </c>
      <c r="IV356" s="1496">
        <f>SUM(I356:IU356)</f>
        <v>100</v>
      </c>
    </row>
    <row r="357" spans="1:256" s="1483" customFormat="1" ht="14.25" customHeight="1" thickBot="1" x14ac:dyDescent="0.25">
      <c r="A357" s="1507"/>
      <c r="B357" s="1524"/>
      <c r="C357" s="1524"/>
      <c r="D357" s="1068" t="s">
        <v>1130</v>
      </c>
      <c r="E357" s="1292" t="s">
        <v>0</v>
      </c>
      <c r="F357" s="1296"/>
      <c r="G357" s="1296">
        <v>3123</v>
      </c>
      <c r="H357" s="1296">
        <v>3123</v>
      </c>
      <c r="I357" s="1300">
        <f>(H357/G357)*100</f>
        <v>100</v>
      </c>
      <c r="IV357" s="1496"/>
    </row>
    <row r="358" spans="1:256" s="1483" customFormat="1" ht="16.5" thickTop="1" thickBot="1" x14ac:dyDescent="0.25">
      <c r="A358" s="2683" t="s">
        <v>1105</v>
      </c>
      <c r="B358" s="2684"/>
      <c r="C358" s="2684"/>
      <c r="D358" s="2684"/>
      <c r="E358" s="2684"/>
      <c r="F358" s="1494">
        <f>SUM(F356)</f>
        <v>0</v>
      </c>
      <c r="G358" s="1494">
        <f>SUM(G356)</f>
        <v>3123</v>
      </c>
      <c r="H358" s="1494">
        <f>SUM(H356)</f>
        <v>3123</v>
      </c>
      <c r="I358" s="1495">
        <f>(H358/G358)*100</f>
        <v>100</v>
      </c>
      <c r="IV358" s="1496">
        <f>SUM(IV356:IV357)</f>
        <v>100</v>
      </c>
    </row>
    <row r="359" spans="1:256" s="1483" customFormat="1" ht="15.75" thickTop="1" x14ac:dyDescent="0.2">
      <c r="A359" s="1480"/>
      <c r="B359" s="1480"/>
      <c r="C359" s="1480"/>
      <c r="D359" s="1480"/>
      <c r="E359" s="1480"/>
      <c r="F359" s="1522"/>
      <c r="G359" s="1522"/>
      <c r="H359" s="1522"/>
      <c r="I359" s="1523"/>
      <c r="IV359" s="1496"/>
    </row>
    <row r="360" spans="1:256" s="1483" customFormat="1" ht="18" customHeight="1" x14ac:dyDescent="0.2">
      <c r="A360" s="1480"/>
      <c r="B360" s="1480"/>
      <c r="C360" s="1480"/>
      <c r="D360" s="1480"/>
      <c r="E360" s="1480"/>
      <c r="F360" s="1522"/>
      <c r="G360" s="1522"/>
      <c r="H360" s="1522"/>
      <c r="I360" s="1523"/>
      <c r="IV360" s="1496"/>
    </row>
    <row r="361" spans="1:256" s="1483" customFormat="1" ht="15" thickBot="1" x14ac:dyDescent="0.25">
      <c r="A361" s="1510" t="s">
        <v>159</v>
      </c>
      <c r="B361" s="1497"/>
      <c r="D361" s="1498"/>
      <c r="F361" s="1532"/>
      <c r="G361" s="1532"/>
      <c r="H361" s="1532"/>
      <c r="I361" s="1534" t="s">
        <v>161</v>
      </c>
    </row>
    <row r="362" spans="1:256" s="1540" customFormat="1" ht="12.75" thickTop="1" thickBot="1" x14ac:dyDescent="0.25">
      <c r="A362" s="1535" t="s">
        <v>624</v>
      </c>
      <c r="B362" s="1536" t="s">
        <v>162</v>
      </c>
      <c r="C362" s="1537" t="s">
        <v>163</v>
      </c>
      <c r="D362" s="1538" t="s">
        <v>705</v>
      </c>
      <c r="E362" s="1538" t="s">
        <v>164</v>
      </c>
      <c r="F362" s="1538" t="s">
        <v>165</v>
      </c>
      <c r="G362" s="1538" t="s">
        <v>881</v>
      </c>
      <c r="H362" s="1538" t="s">
        <v>882</v>
      </c>
      <c r="I362" s="1539" t="s">
        <v>883</v>
      </c>
    </row>
    <row r="363" spans="1:256" s="1506" customFormat="1" ht="13.5" thickTop="1" thickBot="1" x14ac:dyDescent="0.25">
      <c r="A363" s="1501">
        <v>1</v>
      </c>
      <c r="B363" s="1502">
        <v>2</v>
      </c>
      <c r="C363" s="1502">
        <v>3</v>
      </c>
      <c r="D363" s="1502">
        <v>4</v>
      </c>
      <c r="E363" s="1502">
        <v>5</v>
      </c>
      <c r="F363" s="1503">
        <v>6</v>
      </c>
      <c r="G363" s="1503">
        <v>7</v>
      </c>
      <c r="H363" s="1504">
        <v>8</v>
      </c>
      <c r="I363" s="1505" t="s">
        <v>762</v>
      </c>
    </row>
    <row r="364" spans="1:256" s="1483" customFormat="1" ht="15.75" thickTop="1" x14ac:dyDescent="0.2">
      <c r="A364" s="1552">
        <v>1543</v>
      </c>
      <c r="B364" s="1553">
        <v>3122</v>
      </c>
      <c r="C364" s="1553">
        <v>5213</v>
      </c>
      <c r="D364" s="1554"/>
      <c r="E364" s="1543" t="s">
        <v>1173</v>
      </c>
      <c r="F364" s="1550"/>
      <c r="G364" s="1550">
        <f>SUM(G365:G365)</f>
        <v>2805</v>
      </c>
      <c r="H364" s="1550">
        <f>SUM(H365:H365)</f>
        <v>2805</v>
      </c>
      <c r="I364" s="1555">
        <f>(H364/G364)*100</f>
        <v>100</v>
      </c>
      <c r="IV364" s="1496">
        <f>SUM(I364:IU364)</f>
        <v>100</v>
      </c>
    </row>
    <row r="365" spans="1:256" s="1483" customFormat="1" ht="20.25" customHeight="1" thickBot="1" x14ac:dyDescent="0.25">
      <c r="A365" s="1507"/>
      <c r="B365" s="1524"/>
      <c r="C365" s="1524"/>
      <c r="D365" s="1068" t="s">
        <v>1130</v>
      </c>
      <c r="E365" s="1290" t="s">
        <v>0</v>
      </c>
      <c r="F365" s="1296"/>
      <c r="G365" s="1296">
        <v>2805</v>
      </c>
      <c r="H365" s="1296">
        <v>2805</v>
      </c>
      <c r="I365" s="1300">
        <f>(H365/G365)*100</f>
        <v>100</v>
      </c>
    </row>
    <row r="366" spans="1:256" s="1483" customFormat="1" ht="16.5" thickTop="1" thickBot="1" x14ac:dyDescent="0.25">
      <c r="A366" s="2696" t="s">
        <v>1105</v>
      </c>
      <c r="B366" s="2697"/>
      <c r="C366" s="2697"/>
      <c r="D366" s="2697"/>
      <c r="E366" s="2698"/>
      <c r="F366" s="1494">
        <f>SUM(F364)</f>
        <v>0</v>
      </c>
      <c r="G366" s="1494">
        <f>SUM(G364)</f>
        <v>2805</v>
      </c>
      <c r="H366" s="1494">
        <f>H364</f>
        <v>2805</v>
      </c>
      <c r="I366" s="1495">
        <f>(H366/G366)*100</f>
        <v>100</v>
      </c>
      <c r="IV366" s="1496">
        <f>SUM(IV364:IV365)</f>
        <v>100</v>
      </c>
    </row>
    <row r="367" spans="1:256" s="1483" customFormat="1" ht="15" thickTop="1" x14ac:dyDescent="0.2">
      <c r="B367" s="1497"/>
      <c r="D367" s="1498"/>
      <c r="F367" s="1532"/>
      <c r="G367" s="1532"/>
      <c r="H367" s="1532"/>
      <c r="I367" s="1533"/>
    </row>
    <row r="368" spans="1:256" s="1483" customFormat="1" ht="15" customHeight="1" x14ac:dyDescent="0.2">
      <c r="B368" s="1497"/>
      <c r="D368" s="1498"/>
      <c r="F368" s="1532"/>
      <c r="G368" s="1532"/>
      <c r="H368" s="1532"/>
      <c r="I368" s="1533"/>
    </row>
    <row r="369" spans="1:256" s="1483" customFormat="1" ht="15" thickBot="1" x14ac:dyDescent="0.25">
      <c r="A369" s="1510" t="s">
        <v>541</v>
      </c>
      <c r="B369" s="1497"/>
      <c r="D369" s="1498"/>
      <c r="F369" s="1532"/>
      <c r="G369" s="1532"/>
      <c r="H369" s="1532"/>
      <c r="I369" s="1534" t="s">
        <v>161</v>
      </c>
    </row>
    <row r="370" spans="1:256" s="1540" customFormat="1" ht="12.75" thickTop="1" thickBot="1" x14ac:dyDescent="0.25">
      <c r="A370" s="1535" t="s">
        <v>624</v>
      </c>
      <c r="B370" s="1536" t="s">
        <v>162</v>
      </c>
      <c r="C370" s="1537" t="s">
        <v>163</v>
      </c>
      <c r="D370" s="1538" t="s">
        <v>705</v>
      </c>
      <c r="E370" s="1538" t="s">
        <v>164</v>
      </c>
      <c r="F370" s="1538" t="s">
        <v>165</v>
      </c>
      <c r="G370" s="1538" t="s">
        <v>881</v>
      </c>
      <c r="H370" s="1538" t="s">
        <v>882</v>
      </c>
      <c r="I370" s="1539" t="s">
        <v>883</v>
      </c>
    </row>
    <row r="371" spans="1:256" s="1506" customFormat="1" ht="18" customHeight="1" thickTop="1" thickBot="1" x14ac:dyDescent="0.25">
      <c r="A371" s="1501">
        <v>1</v>
      </c>
      <c r="B371" s="1502">
        <v>2</v>
      </c>
      <c r="C371" s="1502">
        <v>3</v>
      </c>
      <c r="D371" s="1502">
        <v>4</v>
      </c>
      <c r="E371" s="1502">
        <v>5</v>
      </c>
      <c r="F371" s="1503">
        <v>6</v>
      </c>
      <c r="G371" s="1503">
        <v>7</v>
      </c>
      <c r="H371" s="1504">
        <v>8</v>
      </c>
      <c r="I371" s="1505" t="s">
        <v>762</v>
      </c>
    </row>
    <row r="372" spans="1:256" s="1483" customFormat="1" ht="15.75" thickTop="1" x14ac:dyDescent="0.2">
      <c r="A372" s="1552">
        <v>1544</v>
      </c>
      <c r="B372" s="1553">
        <v>3122</v>
      </c>
      <c r="C372" s="1553">
        <v>5213</v>
      </c>
      <c r="D372" s="1554"/>
      <c r="E372" s="1543" t="s">
        <v>1173</v>
      </c>
      <c r="F372" s="1550"/>
      <c r="G372" s="1550">
        <f>SUM(G373:G373)</f>
        <v>6020</v>
      </c>
      <c r="H372" s="1550">
        <f>SUM(H373:H373)</f>
        <v>6020</v>
      </c>
      <c r="I372" s="1555">
        <f>(H372/G372)*100</f>
        <v>100</v>
      </c>
      <c r="IV372" s="1496">
        <f>SUM(I372:IU372)</f>
        <v>100</v>
      </c>
    </row>
    <row r="373" spans="1:256" s="1483" customFormat="1" ht="15" thickBot="1" x14ac:dyDescent="0.25">
      <c r="A373" s="1507"/>
      <c r="B373" s="1524"/>
      <c r="C373" s="1524"/>
      <c r="D373" s="1068" t="s">
        <v>1130</v>
      </c>
      <c r="E373" s="1290" t="s">
        <v>0</v>
      </c>
      <c r="F373" s="1296"/>
      <c r="G373" s="1296">
        <v>6020</v>
      </c>
      <c r="H373" s="1296">
        <v>6020</v>
      </c>
      <c r="I373" s="1300">
        <f>(H373/G373)*100</f>
        <v>100</v>
      </c>
      <c r="IV373" s="1483">
        <f>SUM(A373:IU373)</f>
        <v>12140</v>
      </c>
    </row>
    <row r="374" spans="1:256" s="1483" customFormat="1" ht="16.5" thickTop="1" thickBot="1" x14ac:dyDescent="0.25">
      <c r="A374" s="2683" t="s">
        <v>1105</v>
      </c>
      <c r="B374" s="2684"/>
      <c r="C374" s="2684"/>
      <c r="D374" s="2684"/>
      <c r="E374" s="2684"/>
      <c r="F374" s="1494">
        <f>SUM(F372)</f>
        <v>0</v>
      </c>
      <c r="G374" s="1494">
        <f>G372</f>
        <v>6020</v>
      </c>
      <c r="H374" s="1494">
        <f>H372</f>
        <v>6020</v>
      </c>
      <c r="I374" s="1495">
        <f>(H374/G374)*100</f>
        <v>100</v>
      </c>
      <c r="IV374" s="1496">
        <f>SUM(IV372:IV373)</f>
        <v>12240</v>
      </c>
    </row>
    <row r="375" spans="1:256" s="1483" customFormat="1" ht="15" thickTop="1" x14ac:dyDescent="0.2">
      <c r="B375" s="1497"/>
      <c r="D375" s="1498"/>
      <c r="F375" s="1532"/>
      <c r="G375" s="1532"/>
      <c r="H375" s="1532"/>
      <c r="I375" s="1533"/>
    </row>
    <row r="376" spans="1:256" s="1483" customFormat="1" ht="15.75" customHeight="1" x14ac:dyDescent="0.2">
      <c r="B376" s="1497"/>
      <c r="D376" s="1498"/>
      <c r="F376" s="1532"/>
      <c r="G376" s="1532"/>
      <c r="H376" s="1532"/>
      <c r="I376" s="1533"/>
    </row>
    <row r="377" spans="1:256" s="1483" customFormat="1" ht="15" thickBot="1" x14ac:dyDescent="0.25">
      <c r="A377" s="1510" t="s">
        <v>31</v>
      </c>
      <c r="B377" s="1497"/>
      <c r="D377" s="1498"/>
      <c r="F377" s="1532"/>
      <c r="G377" s="1532"/>
      <c r="H377" s="1532"/>
      <c r="I377" s="1534" t="s">
        <v>161</v>
      </c>
    </row>
    <row r="378" spans="1:256" s="1540" customFormat="1" ht="12.75" thickTop="1" thickBot="1" x14ac:dyDescent="0.25">
      <c r="A378" s="1535" t="s">
        <v>624</v>
      </c>
      <c r="B378" s="1536" t="s">
        <v>162</v>
      </c>
      <c r="C378" s="1537" t="s">
        <v>163</v>
      </c>
      <c r="D378" s="1538" t="s">
        <v>705</v>
      </c>
      <c r="E378" s="1538" t="s">
        <v>164</v>
      </c>
      <c r="F378" s="1538" t="s">
        <v>165</v>
      </c>
      <c r="G378" s="1538" t="s">
        <v>881</v>
      </c>
      <c r="H378" s="1538" t="s">
        <v>882</v>
      </c>
      <c r="I378" s="1539" t="s">
        <v>883</v>
      </c>
    </row>
    <row r="379" spans="1:256" s="1506" customFormat="1" ht="15" customHeight="1" thickTop="1" thickBot="1" x14ac:dyDescent="0.25">
      <c r="A379" s="1501">
        <v>1</v>
      </c>
      <c r="B379" s="1502">
        <v>2</v>
      </c>
      <c r="C379" s="1502">
        <v>3</v>
      </c>
      <c r="D379" s="1502">
        <v>4</v>
      </c>
      <c r="E379" s="1502">
        <v>5</v>
      </c>
      <c r="F379" s="1503">
        <v>6</v>
      </c>
      <c r="G379" s="1503">
        <v>7</v>
      </c>
      <c r="H379" s="1504">
        <v>8</v>
      </c>
      <c r="I379" s="1505" t="s">
        <v>762</v>
      </c>
    </row>
    <row r="380" spans="1:256" s="1483" customFormat="1" ht="15.75" thickTop="1" x14ac:dyDescent="0.2">
      <c r="A380" s="1552">
        <v>1545</v>
      </c>
      <c r="B380" s="1553">
        <v>3122</v>
      </c>
      <c r="C380" s="1553">
        <v>5213</v>
      </c>
      <c r="D380" s="1554"/>
      <c r="E380" s="1543" t="s">
        <v>1173</v>
      </c>
      <c r="F380" s="1550"/>
      <c r="G380" s="1550">
        <f>SUM(G381:G381)</f>
        <v>2258</v>
      </c>
      <c r="H380" s="1550">
        <f>SUM(H381:H381)</f>
        <v>2258</v>
      </c>
      <c r="I380" s="1555">
        <f>(H380/G380)*100</f>
        <v>100</v>
      </c>
      <c r="IV380" s="1496">
        <f>SUM(I380:IU380)</f>
        <v>100</v>
      </c>
    </row>
    <row r="381" spans="1:256" s="1483" customFormat="1" ht="15" thickBot="1" x14ac:dyDescent="0.25">
      <c r="A381" s="1507"/>
      <c r="B381" s="1524"/>
      <c r="C381" s="1524"/>
      <c r="D381" s="1068" t="s">
        <v>1130</v>
      </c>
      <c r="E381" s="1292" t="s">
        <v>0</v>
      </c>
      <c r="F381" s="1296"/>
      <c r="G381" s="1296">
        <v>2258</v>
      </c>
      <c r="H381" s="1296">
        <v>2258</v>
      </c>
      <c r="I381" s="1300">
        <f>(H381/G381)*100</f>
        <v>100</v>
      </c>
      <c r="IV381" s="1496"/>
    </row>
    <row r="382" spans="1:256" s="1483" customFormat="1" ht="18" customHeight="1" thickTop="1" thickBot="1" x14ac:dyDescent="0.25">
      <c r="A382" s="2683" t="s">
        <v>1105</v>
      </c>
      <c r="B382" s="2684"/>
      <c r="C382" s="2684"/>
      <c r="D382" s="2684"/>
      <c r="E382" s="2684"/>
      <c r="F382" s="1494">
        <f>SUM(F380)</f>
        <v>0</v>
      </c>
      <c r="G382" s="1494">
        <f>SUM(G380)</f>
        <v>2258</v>
      </c>
      <c r="H382" s="1494">
        <f>SUM(H380)</f>
        <v>2258</v>
      </c>
      <c r="I382" s="1495">
        <f>(H382/G382)*100</f>
        <v>100</v>
      </c>
      <c r="IV382" s="1496">
        <f>SUM(IV380:IV381)</f>
        <v>100</v>
      </c>
    </row>
    <row r="383" spans="1:256" s="1483" customFormat="1" ht="15" thickTop="1" x14ac:dyDescent="0.2">
      <c r="B383" s="1497"/>
      <c r="D383" s="1498"/>
      <c r="F383" s="1532"/>
      <c r="G383" s="1532"/>
      <c r="H383" s="1532"/>
      <c r="I383" s="1533"/>
    </row>
    <row r="384" spans="1:256" s="1483" customFormat="1" x14ac:dyDescent="0.2">
      <c r="B384" s="1497"/>
      <c r="D384" s="1498"/>
      <c r="F384" s="1532"/>
      <c r="G384" s="1532"/>
      <c r="H384" s="1532"/>
      <c r="I384" s="1533"/>
    </row>
    <row r="385" spans="1:256" s="1483" customFormat="1" ht="15" thickBot="1" x14ac:dyDescent="0.25">
      <c r="A385" s="1510" t="s">
        <v>1819</v>
      </c>
      <c r="B385" s="1497"/>
      <c r="D385" s="1498"/>
      <c r="F385" s="1532"/>
      <c r="G385" s="1532"/>
      <c r="H385" s="1532"/>
      <c r="I385" s="1534" t="s">
        <v>161</v>
      </c>
    </row>
    <row r="386" spans="1:256" s="1540" customFormat="1" ht="12.75" thickTop="1" thickBot="1" x14ac:dyDescent="0.25">
      <c r="A386" s="1535" t="s">
        <v>624</v>
      </c>
      <c r="B386" s="1536" t="s">
        <v>162</v>
      </c>
      <c r="C386" s="1537" t="s">
        <v>163</v>
      </c>
      <c r="D386" s="1538" t="s">
        <v>705</v>
      </c>
      <c r="E386" s="1538" t="s">
        <v>164</v>
      </c>
      <c r="F386" s="1538" t="s">
        <v>165</v>
      </c>
      <c r="G386" s="1538" t="s">
        <v>881</v>
      </c>
      <c r="H386" s="1538" t="s">
        <v>882</v>
      </c>
      <c r="I386" s="1539" t="s">
        <v>883</v>
      </c>
    </row>
    <row r="387" spans="1:256" s="1506" customFormat="1" ht="20.25" customHeight="1" thickTop="1" thickBot="1" x14ac:dyDescent="0.25">
      <c r="A387" s="1501">
        <v>1</v>
      </c>
      <c r="B387" s="1502">
        <v>2</v>
      </c>
      <c r="C387" s="1502">
        <v>3</v>
      </c>
      <c r="D387" s="1502">
        <v>4</v>
      </c>
      <c r="E387" s="1502">
        <v>5</v>
      </c>
      <c r="F387" s="1503">
        <v>6</v>
      </c>
      <c r="G387" s="1503">
        <v>7</v>
      </c>
      <c r="H387" s="1504">
        <v>8</v>
      </c>
      <c r="I387" s="1505" t="s">
        <v>762</v>
      </c>
    </row>
    <row r="388" spans="1:256" s="1483" customFormat="1" ht="15.75" thickTop="1" x14ac:dyDescent="0.2">
      <c r="A388" s="1552">
        <v>1550</v>
      </c>
      <c r="B388" s="1553">
        <v>3123</v>
      </c>
      <c r="C388" s="1553">
        <v>5213</v>
      </c>
      <c r="D388" s="1554"/>
      <c r="E388" s="1543" t="s">
        <v>1173</v>
      </c>
      <c r="F388" s="1550"/>
      <c r="G388" s="1550">
        <f>SUM(G389:G389)</f>
        <v>9544</v>
      </c>
      <c r="H388" s="1550">
        <f>SUM(H389:H389)</f>
        <v>9544</v>
      </c>
      <c r="I388" s="1555">
        <f t="shared" ref="I388:I394" si="17">(H388/G388)*100</f>
        <v>100</v>
      </c>
      <c r="IV388" s="1496">
        <f>SUM(I388:IU388)</f>
        <v>100</v>
      </c>
    </row>
    <row r="389" spans="1:256" s="1483" customFormat="1" x14ac:dyDescent="0.2">
      <c r="A389" s="1507"/>
      <c r="B389" s="1524"/>
      <c r="C389" s="1524"/>
      <c r="D389" s="1068" t="s">
        <v>1130</v>
      </c>
      <c r="E389" s="1290" t="s">
        <v>0</v>
      </c>
      <c r="F389" s="1301"/>
      <c r="G389" s="1301">
        <v>9544</v>
      </c>
      <c r="H389" s="1301">
        <v>9544</v>
      </c>
      <c r="I389" s="1297">
        <f t="shared" si="17"/>
        <v>100</v>
      </c>
      <c r="IV389" s="1483">
        <f>SUM(A389:IU389)</f>
        <v>19188</v>
      </c>
    </row>
    <row r="390" spans="1:256" s="1483" customFormat="1" ht="15" customHeight="1" x14ac:dyDescent="0.2">
      <c r="A390" s="1507">
        <v>1550</v>
      </c>
      <c r="B390" s="1524">
        <v>3141</v>
      </c>
      <c r="C390" s="1524">
        <v>5213</v>
      </c>
      <c r="D390" s="1546"/>
      <c r="E390" s="1547" t="s">
        <v>1173</v>
      </c>
      <c r="F390" s="1548"/>
      <c r="G390" s="1548">
        <f>SUM(G391)</f>
        <v>1135</v>
      </c>
      <c r="H390" s="1548">
        <f>SUM(H391)</f>
        <v>1135</v>
      </c>
      <c r="I390" s="1549">
        <f t="shared" si="17"/>
        <v>100</v>
      </c>
      <c r="IV390" s="1496">
        <f>SUM(I390:IU390)</f>
        <v>100</v>
      </c>
    </row>
    <row r="391" spans="1:256" s="1483" customFormat="1" x14ac:dyDescent="0.2">
      <c r="A391" s="1507"/>
      <c r="B391" s="1524"/>
      <c r="C391" s="1524"/>
      <c r="D391" s="1068" t="s">
        <v>1130</v>
      </c>
      <c r="E391" s="1290" t="s">
        <v>0</v>
      </c>
      <c r="F391" s="1296"/>
      <c r="G391" s="1296">
        <v>1135</v>
      </c>
      <c r="H391" s="1296">
        <v>1135</v>
      </c>
      <c r="I391" s="1300">
        <f t="shared" si="17"/>
        <v>100</v>
      </c>
      <c r="IV391" s="1483">
        <f>SUM(A391:IU391)</f>
        <v>2370</v>
      </c>
    </row>
    <row r="392" spans="1:256" s="1483" customFormat="1" ht="15" x14ac:dyDescent="0.2">
      <c r="A392" s="1507">
        <v>1550</v>
      </c>
      <c r="B392" s="1524">
        <v>3142</v>
      </c>
      <c r="C392" s="1524">
        <v>5213</v>
      </c>
      <c r="D392" s="1546"/>
      <c r="E392" s="1547" t="s">
        <v>1173</v>
      </c>
      <c r="F392" s="1548"/>
      <c r="G392" s="1548">
        <f>SUM(G393:G393)</f>
        <v>728</v>
      </c>
      <c r="H392" s="1548">
        <f>SUM(H393:H393)</f>
        <v>728</v>
      </c>
      <c r="I392" s="1549">
        <f t="shared" si="17"/>
        <v>100</v>
      </c>
      <c r="IV392" s="1496">
        <f>SUM(I392:IU392)</f>
        <v>100</v>
      </c>
    </row>
    <row r="393" spans="1:256" s="1483" customFormat="1" ht="15" thickBot="1" x14ac:dyDescent="0.25">
      <c r="A393" s="1507"/>
      <c r="B393" s="1524"/>
      <c r="C393" s="1524"/>
      <c r="D393" s="748" t="s">
        <v>1130</v>
      </c>
      <c r="E393" s="1563" t="s">
        <v>2</v>
      </c>
      <c r="F393" s="1296"/>
      <c r="G393" s="1296">
        <v>728</v>
      </c>
      <c r="H393" s="1296">
        <v>728</v>
      </c>
      <c r="I393" s="1300">
        <f t="shared" si="17"/>
        <v>100</v>
      </c>
      <c r="IV393" s="1483">
        <f>SUM(A393:IU393)</f>
        <v>1556</v>
      </c>
    </row>
    <row r="394" spans="1:256" s="1483" customFormat="1" ht="16.5" thickTop="1" thickBot="1" x14ac:dyDescent="0.25">
      <c r="A394" s="2683" t="s">
        <v>1105</v>
      </c>
      <c r="B394" s="2684"/>
      <c r="C394" s="2684"/>
      <c r="D394" s="2684"/>
      <c r="E394" s="2684"/>
      <c r="F394" s="1494">
        <f>SUM(F388)</f>
        <v>0</v>
      </c>
      <c r="G394" s="1494">
        <f>SUM(G392,G390,G388)</f>
        <v>11407</v>
      </c>
      <c r="H394" s="1494">
        <f>SUM(H392,H390,H388)</f>
        <v>11407</v>
      </c>
      <c r="I394" s="1495">
        <f t="shared" si="17"/>
        <v>100</v>
      </c>
      <c r="IV394" s="1496">
        <f>SUM(IV388:IV389)</f>
        <v>19288</v>
      </c>
    </row>
    <row r="395" spans="1:256" s="1483" customFormat="1" ht="15.75" thickTop="1" x14ac:dyDescent="0.2">
      <c r="A395" s="1480"/>
      <c r="B395" s="1480"/>
      <c r="C395" s="1480"/>
      <c r="D395" s="1480"/>
      <c r="E395" s="1480"/>
      <c r="F395" s="1522"/>
      <c r="G395" s="1522"/>
      <c r="H395" s="1522"/>
      <c r="I395" s="1523"/>
      <c r="IV395" s="1496"/>
    </row>
    <row r="396" spans="1:256" s="1483" customFormat="1" ht="15" x14ac:dyDescent="0.2">
      <c r="A396" s="1480"/>
      <c r="B396" s="1480"/>
      <c r="C396" s="1480"/>
      <c r="D396" s="1480"/>
      <c r="E396" s="1480"/>
      <c r="F396" s="1522"/>
      <c r="G396" s="1522"/>
      <c r="H396" s="1522"/>
      <c r="I396" s="1523"/>
      <c r="IV396" s="1496"/>
    </row>
    <row r="397" spans="1:256" s="1483" customFormat="1" ht="15" thickBot="1" x14ac:dyDescent="0.25">
      <c r="A397" s="1510" t="s">
        <v>542</v>
      </c>
      <c r="B397" s="1497"/>
      <c r="D397" s="1498"/>
      <c r="F397" s="1532"/>
      <c r="G397" s="1532"/>
      <c r="H397" s="1532"/>
      <c r="I397" s="1534" t="s">
        <v>161</v>
      </c>
    </row>
    <row r="398" spans="1:256" s="1540" customFormat="1" ht="18" customHeight="1" thickTop="1" thickBot="1" x14ac:dyDescent="0.25">
      <c r="A398" s="1535" t="s">
        <v>624</v>
      </c>
      <c r="B398" s="1536" t="s">
        <v>162</v>
      </c>
      <c r="C398" s="1537" t="s">
        <v>163</v>
      </c>
      <c r="D398" s="1538" t="s">
        <v>705</v>
      </c>
      <c r="E398" s="1538" t="s">
        <v>164</v>
      </c>
      <c r="F398" s="1538" t="s">
        <v>165</v>
      </c>
      <c r="G398" s="1538" t="s">
        <v>881</v>
      </c>
      <c r="H398" s="1538" t="s">
        <v>882</v>
      </c>
      <c r="I398" s="1539" t="s">
        <v>883</v>
      </c>
    </row>
    <row r="399" spans="1:256" s="1506" customFormat="1" ht="18" customHeight="1" thickTop="1" thickBot="1" x14ac:dyDescent="0.25">
      <c r="A399" s="1501">
        <v>1</v>
      </c>
      <c r="B399" s="1502">
        <v>2</v>
      </c>
      <c r="C399" s="1502">
        <v>3</v>
      </c>
      <c r="D399" s="1502">
        <v>4</v>
      </c>
      <c r="E399" s="1502">
        <v>5</v>
      </c>
      <c r="F399" s="1503">
        <v>6</v>
      </c>
      <c r="G399" s="1503">
        <v>7</v>
      </c>
      <c r="H399" s="1504">
        <v>8</v>
      </c>
      <c r="I399" s="1505" t="s">
        <v>762</v>
      </c>
    </row>
    <row r="400" spans="1:256" s="1483" customFormat="1" ht="15.75" thickTop="1" x14ac:dyDescent="0.2">
      <c r="A400" s="1552">
        <v>1551</v>
      </c>
      <c r="B400" s="1553">
        <v>3123</v>
      </c>
      <c r="C400" s="1553">
        <v>5213</v>
      </c>
      <c r="D400" s="1554"/>
      <c r="E400" s="1543" t="s">
        <v>1173</v>
      </c>
      <c r="F400" s="1550"/>
      <c r="G400" s="1550">
        <f>SUM(G401:G403)</f>
        <v>2987</v>
      </c>
      <c r="H400" s="1550">
        <f>SUM(H401:H403)</f>
        <v>2987</v>
      </c>
      <c r="I400" s="1555">
        <f>(H400/G400)*100</f>
        <v>100</v>
      </c>
      <c r="IV400" s="1496">
        <f>SUM(I400:IU400)</f>
        <v>100</v>
      </c>
    </row>
    <row r="401" spans="1:256" s="1483" customFormat="1" ht="20.25" customHeight="1" x14ac:dyDescent="0.2">
      <c r="A401" s="1507"/>
      <c r="B401" s="1524"/>
      <c r="C401" s="1524"/>
      <c r="D401" s="1325" t="s">
        <v>924</v>
      </c>
      <c r="E401" s="1289" t="s">
        <v>925</v>
      </c>
      <c r="F401" s="1544"/>
      <c r="G401" s="1377">
        <v>93</v>
      </c>
      <c r="H401" s="1377">
        <v>93</v>
      </c>
      <c r="I401" s="1556">
        <v>100</v>
      </c>
      <c r="IV401" s="1496"/>
    </row>
    <row r="402" spans="1:256" s="1483" customFormat="1" ht="20.25" customHeight="1" x14ac:dyDescent="0.2">
      <c r="A402" s="1507"/>
      <c r="B402" s="1524"/>
      <c r="C402" s="1524"/>
      <c r="D402" s="1068" t="s">
        <v>1905</v>
      </c>
      <c r="E402" s="2426" t="s">
        <v>1827</v>
      </c>
      <c r="F402" s="1544"/>
      <c r="G402" s="1377">
        <v>321</v>
      </c>
      <c r="H402" s="1377">
        <v>321</v>
      </c>
      <c r="I402" s="1556">
        <v>100</v>
      </c>
      <c r="IV402" s="1496"/>
    </row>
    <row r="403" spans="1:256" s="1483" customFormat="1" x14ac:dyDescent="0.2">
      <c r="A403" s="1507"/>
      <c r="B403" s="1524"/>
      <c r="C403" s="1524"/>
      <c r="D403" s="1068" t="s">
        <v>1130</v>
      </c>
      <c r="E403" s="1290" t="s">
        <v>0</v>
      </c>
      <c r="F403" s="1301"/>
      <c r="G403" s="1301">
        <v>2573</v>
      </c>
      <c r="H403" s="1301">
        <v>2573</v>
      </c>
      <c r="I403" s="1297">
        <f>(H403/G403)*100</f>
        <v>100</v>
      </c>
      <c r="IV403" s="1483">
        <f>SUM(A403:IU403)</f>
        <v>5246</v>
      </c>
    </row>
    <row r="404" spans="1:256" s="1483" customFormat="1" ht="15" x14ac:dyDescent="0.2">
      <c r="A404" s="1507">
        <v>1551</v>
      </c>
      <c r="B404" s="1524">
        <v>3124</v>
      </c>
      <c r="C404" s="1524">
        <v>5213</v>
      </c>
      <c r="D404" s="1558"/>
      <c r="E404" s="1547" t="s">
        <v>1173</v>
      </c>
      <c r="F404" s="1548"/>
      <c r="G404" s="1548">
        <f>SUM(G405:G406)</f>
        <v>1824</v>
      </c>
      <c r="H404" s="1548">
        <f>SUM(H405:H406)</f>
        <v>1824</v>
      </c>
      <c r="I404" s="1549">
        <f>(H404/G404)*100</f>
        <v>100</v>
      </c>
      <c r="IV404" s="1496">
        <f>SUM(I404:IU404)</f>
        <v>100</v>
      </c>
    </row>
    <row r="405" spans="1:256" s="1483" customFormat="1" ht="15" x14ac:dyDescent="0.2">
      <c r="A405" s="1507"/>
      <c r="B405" s="1524"/>
      <c r="C405" s="1524"/>
      <c r="D405" s="1325" t="s">
        <v>924</v>
      </c>
      <c r="E405" s="1289" t="s">
        <v>925</v>
      </c>
      <c r="F405" s="1548"/>
      <c r="G405" s="1551">
        <v>73</v>
      </c>
      <c r="H405" s="1551">
        <v>73</v>
      </c>
      <c r="I405" s="1564">
        <v>100</v>
      </c>
      <c r="IV405" s="1496"/>
    </row>
    <row r="406" spans="1:256" s="1483" customFormat="1" ht="15" customHeight="1" thickBot="1" x14ac:dyDescent="0.25">
      <c r="A406" s="1507"/>
      <c r="B406" s="1524"/>
      <c r="C406" s="1524"/>
      <c r="D406" s="1068" t="s">
        <v>1130</v>
      </c>
      <c r="E406" s="1290" t="s">
        <v>0</v>
      </c>
      <c r="F406" s="1296"/>
      <c r="G406" s="1296">
        <v>1751</v>
      </c>
      <c r="H406" s="1296">
        <v>1751</v>
      </c>
      <c r="I406" s="1300">
        <f>(H406/G406)*100</f>
        <v>100</v>
      </c>
      <c r="IV406" s="1483">
        <f>SUM(A406:IU406)</f>
        <v>3602</v>
      </c>
    </row>
    <row r="407" spans="1:256" s="1483" customFormat="1" ht="16.5" thickTop="1" thickBot="1" x14ac:dyDescent="0.25">
      <c r="A407" s="2683" t="s">
        <v>1105</v>
      </c>
      <c r="B407" s="2684"/>
      <c r="C407" s="2684"/>
      <c r="D407" s="2684"/>
      <c r="E407" s="2684"/>
      <c r="F407" s="1494">
        <f>SUM(F400)</f>
        <v>0</v>
      </c>
      <c r="G407" s="1494">
        <f>SUM(G400,G404)</f>
        <v>4811</v>
      </c>
      <c r="H407" s="1494">
        <f>SUM(H400,H404)</f>
        <v>4811</v>
      </c>
      <c r="I407" s="1495">
        <f>(H407/G407)*100</f>
        <v>100</v>
      </c>
      <c r="IV407" s="1496">
        <f>SUM(IV400:IV403)</f>
        <v>5346</v>
      </c>
    </row>
    <row r="408" spans="1:256" s="1483" customFormat="1" ht="15" thickTop="1" x14ac:dyDescent="0.2">
      <c r="B408" s="1497"/>
      <c r="D408" s="1498"/>
      <c r="F408" s="1532"/>
      <c r="G408" s="1532"/>
      <c r="H408" s="1532"/>
      <c r="I408" s="1533"/>
    </row>
    <row r="409" spans="1:256" s="1483" customFormat="1" ht="15" thickBot="1" x14ac:dyDescent="0.25">
      <c r="A409" s="1510" t="s">
        <v>938</v>
      </c>
      <c r="B409" s="1497"/>
      <c r="D409" s="1498"/>
      <c r="F409" s="1532"/>
      <c r="G409" s="1532"/>
      <c r="H409" s="1532"/>
      <c r="I409" s="1534" t="s">
        <v>161</v>
      </c>
    </row>
    <row r="410" spans="1:256" s="1540" customFormat="1" ht="12.75" thickTop="1" thickBot="1" x14ac:dyDescent="0.25">
      <c r="A410" s="1535" t="s">
        <v>624</v>
      </c>
      <c r="B410" s="1536" t="s">
        <v>162</v>
      </c>
      <c r="C410" s="1537" t="s">
        <v>163</v>
      </c>
      <c r="D410" s="1538" t="s">
        <v>705</v>
      </c>
      <c r="E410" s="1538" t="s">
        <v>164</v>
      </c>
      <c r="F410" s="1538" t="s">
        <v>165</v>
      </c>
      <c r="G410" s="1538" t="s">
        <v>881</v>
      </c>
      <c r="H410" s="1538" t="s">
        <v>882</v>
      </c>
      <c r="I410" s="1539" t="s">
        <v>883</v>
      </c>
    </row>
    <row r="411" spans="1:256" s="1506" customFormat="1" ht="18" customHeight="1" thickTop="1" thickBot="1" x14ac:dyDescent="0.25">
      <c r="A411" s="1501">
        <v>1</v>
      </c>
      <c r="B411" s="1502">
        <v>2</v>
      </c>
      <c r="C411" s="1502">
        <v>3</v>
      </c>
      <c r="D411" s="1502">
        <v>4</v>
      </c>
      <c r="E411" s="1502">
        <v>5</v>
      </c>
      <c r="F411" s="1503">
        <v>6</v>
      </c>
      <c r="G411" s="1503">
        <v>7</v>
      </c>
      <c r="H411" s="1504">
        <v>8</v>
      </c>
      <c r="I411" s="1505" t="s">
        <v>762</v>
      </c>
    </row>
    <row r="412" spans="1:256" s="1483" customFormat="1" ht="15.75" thickTop="1" x14ac:dyDescent="0.2">
      <c r="A412" s="1552">
        <v>1552</v>
      </c>
      <c r="B412" s="1553">
        <v>3124</v>
      </c>
      <c r="C412" s="1553">
        <v>5213</v>
      </c>
      <c r="D412" s="1554"/>
      <c r="E412" s="1543" t="s">
        <v>1173</v>
      </c>
      <c r="F412" s="1550"/>
      <c r="G412" s="1550">
        <f>SUM(G413:G415)</f>
        <v>3576</v>
      </c>
      <c r="H412" s="1550">
        <f>SUM(H413:H415)</f>
        <v>3576</v>
      </c>
      <c r="I412" s="1555">
        <f>(H412/G412)*100</f>
        <v>100</v>
      </c>
      <c r="IV412" s="1496">
        <f>SUM(I412:IU412)</f>
        <v>100</v>
      </c>
    </row>
    <row r="413" spans="1:256" s="1483" customFormat="1" ht="15" x14ac:dyDescent="0.2">
      <c r="A413" s="1507"/>
      <c r="B413" s="1508"/>
      <c r="C413" s="1508"/>
      <c r="D413" s="1325" t="s">
        <v>924</v>
      </c>
      <c r="E413" s="1289" t="s">
        <v>925</v>
      </c>
      <c r="F413" s="1544"/>
      <c r="G413" s="1377">
        <v>54</v>
      </c>
      <c r="H413" s="1377">
        <v>54</v>
      </c>
      <c r="I413" s="1556">
        <v>100</v>
      </c>
      <c r="IV413" s="1496"/>
    </row>
    <row r="414" spans="1:256" s="1483" customFormat="1" ht="15" x14ac:dyDescent="0.2">
      <c r="A414" s="1507"/>
      <c r="B414" s="1508"/>
      <c r="C414" s="1508"/>
      <c r="D414" s="1068" t="s">
        <v>1905</v>
      </c>
      <c r="E414" s="2426" t="s">
        <v>1827</v>
      </c>
      <c r="F414" s="1544"/>
      <c r="G414" s="1377">
        <v>128</v>
      </c>
      <c r="H414" s="1377">
        <v>128</v>
      </c>
      <c r="I414" s="1556">
        <v>100</v>
      </c>
      <c r="IV414" s="1496"/>
    </row>
    <row r="415" spans="1:256" s="1483" customFormat="1" ht="14.25" customHeight="1" thickBot="1" x14ac:dyDescent="0.25">
      <c r="A415" s="1507"/>
      <c r="B415" s="1508"/>
      <c r="C415" s="1508"/>
      <c r="D415" s="1068" t="s">
        <v>1130</v>
      </c>
      <c r="E415" s="1290" t="s">
        <v>0</v>
      </c>
      <c r="F415" s="1301"/>
      <c r="G415" s="1301">
        <v>3394</v>
      </c>
      <c r="H415" s="1301">
        <v>3394</v>
      </c>
      <c r="I415" s="1297">
        <f>(H415/G415)*100</f>
        <v>100</v>
      </c>
      <c r="IV415" s="1483">
        <f>SUM(A415:IU415)</f>
        <v>6888</v>
      </c>
    </row>
    <row r="416" spans="1:256" s="1483" customFormat="1" ht="20.25" customHeight="1" thickTop="1" thickBot="1" x14ac:dyDescent="0.25">
      <c r="A416" s="2683" t="s">
        <v>1105</v>
      </c>
      <c r="B416" s="2684"/>
      <c r="C416" s="2684"/>
      <c r="D416" s="2684"/>
      <c r="E416" s="2684"/>
      <c r="F416" s="1494">
        <f>SUM(F412)</f>
        <v>0</v>
      </c>
      <c r="G416" s="1494">
        <f>SUM(G412)</f>
        <v>3576</v>
      </c>
      <c r="H416" s="1494">
        <f>SUM(H412)</f>
        <v>3576</v>
      </c>
      <c r="I416" s="1495">
        <f>(H416/G416)*100</f>
        <v>100</v>
      </c>
      <c r="IV416" s="1496">
        <f>SUM(IV412:IV415)</f>
        <v>6988</v>
      </c>
    </row>
    <row r="417" spans="1:256" s="1483" customFormat="1" ht="15" thickTop="1" x14ac:dyDescent="0.2">
      <c r="B417" s="1497"/>
      <c r="D417" s="1498"/>
      <c r="F417" s="1532"/>
      <c r="G417" s="1532"/>
      <c r="H417" s="1532"/>
      <c r="I417" s="1533"/>
    </row>
    <row r="418" spans="1:256" s="1483" customFormat="1" ht="15" thickBot="1" x14ac:dyDescent="0.25">
      <c r="A418" s="1510" t="s">
        <v>1609</v>
      </c>
      <c r="B418" s="1497"/>
      <c r="D418" s="1498"/>
      <c r="F418" s="1532"/>
      <c r="G418" s="1532"/>
      <c r="H418" s="1532"/>
      <c r="I418" s="1534" t="s">
        <v>161</v>
      </c>
    </row>
    <row r="419" spans="1:256" s="1540" customFormat="1" ht="12.75" thickTop="1" thickBot="1" x14ac:dyDescent="0.25">
      <c r="A419" s="1535" t="s">
        <v>624</v>
      </c>
      <c r="B419" s="1536" t="s">
        <v>162</v>
      </c>
      <c r="C419" s="1537" t="s">
        <v>163</v>
      </c>
      <c r="D419" s="1538" t="s">
        <v>705</v>
      </c>
      <c r="E419" s="1538" t="s">
        <v>164</v>
      </c>
      <c r="F419" s="1538" t="s">
        <v>165</v>
      </c>
      <c r="G419" s="1538" t="s">
        <v>881</v>
      </c>
      <c r="H419" s="1538" t="s">
        <v>882</v>
      </c>
      <c r="I419" s="1539" t="s">
        <v>883</v>
      </c>
    </row>
    <row r="420" spans="1:256" s="1506" customFormat="1" ht="18" customHeight="1" thickTop="1" thickBot="1" x14ac:dyDescent="0.25">
      <c r="A420" s="1501">
        <v>1</v>
      </c>
      <c r="B420" s="1502">
        <v>2</v>
      </c>
      <c r="C420" s="1502">
        <v>3</v>
      </c>
      <c r="D420" s="1502">
        <v>4</v>
      </c>
      <c r="E420" s="1502">
        <v>5</v>
      </c>
      <c r="F420" s="1503">
        <v>6</v>
      </c>
      <c r="G420" s="1503">
        <v>7</v>
      </c>
      <c r="H420" s="1504">
        <v>8</v>
      </c>
      <c r="I420" s="1505" t="s">
        <v>762</v>
      </c>
    </row>
    <row r="421" spans="1:256" s="1483" customFormat="1" ht="15.75" thickTop="1" x14ac:dyDescent="0.2">
      <c r="A421" s="1552">
        <v>1553</v>
      </c>
      <c r="B421" s="1553">
        <v>3123</v>
      </c>
      <c r="C421" s="1553">
        <v>5213</v>
      </c>
      <c r="D421" s="1554"/>
      <c r="E421" s="1543" t="s">
        <v>1173</v>
      </c>
      <c r="F421" s="1550"/>
      <c r="G421" s="1550">
        <f>SUM(G422:G422)</f>
        <v>19794</v>
      </c>
      <c r="H421" s="1550">
        <f>SUM(H422:H422)</f>
        <v>19794</v>
      </c>
      <c r="I421" s="1555">
        <f>(H421/G421)*100</f>
        <v>100</v>
      </c>
      <c r="IV421" s="1496">
        <f>SUM(I421:IU421)</f>
        <v>100</v>
      </c>
    </row>
    <row r="422" spans="1:256" s="1483" customFormat="1" ht="15" thickBot="1" x14ac:dyDescent="0.25">
      <c r="A422" s="1507"/>
      <c r="B422" s="1508"/>
      <c r="C422" s="1508"/>
      <c r="D422" s="1068" t="s">
        <v>1130</v>
      </c>
      <c r="E422" s="1292" t="s">
        <v>0</v>
      </c>
      <c r="F422" s="1301"/>
      <c r="G422" s="1301">
        <v>19794</v>
      </c>
      <c r="H422" s="1301">
        <v>19794</v>
      </c>
      <c r="I422" s="1297">
        <f>(H422/G422)*100</f>
        <v>100</v>
      </c>
      <c r="IV422" s="1483">
        <f>SUM(A422:IU422)</f>
        <v>39688</v>
      </c>
    </row>
    <row r="423" spans="1:256" s="1483" customFormat="1" ht="16.5" thickTop="1" thickBot="1" x14ac:dyDescent="0.25">
      <c r="A423" s="2683" t="s">
        <v>1105</v>
      </c>
      <c r="B423" s="2684"/>
      <c r="C423" s="2684"/>
      <c r="D423" s="2684"/>
      <c r="E423" s="2684"/>
      <c r="F423" s="1494">
        <f>SUM(F421)</f>
        <v>0</v>
      </c>
      <c r="G423" s="1494">
        <f>G421</f>
        <v>19794</v>
      </c>
      <c r="H423" s="1494">
        <f>H421</f>
        <v>19794</v>
      </c>
      <c r="I423" s="1495">
        <f>(H423/G423)*100</f>
        <v>100</v>
      </c>
      <c r="IV423" s="1496">
        <f>SUM(IV421:IV422)</f>
        <v>39788</v>
      </c>
    </row>
    <row r="424" spans="1:256" s="1483" customFormat="1" ht="20.25" customHeight="1" thickTop="1" x14ac:dyDescent="0.2">
      <c r="B424" s="1497"/>
      <c r="D424" s="1498"/>
      <c r="F424" s="1532"/>
      <c r="G424" s="1532"/>
      <c r="H424" s="1532"/>
      <c r="I424" s="1533"/>
    </row>
    <row r="425" spans="1:256" s="1483" customFormat="1" ht="14.25" customHeight="1" thickBot="1" x14ac:dyDescent="0.25">
      <c r="A425" s="1510" t="s">
        <v>939</v>
      </c>
      <c r="B425" s="1497"/>
      <c r="D425" s="1498"/>
      <c r="F425" s="1532"/>
      <c r="G425" s="1532"/>
      <c r="H425" s="1532"/>
      <c r="I425" s="1534" t="s">
        <v>161</v>
      </c>
    </row>
    <row r="426" spans="1:256" s="1540" customFormat="1" ht="12.75" thickTop="1" thickBot="1" x14ac:dyDescent="0.25">
      <c r="A426" s="1535" t="s">
        <v>624</v>
      </c>
      <c r="B426" s="1536" t="s">
        <v>162</v>
      </c>
      <c r="C426" s="1537" t="s">
        <v>163</v>
      </c>
      <c r="D426" s="1538" t="s">
        <v>705</v>
      </c>
      <c r="E426" s="1538" t="s">
        <v>164</v>
      </c>
      <c r="F426" s="1538" t="s">
        <v>165</v>
      </c>
      <c r="G426" s="1538" t="s">
        <v>881</v>
      </c>
      <c r="H426" s="1538" t="s">
        <v>882</v>
      </c>
      <c r="I426" s="1539" t="s">
        <v>883</v>
      </c>
    </row>
    <row r="427" spans="1:256" s="1506" customFormat="1" ht="13.5" thickTop="1" thickBot="1" x14ac:dyDescent="0.25">
      <c r="A427" s="1501">
        <v>1</v>
      </c>
      <c r="B427" s="1502">
        <v>2</v>
      </c>
      <c r="C427" s="1502">
        <v>3</v>
      </c>
      <c r="D427" s="1502">
        <v>4</v>
      </c>
      <c r="E427" s="1502">
        <v>5</v>
      </c>
      <c r="F427" s="1503">
        <v>6</v>
      </c>
      <c r="G427" s="1503">
        <v>7</v>
      </c>
      <c r="H427" s="1504">
        <v>8</v>
      </c>
      <c r="I427" s="1505" t="s">
        <v>762</v>
      </c>
    </row>
    <row r="428" spans="1:256" s="1483" customFormat="1" ht="18" customHeight="1" thickTop="1" x14ac:dyDescent="0.2">
      <c r="A428" s="1552">
        <v>1554</v>
      </c>
      <c r="B428" s="1553">
        <v>3123</v>
      </c>
      <c r="C428" s="1553">
        <v>5213</v>
      </c>
      <c r="D428" s="1554"/>
      <c r="E428" s="1543" t="s">
        <v>1173</v>
      </c>
      <c r="F428" s="1550"/>
      <c r="G428" s="1550">
        <f>SUM(G429:G430)</f>
        <v>9940</v>
      </c>
      <c r="H428" s="1550">
        <f>SUM(H429:H430)</f>
        <v>9940</v>
      </c>
      <c r="I428" s="1555">
        <f>(H428/G428)*100</f>
        <v>100</v>
      </c>
      <c r="IV428" s="1496">
        <f>SUM(I428:IU428)</f>
        <v>100</v>
      </c>
    </row>
    <row r="429" spans="1:256" s="1483" customFormat="1" x14ac:dyDescent="0.2">
      <c r="A429" s="1507"/>
      <c r="B429" s="1524"/>
      <c r="C429" s="1524"/>
      <c r="D429" s="1325" t="s">
        <v>924</v>
      </c>
      <c r="E429" s="1289" t="s">
        <v>925</v>
      </c>
      <c r="F429" s="1551"/>
      <c r="G429" s="1551">
        <v>4</v>
      </c>
      <c r="H429" s="1551">
        <v>4</v>
      </c>
      <c r="I429" s="1556">
        <v>100</v>
      </c>
      <c r="IV429" s="1496"/>
    </row>
    <row r="430" spans="1:256" s="1483" customFormat="1" ht="15" thickBot="1" x14ac:dyDescent="0.25">
      <c r="A430" s="1507"/>
      <c r="B430" s="1524"/>
      <c r="C430" s="1524"/>
      <c r="D430" s="1068" t="s">
        <v>1130</v>
      </c>
      <c r="E430" s="1290" t="s">
        <v>0</v>
      </c>
      <c r="F430" s="1296"/>
      <c r="G430" s="1296">
        <v>9936</v>
      </c>
      <c r="H430" s="1296">
        <v>9936</v>
      </c>
      <c r="I430" s="1556">
        <v>100</v>
      </c>
      <c r="IV430" s="1483">
        <f>SUM(A430:IU430)</f>
        <v>19972</v>
      </c>
    </row>
    <row r="431" spans="1:256" s="1483" customFormat="1" ht="16.5" thickTop="1" thickBot="1" x14ac:dyDescent="0.25">
      <c r="A431" s="2683" t="s">
        <v>1105</v>
      </c>
      <c r="B431" s="2684"/>
      <c r="C431" s="2684"/>
      <c r="D431" s="2684"/>
      <c r="E431" s="2684"/>
      <c r="F431" s="1494">
        <f>SUM(F428)</f>
        <v>0</v>
      </c>
      <c r="G431" s="1494">
        <f>SUM(G428,)</f>
        <v>9940</v>
      </c>
      <c r="H431" s="1494">
        <f>H428</f>
        <v>9940</v>
      </c>
      <c r="I431" s="1495">
        <f>(H431/G431)*100</f>
        <v>100</v>
      </c>
      <c r="IV431" s="1496">
        <f>SUM(IV428:IV430)</f>
        <v>20072</v>
      </c>
    </row>
    <row r="432" spans="1:256" s="1483" customFormat="1" ht="15" thickTop="1" x14ac:dyDescent="0.2">
      <c r="B432" s="1497"/>
      <c r="D432" s="1498"/>
      <c r="F432" s="1532"/>
      <c r="G432" s="1532"/>
      <c r="H432" s="1532"/>
      <c r="I432" s="1533"/>
    </row>
    <row r="433" spans="1:256" s="1483" customFormat="1" x14ac:dyDescent="0.2">
      <c r="B433" s="1497"/>
      <c r="D433" s="1498"/>
      <c r="F433" s="1532"/>
      <c r="G433" s="1532"/>
      <c r="H433" s="1532"/>
      <c r="I433" s="1533"/>
    </row>
    <row r="434" spans="1:256" s="1483" customFormat="1" ht="14.25" customHeight="1" thickBot="1" x14ac:dyDescent="0.25">
      <c r="A434" s="1510" t="s">
        <v>1822</v>
      </c>
      <c r="B434" s="1497"/>
      <c r="D434" s="1498"/>
      <c r="F434" s="1532"/>
      <c r="G434" s="1532"/>
      <c r="H434" s="1532"/>
      <c r="I434" s="1534" t="s">
        <v>161</v>
      </c>
    </row>
    <row r="435" spans="1:256" s="1540" customFormat="1" ht="12.75" thickTop="1" thickBot="1" x14ac:dyDescent="0.25">
      <c r="A435" s="1535" t="s">
        <v>624</v>
      </c>
      <c r="B435" s="1536" t="s">
        <v>162</v>
      </c>
      <c r="C435" s="1537" t="s">
        <v>163</v>
      </c>
      <c r="D435" s="1538" t="s">
        <v>705</v>
      </c>
      <c r="E435" s="1538" t="s">
        <v>164</v>
      </c>
      <c r="F435" s="1538" t="s">
        <v>165</v>
      </c>
      <c r="G435" s="1538" t="s">
        <v>881</v>
      </c>
      <c r="H435" s="1538" t="s">
        <v>882</v>
      </c>
      <c r="I435" s="1539" t="s">
        <v>883</v>
      </c>
    </row>
    <row r="436" spans="1:256" s="1506" customFormat="1" ht="13.5" thickTop="1" thickBot="1" x14ac:dyDescent="0.25">
      <c r="A436" s="1501">
        <v>1</v>
      </c>
      <c r="B436" s="1502">
        <v>2</v>
      </c>
      <c r="C436" s="1502">
        <v>3</v>
      </c>
      <c r="D436" s="1502">
        <v>4</v>
      </c>
      <c r="E436" s="1502">
        <v>5</v>
      </c>
      <c r="F436" s="1503">
        <v>6</v>
      </c>
      <c r="G436" s="1503">
        <v>7</v>
      </c>
      <c r="H436" s="1504">
        <v>8</v>
      </c>
      <c r="I436" s="1505" t="s">
        <v>762</v>
      </c>
    </row>
    <row r="437" spans="1:256" s="1483" customFormat="1" ht="15.75" customHeight="1" thickTop="1" x14ac:dyDescent="0.2">
      <c r="A437" s="1552">
        <v>1555</v>
      </c>
      <c r="B437" s="1553">
        <v>3150</v>
      </c>
      <c r="C437" s="1553">
        <v>5221</v>
      </c>
      <c r="D437" s="1554"/>
      <c r="E437" s="2695" t="s">
        <v>690</v>
      </c>
      <c r="F437" s="1550"/>
      <c r="G437" s="1550">
        <f>SUM(G439:G439)</f>
        <v>3767</v>
      </c>
      <c r="H437" s="1550">
        <f>SUM(H439:H439)</f>
        <v>3767</v>
      </c>
      <c r="I437" s="1555">
        <f>(H437/G437)*100</f>
        <v>100</v>
      </c>
      <c r="IV437" s="1496">
        <f>SUM(I437:IU437)</f>
        <v>100</v>
      </c>
    </row>
    <row r="438" spans="1:256" s="1483" customFormat="1" ht="13.5" customHeight="1" x14ac:dyDescent="0.2">
      <c r="A438" s="1507"/>
      <c r="B438" s="1524"/>
      <c r="C438" s="1524"/>
      <c r="D438" s="1546"/>
      <c r="E438" s="2695"/>
      <c r="F438" s="1548"/>
      <c r="G438" s="1548"/>
      <c r="H438" s="1548"/>
      <c r="I438" s="1545"/>
      <c r="IV438" s="1496"/>
    </row>
    <row r="439" spans="1:256" s="1483" customFormat="1" ht="15" thickBot="1" x14ac:dyDescent="0.25">
      <c r="A439" s="1507"/>
      <c r="B439" s="1524"/>
      <c r="C439" s="1524"/>
      <c r="D439" s="1068" t="s">
        <v>1130</v>
      </c>
      <c r="E439" s="1290" t="s">
        <v>0</v>
      </c>
      <c r="F439" s="1296"/>
      <c r="G439" s="1296">
        <v>3767</v>
      </c>
      <c r="H439" s="1296">
        <v>3767</v>
      </c>
      <c r="I439" s="1556">
        <v>100</v>
      </c>
      <c r="IV439" s="1483">
        <f>SUM(A439:IU439)</f>
        <v>7634</v>
      </c>
    </row>
    <row r="440" spans="1:256" s="1483" customFormat="1" ht="16.5" thickTop="1" thickBot="1" x14ac:dyDescent="0.25">
      <c r="A440" s="2683" t="s">
        <v>1105</v>
      </c>
      <c r="B440" s="2684"/>
      <c r="C440" s="2684"/>
      <c r="D440" s="2684"/>
      <c r="E440" s="2684"/>
      <c r="F440" s="1494">
        <f>SUM(F437)</f>
        <v>0</v>
      </c>
      <c r="G440" s="1494">
        <f>SUM(G437,)</f>
        <v>3767</v>
      </c>
      <c r="H440" s="1494">
        <f>H437</f>
        <v>3767</v>
      </c>
      <c r="I440" s="1495">
        <f>(H440/G440)*100</f>
        <v>100</v>
      </c>
      <c r="IV440" s="1496">
        <f>SUM(IV437:IV439)</f>
        <v>7734</v>
      </c>
    </row>
    <row r="441" spans="1:256" s="1483" customFormat="1" ht="15" thickTop="1" x14ac:dyDescent="0.2">
      <c r="B441" s="1497"/>
      <c r="D441" s="1498"/>
      <c r="F441" s="1532"/>
      <c r="G441" s="1532"/>
      <c r="H441" s="1532"/>
      <c r="I441" s="1533"/>
    </row>
    <row r="442" spans="1:256" s="1483" customFormat="1" ht="15" thickBot="1" x14ac:dyDescent="0.25">
      <c r="A442" s="1510" t="s">
        <v>160</v>
      </c>
      <c r="B442" s="1497"/>
      <c r="D442" s="1498"/>
      <c r="F442" s="1532"/>
      <c r="G442" s="1532"/>
      <c r="H442" s="1532"/>
      <c r="I442" s="1534" t="s">
        <v>161</v>
      </c>
    </row>
    <row r="443" spans="1:256" s="1540" customFormat="1" ht="12.75" thickTop="1" thickBot="1" x14ac:dyDescent="0.25">
      <c r="A443" s="1535" t="s">
        <v>624</v>
      </c>
      <c r="B443" s="1536" t="s">
        <v>162</v>
      </c>
      <c r="C443" s="1537" t="s">
        <v>163</v>
      </c>
      <c r="D443" s="1538" t="s">
        <v>705</v>
      </c>
      <c r="E443" s="1538" t="s">
        <v>164</v>
      </c>
      <c r="F443" s="1538" t="s">
        <v>165</v>
      </c>
      <c r="G443" s="1538" t="s">
        <v>881</v>
      </c>
      <c r="H443" s="1538" t="s">
        <v>882</v>
      </c>
      <c r="I443" s="1539" t="s">
        <v>883</v>
      </c>
    </row>
    <row r="444" spans="1:256" s="1506" customFormat="1" ht="13.5" thickTop="1" thickBot="1" x14ac:dyDescent="0.25">
      <c r="A444" s="1501">
        <v>1</v>
      </c>
      <c r="B444" s="1502">
        <v>2</v>
      </c>
      <c r="C444" s="1502">
        <v>3</v>
      </c>
      <c r="D444" s="1502">
        <v>4</v>
      </c>
      <c r="E444" s="1502">
        <v>5</v>
      </c>
      <c r="F444" s="1503">
        <v>6</v>
      </c>
      <c r="G444" s="1503">
        <v>7</v>
      </c>
      <c r="H444" s="1504">
        <v>8</v>
      </c>
      <c r="I444" s="1505" t="s">
        <v>762</v>
      </c>
    </row>
    <row r="445" spans="1:256" s="1483" customFormat="1" ht="15.75" thickTop="1" x14ac:dyDescent="0.2">
      <c r="A445" s="1552">
        <v>1560</v>
      </c>
      <c r="B445" s="1553">
        <v>3231</v>
      </c>
      <c r="C445" s="1553">
        <v>5213</v>
      </c>
      <c r="D445" s="1554"/>
      <c r="E445" s="1543" t="s">
        <v>1173</v>
      </c>
      <c r="F445" s="1550"/>
      <c r="G445" s="1550">
        <f>SUM(G446:G446)</f>
        <v>2216</v>
      </c>
      <c r="H445" s="1550">
        <f>SUM(H446:H446)</f>
        <v>2216</v>
      </c>
      <c r="I445" s="1555">
        <f>(H445/G445)*100</f>
        <v>100</v>
      </c>
      <c r="IV445" s="1496">
        <f>SUM(I445:IU445)</f>
        <v>100</v>
      </c>
    </row>
    <row r="446" spans="1:256" s="1483" customFormat="1" ht="15" thickBot="1" x14ac:dyDescent="0.25">
      <c r="A446" s="1507"/>
      <c r="B446" s="1524"/>
      <c r="C446" s="1524"/>
      <c r="D446" s="1068" t="s">
        <v>1130</v>
      </c>
      <c r="E446" s="1292" t="s">
        <v>0</v>
      </c>
      <c r="F446" s="1296"/>
      <c r="G446" s="1296">
        <v>2216</v>
      </c>
      <c r="H446" s="1296">
        <v>2216</v>
      </c>
      <c r="I446" s="1300">
        <f>(H446/G446)*100</f>
        <v>100</v>
      </c>
      <c r="IV446" s="1483">
        <f>SUM(A446:IU446)</f>
        <v>4532</v>
      </c>
    </row>
    <row r="447" spans="1:256" s="1483" customFormat="1" ht="16.5" thickTop="1" thickBot="1" x14ac:dyDescent="0.25">
      <c r="A447" s="2683" t="s">
        <v>1105</v>
      </c>
      <c r="B447" s="2684"/>
      <c r="C447" s="2684"/>
      <c r="D447" s="2684"/>
      <c r="E447" s="2684"/>
      <c r="F447" s="1494">
        <f>SUM(F445)</f>
        <v>0</v>
      </c>
      <c r="G447" s="1494">
        <f>SUM(G445)</f>
        <v>2216</v>
      </c>
      <c r="H447" s="1494">
        <f>SUM(H445)</f>
        <v>2216</v>
      </c>
      <c r="I447" s="1495">
        <f>(H447/G447)*100</f>
        <v>100</v>
      </c>
      <c r="IV447" s="1496">
        <f>SUM(IV445:IV446)</f>
        <v>4632</v>
      </c>
    </row>
    <row r="448" spans="1:256" s="1483" customFormat="1" ht="15" thickTop="1" x14ac:dyDescent="0.2">
      <c r="B448" s="1497"/>
      <c r="D448" s="1498"/>
      <c r="F448" s="1532"/>
      <c r="G448" s="1532"/>
      <c r="H448" s="1532"/>
      <c r="I448" s="1533"/>
    </row>
    <row r="449" spans="1:256" s="1483" customFormat="1" ht="20.25" customHeight="1" thickBot="1" x14ac:dyDescent="0.25">
      <c r="A449" s="1510" t="s">
        <v>790</v>
      </c>
      <c r="B449" s="1497"/>
      <c r="D449" s="1498"/>
      <c r="F449" s="1532"/>
      <c r="G449" s="1532"/>
      <c r="H449" s="1532"/>
      <c r="I449" s="1534" t="s">
        <v>161</v>
      </c>
    </row>
    <row r="450" spans="1:256" s="1540" customFormat="1" ht="12.75" thickTop="1" thickBot="1" x14ac:dyDescent="0.25">
      <c r="A450" s="1535" t="s">
        <v>624</v>
      </c>
      <c r="B450" s="1536" t="s">
        <v>162</v>
      </c>
      <c r="C450" s="1537" t="s">
        <v>163</v>
      </c>
      <c r="D450" s="1538" t="s">
        <v>705</v>
      </c>
      <c r="E450" s="1538" t="s">
        <v>164</v>
      </c>
      <c r="F450" s="1538" t="s">
        <v>165</v>
      </c>
      <c r="G450" s="1538" t="s">
        <v>881</v>
      </c>
      <c r="H450" s="1538" t="s">
        <v>882</v>
      </c>
      <c r="I450" s="1539" t="s">
        <v>883</v>
      </c>
    </row>
    <row r="451" spans="1:256" s="1506" customFormat="1" ht="13.5" thickTop="1" thickBot="1" x14ac:dyDescent="0.25">
      <c r="A451" s="1501">
        <v>1</v>
      </c>
      <c r="B451" s="1502">
        <v>2</v>
      </c>
      <c r="C451" s="1502">
        <v>3</v>
      </c>
      <c r="D451" s="1502">
        <v>4</v>
      </c>
      <c r="E451" s="1502">
        <v>5</v>
      </c>
      <c r="F451" s="1503">
        <v>6</v>
      </c>
      <c r="G451" s="1503">
        <v>7</v>
      </c>
      <c r="H451" s="1504">
        <v>8</v>
      </c>
      <c r="I451" s="1505" t="s">
        <v>762</v>
      </c>
    </row>
    <row r="452" spans="1:256" s="1483" customFormat="1" ht="15.75" thickTop="1" x14ac:dyDescent="0.2">
      <c r="A452" s="1552">
        <v>1561</v>
      </c>
      <c r="B452" s="1553">
        <v>3231</v>
      </c>
      <c r="C452" s="1553">
        <v>5213</v>
      </c>
      <c r="D452" s="1554"/>
      <c r="E452" s="1543" t="s">
        <v>1173</v>
      </c>
      <c r="F452" s="1550"/>
      <c r="G452" s="1550">
        <f>SUM(G453:G453)</f>
        <v>621</v>
      </c>
      <c r="H452" s="1550">
        <f>SUM(H453:H453)</f>
        <v>621</v>
      </c>
      <c r="I452" s="1555">
        <f>(H452/G452)*100</f>
        <v>100</v>
      </c>
      <c r="IV452" s="1496">
        <f>SUM(I452:IU452)</f>
        <v>100</v>
      </c>
    </row>
    <row r="453" spans="1:256" s="1483" customFormat="1" ht="18" customHeight="1" thickBot="1" x14ac:dyDescent="0.25">
      <c r="A453" s="1507"/>
      <c r="B453" s="1524"/>
      <c r="C453" s="1524"/>
      <c r="D453" s="1068" t="s">
        <v>1130</v>
      </c>
      <c r="E453" s="1292" t="s">
        <v>0</v>
      </c>
      <c r="F453" s="1296"/>
      <c r="G453" s="1296">
        <v>621</v>
      </c>
      <c r="H453" s="1296">
        <v>621</v>
      </c>
      <c r="I453" s="1300">
        <f>(H453/G453)*100</f>
        <v>100</v>
      </c>
      <c r="IV453" s="1483">
        <f>SUM(A453:IU453)</f>
        <v>1342</v>
      </c>
    </row>
    <row r="454" spans="1:256" s="1483" customFormat="1" ht="16.5" thickTop="1" thickBot="1" x14ac:dyDescent="0.25">
      <c r="A454" s="2683" t="s">
        <v>1105</v>
      </c>
      <c r="B454" s="2684"/>
      <c r="C454" s="2684"/>
      <c r="D454" s="2684"/>
      <c r="E454" s="2684"/>
      <c r="F454" s="1494">
        <f>SUM(F452)</f>
        <v>0</v>
      </c>
      <c r="G454" s="1494">
        <f>SUM(G452)</f>
        <v>621</v>
      </c>
      <c r="H454" s="1494">
        <f>SUM(H452)</f>
        <v>621</v>
      </c>
      <c r="I454" s="1495">
        <f>(H454/G454)*100</f>
        <v>100</v>
      </c>
      <c r="K454" s="1496">
        <f>SUM(G454,G447,G431,G423,G416,G407,G394,G366,G358,G350,G340,G374,G382,G328,G318,G305,G297,G289,G235,G217,G199,G255,G461,G264,G440,G282,G273)</f>
        <v>170219</v>
      </c>
      <c r="L454" s="1496">
        <f>SUM(H454,H447,H431,H423,H416,H407,H394,H366,H358,H350,H340,H374,H382,H328,H318,H305,H297,H289,H235,H217,H199,H255,H461,H264,H440,H282,H273)</f>
        <v>170219</v>
      </c>
      <c r="IV454" s="1496">
        <f>SUM(IV452:IV453)</f>
        <v>1442</v>
      </c>
    </row>
    <row r="455" spans="1:256" s="1483" customFormat="1" ht="15" thickTop="1" x14ac:dyDescent="0.2">
      <c r="B455" s="1497"/>
      <c r="D455" s="1498"/>
      <c r="F455" s="1532"/>
      <c r="G455" s="1532"/>
      <c r="H455" s="1532"/>
      <c r="I455" s="1533"/>
      <c r="K455" s="1496"/>
      <c r="L455" s="1496"/>
    </row>
    <row r="456" spans="1:256" s="1483" customFormat="1" ht="15" thickBot="1" x14ac:dyDescent="0.25">
      <c r="A456" s="1510" t="s">
        <v>1610</v>
      </c>
      <c r="B456" s="1497"/>
      <c r="D456" s="1498"/>
      <c r="F456" s="1532"/>
      <c r="G456" s="1532"/>
      <c r="H456" s="1532"/>
      <c r="I456" s="1534" t="s">
        <v>161</v>
      </c>
    </row>
    <row r="457" spans="1:256" s="1540" customFormat="1" ht="12.75" thickTop="1" thickBot="1" x14ac:dyDescent="0.25">
      <c r="A457" s="1535" t="s">
        <v>624</v>
      </c>
      <c r="B457" s="1536" t="s">
        <v>162</v>
      </c>
      <c r="C457" s="1537" t="s">
        <v>163</v>
      </c>
      <c r="D457" s="1538" t="s">
        <v>705</v>
      </c>
      <c r="E457" s="1538" t="s">
        <v>164</v>
      </c>
      <c r="F457" s="1538" t="s">
        <v>165</v>
      </c>
      <c r="G457" s="1538" t="s">
        <v>881</v>
      </c>
      <c r="H457" s="1538" t="s">
        <v>882</v>
      </c>
      <c r="I457" s="1539" t="s">
        <v>883</v>
      </c>
    </row>
    <row r="458" spans="1:256" s="1506" customFormat="1" ht="13.5" thickTop="1" thickBot="1" x14ac:dyDescent="0.25">
      <c r="A458" s="1501">
        <v>1</v>
      </c>
      <c r="B458" s="1502">
        <v>2</v>
      </c>
      <c r="C458" s="1502">
        <v>3</v>
      </c>
      <c r="D458" s="1502">
        <v>4</v>
      </c>
      <c r="E458" s="1502">
        <v>5</v>
      </c>
      <c r="F458" s="1503">
        <v>6</v>
      </c>
      <c r="G458" s="1503">
        <v>7</v>
      </c>
      <c r="H458" s="1504">
        <v>8</v>
      </c>
      <c r="I458" s="1505" t="s">
        <v>762</v>
      </c>
    </row>
    <row r="459" spans="1:256" s="1483" customFormat="1" ht="20.25" customHeight="1" thickTop="1" x14ac:dyDescent="0.2">
      <c r="A459" s="1552">
        <v>1562</v>
      </c>
      <c r="B459" s="1553">
        <v>3231</v>
      </c>
      <c r="C459" s="1553">
        <v>5212</v>
      </c>
      <c r="D459" s="1554"/>
      <c r="E459" s="1543" t="s">
        <v>1611</v>
      </c>
      <c r="F459" s="1550"/>
      <c r="G459" s="1550">
        <f>SUM(G460:G460)</f>
        <v>3589</v>
      </c>
      <c r="H459" s="1550">
        <f>SUM(H460:H460)</f>
        <v>3589</v>
      </c>
      <c r="I459" s="1555">
        <f>(H459/G459)*100</f>
        <v>100</v>
      </c>
      <c r="IV459" s="1496">
        <f>SUM(I459:IU459)</f>
        <v>100</v>
      </c>
    </row>
    <row r="460" spans="1:256" s="1483" customFormat="1" ht="15" thickBot="1" x14ac:dyDescent="0.25">
      <c r="A460" s="1507"/>
      <c r="B460" s="1524"/>
      <c r="C460" s="1524"/>
      <c r="D460" s="1068" t="s">
        <v>1130</v>
      </c>
      <c r="E460" s="1292" t="s">
        <v>0</v>
      </c>
      <c r="F460" s="1296"/>
      <c r="G460" s="1296">
        <v>3589</v>
      </c>
      <c r="H460" s="1296">
        <v>3589</v>
      </c>
      <c r="I460" s="1300">
        <f>(H460/G460)*100</f>
        <v>100</v>
      </c>
      <c r="IV460" s="1483">
        <f>SUM(A460:IU460)</f>
        <v>7278</v>
      </c>
    </row>
    <row r="461" spans="1:256" s="1483" customFormat="1" ht="16.5" thickTop="1" thickBot="1" x14ac:dyDescent="0.25">
      <c r="A461" s="2683" t="s">
        <v>1105</v>
      </c>
      <c r="B461" s="2684"/>
      <c r="C461" s="2684"/>
      <c r="D461" s="2684"/>
      <c r="E461" s="2684"/>
      <c r="F461" s="1494">
        <f>SUM(F459)</f>
        <v>0</v>
      </c>
      <c r="G461" s="1494">
        <f>SUM(G459)</f>
        <v>3589</v>
      </c>
      <c r="H461" s="1494">
        <f>SUM(H459)</f>
        <v>3589</v>
      </c>
      <c r="I461" s="1495">
        <f>(H461/G461)*100</f>
        <v>100</v>
      </c>
      <c r="J461" s="2526">
        <v>0</v>
      </c>
      <c r="K461" s="2526">
        <f>K454+K186</f>
        <v>237509</v>
      </c>
      <c r="L461" s="2526">
        <f>L454+L186</f>
        <v>237509</v>
      </c>
      <c r="IV461" s="1496">
        <f>SUM(IV459:IV460)</f>
        <v>7378</v>
      </c>
    </row>
    <row r="462" spans="1:256" s="1483" customFormat="1" ht="15" thickTop="1" x14ac:dyDescent="0.2">
      <c r="B462" s="1497"/>
      <c r="D462" s="1498"/>
      <c r="F462" s="1532"/>
      <c r="G462" s="1532"/>
      <c r="H462" s="1532"/>
      <c r="I462" s="1533"/>
      <c r="J462" s="2527">
        <v>1500</v>
      </c>
      <c r="K462" s="2527">
        <v>930</v>
      </c>
      <c r="L462" s="2527">
        <v>863</v>
      </c>
      <c r="N462" s="1325" t="s">
        <v>324</v>
      </c>
      <c r="O462" s="1483" t="s">
        <v>1215</v>
      </c>
      <c r="P462" s="1483">
        <v>887</v>
      </c>
      <c r="Q462" s="1483">
        <v>863</v>
      </c>
    </row>
    <row r="463" spans="1:256" ht="15" thickBot="1" x14ac:dyDescent="0.25">
      <c r="J463" s="2528">
        <f>J461+J462</f>
        <v>1500</v>
      </c>
      <c r="K463" s="2528">
        <f>K461+K462</f>
        <v>238439</v>
      </c>
      <c r="L463" s="2528">
        <f>L461+L462</f>
        <v>238372</v>
      </c>
      <c r="N463" s="1325" t="s">
        <v>1130</v>
      </c>
      <c r="O463" s="381" t="s">
        <v>2061</v>
      </c>
      <c r="P463" s="2555">
        <v>43</v>
      </c>
      <c r="Q463" s="2555"/>
    </row>
    <row r="464" spans="1:256" ht="15.75" hidden="1" x14ac:dyDescent="0.2">
      <c r="A464" s="805" t="s">
        <v>1821</v>
      </c>
    </row>
    <row r="465" spans="1:256" ht="15" hidden="1" thickBot="1" x14ac:dyDescent="0.25"/>
    <row r="466" spans="1:256" s="1540" customFormat="1" ht="18" hidden="1" customHeight="1" thickTop="1" thickBot="1" x14ac:dyDescent="0.25">
      <c r="A466" s="1535" t="s">
        <v>624</v>
      </c>
      <c r="B466" s="1536" t="s">
        <v>162</v>
      </c>
      <c r="C466" s="1537" t="s">
        <v>163</v>
      </c>
      <c r="D466" s="1538" t="s">
        <v>705</v>
      </c>
      <c r="E466" s="1538" t="s">
        <v>164</v>
      </c>
      <c r="F466" s="1538" t="s">
        <v>165</v>
      </c>
      <c r="G466" s="1538" t="s">
        <v>881</v>
      </c>
      <c r="H466" s="1538" t="s">
        <v>882</v>
      </c>
      <c r="I466" s="1539" t="s">
        <v>883</v>
      </c>
    </row>
    <row r="467" spans="1:256" s="1506" customFormat="1" ht="18" hidden="1" customHeight="1" thickTop="1" thickBot="1" x14ac:dyDescent="0.25">
      <c r="A467" s="1501">
        <v>1</v>
      </c>
      <c r="B467" s="1502">
        <v>2</v>
      </c>
      <c r="C467" s="1502">
        <v>3</v>
      </c>
      <c r="D467" s="1502">
        <v>4</v>
      </c>
      <c r="E467" s="1502">
        <v>5</v>
      </c>
      <c r="F467" s="1503">
        <v>6</v>
      </c>
      <c r="G467" s="1503">
        <v>7</v>
      </c>
      <c r="H467" s="1504">
        <v>8</v>
      </c>
      <c r="I467" s="1505" t="s">
        <v>762</v>
      </c>
    </row>
    <row r="468" spans="1:256" s="1483" customFormat="1" ht="15.75" hidden="1" thickTop="1" x14ac:dyDescent="0.2">
      <c r="A468" s="1552"/>
      <c r="B468" s="1553">
        <v>3299</v>
      </c>
      <c r="C468" s="1553">
        <v>5213</v>
      </c>
      <c r="D468" s="1554"/>
      <c r="E468" s="1543" t="s">
        <v>1173</v>
      </c>
      <c r="F468" s="1550"/>
      <c r="G468" s="1550">
        <f>SUM(G469:G470)</f>
        <v>185</v>
      </c>
      <c r="H468" s="1550">
        <f>SUM(H469:H470)</f>
        <v>15</v>
      </c>
      <c r="I468" s="1555">
        <f>(H468/G468)*100</f>
        <v>8.1081081081081088</v>
      </c>
      <c r="IV468" s="1496">
        <f>SUM(I468:IU468)</f>
        <v>8.1081081081081088</v>
      </c>
    </row>
    <row r="469" spans="1:256" s="1483" customFormat="1" ht="14.25" hidden="1" customHeight="1" x14ac:dyDescent="0.2">
      <c r="A469" s="1507"/>
      <c r="B469" s="1524"/>
      <c r="C469" s="1524"/>
      <c r="D469" s="2191" t="s">
        <v>1202</v>
      </c>
      <c r="E469" s="2192" t="s">
        <v>1818</v>
      </c>
      <c r="F469" s="1544"/>
      <c r="G469" s="1377">
        <v>15</v>
      </c>
      <c r="H469" s="1377">
        <v>15</v>
      </c>
      <c r="I469" s="1556">
        <v>100</v>
      </c>
      <c r="IV469" s="1496"/>
    </row>
    <row r="470" spans="1:256" s="1483" customFormat="1" hidden="1" x14ac:dyDescent="0.2">
      <c r="A470" s="1507"/>
      <c r="B470" s="1524"/>
      <c r="C470" s="1524"/>
      <c r="D470" s="1068" t="s">
        <v>1130</v>
      </c>
      <c r="E470" s="1290" t="s">
        <v>0</v>
      </c>
      <c r="F470" s="1301"/>
      <c r="G470" s="1301">
        <v>170</v>
      </c>
      <c r="H470" s="1301">
        <v>0</v>
      </c>
      <c r="I470" s="1297">
        <f>(H470/G470)*100</f>
        <v>0</v>
      </c>
      <c r="IV470" s="1483">
        <f>SUM(A470:IU470)</f>
        <v>170</v>
      </c>
    </row>
    <row r="471" spans="1:256" s="1483" customFormat="1" ht="15" hidden="1" x14ac:dyDescent="0.2">
      <c r="A471" s="1507"/>
      <c r="B471" s="1524">
        <v>3299</v>
      </c>
      <c r="C471" s="1524">
        <v>5493</v>
      </c>
      <c r="D471" s="1558"/>
      <c r="E471" s="1547" t="s">
        <v>1820</v>
      </c>
      <c r="F471" s="1548"/>
      <c r="G471" s="1548">
        <f>SUM(G472:G474)</f>
        <v>1158</v>
      </c>
      <c r="H471" s="1548">
        <f>SUM(H472:H474)</f>
        <v>1132</v>
      </c>
      <c r="I471" s="1549">
        <f>(H471/G471)*100</f>
        <v>97.754749568221072</v>
      </c>
      <c r="IV471" s="1496">
        <f>SUM(I471:IU471)</f>
        <v>97.754749568221072</v>
      </c>
    </row>
    <row r="472" spans="1:256" s="1483" customFormat="1" ht="15" hidden="1" x14ac:dyDescent="0.2">
      <c r="A472" s="1507"/>
      <c r="B472" s="1524"/>
      <c r="C472" s="1524"/>
      <c r="D472" s="2191" t="s">
        <v>1202</v>
      </c>
      <c r="E472" s="2192" t="s">
        <v>1818</v>
      </c>
      <c r="F472" s="1548"/>
      <c r="G472" s="1551">
        <v>10</v>
      </c>
      <c r="H472" s="1551">
        <v>10</v>
      </c>
      <c r="I472" s="1564">
        <v>100</v>
      </c>
      <c r="IV472" s="1496"/>
    </row>
    <row r="473" spans="1:256" s="1483" customFormat="1" hidden="1" x14ac:dyDescent="0.2">
      <c r="A473" s="1507"/>
      <c r="B473" s="1524"/>
      <c r="C473" s="1524"/>
      <c r="D473" s="1118" t="s">
        <v>1489</v>
      </c>
      <c r="E473" s="1792" t="s">
        <v>1488</v>
      </c>
      <c r="F473" s="1551">
        <v>500</v>
      </c>
      <c r="G473" s="1551">
        <v>48</v>
      </c>
      <c r="H473" s="1551">
        <v>48</v>
      </c>
      <c r="I473" s="1564">
        <v>100</v>
      </c>
      <c r="IV473" s="1496"/>
    </row>
    <row r="474" spans="1:256" s="1483" customFormat="1" ht="15" hidden="1" thickBot="1" x14ac:dyDescent="0.25">
      <c r="A474" s="1507"/>
      <c r="B474" s="1524"/>
      <c r="C474" s="1524"/>
      <c r="D474" s="1069" t="s">
        <v>324</v>
      </c>
      <c r="E474" s="1125" t="s">
        <v>325</v>
      </c>
      <c r="F474" s="1551">
        <v>1500</v>
      </c>
      <c r="G474" s="1551">
        <v>1100</v>
      </c>
      <c r="H474" s="1551">
        <v>1074</v>
      </c>
      <c r="I474" s="1564">
        <v>100</v>
      </c>
      <c r="IV474" s="1496"/>
    </row>
    <row r="475" spans="1:256" s="1483" customFormat="1" ht="16.5" hidden="1" thickTop="1" thickBot="1" x14ac:dyDescent="0.25">
      <c r="A475" s="2683" t="s">
        <v>1105</v>
      </c>
      <c r="B475" s="2684"/>
      <c r="C475" s="2684"/>
      <c r="D475" s="2684"/>
      <c r="E475" s="2684"/>
      <c r="F475" s="1494">
        <f>F473+F474</f>
        <v>2000</v>
      </c>
      <c r="G475" s="1494">
        <f>SUM(G468,G471)</f>
        <v>1343</v>
      </c>
      <c r="H475" s="1494">
        <f>SUM(H468,H471)</f>
        <v>1147</v>
      </c>
      <c r="I475" s="1495">
        <f>(H475/G475)*100</f>
        <v>85.405807892777361</v>
      </c>
      <c r="K475" s="1496">
        <f>K461+G475</f>
        <v>238852</v>
      </c>
      <c r="L475" s="1496">
        <f>L461+H475</f>
        <v>238656</v>
      </c>
      <c r="IV475" s="1496">
        <f>SUM(IV468:IV470)</f>
        <v>178.1081081081081</v>
      </c>
    </row>
    <row r="476" spans="1:256" ht="15" hidden="1" thickTop="1" x14ac:dyDescent="0.2">
      <c r="K476" s="382">
        <v>235461</v>
      </c>
      <c r="L476" s="382">
        <v>235245</v>
      </c>
    </row>
    <row r="477" spans="1:256" hidden="1" x14ac:dyDescent="0.2">
      <c r="K477" s="382">
        <f>K476-K475</f>
        <v>-3391</v>
      </c>
      <c r="L477" s="382">
        <f>L476-L475</f>
        <v>-3411</v>
      </c>
    </row>
    <row r="478" spans="1:256" ht="15" thickTop="1" x14ac:dyDescent="0.2">
      <c r="P478" s="381">
        <f>P462+P463</f>
        <v>930</v>
      </c>
      <c r="Q478" s="381">
        <f>Q462+Q463</f>
        <v>863</v>
      </c>
    </row>
    <row r="499" spans="5:5" x14ac:dyDescent="0.2">
      <c r="E499" s="381" t="s">
        <v>521</v>
      </c>
    </row>
  </sheetData>
  <mergeCells count="44">
    <mergeCell ref="A12:E12"/>
    <mergeCell ref="A305:E305"/>
    <mergeCell ref="A297:E297"/>
    <mergeCell ref="A235:E235"/>
    <mergeCell ref="A255:E255"/>
    <mergeCell ref="A23:E23"/>
    <mergeCell ref="A34:E34"/>
    <mergeCell ref="A45:E45"/>
    <mergeCell ref="A55:E55"/>
    <mergeCell ref="A66:E66"/>
    <mergeCell ref="A74:E74"/>
    <mergeCell ref="A85:E85"/>
    <mergeCell ref="A103:E103"/>
    <mergeCell ref="A114:E114"/>
    <mergeCell ref="A131:E131"/>
    <mergeCell ref="A152:E152"/>
    <mergeCell ref="A328:E328"/>
    <mergeCell ref="A340:E340"/>
    <mergeCell ref="A350:E350"/>
    <mergeCell ref="A358:E358"/>
    <mergeCell ref="A170:E170"/>
    <mergeCell ref="A186:E186"/>
    <mergeCell ref="A199:E199"/>
    <mergeCell ref="A217:E217"/>
    <mergeCell ref="A264:E264"/>
    <mergeCell ref="A289:E289"/>
    <mergeCell ref="E249:E250"/>
    <mergeCell ref="A273:E273"/>
    <mergeCell ref="A282:E282"/>
    <mergeCell ref="A318:E318"/>
    <mergeCell ref="A475:E475"/>
    <mergeCell ref="A440:E440"/>
    <mergeCell ref="E437:E438"/>
    <mergeCell ref="A366:E366"/>
    <mergeCell ref="A374:E374"/>
    <mergeCell ref="A394:E394"/>
    <mergeCell ref="A407:E407"/>
    <mergeCell ref="A416:E416"/>
    <mergeCell ref="A382:E382"/>
    <mergeCell ref="A447:E447"/>
    <mergeCell ref="A454:E454"/>
    <mergeCell ref="A461:E461"/>
    <mergeCell ref="A423:E423"/>
    <mergeCell ref="A431:E431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88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 enableFormatConditionsCalculation="0">
    <tabColor rgb="FFFF0000"/>
  </sheetPr>
  <dimension ref="A1:U658"/>
  <sheetViews>
    <sheetView showGridLines="0" view="pageBreakPreview" zoomScaleNormal="100" zoomScaleSheetLayoutView="100" workbookViewId="0">
      <selection activeCell="I10" sqref="I10"/>
    </sheetView>
  </sheetViews>
  <sheetFormatPr defaultRowHeight="14.25" x14ac:dyDescent="0.2"/>
  <cols>
    <col min="1" max="2" width="4.7109375" style="1730" customWidth="1"/>
    <col min="3" max="3" width="8.7109375" style="663" customWidth="1"/>
    <col min="4" max="4" width="44.28515625" style="381" customWidth="1"/>
    <col min="5" max="5" width="13.5703125" style="1728" customWidth="1"/>
    <col min="6" max="6" width="13.7109375" style="1728" customWidth="1"/>
    <col min="7" max="7" width="15.5703125" style="1728" customWidth="1"/>
    <col min="8" max="8" width="8.140625" style="765" customWidth="1"/>
    <col min="9" max="9" width="9.140625" style="381"/>
    <col min="10" max="12" width="12.42578125" style="381" bestFit="1" customWidth="1"/>
    <col min="13" max="13" width="10.42578125" style="381" customWidth="1"/>
    <col min="14" max="16384" width="9.140625" style="381"/>
  </cols>
  <sheetData>
    <row r="1" spans="1:9" s="662" customFormat="1" ht="18.75" thickBot="1" x14ac:dyDescent="0.3">
      <c r="A1" s="477" t="s">
        <v>879</v>
      </c>
      <c r="B1" s="478"/>
      <c r="C1" s="484"/>
      <c r="D1" s="480"/>
      <c r="E1" s="485"/>
      <c r="F1" s="486" t="s">
        <v>886</v>
      </c>
      <c r="G1" s="487"/>
      <c r="H1" s="789"/>
    </row>
    <row r="2" spans="1:9" x14ac:dyDescent="0.2">
      <c r="A2" s="1729"/>
    </row>
    <row r="3" spans="1:9" s="523" customFormat="1" x14ac:dyDescent="0.2">
      <c r="A3" s="1731" t="s">
        <v>367</v>
      </c>
      <c r="B3" s="1732"/>
      <c r="C3" s="2441" t="s">
        <v>1656</v>
      </c>
      <c r="E3" s="1728"/>
      <c r="F3" s="1728"/>
      <c r="G3" s="1728"/>
      <c r="H3" s="765"/>
    </row>
    <row r="4" spans="1:9" x14ac:dyDescent="0.2">
      <c r="A4" s="1729"/>
      <c r="C4" s="2441" t="s">
        <v>1653</v>
      </c>
    </row>
    <row r="5" spans="1:9" x14ac:dyDescent="0.2">
      <c r="A5" s="1729"/>
      <c r="C5" s="1733"/>
    </row>
    <row r="6" spans="1:9" x14ac:dyDescent="0.2">
      <c r="A6" s="1729"/>
      <c r="C6" s="1733"/>
    </row>
    <row r="7" spans="1:9" s="432" customFormat="1" ht="15.75" x14ac:dyDescent="0.25">
      <c r="A7" s="669" t="s">
        <v>884</v>
      </c>
      <c r="B7" s="1754"/>
      <c r="C7" s="798"/>
      <c r="E7" s="487"/>
      <c r="F7" s="487"/>
      <c r="G7" s="487"/>
      <c r="H7" s="789"/>
    </row>
    <row r="9" spans="1:9" ht="15" thickBot="1" x14ac:dyDescent="0.25">
      <c r="H9" s="1735" t="s">
        <v>161</v>
      </c>
    </row>
    <row r="10" spans="1:9" s="107" customFormat="1" ht="20.25" customHeight="1" thickTop="1" thickBot="1" x14ac:dyDescent="0.25">
      <c r="A10" s="631" t="s">
        <v>162</v>
      </c>
      <c r="B10" s="632" t="s">
        <v>163</v>
      </c>
      <c r="C10" s="670" t="s">
        <v>705</v>
      </c>
      <c r="D10" s="634" t="s">
        <v>164</v>
      </c>
      <c r="E10" s="634" t="s">
        <v>165</v>
      </c>
      <c r="F10" s="634" t="s">
        <v>881</v>
      </c>
      <c r="G10" s="634" t="s">
        <v>882</v>
      </c>
      <c r="H10" s="635" t="s">
        <v>883</v>
      </c>
    </row>
    <row r="11" spans="1:9" s="383" customFormat="1" ht="13.5" thickTop="1" thickBot="1" x14ac:dyDescent="0.25">
      <c r="A11" s="566">
        <v>1</v>
      </c>
      <c r="B11" s="567">
        <v>2</v>
      </c>
      <c r="C11" s="567">
        <v>3</v>
      </c>
      <c r="D11" s="567">
        <v>4</v>
      </c>
      <c r="E11" s="567">
        <v>5</v>
      </c>
      <c r="F11" s="541">
        <v>6</v>
      </c>
      <c r="G11" s="541">
        <v>7</v>
      </c>
      <c r="H11" s="636" t="s">
        <v>61</v>
      </c>
      <c r="I11" s="107"/>
    </row>
    <row r="12" spans="1:9" s="383" customFormat="1" ht="15.75" thickTop="1" x14ac:dyDescent="0.25">
      <c r="A12" s="1345">
        <v>4324</v>
      </c>
      <c r="B12" s="85">
        <v>5222</v>
      </c>
      <c r="C12" s="1755"/>
      <c r="D12" s="1165" t="s">
        <v>327</v>
      </c>
      <c r="E12" s="71"/>
      <c r="F12" s="313">
        <v>7870</v>
      </c>
      <c r="G12" s="315">
        <v>7870</v>
      </c>
      <c r="H12" s="212">
        <f>(G12/F12)*100</f>
        <v>100</v>
      </c>
      <c r="I12" s="107"/>
    </row>
    <row r="13" spans="1:9" s="383" customFormat="1" ht="15" x14ac:dyDescent="0.25">
      <c r="A13" s="1345"/>
      <c r="B13" s="85"/>
      <c r="C13" s="552" t="s">
        <v>576</v>
      </c>
      <c r="D13" s="2662" t="s">
        <v>577</v>
      </c>
      <c r="E13" s="71"/>
      <c r="F13" s="314">
        <v>7870</v>
      </c>
      <c r="G13" s="316">
        <v>7870</v>
      </c>
      <c r="H13" s="1074">
        <f>(G13/F13)*100</f>
        <v>100</v>
      </c>
      <c r="I13" s="107"/>
    </row>
    <row r="14" spans="1:9" s="383" customFormat="1" ht="15" x14ac:dyDescent="0.25">
      <c r="A14" s="1345"/>
      <c r="B14" s="85"/>
      <c r="C14" s="552"/>
      <c r="D14" s="2662"/>
      <c r="E14" s="71"/>
      <c r="F14" s="313"/>
      <c r="G14" s="315"/>
      <c r="H14" s="212"/>
      <c r="I14" s="107"/>
    </row>
    <row r="15" spans="1:9" s="1756" customFormat="1" ht="15" x14ac:dyDescent="0.25">
      <c r="A15" s="1345">
        <v>4339</v>
      </c>
      <c r="B15" s="85">
        <v>5169</v>
      </c>
      <c r="C15" s="1755"/>
      <c r="D15" s="128" t="s">
        <v>852</v>
      </c>
      <c r="E15" s="71">
        <v>900</v>
      </c>
      <c r="F15" s="313">
        <v>470</v>
      </c>
      <c r="G15" s="315">
        <v>470</v>
      </c>
      <c r="H15" s="212">
        <f t="shared" ref="H15:H25" si="0">(G15/F15)*100</f>
        <v>100</v>
      </c>
    </row>
    <row r="16" spans="1:9" s="1756" customFormat="1" ht="15" x14ac:dyDescent="0.25">
      <c r="A16" s="1345">
        <v>4349</v>
      </c>
      <c r="B16" s="85">
        <v>5137</v>
      </c>
      <c r="C16" s="1755"/>
      <c r="D16" s="128" t="s">
        <v>155</v>
      </c>
      <c r="E16" s="71"/>
      <c r="F16" s="315">
        <f>F17+F18</f>
        <v>314</v>
      </c>
      <c r="G16" s="315">
        <f>G17+G18</f>
        <v>314</v>
      </c>
      <c r="H16" s="212">
        <f t="shared" si="0"/>
        <v>100</v>
      </c>
    </row>
    <row r="17" spans="1:21" s="1756" customFormat="1" ht="15" x14ac:dyDescent="0.25">
      <c r="A17" s="1345"/>
      <c r="B17" s="85"/>
      <c r="C17" s="1068" t="s">
        <v>1657</v>
      </c>
      <c r="D17" s="166" t="s">
        <v>1658</v>
      </c>
      <c r="E17" s="71"/>
      <c r="F17" s="314">
        <v>44</v>
      </c>
      <c r="G17" s="316">
        <v>44</v>
      </c>
      <c r="H17" s="1074">
        <f t="shared" si="0"/>
        <v>100</v>
      </c>
    </row>
    <row r="18" spans="1:21" s="1756" customFormat="1" ht="15" x14ac:dyDescent="0.25">
      <c r="A18" s="1345"/>
      <c r="B18" s="85"/>
      <c r="C18" s="1114" t="s">
        <v>1893</v>
      </c>
      <c r="D18" s="166" t="s">
        <v>1894</v>
      </c>
      <c r="E18" s="71"/>
      <c r="F18" s="314">
        <v>270</v>
      </c>
      <c r="G18" s="316">
        <v>270</v>
      </c>
      <c r="H18" s="1074">
        <f t="shared" si="0"/>
        <v>100</v>
      </c>
    </row>
    <row r="19" spans="1:21" s="1756" customFormat="1" ht="15" x14ac:dyDescent="0.25">
      <c r="A19" s="1345">
        <v>4349</v>
      </c>
      <c r="B19" s="268">
        <v>5169</v>
      </c>
      <c r="C19" s="1755"/>
      <c r="D19" s="128" t="s">
        <v>852</v>
      </c>
      <c r="E19" s="71">
        <f>E20+E21</f>
        <v>360</v>
      </c>
      <c r="F19" s="71">
        <f>F20+F21+F22</f>
        <v>186</v>
      </c>
      <c r="G19" s="71">
        <f>G20+G21+G22</f>
        <v>177</v>
      </c>
      <c r="H19" s="212">
        <f t="shared" si="0"/>
        <v>95.161290322580655</v>
      </c>
    </row>
    <row r="20" spans="1:21" s="1056" customFormat="1" x14ac:dyDescent="0.2">
      <c r="A20" s="1345"/>
      <c r="B20" s="85"/>
      <c r="C20" s="1069" t="s">
        <v>753</v>
      </c>
      <c r="D20" s="1063" t="s">
        <v>1259</v>
      </c>
      <c r="E20" s="55">
        <v>230</v>
      </c>
      <c r="F20" s="314">
        <v>141</v>
      </c>
      <c r="G20" s="316">
        <v>134</v>
      </c>
      <c r="H20" s="1074">
        <f t="shared" si="0"/>
        <v>95.035460992907801</v>
      </c>
    </row>
    <row r="21" spans="1:21" s="1056" customFormat="1" x14ac:dyDescent="0.2">
      <c r="A21" s="1345"/>
      <c r="B21" s="85"/>
      <c r="C21" s="1068" t="s">
        <v>1657</v>
      </c>
      <c r="D21" s="166" t="s">
        <v>1658</v>
      </c>
      <c r="E21" s="55">
        <v>130</v>
      </c>
      <c r="F21" s="314">
        <v>20</v>
      </c>
      <c r="G21" s="316">
        <v>18</v>
      </c>
      <c r="H21" s="1074">
        <f t="shared" si="0"/>
        <v>90</v>
      </c>
    </row>
    <row r="22" spans="1:21" s="1056" customFormat="1" x14ac:dyDescent="0.2">
      <c r="A22" s="1345"/>
      <c r="B22" s="85"/>
      <c r="C22" s="1114" t="s">
        <v>1893</v>
      </c>
      <c r="D22" s="166" t="s">
        <v>1894</v>
      </c>
      <c r="E22" s="55"/>
      <c r="F22" s="314">
        <v>25</v>
      </c>
      <c r="G22" s="316">
        <v>25</v>
      </c>
      <c r="H22" s="1074">
        <f t="shared" si="0"/>
        <v>100</v>
      </c>
    </row>
    <row r="23" spans="1:21" s="1056" customFormat="1" ht="15" x14ac:dyDescent="0.25">
      <c r="A23" s="1345">
        <v>4349</v>
      </c>
      <c r="B23" s="85">
        <v>5213</v>
      </c>
      <c r="C23" s="1114"/>
      <c r="D23" s="1080" t="s">
        <v>328</v>
      </c>
      <c r="E23" s="71">
        <v>200</v>
      </c>
      <c r="F23" s="313">
        <v>200</v>
      </c>
      <c r="G23" s="315">
        <v>200</v>
      </c>
      <c r="H23" s="212">
        <f t="shared" si="0"/>
        <v>100</v>
      </c>
    </row>
    <row r="24" spans="1:21" s="1056" customFormat="1" x14ac:dyDescent="0.2">
      <c r="A24" s="1345"/>
      <c r="B24" s="85"/>
      <c r="C24" s="1084" t="s">
        <v>249</v>
      </c>
      <c r="D24" s="1063" t="s">
        <v>318</v>
      </c>
      <c r="E24" s="55">
        <v>200</v>
      </c>
      <c r="F24" s="314">
        <v>200</v>
      </c>
      <c r="G24" s="316">
        <v>200</v>
      </c>
      <c r="H24" s="1074">
        <f t="shared" si="0"/>
        <v>100</v>
      </c>
    </row>
    <row r="25" spans="1:21" s="1756" customFormat="1" ht="15" x14ac:dyDescent="0.25">
      <c r="A25" s="1166">
        <v>4349</v>
      </c>
      <c r="B25" s="268">
        <v>5221</v>
      </c>
      <c r="C25" s="1757"/>
      <c r="D25" s="2706" t="s">
        <v>690</v>
      </c>
      <c r="E25" s="60"/>
      <c r="F25" s="315">
        <f>F27+F28+F29</f>
        <v>2195</v>
      </c>
      <c r="G25" s="315">
        <f>G27+G28+G29</f>
        <v>2195</v>
      </c>
      <c r="H25" s="212">
        <f t="shared" si="0"/>
        <v>100</v>
      </c>
      <c r="I25" s="1758"/>
      <c r="J25" s="1758"/>
      <c r="K25" s="1758"/>
      <c r="L25" s="1758"/>
      <c r="M25" s="1758"/>
      <c r="N25" s="1758"/>
      <c r="O25" s="1758"/>
      <c r="P25" s="1758"/>
      <c r="Q25" s="1758"/>
      <c r="R25" s="1758"/>
      <c r="S25" s="1758"/>
      <c r="T25" s="1758"/>
      <c r="U25" s="1758"/>
    </row>
    <row r="26" spans="1:21" s="1056" customFormat="1" x14ac:dyDescent="0.2">
      <c r="A26" s="1166"/>
      <c r="B26" s="268"/>
      <c r="C26" s="1068"/>
      <c r="D26" s="2706"/>
      <c r="E26" s="124"/>
      <c r="F26" s="314"/>
      <c r="G26" s="316"/>
      <c r="H26" s="1074"/>
      <c r="I26" s="1107"/>
      <c r="J26" s="1107"/>
      <c r="K26" s="1107"/>
      <c r="L26" s="1107"/>
      <c r="M26" s="1107"/>
      <c r="N26" s="1107"/>
      <c r="O26" s="1107"/>
      <c r="P26" s="1107"/>
      <c r="Q26" s="1107"/>
      <c r="R26" s="1107"/>
      <c r="S26" s="1107"/>
      <c r="T26" s="1107"/>
      <c r="U26" s="1107"/>
    </row>
    <row r="27" spans="1:21" s="1056" customFormat="1" x14ac:dyDescent="0.2">
      <c r="A27" s="1166"/>
      <c r="B27" s="268"/>
      <c r="C27" s="1114" t="s">
        <v>722</v>
      </c>
      <c r="D27" s="1736" t="s">
        <v>723</v>
      </c>
      <c r="E27" s="124"/>
      <c r="F27" s="314">
        <v>30</v>
      </c>
      <c r="G27" s="316">
        <v>30</v>
      </c>
      <c r="H27" s="1074">
        <f>(G27/F27)*100</f>
        <v>100</v>
      </c>
      <c r="I27" s="1107"/>
      <c r="J27" s="1107"/>
      <c r="K27" s="1107"/>
      <c r="L27" s="1107"/>
      <c r="M27" s="1107"/>
      <c r="N27" s="1107"/>
      <c r="O27" s="1107"/>
      <c r="P27" s="1107"/>
      <c r="Q27" s="1107"/>
      <c r="R27" s="1107"/>
      <c r="S27" s="1107"/>
      <c r="T27" s="1107"/>
      <c r="U27" s="1107"/>
    </row>
    <row r="28" spans="1:21" s="1056" customFormat="1" x14ac:dyDescent="0.2">
      <c r="A28" s="1166"/>
      <c r="B28" s="268"/>
      <c r="C28" s="1068" t="s">
        <v>67</v>
      </c>
      <c r="D28" s="1737" t="s">
        <v>68</v>
      </c>
      <c r="E28" s="124"/>
      <c r="F28" s="314">
        <v>50</v>
      </c>
      <c r="G28" s="316">
        <v>50</v>
      </c>
      <c r="H28" s="1074">
        <f>(G28/F28)*100</f>
        <v>100</v>
      </c>
      <c r="I28" s="1107"/>
      <c r="J28" s="1107"/>
      <c r="K28" s="1107"/>
      <c r="L28" s="1107"/>
      <c r="M28" s="1107"/>
      <c r="N28" s="1107"/>
      <c r="O28" s="1107"/>
      <c r="P28" s="1107"/>
      <c r="Q28" s="1107"/>
      <c r="R28" s="1107"/>
      <c r="S28" s="1107"/>
      <c r="T28" s="1107"/>
      <c r="U28" s="1107"/>
    </row>
    <row r="29" spans="1:21" s="1056" customFormat="1" x14ac:dyDescent="0.2">
      <c r="A29" s="1166"/>
      <c r="B29" s="268"/>
      <c r="C29" s="1068" t="s">
        <v>1492</v>
      </c>
      <c r="D29" s="2665" t="s">
        <v>1493</v>
      </c>
      <c r="E29" s="124"/>
      <c r="F29" s="314">
        <v>2115</v>
      </c>
      <c r="G29" s="316">
        <v>2115</v>
      </c>
      <c r="H29" s="1074">
        <f>(G29/F29)*100</f>
        <v>100</v>
      </c>
      <c r="I29" s="1107"/>
      <c r="J29" s="1107"/>
      <c r="K29" s="1107"/>
      <c r="L29" s="1107"/>
      <c r="M29" s="1107"/>
      <c r="N29" s="1107"/>
      <c r="O29" s="1107"/>
      <c r="P29" s="1107"/>
      <c r="Q29" s="1107"/>
      <c r="R29" s="1107"/>
      <c r="S29" s="1107"/>
      <c r="T29" s="1107"/>
      <c r="U29" s="1107"/>
    </row>
    <row r="30" spans="1:21" s="1056" customFormat="1" x14ac:dyDescent="0.2">
      <c r="A30" s="1166"/>
      <c r="B30" s="268"/>
      <c r="C30" s="1068"/>
      <c r="D30" s="2663"/>
      <c r="E30" s="124"/>
      <c r="F30" s="314"/>
      <c r="G30" s="316"/>
      <c r="H30" s="1074"/>
      <c r="I30" s="1107"/>
      <c r="J30" s="1107"/>
      <c r="K30" s="1107"/>
      <c r="L30" s="1107"/>
      <c r="M30" s="1107"/>
      <c r="N30" s="1107"/>
      <c r="O30" s="1107"/>
      <c r="P30" s="1107"/>
      <c r="Q30" s="1107"/>
      <c r="R30" s="1107"/>
      <c r="S30" s="1107"/>
      <c r="T30" s="1107"/>
      <c r="U30" s="1107"/>
    </row>
    <row r="31" spans="1:21" s="1756" customFormat="1" ht="15" x14ac:dyDescent="0.25">
      <c r="A31" s="1166">
        <v>4349</v>
      </c>
      <c r="B31" s="268">
        <v>5222</v>
      </c>
      <c r="C31" s="1757"/>
      <c r="D31" s="1165" t="s">
        <v>327</v>
      </c>
      <c r="E31" s="60">
        <v>300</v>
      </c>
      <c r="F31" s="315">
        <f>F33+F34+F35+F32</f>
        <v>3219</v>
      </c>
      <c r="G31" s="315">
        <f>G33+G34+G35+G32</f>
        <v>3219</v>
      </c>
      <c r="H31" s="212">
        <f>(G31/F31)*100</f>
        <v>100</v>
      </c>
      <c r="I31" s="1758"/>
      <c r="J31" s="1758"/>
      <c r="K31" s="1758"/>
      <c r="L31" s="1758"/>
      <c r="M31" s="1758"/>
      <c r="N31" s="1758"/>
      <c r="O31" s="1758"/>
      <c r="P31" s="1758"/>
      <c r="Q31" s="1758"/>
      <c r="R31" s="1758"/>
      <c r="S31" s="1758"/>
      <c r="T31" s="1758"/>
      <c r="U31" s="1758"/>
    </row>
    <row r="32" spans="1:21" s="1756" customFormat="1" x14ac:dyDescent="0.2">
      <c r="A32" s="1166"/>
      <c r="B32" s="268"/>
      <c r="C32" s="1084" t="s">
        <v>249</v>
      </c>
      <c r="D32" s="1063" t="s">
        <v>318</v>
      </c>
      <c r="E32" s="124">
        <v>300</v>
      </c>
      <c r="F32" s="314">
        <v>300</v>
      </c>
      <c r="G32" s="316">
        <v>300</v>
      </c>
      <c r="H32" s="1074">
        <f t="shared" ref="H32:H40" si="1">(G32/F32)*100</f>
        <v>100</v>
      </c>
      <c r="I32" s="1758"/>
      <c r="J32" s="1758"/>
      <c r="K32" s="1758"/>
      <c r="L32" s="1758"/>
      <c r="M32" s="1758"/>
      <c r="N32" s="1758"/>
      <c r="O32" s="1758"/>
      <c r="P32" s="1758"/>
      <c r="Q32" s="1758"/>
      <c r="R32" s="1758"/>
      <c r="S32" s="1758"/>
      <c r="T32" s="1758"/>
      <c r="U32" s="1758"/>
    </row>
    <row r="33" spans="1:21" s="1056" customFormat="1" x14ac:dyDescent="0.2">
      <c r="A33" s="1166"/>
      <c r="B33" s="268"/>
      <c r="C33" s="1114" t="s">
        <v>722</v>
      </c>
      <c r="D33" s="1736" t="s">
        <v>723</v>
      </c>
      <c r="E33" s="124"/>
      <c r="F33" s="314">
        <v>40</v>
      </c>
      <c r="G33" s="316">
        <v>40</v>
      </c>
      <c r="H33" s="1074">
        <f t="shared" si="1"/>
        <v>100</v>
      </c>
      <c r="I33" s="1107"/>
      <c r="J33" s="1107"/>
      <c r="K33" s="1107"/>
      <c r="L33" s="1107"/>
      <c r="M33" s="1107"/>
      <c r="N33" s="1107"/>
      <c r="O33" s="1107"/>
      <c r="P33" s="1107"/>
      <c r="Q33" s="1107"/>
      <c r="R33" s="1107"/>
      <c r="S33" s="1107"/>
      <c r="T33" s="1107"/>
      <c r="U33" s="1107"/>
    </row>
    <row r="34" spans="1:21" s="1056" customFormat="1" x14ac:dyDescent="0.2">
      <c r="A34" s="1166"/>
      <c r="B34" s="268"/>
      <c r="C34" s="1068" t="s">
        <v>67</v>
      </c>
      <c r="D34" s="1737" t="s">
        <v>68</v>
      </c>
      <c r="E34" s="124"/>
      <c r="F34" s="314">
        <v>65</v>
      </c>
      <c r="G34" s="316">
        <v>65</v>
      </c>
      <c r="H34" s="1074">
        <f t="shared" si="1"/>
        <v>100</v>
      </c>
      <c r="I34" s="1107"/>
      <c r="J34" s="1107"/>
      <c r="K34" s="1107"/>
      <c r="L34" s="1107"/>
      <c r="M34" s="1107"/>
      <c r="N34" s="1107"/>
      <c r="O34" s="1107"/>
      <c r="P34" s="1107"/>
      <c r="Q34" s="1107"/>
      <c r="R34" s="1107"/>
      <c r="S34" s="1107"/>
      <c r="T34" s="1107"/>
      <c r="U34" s="1107"/>
    </row>
    <row r="35" spans="1:21" s="1056" customFormat="1" x14ac:dyDescent="0.2">
      <c r="A35" s="1166"/>
      <c r="B35" s="268"/>
      <c r="C35" s="1068" t="s">
        <v>1492</v>
      </c>
      <c r="D35" s="2665" t="s">
        <v>1493</v>
      </c>
      <c r="E35" s="124"/>
      <c r="F35" s="314">
        <v>2814</v>
      </c>
      <c r="G35" s="316">
        <v>2814</v>
      </c>
      <c r="H35" s="1074">
        <f t="shared" si="1"/>
        <v>100</v>
      </c>
      <c r="I35" s="1107"/>
      <c r="J35" s="1107"/>
      <c r="K35" s="1107"/>
      <c r="L35" s="1107"/>
      <c r="M35" s="1107"/>
      <c r="N35" s="1107"/>
      <c r="O35" s="1107"/>
      <c r="P35" s="1107"/>
      <c r="Q35" s="1107"/>
      <c r="R35" s="1107"/>
      <c r="S35" s="1107"/>
      <c r="T35" s="1107"/>
      <c r="U35" s="1107"/>
    </row>
    <row r="36" spans="1:21" s="1056" customFormat="1" x14ac:dyDescent="0.2">
      <c r="A36" s="1166"/>
      <c r="B36" s="268"/>
      <c r="C36" s="1068"/>
      <c r="D36" s="2663"/>
      <c r="E36" s="124"/>
      <c r="F36" s="314"/>
      <c r="G36" s="316"/>
      <c r="H36" s="1074"/>
      <c r="I36" s="1107"/>
      <c r="J36" s="1107"/>
      <c r="K36" s="1107"/>
      <c r="L36" s="1107"/>
      <c r="M36" s="1107"/>
      <c r="N36" s="1107"/>
      <c r="O36" s="1107"/>
      <c r="P36" s="1107"/>
      <c r="Q36" s="1107"/>
      <c r="R36" s="1107"/>
      <c r="S36" s="1107"/>
      <c r="T36" s="1107"/>
      <c r="U36" s="1107"/>
    </row>
    <row r="37" spans="1:21" s="1756" customFormat="1" ht="15" x14ac:dyDescent="0.25">
      <c r="A37" s="1166">
        <v>4349</v>
      </c>
      <c r="B37" s="268">
        <v>5223</v>
      </c>
      <c r="C37" s="1757"/>
      <c r="D37" s="309" t="s">
        <v>1240</v>
      </c>
      <c r="E37" s="60"/>
      <c r="F37" s="315">
        <f>F38+F39+F40</f>
        <v>5137</v>
      </c>
      <c r="G37" s="315">
        <f>G38+G39+G40</f>
        <v>5137</v>
      </c>
      <c r="H37" s="212">
        <f>(G37/F37)*100</f>
        <v>100</v>
      </c>
      <c r="I37" s="1758"/>
      <c r="J37" s="1758"/>
      <c r="K37" s="1758"/>
      <c r="L37" s="1758"/>
      <c r="M37" s="1758"/>
      <c r="N37" s="1758"/>
      <c r="O37" s="1758"/>
      <c r="P37" s="1758"/>
      <c r="Q37" s="1758"/>
      <c r="R37" s="1758"/>
      <c r="S37" s="1758"/>
      <c r="T37" s="1758"/>
      <c r="U37" s="1758"/>
    </row>
    <row r="38" spans="1:21" s="1056" customFormat="1" x14ac:dyDescent="0.2">
      <c r="A38" s="1166"/>
      <c r="B38" s="268"/>
      <c r="C38" s="1114" t="s">
        <v>722</v>
      </c>
      <c r="D38" s="1736" t="s">
        <v>723</v>
      </c>
      <c r="E38" s="124"/>
      <c r="F38" s="314">
        <v>30</v>
      </c>
      <c r="G38" s="316">
        <v>30</v>
      </c>
      <c r="H38" s="1074">
        <f t="shared" si="1"/>
        <v>100</v>
      </c>
      <c r="I38" s="1107"/>
      <c r="J38" s="1107"/>
      <c r="K38" s="1107"/>
      <c r="L38" s="1107"/>
      <c r="M38" s="1107"/>
      <c r="N38" s="1107"/>
      <c r="O38" s="1107"/>
      <c r="P38" s="1107"/>
      <c r="Q38" s="1107"/>
      <c r="R38" s="1107"/>
      <c r="S38" s="1107"/>
      <c r="T38" s="1107"/>
      <c r="U38" s="1107"/>
    </row>
    <row r="39" spans="1:21" s="1056" customFormat="1" x14ac:dyDescent="0.2">
      <c r="A39" s="1166"/>
      <c r="B39" s="268"/>
      <c r="C39" s="1068" t="s">
        <v>67</v>
      </c>
      <c r="D39" s="1737" t="s">
        <v>68</v>
      </c>
      <c r="E39" s="124"/>
      <c r="F39" s="314">
        <v>35</v>
      </c>
      <c r="G39" s="316">
        <v>35</v>
      </c>
      <c r="H39" s="1074">
        <f t="shared" si="1"/>
        <v>100</v>
      </c>
      <c r="I39" s="1107"/>
      <c r="J39" s="1107"/>
      <c r="K39" s="1107"/>
      <c r="L39" s="1107"/>
      <c r="M39" s="1107"/>
      <c r="N39" s="1107"/>
      <c r="O39" s="1107"/>
      <c r="P39" s="1107"/>
      <c r="Q39" s="1107"/>
      <c r="R39" s="1107"/>
      <c r="S39" s="1107"/>
      <c r="T39" s="1107"/>
      <c r="U39" s="1107"/>
    </row>
    <row r="40" spans="1:21" s="1056" customFormat="1" x14ac:dyDescent="0.2">
      <c r="A40" s="1166"/>
      <c r="B40" s="268"/>
      <c r="C40" s="1068" t="s">
        <v>1492</v>
      </c>
      <c r="D40" s="2665" t="s">
        <v>1493</v>
      </c>
      <c r="E40" s="124"/>
      <c r="F40" s="314">
        <v>5072</v>
      </c>
      <c r="G40" s="316">
        <v>5072</v>
      </c>
      <c r="H40" s="1074">
        <f t="shared" si="1"/>
        <v>100</v>
      </c>
      <c r="I40" s="1107"/>
      <c r="J40" s="1107"/>
      <c r="K40" s="1107"/>
      <c r="L40" s="1107"/>
      <c r="M40" s="1107"/>
      <c r="N40" s="1107"/>
      <c r="O40" s="1107"/>
      <c r="P40" s="1107"/>
      <c r="Q40" s="1107"/>
      <c r="R40" s="1107"/>
      <c r="S40" s="1107"/>
      <c r="T40" s="1107"/>
      <c r="U40" s="1107"/>
    </row>
    <row r="41" spans="1:21" s="1056" customFormat="1" x14ac:dyDescent="0.2">
      <c r="A41" s="1166"/>
      <c r="B41" s="268"/>
      <c r="C41" s="1068"/>
      <c r="D41" s="2663"/>
      <c r="E41" s="124"/>
      <c r="F41" s="314"/>
      <c r="G41" s="316"/>
      <c r="H41" s="1074"/>
      <c r="I41" s="1107"/>
      <c r="J41" s="1107"/>
      <c r="K41" s="1107"/>
      <c r="L41" s="1107"/>
      <c r="M41" s="1107"/>
      <c r="N41" s="1107"/>
      <c r="O41" s="1107"/>
      <c r="P41" s="1107"/>
      <c r="Q41" s="1107"/>
      <c r="R41" s="1107"/>
      <c r="S41" s="1107"/>
      <c r="T41" s="1107"/>
      <c r="U41" s="1107"/>
    </row>
    <row r="42" spans="1:21" s="1756" customFormat="1" ht="12.75" customHeight="1" x14ac:dyDescent="0.25">
      <c r="A42" s="1166">
        <v>4349</v>
      </c>
      <c r="B42" s="268">
        <v>5229</v>
      </c>
      <c r="C42" s="1757"/>
      <c r="D42" s="309" t="s">
        <v>69</v>
      </c>
      <c r="E42" s="60">
        <f>E43+E44+E45</f>
        <v>4950</v>
      </c>
      <c r="F42" s="313">
        <f>F43+F44+F45</f>
        <v>0</v>
      </c>
      <c r="G42" s="315">
        <v>0</v>
      </c>
      <c r="H42" s="212">
        <v>0</v>
      </c>
      <c r="I42" s="1758"/>
      <c r="J42" s="1758"/>
      <c r="K42" s="1758"/>
      <c r="L42" s="1758"/>
      <c r="M42" s="1758"/>
      <c r="N42" s="1758"/>
      <c r="O42" s="1758"/>
      <c r="P42" s="1758"/>
      <c r="Q42" s="1758"/>
      <c r="R42" s="1758"/>
      <c r="S42" s="1758"/>
      <c r="T42" s="1758"/>
      <c r="U42" s="1758"/>
    </row>
    <row r="43" spans="1:21" s="1056" customFormat="1" x14ac:dyDescent="0.2">
      <c r="A43" s="1166"/>
      <c r="B43" s="268"/>
      <c r="C43" s="1114" t="s">
        <v>722</v>
      </c>
      <c r="D43" s="1736" t="s">
        <v>723</v>
      </c>
      <c r="E43" s="124">
        <v>800</v>
      </c>
      <c r="F43" s="314">
        <v>0</v>
      </c>
      <c r="G43" s="316">
        <v>0</v>
      </c>
      <c r="H43" s="1074">
        <v>0</v>
      </c>
      <c r="I43" s="1107"/>
      <c r="J43" s="1107"/>
      <c r="K43" s="1107"/>
      <c r="L43" s="1107"/>
      <c r="M43" s="1107"/>
      <c r="N43" s="1107"/>
      <c r="O43" s="1107"/>
      <c r="P43" s="1107"/>
      <c r="Q43" s="1107"/>
      <c r="R43" s="1107"/>
      <c r="S43" s="1107"/>
      <c r="T43" s="1107"/>
      <c r="U43" s="1107"/>
    </row>
    <row r="44" spans="1:21" s="1056" customFormat="1" x14ac:dyDescent="0.2">
      <c r="A44" s="1166"/>
      <c r="B44" s="268"/>
      <c r="C44" s="1068" t="s">
        <v>67</v>
      </c>
      <c r="D44" s="1737" t="s">
        <v>68</v>
      </c>
      <c r="E44" s="124">
        <v>150</v>
      </c>
      <c r="F44" s="314">
        <v>0</v>
      </c>
      <c r="G44" s="316">
        <v>0</v>
      </c>
      <c r="H44" s="1074">
        <v>0</v>
      </c>
      <c r="I44" s="1107"/>
      <c r="J44" s="1107"/>
      <c r="K44" s="1107"/>
      <c r="L44" s="1107"/>
      <c r="M44" s="1107"/>
      <c r="N44" s="1107"/>
      <c r="O44" s="1107"/>
      <c r="P44" s="1107"/>
      <c r="Q44" s="1107"/>
      <c r="R44" s="1107"/>
      <c r="S44" s="1107"/>
      <c r="T44" s="1107"/>
      <c r="U44" s="1107"/>
    </row>
    <row r="45" spans="1:21" s="1056" customFormat="1" x14ac:dyDescent="0.2">
      <c r="A45" s="1166"/>
      <c r="B45" s="268"/>
      <c r="C45" s="1068" t="s">
        <v>1492</v>
      </c>
      <c r="D45" s="2665" t="s">
        <v>1493</v>
      </c>
      <c r="E45" s="124">
        <v>4000</v>
      </c>
      <c r="F45" s="314">
        <v>0</v>
      </c>
      <c r="G45" s="316">
        <v>0</v>
      </c>
      <c r="H45" s="1074">
        <v>0</v>
      </c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</row>
    <row r="46" spans="1:21" s="1056" customFormat="1" x14ac:dyDescent="0.2">
      <c r="A46" s="1166"/>
      <c r="B46" s="268"/>
      <c r="C46" s="1068"/>
      <c r="D46" s="2663"/>
      <c r="E46" s="124"/>
      <c r="F46" s="316"/>
      <c r="G46" s="445"/>
      <c r="H46" s="1074"/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</row>
    <row r="47" spans="1:21" s="1056" customFormat="1" ht="15" x14ac:dyDescent="0.25">
      <c r="A47" s="1166">
        <v>4399</v>
      </c>
      <c r="B47" s="268">
        <v>5136</v>
      </c>
      <c r="C47" s="1068"/>
      <c r="D47" s="2416" t="s">
        <v>608</v>
      </c>
      <c r="E47" s="124"/>
      <c r="F47" s="315">
        <f>F48+F49</f>
        <v>21</v>
      </c>
      <c r="G47" s="315">
        <f>G48+G49</f>
        <v>11</v>
      </c>
      <c r="H47" s="212">
        <f>(G47/F47)*100</f>
        <v>52.380952380952387</v>
      </c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</row>
    <row r="48" spans="1:21" s="1056" customFormat="1" x14ac:dyDescent="0.2">
      <c r="A48" s="1166"/>
      <c r="B48" s="268"/>
      <c r="C48" s="552" t="s">
        <v>1355</v>
      </c>
      <c r="D48" s="1751" t="s">
        <v>1356</v>
      </c>
      <c r="E48" s="124"/>
      <c r="F48" s="316">
        <v>3</v>
      </c>
      <c r="G48" s="445">
        <v>2</v>
      </c>
      <c r="H48" s="1074">
        <f t="shared" ref="H48:H55" si="2">(G48/F48)*100</f>
        <v>66.666666666666657</v>
      </c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</row>
    <row r="49" spans="1:21" s="1056" customFormat="1" x14ac:dyDescent="0.2">
      <c r="A49" s="1166"/>
      <c r="B49" s="268"/>
      <c r="C49" s="552" t="s">
        <v>1357</v>
      </c>
      <c r="D49" s="2437" t="s">
        <v>1358</v>
      </c>
      <c r="E49" s="124"/>
      <c r="F49" s="316">
        <v>18</v>
      </c>
      <c r="G49" s="445">
        <v>9</v>
      </c>
      <c r="H49" s="1074">
        <f t="shared" si="2"/>
        <v>50</v>
      </c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</row>
    <row r="50" spans="1:21" s="1056" customFormat="1" ht="15" x14ac:dyDescent="0.25">
      <c r="A50" s="1166">
        <v>4399</v>
      </c>
      <c r="B50" s="268">
        <v>5137</v>
      </c>
      <c r="C50" s="552"/>
      <c r="D50" s="128" t="s">
        <v>155</v>
      </c>
      <c r="E50" s="124"/>
      <c r="F50" s="315">
        <f>F51+F52</f>
        <v>95</v>
      </c>
      <c r="G50" s="315">
        <f>G51+G52</f>
        <v>89</v>
      </c>
      <c r="H50" s="212">
        <f>(G50/F50)*100</f>
        <v>93.684210526315795</v>
      </c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</row>
    <row r="51" spans="1:21" s="1056" customFormat="1" x14ac:dyDescent="0.2">
      <c r="A51" s="1166"/>
      <c r="B51" s="268"/>
      <c r="C51" s="552" t="s">
        <v>1355</v>
      </c>
      <c r="D51" s="1751" t="s">
        <v>1356</v>
      </c>
      <c r="E51" s="124"/>
      <c r="F51" s="316">
        <v>14</v>
      </c>
      <c r="G51" s="445">
        <v>13</v>
      </c>
      <c r="H51" s="1074">
        <f t="shared" si="2"/>
        <v>92.857142857142861</v>
      </c>
      <c r="I51" s="1107"/>
      <c r="J51" s="1107"/>
      <c r="K51" s="1107"/>
      <c r="L51" s="1107"/>
      <c r="M51" s="1107"/>
      <c r="N51" s="1107"/>
      <c r="O51" s="1107"/>
      <c r="P51" s="1107"/>
      <c r="Q51" s="1107"/>
      <c r="R51" s="1107"/>
      <c r="S51" s="1107"/>
      <c r="T51" s="1107"/>
      <c r="U51" s="1107"/>
    </row>
    <row r="52" spans="1:21" s="1056" customFormat="1" x14ac:dyDescent="0.2">
      <c r="A52" s="1166"/>
      <c r="B52" s="268"/>
      <c r="C52" s="552" t="s">
        <v>1357</v>
      </c>
      <c r="D52" s="2437" t="s">
        <v>1358</v>
      </c>
      <c r="E52" s="124"/>
      <c r="F52" s="316">
        <v>81</v>
      </c>
      <c r="G52" s="445">
        <v>76</v>
      </c>
      <c r="H52" s="1074">
        <f t="shared" si="2"/>
        <v>93.827160493827151</v>
      </c>
      <c r="I52" s="1107"/>
      <c r="J52" s="1107"/>
      <c r="K52" s="1107"/>
      <c r="L52" s="1107"/>
      <c r="M52" s="1107"/>
      <c r="N52" s="1107"/>
      <c r="O52" s="1107"/>
      <c r="P52" s="1107"/>
      <c r="Q52" s="1107"/>
      <c r="R52" s="1107"/>
      <c r="S52" s="1107"/>
      <c r="T52" s="1107"/>
      <c r="U52" s="1107"/>
    </row>
    <row r="53" spans="1:21" s="1056" customFormat="1" ht="15" x14ac:dyDescent="0.25">
      <c r="A53" s="1166">
        <v>4399</v>
      </c>
      <c r="B53" s="268">
        <v>5139</v>
      </c>
      <c r="C53" s="552"/>
      <c r="D53" s="2416" t="s">
        <v>1851</v>
      </c>
      <c r="E53" s="124"/>
      <c r="F53" s="315">
        <f>F54+F55</f>
        <v>35</v>
      </c>
      <c r="G53" s="315">
        <f>G54+G55</f>
        <v>21</v>
      </c>
      <c r="H53" s="212">
        <f>(G53/F53)*100</f>
        <v>60</v>
      </c>
      <c r="I53" s="1107"/>
      <c r="J53" s="1107"/>
      <c r="K53" s="1107"/>
      <c r="L53" s="1107"/>
      <c r="M53" s="1107"/>
      <c r="N53" s="1107"/>
      <c r="O53" s="1107"/>
      <c r="P53" s="1107"/>
      <c r="Q53" s="1107"/>
      <c r="R53" s="1107"/>
      <c r="S53" s="1107"/>
      <c r="T53" s="1107"/>
      <c r="U53" s="1107"/>
    </row>
    <row r="54" spans="1:21" s="1056" customFormat="1" x14ac:dyDescent="0.2">
      <c r="A54" s="1166"/>
      <c r="B54" s="268"/>
      <c r="C54" s="552" t="s">
        <v>1355</v>
      </c>
      <c r="D54" s="1751" t="s">
        <v>1356</v>
      </c>
      <c r="E54" s="124"/>
      <c r="F54" s="316">
        <v>5</v>
      </c>
      <c r="G54" s="445">
        <v>3</v>
      </c>
      <c r="H54" s="1074">
        <f t="shared" si="2"/>
        <v>60</v>
      </c>
      <c r="I54" s="1107"/>
      <c r="J54" s="1107"/>
      <c r="K54" s="1107"/>
      <c r="L54" s="1107"/>
      <c r="M54" s="1107"/>
      <c r="N54" s="1107"/>
      <c r="O54" s="1107"/>
      <c r="P54" s="1107"/>
      <c r="Q54" s="1107"/>
      <c r="R54" s="1107"/>
      <c r="S54" s="1107"/>
      <c r="T54" s="1107"/>
      <c r="U54" s="1107"/>
    </row>
    <row r="55" spans="1:21" s="1056" customFormat="1" x14ac:dyDescent="0.2">
      <c r="A55" s="1166"/>
      <c r="B55" s="268"/>
      <c r="C55" s="552" t="s">
        <v>1357</v>
      </c>
      <c r="D55" s="2437" t="s">
        <v>1358</v>
      </c>
      <c r="E55" s="124"/>
      <c r="F55" s="316">
        <v>30</v>
      </c>
      <c r="G55" s="445">
        <v>18</v>
      </c>
      <c r="H55" s="1074">
        <f t="shared" si="2"/>
        <v>60</v>
      </c>
      <c r="I55" s="1107"/>
      <c r="J55" s="1107"/>
      <c r="K55" s="1107"/>
      <c r="L55" s="1107"/>
      <c r="M55" s="1107"/>
      <c r="N55" s="1107"/>
      <c r="O55" s="1107"/>
      <c r="P55" s="1107"/>
      <c r="Q55" s="1107"/>
      <c r="R55" s="1107"/>
      <c r="S55" s="1107"/>
      <c r="T55" s="1107"/>
      <c r="U55" s="1107"/>
    </row>
    <row r="56" spans="1:21" s="1756" customFormat="1" ht="15" x14ac:dyDescent="0.25">
      <c r="A56" s="1166">
        <v>4399</v>
      </c>
      <c r="B56" s="268">
        <v>5164</v>
      </c>
      <c r="C56" s="1757"/>
      <c r="D56" s="87" t="s">
        <v>170</v>
      </c>
      <c r="E56" s="60"/>
      <c r="F56" s="315">
        <v>1</v>
      </c>
      <c r="G56" s="1477">
        <v>1</v>
      </c>
      <c r="H56" s="212">
        <f t="shared" ref="H56:H70" si="3">(G56/F56)*100</f>
        <v>100</v>
      </c>
      <c r="I56" s="1758"/>
      <c r="J56" s="1758"/>
      <c r="K56" s="1758"/>
      <c r="L56" s="1758"/>
      <c r="M56" s="1758"/>
      <c r="N56" s="1758"/>
      <c r="O56" s="1758"/>
      <c r="P56" s="1758"/>
      <c r="Q56" s="1758"/>
      <c r="R56" s="1758"/>
      <c r="S56" s="1758"/>
      <c r="T56" s="1758"/>
      <c r="U56" s="1758"/>
    </row>
    <row r="57" spans="1:21" s="1756" customFormat="1" ht="15" x14ac:dyDescent="0.25">
      <c r="A57" s="1166">
        <v>4399</v>
      </c>
      <c r="B57" s="268">
        <v>5167</v>
      </c>
      <c r="C57" s="1757"/>
      <c r="D57" s="87" t="s">
        <v>1895</v>
      </c>
      <c r="E57" s="60"/>
      <c r="F57" s="315">
        <f>F58+F59</f>
        <v>279</v>
      </c>
      <c r="G57" s="315">
        <f>G58+G59</f>
        <v>81</v>
      </c>
      <c r="H57" s="212">
        <f>(G57/F57)*100</f>
        <v>29.032258064516132</v>
      </c>
      <c r="I57" s="1758"/>
      <c r="J57" s="1758"/>
      <c r="K57" s="1758"/>
      <c r="L57" s="1758"/>
      <c r="M57" s="1758"/>
      <c r="N57" s="1758"/>
      <c r="O57" s="1758"/>
      <c r="P57" s="1758"/>
      <c r="Q57" s="1758"/>
      <c r="R57" s="1758"/>
      <c r="S57" s="1758"/>
      <c r="T57" s="1758"/>
      <c r="U57" s="1758"/>
    </row>
    <row r="58" spans="1:21" s="1756" customFormat="1" ht="15" x14ac:dyDescent="0.25">
      <c r="A58" s="1166"/>
      <c r="B58" s="268"/>
      <c r="C58" s="552" t="s">
        <v>1355</v>
      </c>
      <c r="D58" s="1751" t="s">
        <v>1356</v>
      </c>
      <c r="E58" s="60"/>
      <c r="F58" s="316">
        <v>42</v>
      </c>
      <c r="G58" s="445">
        <v>12</v>
      </c>
      <c r="H58" s="1074">
        <f t="shared" ref="H58:H62" si="4">(G58/F58)*100</f>
        <v>28.571428571428569</v>
      </c>
      <c r="I58" s="1758"/>
      <c r="J58" s="1758"/>
      <c r="K58" s="1758"/>
      <c r="L58" s="1758"/>
      <c r="M58" s="1758"/>
      <c r="N58" s="1758"/>
      <c r="O58" s="1758"/>
      <c r="P58" s="1758"/>
      <c r="Q58" s="1758"/>
      <c r="R58" s="1758"/>
      <c r="S58" s="1758"/>
      <c r="T58" s="1758"/>
      <c r="U58" s="1758"/>
    </row>
    <row r="59" spans="1:21" s="1756" customFormat="1" ht="15" x14ac:dyDescent="0.25">
      <c r="A59" s="1166"/>
      <c r="B59" s="268"/>
      <c r="C59" s="552" t="s">
        <v>1357</v>
      </c>
      <c r="D59" s="2437" t="s">
        <v>1358</v>
      </c>
      <c r="E59" s="60"/>
      <c r="F59" s="314">
        <v>237</v>
      </c>
      <c r="G59" s="316">
        <v>69</v>
      </c>
      <c r="H59" s="1074">
        <f t="shared" si="4"/>
        <v>29.11392405063291</v>
      </c>
      <c r="I59" s="1758"/>
      <c r="J59" s="1758"/>
      <c r="K59" s="1758"/>
      <c r="L59" s="1758"/>
      <c r="M59" s="1758"/>
      <c r="N59" s="1758"/>
      <c r="O59" s="1758"/>
      <c r="P59" s="1758"/>
      <c r="Q59" s="1758"/>
      <c r="R59" s="1758"/>
      <c r="S59" s="1758"/>
      <c r="T59" s="1758"/>
      <c r="U59" s="1758"/>
    </row>
    <row r="60" spans="1:21" s="1756" customFormat="1" ht="15" x14ac:dyDescent="0.25">
      <c r="A60" s="1166">
        <v>4399</v>
      </c>
      <c r="B60" s="268">
        <v>5168</v>
      </c>
      <c r="C60" s="1757"/>
      <c r="D60" s="2668" t="s">
        <v>1836</v>
      </c>
      <c r="E60" s="60"/>
      <c r="F60" s="313">
        <v>24</v>
      </c>
      <c r="G60" s="315">
        <v>23</v>
      </c>
      <c r="H60" s="212">
        <f t="shared" si="4"/>
        <v>95.833333333333343</v>
      </c>
      <c r="I60" s="1758"/>
      <c r="J60" s="1758"/>
      <c r="K60" s="1758"/>
      <c r="L60" s="1758"/>
      <c r="M60" s="1758"/>
      <c r="N60" s="1758"/>
      <c r="O60" s="1758"/>
      <c r="P60" s="1758"/>
      <c r="Q60" s="1758"/>
      <c r="R60" s="1758"/>
      <c r="S60" s="1758"/>
      <c r="T60" s="1758"/>
      <c r="U60" s="1758"/>
    </row>
    <row r="61" spans="1:21" s="1756" customFormat="1" ht="15" x14ac:dyDescent="0.25">
      <c r="A61" s="1166"/>
      <c r="B61" s="268"/>
      <c r="C61" s="1757"/>
      <c r="D61" s="2633"/>
      <c r="E61" s="60"/>
      <c r="F61" s="313"/>
      <c r="G61" s="315"/>
      <c r="H61" s="212"/>
      <c r="I61" s="1758"/>
      <c r="J61" s="1758"/>
      <c r="K61" s="1758"/>
      <c r="L61" s="1758"/>
      <c r="M61" s="1758"/>
      <c r="N61" s="1758"/>
      <c r="O61" s="1758"/>
      <c r="P61" s="1758"/>
      <c r="Q61" s="1758"/>
      <c r="R61" s="1758"/>
      <c r="S61" s="1758"/>
      <c r="T61" s="1758"/>
      <c r="U61" s="1758"/>
    </row>
    <row r="62" spans="1:21" s="1756" customFormat="1" ht="15" x14ac:dyDescent="0.25">
      <c r="A62" s="1166"/>
      <c r="B62" s="268"/>
      <c r="C62" s="1068" t="s">
        <v>672</v>
      </c>
      <c r="D62" s="166" t="s">
        <v>673</v>
      </c>
      <c r="E62" s="60"/>
      <c r="F62" s="314">
        <v>24</v>
      </c>
      <c r="G62" s="316">
        <v>23</v>
      </c>
      <c r="H62" s="1074">
        <f t="shared" si="4"/>
        <v>95.833333333333343</v>
      </c>
      <c r="I62" s="1758"/>
      <c r="J62" s="1758"/>
      <c r="K62" s="1758"/>
      <c r="L62" s="1758"/>
      <c r="M62" s="1758"/>
      <c r="N62" s="1758"/>
      <c r="O62" s="1758"/>
      <c r="P62" s="1758"/>
      <c r="Q62" s="1758"/>
      <c r="R62" s="1758"/>
      <c r="S62" s="1758"/>
      <c r="T62" s="1758"/>
      <c r="U62" s="1758"/>
    </row>
    <row r="63" spans="1:21" s="1758" customFormat="1" ht="14.25" customHeight="1" x14ac:dyDescent="0.25">
      <c r="A63" s="1166">
        <v>4399</v>
      </c>
      <c r="B63" s="268">
        <v>5169</v>
      </c>
      <c r="C63" s="1757"/>
      <c r="D63" s="128" t="s">
        <v>852</v>
      </c>
      <c r="E63" s="60">
        <f>E64+E65</f>
        <v>4976</v>
      </c>
      <c r="F63" s="60">
        <f>F64+F65+F66+F67</f>
        <v>4397</v>
      </c>
      <c r="G63" s="60">
        <f>G64+G65+G66+G67</f>
        <v>4387</v>
      </c>
      <c r="H63" s="212">
        <f t="shared" si="3"/>
        <v>99.772572208323865</v>
      </c>
      <c r="I63" s="1759"/>
      <c r="J63" s="1144"/>
    </row>
    <row r="64" spans="1:21" s="1107" customFormat="1" ht="14.25" customHeight="1" x14ac:dyDescent="0.2">
      <c r="A64" s="1166"/>
      <c r="B64" s="268"/>
      <c r="C64" s="1068" t="s">
        <v>753</v>
      </c>
      <c r="D64" s="312" t="s">
        <v>1259</v>
      </c>
      <c r="E64" s="124">
        <v>4456</v>
      </c>
      <c r="F64" s="314">
        <v>4289</v>
      </c>
      <c r="G64" s="316">
        <v>4279</v>
      </c>
      <c r="H64" s="1074">
        <f t="shared" si="3"/>
        <v>99.766845418512474</v>
      </c>
      <c r="I64" s="147"/>
      <c r="J64" s="1738"/>
    </row>
    <row r="65" spans="1:10" s="1107" customFormat="1" ht="14.25" customHeight="1" x14ac:dyDescent="0.2">
      <c r="A65" s="1166"/>
      <c r="B65" s="268"/>
      <c r="C65" s="1068" t="s">
        <v>672</v>
      </c>
      <c r="D65" s="166" t="s">
        <v>673</v>
      </c>
      <c r="E65" s="124">
        <v>520</v>
      </c>
      <c r="F65" s="314">
        <v>98</v>
      </c>
      <c r="G65" s="316">
        <v>98</v>
      </c>
      <c r="H65" s="1344">
        <f t="shared" si="3"/>
        <v>100</v>
      </c>
      <c r="I65" s="147"/>
      <c r="J65" s="1738"/>
    </row>
    <row r="66" spans="1:10" s="1107" customFormat="1" ht="14.25" customHeight="1" x14ac:dyDescent="0.2">
      <c r="A66" s="1166"/>
      <c r="B66" s="268"/>
      <c r="C66" s="552" t="s">
        <v>1355</v>
      </c>
      <c r="D66" s="1751" t="s">
        <v>1356</v>
      </c>
      <c r="E66" s="124"/>
      <c r="F66" s="314">
        <v>2</v>
      </c>
      <c r="G66" s="316">
        <v>2</v>
      </c>
      <c r="H66" s="1344">
        <f t="shared" si="3"/>
        <v>100</v>
      </c>
      <c r="I66" s="147"/>
      <c r="J66" s="1738"/>
    </row>
    <row r="67" spans="1:10" s="1107" customFormat="1" ht="14.25" customHeight="1" x14ac:dyDescent="0.2">
      <c r="A67" s="1166"/>
      <c r="B67" s="268"/>
      <c r="C67" s="552" t="s">
        <v>1357</v>
      </c>
      <c r="D67" s="2437" t="s">
        <v>1358</v>
      </c>
      <c r="E67" s="124"/>
      <c r="F67" s="314">
        <v>8</v>
      </c>
      <c r="G67" s="316">
        <v>8</v>
      </c>
      <c r="H67" s="1344">
        <f t="shared" si="3"/>
        <v>100</v>
      </c>
      <c r="I67" s="147"/>
      <c r="J67" s="1738"/>
    </row>
    <row r="68" spans="1:10" s="1758" customFormat="1" ht="14.25" customHeight="1" x14ac:dyDescent="0.25">
      <c r="A68" s="1166">
        <v>4399</v>
      </c>
      <c r="B68" s="268">
        <v>5171</v>
      </c>
      <c r="C68" s="1757"/>
      <c r="D68" s="128" t="s">
        <v>896</v>
      </c>
      <c r="E68" s="60"/>
      <c r="F68" s="315">
        <f>F69+F70</f>
        <v>52</v>
      </c>
      <c r="G68" s="315">
        <f>G69+G70</f>
        <v>51</v>
      </c>
      <c r="H68" s="212">
        <f t="shared" si="3"/>
        <v>98.076923076923066</v>
      </c>
      <c r="I68" s="1759"/>
      <c r="J68" s="1144"/>
    </row>
    <row r="69" spans="1:10" s="1107" customFormat="1" ht="14.25" customHeight="1" x14ac:dyDescent="0.2">
      <c r="A69" s="1166"/>
      <c r="B69" s="268"/>
      <c r="C69" s="552" t="s">
        <v>1355</v>
      </c>
      <c r="D69" s="1736" t="s">
        <v>1356</v>
      </c>
      <c r="E69" s="124"/>
      <c r="F69" s="314">
        <v>8</v>
      </c>
      <c r="G69" s="316">
        <v>8</v>
      </c>
      <c r="H69" s="1074">
        <f t="shared" si="3"/>
        <v>100</v>
      </c>
      <c r="I69" s="147"/>
      <c r="J69" s="1738"/>
    </row>
    <row r="70" spans="1:10" s="1107" customFormat="1" ht="14.25" customHeight="1" thickBot="1" x14ac:dyDescent="0.25">
      <c r="A70" s="2399"/>
      <c r="B70" s="2422"/>
      <c r="C70" s="718" t="s">
        <v>1357</v>
      </c>
      <c r="D70" s="1752" t="s">
        <v>1358</v>
      </c>
      <c r="E70" s="184"/>
      <c r="F70" s="440">
        <v>44</v>
      </c>
      <c r="G70" s="441">
        <v>43</v>
      </c>
      <c r="H70" s="1096">
        <f t="shared" si="3"/>
        <v>97.727272727272734</v>
      </c>
      <c r="I70" s="147"/>
      <c r="J70" s="1738"/>
    </row>
    <row r="71" spans="1:10" ht="15.75" thickTop="1" thickBot="1" x14ac:dyDescent="0.25">
      <c r="H71" s="1735" t="s">
        <v>161</v>
      </c>
    </row>
    <row r="72" spans="1:10" s="107" customFormat="1" ht="20.25" customHeight="1" thickTop="1" thickBot="1" x14ac:dyDescent="0.25">
      <c r="A72" s="631" t="s">
        <v>162</v>
      </c>
      <c r="B72" s="632" t="s">
        <v>163</v>
      </c>
      <c r="C72" s="670" t="s">
        <v>705</v>
      </c>
      <c r="D72" s="634" t="s">
        <v>164</v>
      </c>
      <c r="E72" s="634" t="s">
        <v>165</v>
      </c>
      <c r="F72" s="634" t="s">
        <v>881</v>
      </c>
      <c r="G72" s="634" t="s">
        <v>882</v>
      </c>
      <c r="H72" s="635" t="s">
        <v>883</v>
      </c>
    </row>
    <row r="73" spans="1:10" s="383" customFormat="1" ht="13.5" thickTop="1" thickBot="1" x14ac:dyDescent="0.25">
      <c r="A73" s="566">
        <v>1</v>
      </c>
      <c r="B73" s="567">
        <v>2</v>
      </c>
      <c r="C73" s="567">
        <v>3</v>
      </c>
      <c r="D73" s="567">
        <v>4</v>
      </c>
      <c r="E73" s="567">
        <v>5</v>
      </c>
      <c r="F73" s="541">
        <v>6</v>
      </c>
      <c r="G73" s="541">
        <v>7</v>
      </c>
      <c r="H73" s="636" t="s">
        <v>61</v>
      </c>
      <c r="I73" s="107"/>
    </row>
    <row r="74" spans="1:10" s="1107" customFormat="1" ht="14.25" customHeight="1" thickTop="1" x14ac:dyDescent="0.25">
      <c r="A74" s="1166">
        <v>4399</v>
      </c>
      <c r="B74" s="268">
        <v>5172</v>
      </c>
      <c r="C74" s="552"/>
      <c r="D74" s="2416" t="s">
        <v>897</v>
      </c>
      <c r="E74" s="124"/>
      <c r="F74" s="313">
        <f>F75+F76</f>
        <v>15</v>
      </c>
      <c r="G74" s="315">
        <v>0</v>
      </c>
      <c r="H74" s="212">
        <v>0</v>
      </c>
      <c r="I74" s="147"/>
      <c r="J74" s="1738"/>
    </row>
    <row r="75" spans="1:10" s="1107" customFormat="1" ht="14.25" customHeight="1" x14ac:dyDescent="0.2">
      <c r="A75" s="1166"/>
      <c r="B75" s="268"/>
      <c r="C75" s="552" t="s">
        <v>1355</v>
      </c>
      <c r="D75" s="1751" t="s">
        <v>1356</v>
      </c>
      <c r="E75" s="124"/>
      <c r="F75" s="314">
        <v>2</v>
      </c>
      <c r="G75" s="316">
        <v>0</v>
      </c>
      <c r="H75" s="1074">
        <v>0</v>
      </c>
      <c r="I75" s="147"/>
      <c r="J75" s="1738"/>
    </row>
    <row r="76" spans="1:10" s="1107" customFormat="1" ht="14.25" customHeight="1" x14ac:dyDescent="0.2">
      <c r="A76" s="1166"/>
      <c r="B76" s="268"/>
      <c r="C76" s="552" t="s">
        <v>1357</v>
      </c>
      <c r="D76" s="2437" t="s">
        <v>1358</v>
      </c>
      <c r="E76" s="124"/>
      <c r="F76" s="314">
        <v>13</v>
      </c>
      <c r="G76" s="316">
        <v>0</v>
      </c>
      <c r="H76" s="1074">
        <v>0</v>
      </c>
      <c r="I76" s="147"/>
      <c r="J76" s="1738"/>
    </row>
    <row r="77" spans="1:10" s="1107" customFormat="1" ht="14.25" customHeight="1" x14ac:dyDescent="0.25">
      <c r="A77" s="1166">
        <v>4399</v>
      </c>
      <c r="B77" s="268">
        <v>5175</v>
      </c>
      <c r="C77" s="552"/>
      <c r="D77" s="2416" t="s">
        <v>1859</v>
      </c>
      <c r="E77" s="60">
        <v>60</v>
      </c>
      <c r="F77" s="315">
        <f>F78+F79+F80+F81</f>
        <v>101</v>
      </c>
      <c r="G77" s="315">
        <f>G78+G79+G80+G81</f>
        <v>68</v>
      </c>
      <c r="H77" s="212">
        <f t="shared" ref="H77:H83" si="5">(G77/F77)*100</f>
        <v>67.32673267326733</v>
      </c>
      <c r="I77" s="147"/>
      <c r="J77" s="1738"/>
    </row>
    <row r="78" spans="1:10" s="1107" customFormat="1" ht="14.25" customHeight="1" x14ac:dyDescent="0.2">
      <c r="A78" s="1166"/>
      <c r="B78" s="268"/>
      <c r="C78" s="1068" t="s">
        <v>753</v>
      </c>
      <c r="D78" s="312" t="s">
        <v>1259</v>
      </c>
      <c r="E78" s="124">
        <v>60</v>
      </c>
      <c r="F78" s="314">
        <v>75</v>
      </c>
      <c r="G78" s="316">
        <v>62</v>
      </c>
      <c r="H78" s="1074">
        <f t="shared" si="5"/>
        <v>82.666666666666671</v>
      </c>
      <c r="I78" s="147"/>
      <c r="J78" s="1738"/>
    </row>
    <row r="79" spans="1:10" s="1107" customFormat="1" ht="14.25" customHeight="1" x14ac:dyDescent="0.2">
      <c r="A79" s="1166"/>
      <c r="B79" s="268"/>
      <c r="C79" s="1068" t="s">
        <v>672</v>
      </c>
      <c r="D79" s="166" t="s">
        <v>673</v>
      </c>
      <c r="E79" s="124"/>
      <c r="F79" s="314">
        <v>6</v>
      </c>
      <c r="G79" s="316">
        <v>1</v>
      </c>
      <c r="H79" s="1344">
        <f t="shared" si="5"/>
        <v>16.666666666666664</v>
      </c>
      <c r="I79" s="147"/>
      <c r="J79" s="1738"/>
    </row>
    <row r="80" spans="1:10" s="1107" customFormat="1" ht="14.25" customHeight="1" x14ac:dyDescent="0.2">
      <c r="A80" s="1166"/>
      <c r="B80" s="268"/>
      <c r="C80" s="552" t="s">
        <v>1355</v>
      </c>
      <c r="D80" s="1751" t="s">
        <v>1356</v>
      </c>
      <c r="E80" s="124"/>
      <c r="F80" s="314">
        <v>3</v>
      </c>
      <c r="G80" s="316">
        <v>1</v>
      </c>
      <c r="H80" s="1344">
        <f t="shared" si="5"/>
        <v>33.333333333333329</v>
      </c>
      <c r="I80" s="147"/>
      <c r="J80" s="1738"/>
    </row>
    <row r="81" spans="1:21" s="1107" customFormat="1" ht="14.25" customHeight="1" x14ac:dyDescent="0.2">
      <c r="A81" s="1166"/>
      <c r="B81" s="268"/>
      <c r="C81" s="552" t="s">
        <v>1357</v>
      </c>
      <c r="D81" s="2437" t="s">
        <v>1358</v>
      </c>
      <c r="E81" s="124"/>
      <c r="F81" s="314">
        <v>17</v>
      </c>
      <c r="G81" s="316">
        <v>4</v>
      </c>
      <c r="H81" s="1344">
        <f t="shared" si="5"/>
        <v>23.52941176470588</v>
      </c>
      <c r="I81" s="147"/>
      <c r="J81" s="1738"/>
    </row>
    <row r="82" spans="1:21" s="1107" customFormat="1" ht="14.25" customHeight="1" x14ac:dyDescent="0.25">
      <c r="A82" s="1166">
        <v>4399</v>
      </c>
      <c r="B82" s="268">
        <v>5212</v>
      </c>
      <c r="C82" s="552"/>
      <c r="D82" s="2417" t="s">
        <v>1896</v>
      </c>
      <c r="E82" s="124"/>
      <c r="F82" s="313">
        <v>150</v>
      </c>
      <c r="G82" s="315">
        <v>150</v>
      </c>
      <c r="H82" s="2418">
        <f t="shared" si="5"/>
        <v>100</v>
      </c>
      <c r="I82" s="147"/>
      <c r="J82" s="1738"/>
    </row>
    <row r="83" spans="1:21" s="1107" customFormat="1" ht="14.25" customHeight="1" x14ac:dyDescent="0.2">
      <c r="A83" s="1166"/>
      <c r="B83" s="268"/>
      <c r="C83" s="1084" t="s">
        <v>249</v>
      </c>
      <c r="D83" s="1063" t="s">
        <v>318</v>
      </c>
      <c r="E83" s="124"/>
      <c r="F83" s="314">
        <v>150</v>
      </c>
      <c r="G83" s="316">
        <v>150</v>
      </c>
      <c r="H83" s="1344">
        <f t="shared" si="5"/>
        <v>100</v>
      </c>
      <c r="I83" s="147"/>
      <c r="J83" s="1738"/>
    </row>
    <row r="84" spans="1:21" s="1758" customFormat="1" ht="14.25" customHeight="1" x14ac:dyDescent="0.25">
      <c r="A84" s="1166">
        <v>4399</v>
      </c>
      <c r="B84" s="268">
        <v>5221</v>
      </c>
      <c r="C84" s="1760"/>
      <c r="D84" s="2706" t="s">
        <v>690</v>
      </c>
      <c r="E84" s="60"/>
      <c r="F84" s="315">
        <f>F86+F87</f>
        <v>170</v>
      </c>
      <c r="G84" s="315">
        <f>G86+G87</f>
        <v>170</v>
      </c>
      <c r="H84" s="212">
        <f>(G84/F84)*100</f>
        <v>100</v>
      </c>
      <c r="I84" s="1759"/>
      <c r="J84" s="1144"/>
    </row>
    <row r="85" spans="1:21" s="1107" customFormat="1" ht="14.25" customHeight="1" x14ac:dyDescent="0.2">
      <c r="A85" s="1166"/>
      <c r="B85" s="268"/>
      <c r="C85" s="1069"/>
      <c r="D85" s="2706"/>
      <c r="E85" s="124"/>
      <c r="F85" s="314"/>
      <c r="G85" s="316"/>
      <c r="H85" s="1074"/>
      <c r="I85" s="147"/>
      <c r="J85" s="1738"/>
    </row>
    <row r="86" spans="1:21" s="1107" customFormat="1" ht="14.25" customHeight="1" x14ac:dyDescent="0.2">
      <c r="A86" s="1166"/>
      <c r="B86" s="1435"/>
      <c r="C86" s="1084" t="s">
        <v>249</v>
      </c>
      <c r="D86" s="1063" t="s">
        <v>318</v>
      </c>
      <c r="E86" s="124"/>
      <c r="F86" s="314">
        <v>120</v>
      </c>
      <c r="G86" s="316">
        <v>120</v>
      </c>
      <c r="H86" s="1074">
        <f t="shared" ref="H86:H95" si="6">(G86/F86)*100</f>
        <v>100</v>
      </c>
      <c r="I86" s="147"/>
      <c r="J86" s="1738"/>
    </row>
    <row r="87" spans="1:21" s="1107" customFormat="1" ht="14.25" customHeight="1" x14ac:dyDescent="0.2">
      <c r="A87" s="1166"/>
      <c r="B87" s="1435"/>
      <c r="C87" s="1084" t="s">
        <v>1202</v>
      </c>
      <c r="D87" s="1063" t="s">
        <v>1635</v>
      </c>
      <c r="E87" s="124"/>
      <c r="F87" s="314">
        <v>50</v>
      </c>
      <c r="G87" s="316">
        <v>50</v>
      </c>
      <c r="H87" s="1074">
        <f t="shared" si="6"/>
        <v>100</v>
      </c>
      <c r="I87" s="147"/>
      <c r="J87" s="1738"/>
    </row>
    <row r="88" spans="1:21" s="1758" customFormat="1" ht="14.25" customHeight="1" x14ac:dyDescent="0.25">
      <c r="A88" s="1166">
        <v>4399</v>
      </c>
      <c r="B88" s="268">
        <v>5222</v>
      </c>
      <c r="C88" s="1760"/>
      <c r="D88" s="1165" t="s">
        <v>327</v>
      </c>
      <c r="E88" s="60"/>
      <c r="F88" s="315">
        <f>F89+F90</f>
        <v>1103</v>
      </c>
      <c r="G88" s="315">
        <f>G89+G90</f>
        <v>1103</v>
      </c>
      <c r="H88" s="212">
        <f t="shared" si="6"/>
        <v>100</v>
      </c>
      <c r="I88" s="1759"/>
      <c r="J88" s="1144"/>
    </row>
    <row r="89" spans="1:21" s="1107" customFormat="1" ht="14.25" customHeight="1" x14ac:dyDescent="0.2">
      <c r="A89" s="1166"/>
      <c r="B89" s="268"/>
      <c r="C89" s="1084" t="s">
        <v>249</v>
      </c>
      <c r="D89" s="1063" t="s">
        <v>318</v>
      </c>
      <c r="E89" s="124"/>
      <c r="F89" s="314">
        <v>550</v>
      </c>
      <c r="G89" s="316">
        <v>550</v>
      </c>
      <c r="H89" s="1074">
        <f t="shared" si="6"/>
        <v>100</v>
      </c>
      <c r="I89" s="147"/>
      <c r="J89" s="1738"/>
    </row>
    <row r="90" spans="1:21" s="1107" customFormat="1" ht="14.25" customHeight="1" x14ac:dyDescent="0.2">
      <c r="A90" s="1166"/>
      <c r="B90" s="268"/>
      <c r="C90" s="1084" t="s">
        <v>1202</v>
      </c>
      <c r="D90" s="1063" t="s">
        <v>1635</v>
      </c>
      <c r="E90" s="124"/>
      <c r="F90" s="314">
        <v>553</v>
      </c>
      <c r="G90" s="316">
        <v>553</v>
      </c>
      <c r="H90" s="1074">
        <f t="shared" si="6"/>
        <v>100</v>
      </c>
      <c r="I90" s="147"/>
      <c r="J90" s="1738"/>
    </row>
    <row r="91" spans="1:21" s="1107" customFormat="1" ht="14.25" customHeight="1" x14ac:dyDescent="0.25">
      <c r="A91" s="1166">
        <v>4399</v>
      </c>
      <c r="B91" s="268">
        <v>5223</v>
      </c>
      <c r="C91" s="1084"/>
      <c r="D91" s="309" t="s">
        <v>1240</v>
      </c>
      <c r="E91" s="124"/>
      <c r="F91" s="313">
        <v>10</v>
      </c>
      <c r="G91" s="315">
        <v>10</v>
      </c>
      <c r="H91" s="212">
        <f t="shared" si="6"/>
        <v>100</v>
      </c>
      <c r="I91" s="147"/>
      <c r="J91" s="1738"/>
    </row>
    <row r="92" spans="1:21" s="1107" customFormat="1" ht="14.25" customHeight="1" x14ac:dyDescent="0.2">
      <c r="A92" s="1166"/>
      <c r="B92" s="268"/>
      <c r="C92" s="1084" t="s">
        <v>1202</v>
      </c>
      <c r="D92" s="1063" t="s">
        <v>1635</v>
      </c>
      <c r="E92" s="124"/>
      <c r="F92" s="314">
        <v>10</v>
      </c>
      <c r="G92" s="316">
        <v>10</v>
      </c>
      <c r="H92" s="1074">
        <f t="shared" si="6"/>
        <v>100</v>
      </c>
      <c r="I92" s="147"/>
      <c r="J92" s="1738"/>
    </row>
    <row r="93" spans="1:21" s="1107" customFormat="1" ht="14.25" customHeight="1" x14ac:dyDescent="0.25">
      <c r="A93" s="1166">
        <v>4399</v>
      </c>
      <c r="B93" s="268">
        <v>5229</v>
      </c>
      <c r="C93" s="1084"/>
      <c r="D93" s="309" t="s">
        <v>69</v>
      </c>
      <c r="E93" s="124"/>
      <c r="F93" s="313">
        <v>10</v>
      </c>
      <c r="G93" s="315">
        <v>10</v>
      </c>
      <c r="H93" s="212">
        <f t="shared" si="6"/>
        <v>100</v>
      </c>
      <c r="I93" s="147"/>
      <c r="J93" s="1738"/>
    </row>
    <row r="94" spans="1:21" s="1107" customFormat="1" ht="14.25" customHeight="1" x14ac:dyDescent="0.2">
      <c r="A94" s="1166"/>
      <c r="B94" s="268"/>
      <c r="C94" s="1084" t="s">
        <v>1202</v>
      </c>
      <c r="D94" s="1063" t="s">
        <v>1635</v>
      </c>
      <c r="E94" s="124"/>
      <c r="F94" s="314">
        <v>10</v>
      </c>
      <c r="G94" s="316">
        <v>10</v>
      </c>
      <c r="H94" s="1074">
        <f t="shared" si="6"/>
        <v>100</v>
      </c>
      <c r="I94" s="147"/>
      <c r="J94" s="1738"/>
    </row>
    <row r="95" spans="1:21" s="1758" customFormat="1" ht="14.25" customHeight="1" x14ac:dyDescent="0.25">
      <c r="A95" s="1345">
        <v>6172</v>
      </c>
      <c r="B95" s="85">
        <v>5161</v>
      </c>
      <c r="C95" s="1760"/>
      <c r="D95" s="2461" t="s">
        <v>1837</v>
      </c>
      <c r="E95" s="71">
        <v>5</v>
      </c>
      <c r="F95" s="313">
        <v>5</v>
      </c>
      <c r="G95" s="315">
        <v>2</v>
      </c>
      <c r="H95" s="212">
        <f t="shared" si="6"/>
        <v>40</v>
      </c>
      <c r="I95" s="1756"/>
      <c r="J95" s="1756"/>
      <c r="K95" s="1756"/>
      <c r="L95" s="1756"/>
      <c r="M95" s="1756"/>
      <c r="N95" s="1756"/>
      <c r="O95" s="1756"/>
      <c r="P95" s="1756"/>
      <c r="Q95" s="1756"/>
      <c r="R95" s="1756"/>
      <c r="S95" s="1756"/>
      <c r="T95" s="1756"/>
      <c r="U95" s="1756"/>
    </row>
    <row r="96" spans="1:21" s="1758" customFormat="1" ht="14.25" customHeight="1" x14ac:dyDescent="0.25">
      <c r="A96" s="1345">
        <v>6172</v>
      </c>
      <c r="B96" s="85">
        <v>5169</v>
      </c>
      <c r="C96" s="1760"/>
      <c r="D96" s="87" t="s">
        <v>852</v>
      </c>
      <c r="E96" s="71">
        <v>10</v>
      </c>
      <c r="F96" s="313">
        <v>0</v>
      </c>
      <c r="G96" s="315">
        <v>0</v>
      </c>
      <c r="H96" s="212">
        <v>0</v>
      </c>
      <c r="I96" s="1756"/>
      <c r="J96" s="1756"/>
      <c r="K96" s="1756"/>
      <c r="L96" s="1756"/>
      <c r="M96" s="1756"/>
      <c r="N96" s="1756"/>
      <c r="O96" s="1756"/>
      <c r="P96" s="1756"/>
      <c r="Q96" s="1756"/>
      <c r="R96" s="1756"/>
      <c r="S96" s="1756"/>
      <c r="T96" s="1756"/>
      <c r="U96" s="1756"/>
    </row>
    <row r="97" spans="1:21" s="1758" customFormat="1" ht="14.25" customHeight="1" x14ac:dyDescent="0.25">
      <c r="A97" s="1345">
        <v>6172</v>
      </c>
      <c r="B97" s="85">
        <v>5192</v>
      </c>
      <c r="C97" s="1760"/>
      <c r="D97" s="87" t="s">
        <v>1228</v>
      </c>
      <c r="E97" s="71">
        <v>20</v>
      </c>
      <c r="F97" s="313">
        <v>0</v>
      </c>
      <c r="G97" s="315">
        <v>0</v>
      </c>
      <c r="H97" s="212">
        <v>0</v>
      </c>
      <c r="I97" s="1756"/>
      <c r="J97" s="1756"/>
      <c r="K97" s="1756"/>
      <c r="L97" s="1756"/>
      <c r="M97" s="1756"/>
      <c r="N97" s="1756"/>
      <c r="O97" s="1756"/>
      <c r="P97" s="1756"/>
      <c r="Q97" s="1756"/>
      <c r="R97" s="1756"/>
      <c r="S97" s="1756"/>
      <c r="T97" s="1756"/>
      <c r="U97" s="1756"/>
    </row>
    <row r="98" spans="1:21" s="1758" customFormat="1" ht="14.25" customHeight="1" thickBot="1" x14ac:dyDescent="0.3">
      <c r="A98" s="2419">
        <v>6330</v>
      </c>
      <c r="B98" s="1087">
        <v>5345</v>
      </c>
      <c r="C98" s="2420"/>
      <c r="D98" s="2421" t="s">
        <v>767</v>
      </c>
      <c r="E98" s="1123"/>
      <c r="F98" s="444"/>
      <c r="G98" s="442">
        <v>974</v>
      </c>
      <c r="H98" s="267">
        <v>0</v>
      </c>
      <c r="I98" s="1756"/>
      <c r="J98" s="1756"/>
      <c r="K98" s="1756"/>
      <c r="L98" s="1756"/>
      <c r="M98" s="1756"/>
      <c r="N98" s="1756"/>
      <c r="O98" s="1756"/>
      <c r="P98" s="1756"/>
      <c r="Q98" s="1756"/>
      <c r="R98" s="1756"/>
      <c r="S98" s="1756"/>
      <c r="T98" s="1756"/>
      <c r="U98" s="1756"/>
    </row>
    <row r="99" spans="1:21" s="1028" customFormat="1" ht="35.25" customHeight="1" thickTop="1" thickBot="1" x14ac:dyDescent="0.3">
      <c r="A99" s="991" t="s">
        <v>243</v>
      </c>
      <c r="B99" s="1761"/>
      <c r="C99" s="1762"/>
      <c r="D99" s="1761"/>
      <c r="E99" s="1763">
        <f>E15+E19+E23+E31+E42+E63+E77+E95+E96+E97</f>
        <v>11781</v>
      </c>
      <c r="F99" s="1763">
        <f>F12+F15+F16+F19+F23+F25+F31+F37+F47+F50+F53+F56+F57+F60+F63+F68+F74+F77+F82+F84+F88+F91+F93+F95+F96+F97+F98</f>
        <v>26059</v>
      </c>
      <c r="G99" s="1763">
        <f>G12+G15+G16+G19+G23+G25+G31+G37+G42+G47+G50+G53+G56+G57+G60+G63+G68+G74+G77+G82+G84+G88+G91+G93+G95+G96+G97+G98</f>
        <v>26733</v>
      </c>
      <c r="H99" s="1764">
        <f>(G99/F99)*100</f>
        <v>102.58643846655666</v>
      </c>
    </row>
    <row r="100" spans="1:21" ht="15" thickTop="1" x14ac:dyDescent="0.2"/>
    <row r="103" spans="1:21" ht="15.75" x14ac:dyDescent="0.25">
      <c r="A103" s="33" t="s">
        <v>1248</v>
      </c>
      <c r="B103" s="33"/>
      <c r="E103" s="2464"/>
      <c r="F103" s="2464"/>
      <c r="G103" s="2464"/>
      <c r="H103" s="1735"/>
    </row>
    <row r="104" spans="1:21" ht="13.5" thickBot="1" x14ac:dyDescent="0.25">
      <c r="E104" s="2464"/>
      <c r="F104" s="2464"/>
      <c r="G104" s="2464"/>
      <c r="H104" s="1735" t="s">
        <v>161</v>
      </c>
    </row>
    <row r="105" spans="1:21" s="107" customFormat="1" ht="20.25" customHeight="1" thickTop="1" thickBot="1" x14ac:dyDescent="0.25">
      <c r="A105" s="631" t="s">
        <v>162</v>
      </c>
      <c r="B105" s="632" t="s">
        <v>163</v>
      </c>
      <c r="C105" s="670" t="s">
        <v>705</v>
      </c>
      <c r="D105" s="634" t="s">
        <v>164</v>
      </c>
      <c r="E105" s="634" t="s">
        <v>165</v>
      </c>
      <c r="F105" s="634" t="s">
        <v>881</v>
      </c>
      <c r="G105" s="634" t="s">
        <v>882</v>
      </c>
      <c r="H105" s="635" t="s">
        <v>883</v>
      </c>
    </row>
    <row r="106" spans="1:21" s="383" customFormat="1" ht="13.5" thickTop="1" thickBot="1" x14ac:dyDescent="0.25">
      <c r="A106" s="566">
        <v>1</v>
      </c>
      <c r="B106" s="567">
        <v>2</v>
      </c>
      <c r="C106" s="567">
        <v>3</v>
      </c>
      <c r="D106" s="567">
        <v>4</v>
      </c>
      <c r="E106" s="567">
        <v>5</v>
      </c>
      <c r="F106" s="541">
        <v>6</v>
      </c>
      <c r="G106" s="541">
        <v>7</v>
      </c>
      <c r="H106" s="636" t="s">
        <v>61</v>
      </c>
      <c r="I106" s="107"/>
    </row>
    <row r="107" spans="1:21" s="383" customFormat="1" ht="15.75" thickTop="1" x14ac:dyDescent="0.25">
      <c r="A107" s="50">
        <v>4349</v>
      </c>
      <c r="B107" s="31">
        <v>6341</v>
      </c>
      <c r="C107" s="1114"/>
      <c r="D107" s="1366" t="s">
        <v>248</v>
      </c>
      <c r="E107" s="414"/>
      <c r="F107" s="1207">
        <v>700</v>
      </c>
      <c r="G107" s="412">
        <v>700</v>
      </c>
      <c r="H107" s="203">
        <f>G107/F107*100</f>
        <v>100</v>
      </c>
      <c r="I107" s="107"/>
    </row>
    <row r="108" spans="1:21" s="383" customFormat="1" ht="15" thickBot="1" x14ac:dyDescent="0.25">
      <c r="A108" s="50"/>
      <c r="B108" s="31"/>
      <c r="C108" s="1114" t="s">
        <v>722</v>
      </c>
      <c r="D108" s="1736" t="s">
        <v>723</v>
      </c>
      <c r="E108" s="1437"/>
      <c r="F108" s="1438">
        <v>700</v>
      </c>
      <c r="G108" s="1387">
        <v>700</v>
      </c>
      <c r="H108" s="1065">
        <f>G108/F108*100</f>
        <v>100</v>
      </c>
      <c r="I108" s="107"/>
    </row>
    <row r="109" spans="1:21" s="360" customFormat="1" ht="33.75" customHeight="1" thickTop="1" thickBot="1" x14ac:dyDescent="0.3">
      <c r="A109" s="637" t="s">
        <v>244</v>
      </c>
      <c r="B109" s="640"/>
      <c r="C109" s="675"/>
      <c r="D109" s="640"/>
      <c r="E109" s="771">
        <v>0</v>
      </c>
      <c r="F109" s="771">
        <v>700</v>
      </c>
      <c r="G109" s="771">
        <v>700</v>
      </c>
      <c r="H109" s="1146">
        <f>(G109/F109)*100</f>
        <v>100</v>
      </c>
      <c r="J109" s="693"/>
      <c r="K109" s="693"/>
      <c r="L109" s="693"/>
      <c r="M109" s="693"/>
    </row>
    <row r="110" spans="1:21" ht="15" thickTop="1" x14ac:dyDescent="0.2"/>
    <row r="119" spans="1:9" s="432" customFormat="1" ht="15.75" x14ac:dyDescent="0.25">
      <c r="A119" s="669" t="s">
        <v>623</v>
      </c>
      <c r="B119" s="1754"/>
      <c r="C119" s="798"/>
      <c r="E119" s="487"/>
      <c r="F119" s="487"/>
      <c r="G119" s="487"/>
      <c r="H119" s="789"/>
    </row>
    <row r="120" spans="1:9" ht="15" x14ac:dyDescent="0.2">
      <c r="A120" s="1734"/>
    </row>
    <row r="121" spans="1:9" s="432" customFormat="1" ht="15.75" x14ac:dyDescent="0.25">
      <c r="A121" s="695" t="s">
        <v>1309</v>
      </c>
      <c r="B121" s="1754"/>
      <c r="C121" s="798"/>
      <c r="E121" s="487" t="s">
        <v>1308</v>
      </c>
      <c r="F121" s="487"/>
      <c r="G121" s="487"/>
      <c r="H121" s="789"/>
    </row>
    <row r="122" spans="1:9" ht="15" thickBot="1" x14ac:dyDescent="0.25">
      <c r="A122" s="1729"/>
      <c r="H122" s="1735" t="s">
        <v>161</v>
      </c>
    </row>
    <row r="123" spans="1:9" s="703" customFormat="1" ht="20.25" customHeight="1" thickTop="1" thickBot="1" x14ac:dyDescent="0.25">
      <c r="A123" s="755" t="s">
        <v>162</v>
      </c>
      <c r="B123" s="698" t="s">
        <v>163</v>
      </c>
      <c r="C123" s="699" t="s">
        <v>705</v>
      </c>
      <c r="D123" s="700" t="s">
        <v>164</v>
      </c>
      <c r="E123" s="701" t="s">
        <v>165</v>
      </c>
      <c r="F123" s="701" t="s">
        <v>881</v>
      </c>
      <c r="G123" s="701" t="s">
        <v>882</v>
      </c>
      <c r="H123" s="702" t="s">
        <v>883</v>
      </c>
    </row>
    <row r="124" spans="1:9" s="383" customFormat="1" ht="13.5" thickTop="1" thickBot="1" x14ac:dyDescent="0.25">
      <c r="A124" s="566">
        <v>1</v>
      </c>
      <c r="B124" s="567">
        <v>2</v>
      </c>
      <c r="C124" s="567">
        <v>3</v>
      </c>
      <c r="D124" s="567">
        <v>4</v>
      </c>
      <c r="E124" s="567">
        <v>5</v>
      </c>
      <c r="F124" s="541">
        <v>6</v>
      </c>
      <c r="G124" s="541">
        <v>7</v>
      </c>
      <c r="H124" s="636" t="s">
        <v>61</v>
      </c>
      <c r="I124" s="107"/>
    </row>
    <row r="125" spans="1:9" s="432" customFormat="1" ht="15.75" thickTop="1" x14ac:dyDescent="0.25">
      <c r="A125" s="1782">
        <v>4357</v>
      </c>
      <c r="B125" s="2425">
        <v>5331</v>
      </c>
      <c r="C125" s="1765"/>
      <c r="D125" s="624" t="s">
        <v>236</v>
      </c>
      <c r="E125" s="714">
        <f>E126+E127</f>
        <v>1840</v>
      </c>
      <c r="F125" s="714">
        <f>F126+F127</f>
        <v>2172</v>
      </c>
      <c r="G125" s="714">
        <f>G126+G127</f>
        <v>2172</v>
      </c>
      <c r="H125" s="705">
        <f>G125/F125*100</f>
        <v>100</v>
      </c>
    </row>
    <row r="126" spans="1:9" x14ac:dyDescent="0.2">
      <c r="A126" s="1739"/>
      <c r="B126" s="1740"/>
      <c r="C126" s="707" t="s">
        <v>575</v>
      </c>
      <c r="D126" s="1392" t="s">
        <v>1260</v>
      </c>
      <c r="E126" s="731">
        <v>436</v>
      </c>
      <c r="F126" s="731">
        <v>438</v>
      </c>
      <c r="G126" s="731">
        <v>438</v>
      </c>
      <c r="H126" s="793">
        <f>(G126/F126)*100</f>
        <v>100</v>
      </c>
    </row>
    <row r="127" spans="1:9" x14ac:dyDescent="0.2">
      <c r="A127" s="1739"/>
      <c r="B127" s="1741"/>
      <c r="C127" s="552" t="s">
        <v>570</v>
      </c>
      <c r="D127" s="719" t="s">
        <v>1088</v>
      </c>
      <c r="E127" s="731">
        <v>1404</v>
      </c>
      <c r="F127" s="731">
        <v>1734</v>
      </c>
      <c r="G127" s="731">
        <v>1734</v>
      </c>
      <c r="H127" s="793">
        <f>(G127/F127)*100</f>
        <v>100</v>
      </c>
    </row>
    <row r="128" spans="1:9" ht="15" x14ac:dyDescent="0.25">
      <c r="A128" s="1739">
        <v>4357</v>
      </c>
      <c r="B128" s="1741">
        <v>5336</v>
      </c>
      <c r="C128" s="552"/>
      <c r="D128" s="1726" t="s">
        <v>1659</v>
      </c>
      <c r="E128" s="731"/>
      <c r="F128" s="1429">
        <v>1475</v>
      </c>
      <c r="G128" s="1429">
        <v>1475</v>
      </c>
      <c r="H128" s="800">
        <f>(G128/F128)*100</f>
        <v>100</v>
      </c>
    </row>
    <row r="129" spans="1:9" ht="15" thickBot="1" x14ac:dyDescent="0.25">
      <c r="A129" s="1739"/>
      <c r="B129" s="1741"/>
      <c r="C129" s="552" t="s">
        <v>1870</v>
      </c>
      <c r="D129" s="719" t="s">
        <v>1897</v>
      </c>
      <c r="E129" s="731"/>
      <c r="F129" s="731">
        <v>1475</v>
      </c>
      <c r="G129" s="731">
        <v>1475</v>
      </c>
      <c r="H129" s="793">
        <f>(G129/F129)*100</f>
        <v>100</v>
      </c>
    </row>
    <row r="130" spans="1:9" s="367" customFormat="1" ht="18" thickTop="1" thickBot="1" x14ac:dyDescent="0.3">
      <c r="A130" s="708" t="s">
        <v>1105</v>
      </c>
      <c r="B130" s="709"/>
      <c r="C130" s="710"/>
      <c r="D130" s="711"/>
      <c r="E130" s="720">
        <f>SUM(E125)</f>
        <v>1840</v>
      </c>
      <c r="F130" s="720">
        <f>F125+F128</f>
        <v>3647</v>
      </c>
      <c r="G130" s="720">
        <f>G125+G128</f>
        <v>3647</v>
      </c>
      <c r="H130" s="794">
        <f>G130/F130*100</f>
        <v>100</v>
      </c>
    </row>
    <row r="131" spans="1:9" s="367" customFormat="1" ht="17.25" thickTop="1" x14ac:dyDescent="0.25">
      <c r="A131" s="361"/>
      <c r="B131" s="362"/>
      <c r="C131" s="363"/>
      <c r="D131" s="364"/>
      <c r="E131" s="365"/>
      <c r="F131" s="365"/>
      <c r="G131" s="365"/>
      <c r="H131" s="366"/>
    </row>
    <row r="132" spans="1:9" s="367" customFormat="1" ht="27.75" customHeight="1" thickBot="1" x14ac:dyDescent="0.3">
      <c r="A132" s="758" t="s">
        <v>1311</v>
      </c>
      <c r="B132" s="725"/>
      <c r="C132" s="726"/>
      <c r="D132" s="727"/>
      <c r="E132" s="796">
        <f>SUM(E130)</f>
        <v>1840</v>
      </c>
      <c r="F132" s="796">
        <f>SUM(F130)</f>
        <v>3647</v>
      </c>
      <c r="G132" s="796">
        <f>SUM(G130)</f>
        <v>3647</v>
      </c>
      <c r="H132" s="763">
        <f>(G132/F132)*100</f>
        <v>100</v>
      </c>
    </row>
    <row r="133" spans="1:9" ht="15" thickTop="1" x14ac:dyDescent="0.2"/>
    <row r="136" spans="1:9" s="432" customFormat="1" ht="15.75" x14ac:dyDescent="0.25">
      <c r="A136" s="695" t="s">
        <v>292</v>
      </c>
      <c r="B136" s="1754"/>
      <c r="C136" s="798"/>
      <c r="E136" s="487" t="s">
        <v>1310</v>
      </c>
      <c r="F136" s="487"/>
      <c r="G136" s="487"/>
      <c r="H136" s="789"/>
    </row>
    <row r="137" spans="1:9" ht="15" thickBot="1" x14ac:dyDescent="0.25">
      <c r="A137" s="1729"/>
      <c r="H137" s="1735" t="s">
        <v>161</v>
      </c>
    </row>
    <row r="138" spans="1:9" s="703" customFormat="1" ht="20.25" customHeight="1" thickTop="1" thickBot="1" x14ac:dyDescent="0.25">
      <c r="A138" s="755" t="s">
        <v>162</v>
      </c>
      <c r="B138" s="698" t="s">
        <v>163</v>
      </c>
      <c r="C138" s="699" t="s">
        <v>705</v>
      </c>
      <c r="D138" s="700" t="s">
        <v>164</v>
      </c>
      <c r="E138" s="701" t="s">
        <v>165</v>
      </c>
      <c r="F138" s="701" t="s">
        <v>881</v>
      </c>
      <c r="G138" s="701" t="s">
        <v>882</v>
      </c>
      <c r="H138" s="702" t="s">
        <v>883</v>
      </c>
    </row>
    <row r="139" spans="1:9" s="383" customFormat="1" ht="13.5" thickTop="1" thickBot="1" x14ac:dyDescent="0.25">
      <c r="A139" s="566">
        <v>1</v>
      </c>
      <c r="B139" s="567">
        <v>2</v>
      </c>
      <c r="C139" s="567">
        <v>3</v>
      </c>
      <c r="D139" s="567">
        <v>4</v>
      </c>
      <c r="E139" s="567">
        <v>5</v>
      </c>
      <c r="F139" s="541">
        <v>6</v>
      </c>
      <c r="G139" s="541">
        <v>7</v>
      </c>
      <c r="H139" s="636" t="s">
        <v>61</v>
      </c>
      <c r="I139" s="107"/>
    </row>
    <row r="140" spans="1:9" s="432" customFormat="1" ht="15.75" thickTop="1" x14ac:dyDescent="0.25">
      <c r="A140" s="1782">
        <v>4357</v>
      </c>
      <c r="B140" s="2425">
        <v>5331</v>
      </c>
      <c r="C140" s="1765"/>
      <c r="D140" s="624" t="s">
        <v>236</v>
      </c>
      <c r="E140" s="714">
        <f>E141+E142</f>
        <v>2633</v>
      </c>
      <c r="F140" s="714">
        <f>F141+F142</f>
        <v>4398</v>
      </c>
      <c r="G140" s="714">
        <f>G141+G142</f>
        <v>4398</v>
      </c>
      <c r="H140" s="705">
        <f>G140/F140*100</f>
        <v>100</v>
      </c>
    </row>
    <row r="141" spans="1:9" x14ac:dyDescent="0.2">
      <c r="A141" s="1739"/>
      <c r="B141" s="1740"/>
      <c r="C141" s="707" t="s">
        <v>575</v>
      </c>
      <c r="D141" s="1392" t="s">
        <v>1260</v>
      </c>
      <c r="E141" s="731">
        <v>453</v>
      </c>
      <c r="F141" s="731">
        <v>490</v>
      </c>
      <c r="G141" s="731">
        <v>490</v>
      </c>
      <c r="H141" s="793">
        <f>(G141/F141)*100</f>
        <v>100</v>
      </c>
    </row>
    <row r="142" spans="1:9" x14ac:dyDescent="0.2">
      <c r="A142" s="1739"/>
      <c r="B142" s="1741"/>
      <c r="C142" s="552" t="s">
        <v>570</v>
      </c>
      <c r="D142" s="719" t="s">
        <v>1088</v>
      </c>
      <c r="E142" s="731">
        <v>2180</v>
      </c>
      <c r="F142" s="731">
        <v>3908</v>
      </c>
      <c r="G142" s="731">
        <v>3908</v>
      </c>
      <c r="H142" s="793">
        <f>(G142/F142)*100</f>
        <v>100</v>
      </c>
    </row>
    <row r="143" spans="1:9" ht="15" x14ac:dyDescent="0.25">
      <c r="A143" s="1739">
        <v>4357</v>
      </c>
      <c r="B143" s="1741">
        <v>5336</v>
      </c>
      <c r="C143" s="1770"/>
      <c r="D143" s="1725" t="s">
        <v>1659</v>
      </c>
      <c r="E143" s="1429"/>
      <c r="F143" s="1429">
        <f>F145+F146+F144</f>
        <v>2547</v>
      </c>
      <c r="G143" s="1429">
        <f>G145+G146+G144</f>
        <v>2547</v>
      </c>
      <c r="H143" s="2157">
        <f>G143/F143*100</f>
        <v>100</v>
      </c>
    </row>
    <row r="144" spans="1:9" ht="15" x14ac:dyDescent="0.25">
      <c r="A144" s="1739"/>
      <c r="B144" s="1741"/>
      <c r="C144" s="552" t="s">
        <v>1870</v>
      </c>
      <c r="D144" s="719" t="s">
        <v>1897</v>
      </c>
      <c r="E144" s="1429"/>
      <c r="F144" s="731">
        <v>2215</v>
      </c>
      <c r="G144" s="731">
        <v>2215</v>
      </c>
      <c r="H144" s="793">
        <f>(G144/F144)*100</f>
        <v>100</v>
      </c>
    </row>
    <row r="145" spans="1:12" x14ac:dyDescent="0.2">
      <c r="A145" s="1739"/>
      <c r="B145" s="1741"/>
      <c r="C145" s="552" t="s">
        <v>1355</v>
      </c>
      <c r="D145" s="1751" t="s">
        <v>1356</v>
      </c>
      <c r="E145" s="731"/>
      <c r="F145" s="731">
        <v>50</v>
      </c>
      <c r="G145" s="731">
        <v>50</v>
      </c>
      <c r="H145" s="793">
        <f>(G145/F145)*100</f>
        <v>100</v>
      </c>
    </row>
    <row r="146" spans="1:12" ht="15" thickBot="1" x14ac:dyDescent="0.25">
      <c r="A146" s="1739"/>
      <c r="B146" s="1741"/>
      <c r="C146" s="552" t="s">
        <v>1357</v>
      </c>
      <c r="D146" s="1752" t="s">
        <v>1358</v>
      </c>
      <c r="E146" s="731"/>
      <c r="F146" s="731">
        <v>282</v>
      </c>
      <c r="G146" s="731">
        <v>282</v>
      </c>
      <c r="H146" s="793">
        <f>(G146/F146)*100</f>
        <v>100</v>
      </c>
    </row>
    <row r="147" spans="1:12" s="367" customFormat="1" ht="20.25" customHeight="1" thickTop="1" thickBot="1" x14ac:dyDescent="0.3">
      <c r="A147" s="708" t="s">
        <v>1105</v>
      </c>
      <c r="B147" s="709"/>
      <c r="C147" s="710"/>
      <c r="D147" s="711"/>
      <c r="E147" s="720">
        <f>SUM(E140)</f>
        <v>2633</v>
      </c>
      <c r="F147" s="720">
        <f>F140+F143</f>
        <v>6945</v>
      </c>
      <c r="G147" s="720">
        <f>G140+G143</f>
        <v>6945</v>
      </c>
      <c r="H147" s="794">
        <f>(G147/F147)*100</f>
        <v>100</v>
      </c>
      <c r="J147" s="797"/>
      <c r="K147" s="797"/>
      <c r="L147" s="797"/>
    </row>
    <row r="148" spans="1:12" ht="15" thickTop="1" x14ac:dyDescent="0.2">
      <c r="A148" s="1729"/>
    </row>
    <row r="149" spans="1:12" s="367" customFormat="1" ht="27.75" customHeight="1" thickBot="1" x14ac:dyDescent="0.3">
      <c r="A149" s="758" t="s">
        <v>293</v>
      </c>
      <c r="B149" s="725"/>
      <c r="C149" s="726"/>
      <c r="D149" s="727"/>
      <c r="E149" s="796">
        <f>E147</f>
        <v>2633</v>
      </c>
      <c r="F149" s="796">
        <f>F147</f>
        <v>6945</v>
      </c>
      <c r="G149" s="796">
        <f>G147</f>
        <v>6945</v>
      </c>
      <c r="H149" s="763">
        <f>(G149/F149)*100</f>
        <v>100</v>
      </c>
    </row>
    <row r="150" spans="1:12" ht="15" thickTop="1" x14ac:dyDescent="0.2"/>
    <row r="153" spans="1:12" s="501" customFormat="1" ht="15.75" x14ac:dyDescent="0.25">
      <c r="A153" s="695" t="s">
        <v>1660</v>
      </c>
      <c r="B153" s="735"/>
      <c r="C153" s="798"/>
      <c r="E153" s="487" t="s">
        <v>1312</v>
      </c>
      <c r="F153" s="487"/>
      <c r="G153" s="487"/>
      <c r="H153" s="789"/>
    </row>
    <row r="154" spans="1:12" ht="15" thickBot="1" x14ac:dyDescent="0.25">
      <c r="A154" s="1729"/>
      <c r="H154" s="1735" t="s">
        <v>161</v>
      </c>
    </row>
    <row r="155" spans="1:12" s="703" customFormat="1" ht="20.25" customHeight="1" thickTop="1" thickBot="1" x14ac:dyDescent="0.25">
      <c r="A155" s="755" t="s">
        <v>162</v>
      </c>
      <c r="B155" s="698" t="s">
        <v>163</v>
      </c>
      <c r="C155" s="699" t="s">
        <v>705</v>
      </c>
      <c r="D155" s="700" t="s">
        <v>164</v>
      </c>
      <c r="E155" s="701" t="s">
        <v>165</v>
      </c>
      <c r="F155" s="701" t="s">
        <v>881</v>
      </c>
      <c r="G155" s="701" t="s">
        <v>882</v>
      </c>
      <c r="H155" s="702" t="s">
        <v>883</v>
      </c>
    </row>
    <row r="156" spans="1:12" s="383" customFormat="1" ht="13.5" thickTop="1" thickBot="1" x14ac:dyDescent="0.25">
      <c r="A156" s="566">
        <v>1</v>
      </c>
      <c r="B156" s="567">
        <v>2</v>
      </c>
      <c r="C156" s="567">
        <v>3</v>
      </c>
      <c r="D156" s="567">
        <v>4</v>
      </c>
      <c r="E156" s="567">
        <v>5</v>
      </c>
      <c r="F156" s="541">
        <v>6</v>
      </c>
      <c r="G156" s="541">
        <v>7</v>
      </c>
      <c r="H156" s="636" t="s">
        <v>61</v>
      </c>
      <c r="I156" s="107"/>
    </row>
    <row r="157" spans="1:12" s="432" customFormat="1" ht="15.75" thickTop="1" x14ac:dyDescent="0.25">
      <c r="A157" s="1782">
        <v>4357</v>
      </c>
      <c r="B157" s="2425">
        <v>5331</v>
      </c>
      <c r="C157" s="1765"/>
      <c r="D157" s="624" t="s">
        <v>236</v>
      </c>
      <c r="E157" s="714">
        <f>E158+E159</f>
        <v>3491</v>
      </c>
      <c r="F157" s="714">
        <f>F158+F159</f>
        <v>3322</v>
      </c>
      <c r="G157" s="714">
        <f>G158+G159</f>
        <v>3322</v>
      </c>
      <c r="H157" s="705">
        <f>G157/F157*100</f>
        <v>100</v>
      </c>
    </row>
    <row r="158" spans="1:12" x14ac:dyDescent="0.2">
      <c r="A158" s="1739"/>
      <c r="B158" s="1740"/>
      <c r="C158" s="707" t="s">
        <v>575</v>
      </c>
      <c r="D158" s="1392" t="s">
        <v>1260</v>
      </c>
      <c r="E158" s="731">
        <v>1049</v>
      </c>
      <c r="F158" s="731">
        <v>1227</v>
      </c>
      <c r="G158" s="731">
        <v>1227</v>
      </c>
      <c r="H158" s="793">
        <f>(G158/F158)*100</f>
        <v>100</v>
      </c>
    </row>
    <row r="159" spans="1:12" x14ac:dyDescent="0.2">
      <c r="A159" s="1739"/>
      <c r="B159" s="1741"/>
      <c r="C159" s="552" t="s">
        <v>570</v>
      </c>
      <c r="D159" s="719" t="s">
        <v>1088</v>
      </c>
      <c r="E159" s="731">
        <v>2442</v>
      </c>
      <c r="F159" s="731">
        <v>2095</v>
      </c>
      <c r="G159" s="731">
        <v>2095</v>
      </c>
      <c r="H159" s="793">
        <f>(G159/F159)*100</f>
        <v>100</v>
      </c>
    </row>
    <row r="160" spans="1:12" ht="15" x14ac:dyDescent="0.25">
      <c r="A160" s="1739">
        <v>4357</v>
      </c>
      <c r="B160" s="1741">
        <v>5336</v>
      </c>
      <c r="C160" s="1770"/>
      <c r="D160" s="1725" t="s">
        <v>1659</v>
      </c>
      <c r="E160" s="731"/>
      <c r="F160" s="1429">
        <v>2642</v>
      </c>
      <c r="G160" s="1429">
        <v>2642</v>
      </c>
      <c r="H160" s="800">
        <f t="shared" ref="H160:H161" si="7">(G160/F160)*100</f>
        <v>100</v>
      </c>
    </row>
    <row r="161" spans="1:9" ht="15" thickBot="1" x14ac:dyDescent="0.25">
      <c r="A161" s="1739"/>
      <c r="B161" s="1741"/>
      <c r="C161" s="552" t="s">
        <v>1870</v>
      </c>
      <c r="D161" s="719" t="s">
        <v>1897</v>
      </c>
      <c r="E161" s="731"/>
      <c r="F161" s="731">
        <v>2642</v>
      </c>
      <c r="G161" s="731">
        <v>2642</v>
      </c>
      <c r="H161" s="793">
        <f t="shared" si="7"/>
        <v>100</v>
      </c>
    </row>
    <row r="162" spans="1:9" s="367" customFormat="1" ht="20.25" customHeight="1" thickTop="1" thickBot="1" x14ac:dyDescent="0.3">
      <c r="A162" s="708" t="s">
        <v>1105</v>
      </c>
      <c r="B162" s="709"/>
      <c r="C162" s="710"/>
      <c r="D162" s="711"/>
      <c r="E162" s="720">
        <f>E157+E160</f>
        <v>3491</v>
      </c>
      <c r="F162" s="720">
        <f>F157+F160</f>
        <v>5964</v>
      </c>
      <c r="G162" s="720">
        <f>G157+G160</f>
        <v>5964</v>
      </c>
      <c r="H162" s="794">
        <f>(G162/F162)*100</f>
        <v>100</v>
      </c>
    </row>
    <row r="163" spans="1:9" s="795" customFormat="1" ht="20.25" customHeight="1" thickTop="1" x14ac:dyDescent="0.25">
      <c r="A163" s="1742"/>
      <c r="B163" s="1743"/>
      <c r="C163" s="1744"/>
      <c r="D163" s="1745"/>
      <c r="E163" s="1746"/>
      <c r="F163" s="1746"/>
      <c r="G163" s="1746"/>
      <c r="H163" s="1747"/>
    </row>
    <row r="164" spans="1:9" s="367" customFormat="1" ht="27.75" customHeight="1" thickBot="1" x14ac:dyDescent="0.3">
      <c r="A164" s="758" t="s">
        <v>1192</v>
      </c>
      <c r="B164" s="725"/>
      <c r="C164" s="726"/>
      <c r="D164" s="727"/>
      <c r="E164" s="796">
        <f>SUM(E162)</f>
        <v>3491</v>
      </c>
      <c r="F164" s="796">
        <f>SUM(F162)</f>
        <v>5964</v>
      </c>
      <c r="G164" s="796">
        <f>SUM(G162)</f>
        <v>5964</v>
      </c>
      <c r="H164" s="763">
        <f>(G164/F164)*100</f>
        <v>100</v>
      </c>
    </row>
    <row r="165" spans="1:9" s="795" customFormat="1" ht="15" customHeight="1" thickTop="1" x14ac:dyDescent="0.25">
      <c r="A165" s="1742"/>
      <c r="B165" s="1743"/>
      <c r="C165" s="1744"/>
      <c r="D165" s="1745"/>
      <c r="E165" s="1746"/>
      <c r="F165" s="1746"/>
      <c r="G165" s="1746"/>
      <c r="H165" s="1747"/>
    </row>
    <row r="166" spans="1:9" s="795" customFormat="1" ht="15" customHeight="1" x14ac:dyDescent="0.25">
      <c r="A166" s="1742"/>
      <c r="B166" s="1743"/>
      <c r="C166" s="1744"/>
      <c r="D166" s="1745"/>
      <c r="E166" s="1746"/>
      <c r="F166" s="1746"/>
      <c r="G166" s="1746"/>
      <c r="H166" s="1747"/>
    </row>
    <row r="167" spans="1:9" s="795" customFormat="1" ht="15" customHeight="1" x14ac:dyDescent="0.25">
      <c r="A167" s="1742"/>
      <c r="B167" s="1743"/>
      <c r="C167" s="1744"/>
      <c r="D167" s="1745"/>
      <c r="E167" s="1746"/>
      <c r="F167" s="1746"/>
      <c r="G167" s="1746"/>
      <c r="H167" s="1747"/>
    </row>
    <row r="168" spans="1:9" s="432" customFormat="1" ht="15.75" x14ac:dyDescent="0.25">
      <c r="A168" s="695" t="s">
        <v>1193</v>
      </c>
      <c r="B168" s="1754"/>
      <c r="C168" s="798"/>
      <c r="E168" s="487" t="s">
        <v>1313</v>
      </c>
      <c r="F168" s="487"/>
      <c r="G168" s="487"/>
      <c r="H168" s="789"/>
    </row>
    <row r="169" spans="1:9" ht="15" thickBot="1" x14ac:dyDescent="0.25">
      <c r="A169" s="1729"/>
      <c r="H169" s="1735" t="s">
        <v>161</v>
      </c>
    </row>
    <row r="170" spans="1:9" s="703" customFormat="1" ht="20.25" customHeight="1" thickTop="1" thickBot="1" x14ac:dyDescent="0.25">
      <c r="A170" s="755" t="s">
        <v>162</v>
      </c>
      <c r="B170" s="698" t="s">
        <v>163</v>
      </c>
      <c r="C170" s="699" t="s">
        <v>705</v>
      </c>
      <c r="D170" s="700" t="s">
        <v>164</v>
      </c>
      <c r="E170" s="701" t="s">
        <v>165</v>
      </c>
      <c r="F170" s="701" t="s">
        <v>881</v>
      </c>
      <c r="G170" s="701" t="s">
        <v>882</v>
      </c>
      <c r="H170" s="702" t="s">
        <v>883</v>
      </c>
    </row>
    <row r="171" spans="1:9" s="383" customFormat="1" ht="13.5" thickTop="1" thickBot="1" x14ac:dyDescent="0.25">
      <c r="A171" s="566">
        <v>1</v>
      </c>
      <c r="B171" s="567">
        <v>2</v>
      </c>
      <c r="C171" s="567">
        <v>3</v>
      </c>
      <c r="D171" s="567">
        <v>4</v>
      </c>
      <c r="E171" s="567">
        <v>5</v>
      </c>
      <c r="F171" s="541">
        <v>6</v>
      </c>
      <c r="G171" s="541">
        <v>7</v>
      </c>
      <c r="H171" s="636" t="s">
        <v>61</v>
      </c>
      <c r="I171" s="107"/>
    </row>
    <row r="172" spans="1:9" s="432" customFormat="1" ht="15.75" thickTop="1" x14ac:dyDescent="0.25">
      <c r="A172" s="1782">
        <v>4351</v>
      </c>
      <c r="B172" s="2425">
        <v>5331</v>
      </c>
      <c r="C172" s="1765"/>
      <c r="D172" s="624" t="s">
        <v>236</v>
      </c>
      <c r="E172" s="714">
        <f>E173+E174</f>
        <v>944</v>
      </c>
      <c r="F172" s="714">
        <f>F173+F174</f>
        <v>101</v>
      </c>
      <c r="G172" s="714">
        <f>G173+G174</f>
        <v>101</v>
      </c>
      <c r="H172" s="705">
        <f>G172/F172*100</f>
        <v>100</v>
      </c>
    </row>
    <row r="173" spans="1:9" x14ac:dyDescent="0.2">
      <c r="A173" s="1739"/>
      <c r="B173" s="1740"/>
      <c r="C173" s="707" t="s">
        <v>575</v>
      </c>
      <c r="D173" s="1392" t="s">
        <v>1260</v>
      </c>
      <c r="E173" s="731">
        <v>101</v>
      </c>
      <c r="F173" s="731">
        <v>101</v>
      </c>
      <c r="G173" s="731">
        <v>101</v>
      </c>
      <c r="H173" s="793">
        <f>(G173/F173)*100</f>
        <v>100</v>
      </c>
    </row>
    <row r="174" spans="1:9" x14ac:dyDescent="0.2">
      <c r="A174" s="1739"/>
      <c r="B174" s="1740"/>
      <c r="C174" s="552" t="s">
        <v>570</v>
      </c>
      <c r="D174" s="719" t="s">
        <v>1088</v>
      </c>
      <c r="E174" s="731">
        <v>843</v>
      </c>
      <c r="F174" s="731">
        <v>0</v>
      </c>
      <c r="G174" s="731">
        <v>0</v>
      </c>
      <c r="H174" s="793">
        <v>0</v>
      </c>
    </row>
    <row r="175" spans="1:9" ht="15" x14ac:dyDescent="0.25">
      <c r="A175" s="1739">
        <v>4351</v>
      </c>
      <c r="B175" s="1741">
        <v>5336</v>
      </c>
      <c r="C175" s="1770"/>
      <c r="D175" s="1725" t="s">
        <v>1659</v>
      </c>
      <c r="E175" s="731"/>
      <c r="F175" s="1429">
        <v>838</v>
      </c>
      <c r="G175" s="1429">
        <v>838</v>
      </c>
      <c r="H175" s="800">
        <f t="shared" ref="H175:H176" si="8">(G175/F175)*100</f>
        <v>100</v>
      </c>
    </row>
    <row r="176" spans="1:9" ht="15" thickBot="1" x14ac:dyDescent="0.25">
      <c r="A176" s="1739"/>
      <c r="B176" s="1741"/>
      <c r="C176" s="552" t="s">
        <v>1870</v>
      </c>
      <c r="D176" s="719" t="s">
        <v>1897</v>
      </c>
      <c r="E176" s="731"/>
      <c r="F176" s="731">
        <v>838</v>
      </c>
      <c r="G176" s="731">
        <v>838</v>
      </c>
      <c r="H176" s="793">
        <f t="shared" si="8"/>
        <v>100</v>
      </c>
    </row>
    <row r="177" spans="1:9" s="367" customFormat="1" ht="20.25" customHeight="1" thickTop="1" thickBot="1" x14ac:dyDescent="0.3">
      <c r="A177" s="708" t="s">
        <v>1105</v>
      </c>
      <c r="B177" s="709"/>
      <c r="C177" s="710"/>
      <c r="D177" s="711"/>
      <c r="E177" s="720">
        <f>SUM(E172)</f>
        <v>944</v>
      </c>
      <c r="F177" s="720">
        <f>F172+F175</f>
        <v>939</v>
      </c>
      <c r="G177" s="720">
        <f>G172+G175</f>
        <v>939</v>
      </c>
      <c r="H177" s="794">
        <f>(G177/F177)*100</f>
        <v>100</v>
      </c>
    </row>
    <row r="178" spans="1:9" s="432" customFormat="1" ht="15.75" thickTop="1" x14ac:dyDescent="0.25">
      <c r="A178" s="1754"/>
      <c r="B178" s="1754"/>
      <c r="C178" s="798"/>
      <c r="E178" s="487"/>
      <c r="F178" s="487"/>
      <c r="G178" s="487"/>
      <c r="H178" s="789"/>
    </row>
    <row r="179" spans="1:9" s="367" customFormat="1" ht="27.75" customHeight="1" thickBot="1" x14ac:dyDescent="0.3">
      <c r="A179" s="758" t="s">
        <v>401</v>
      </c>
      <c r="B179" s="725"/>
      <c r="C179" s="726"/>
      <c r="D179" s="727"/>
      <c r="E179" s="796">
        <f>SUM(E177)</f>
        <v>944</v>
      </c>
      <c r="F179" s="796">
        <f>SUM(F177)</f>
        <v>939</v>
      </c>
      <c r="G179" s="796">
        <f>SUM(G177)</f>
        <v>939</v>
      </c>
      <c r="H179" s="763">
        <f>(G179/F179)*100</f>
        <v>100</v>
      </c>
    </row>
    <row r="180" spans="1:9" s="795" customFormat="1" ht="14.25" customHeight="1" thickTop="1" x14ac:dyDescent="0.25">
      <c r="A180" s="1742"/>
      <c r="B180" s="1743"/>
      <c r="C180" s="1744"/>
      <c r="D180" s="1745"/>
      <c r="E180" s="1746"/>
      <c r="F180" s="1746"/>
      <c r="G180" s="1746"/>
      <c r="H180" s="1747"/>
    </row>
    <row r="181" spans="1:9" s="795" customFormat="1" ht="14.25" customHeight="1" x14ac:dyDescent="0.25">
      <c r="A181" s="1742"/>
      <c r="B181" s="1743"/>
      <c r="C181" s="1744"/>
      <c r="D181" s="1745"/>
      <c r="E181" s="1746"/>
      <c r="F181" s="1746"/>
      <c r="G181" s="1746"/>
      <c r="H181" s="1747"/>
    </row>
    <row r="182" spans="1:9" s="795" customFormat="1" ht="14.25" customHeight="1" x14ac:dyDescent="0.25">
      <c r="A182" s="1742"/>
      <c r="B182" s="1743"/>
      <c r="C182" s="1744"/>
      <c r="D182" s="1745"/>
      <c r="E182" s="1746"/>
      <c r="F182" s="1746"/>
      <c r="G182" s="1746"/>
      <c r="H182" s="1747"/>
    </row>
    <row r="183" spans="1:9" s="501" customFormat="1" ht="15.75" x14ac:dyDescent="0.25">
      <c r="A183" s="695" t="s">
        <v>403</v>
      </c>
      <c r="B183" s="735"/>
      <c r="C183" s="798"/>
      <c r="E183" s="487" t="s">
        <v>1314</v>
      </c>
      <c r="F183" s="487"/>
      <c r="G183" s="487"/>
      <c r="H183" s="789"/>
    </row>
    <row r="184" spans="1:9" ht="15" thickBot="1" x14ac:dyDescent="0.25">
      <c r="A184" s="1729"/>
      <c r="H184" s="1735" t="s">
        <v>161</v>
      </c>
    </row>
    <row r="185" spans="1:9" s="703" customFormat="1" ht="20.25" customHeight="1" thickTop="1" thickBot="1" x14ac:dyDescent="0.25">
      <c r="A185" s="755" t="s">
        <v>162</v>
      </c>
      <c r="B185" s="698" t="s">
        <v>163</v>
      </c>
      <c r="C185" s="699" t="s">
        <v>705</v>
      </c>
      <c r="D185" s="700" t="s">
        <v>164</v>
      </c>
      <c r="E185" s="701" t="s">
        <v>165</v>
      </c>
      <c r="F185" s="701" t="s">
        <v>881</v>
      </c>
      <c r="G185" s="701" t="s">
        <v>882</v>
      </c>
      <c r="H185" s="702" t="s">
        <v>883</v>
      </c>
    </row>
    <row r="186" spans="1:9" s="383" customFormat="1" ht="13.5" thickTop="1" thickBot="1" x14ac:dyDescent="0.25">
      <c r="A186" s="566">
        <v>1</v>
      </c>
      <c r="B186" s="567">
        <v>2</v>
      </c>
      <c r="C186" s="567">
        <v>3</v>
      </c>
      <c r="D186" s="567">
        <v>4</v>
      </c>
      <c r="E186" s="567">
        <v>5</v>
      </c>
      <c r="F186" s="541">
        <v>6</v>
      </c>
      <c r="G186" s="541">
        <v>7</v>
      </c>
      <c r="H186" s="636" t="s">
        <v>61</v>
      </c>
      <c r="I186" s="107"/>
    </row>
    <row r="187" spans="1:9" s="432" customFormat="1" ht="15.75" thickTop="1" x14ac:dyDescent="0.25">
      <c r="A187" s="1782">
        <v>4357</v>
      </c>
      <c r="B187" s="2425">
        <v>5331</v>
      </c>
      <c r="C187" s="1765"/>
      <c r="D187" s="624" t="s">
        <v>236</v>
      </c>
      <c r="E187" s="714">
        <f>E188+E189</f>
        <v>5545</v>
      </c>
      <c r="F187" s="714">
        <f>F188+F189</f>
        <v>6688</v>
      </c>
      <c r="G187" s="714">
        <f>G188+G189</f>
        <v>6688</v>
      </c>
      <c r="H187" s="705">
        <f>G187/F187*100</f>
        <v>100</v>
      </c>
    </row>
    <row r="188" spans="1:9" x14ac:dyDescent="0.2">
      <c r="A188" s="1739"/>
      <c r="B188" s="1740"/>
      <c r="C188" s="707" t="s">
        <v>575</v>
      </c>
      <c r="D188" s="1392" t="s">
        <v>1260</v>
      </c>
      <c r="E188" s="731">
        <v>832</v>
      </c>
      <c r="F188" s="731">
        <v>759</v>
      </c>
      <c r="G188" s="731">
        <v>759</v>
      </c>
      <c r="H188" s="793">
        <f>(G188/F188)*100</f>
        <v>100</v>
      </c>
    </row>
    <row r="189" spans="1:9" x14ac:dyDescent="0.2">
      <c r="A189" s="1739"/>
      <c r="B189" s="1740"/>
      <c r="C189" s="552" t="s">
        <v>570</v>
      </c>
      <c r="D189" s="719" t="s">
        <v>1088</v>
      </c>
      <c r="E189" s="731">
        <v>4713</v>
      </c>
      <c r="F189" s="731">
        <v>5929</v>
      </c>
      <c r="G189" s="731">
        <v>5929</v>
      </c>
      <c r="H189" s="793">
        <f>(G189/F189)*100</f>
        <v>100</v>
      </c>
    </row>
    <row r="190" spans="1:9" ht="15" x14ac:dyDescent="0.25">
      <c r="A190" s="1739">
        <v>4357</v>
      </c>
      <c r="B190" s="1741">
        <v>5336</v>
      </c>
      <c r="C190" s="1770"/>
      <c r="D190" s="1725" t="s">
        <v>1659</v>
      </c>
      <c r="E190" s="731"/>
      <c r="F190" s="1429">
        <v>4023</v>
      </c>
      <c r="G190" s="1429">
        <v>4023</v>
      </c>
      <c r="H190" s="800">
        <f t="shared" ref="H190:H191" si="9">(G190/F190)*100</f>
        <v>100</v>
      </c>
    </row>
    <row r="191" spans="1:9" ht="15" thickBot="1" x14ac:dyDescent="0.25">
      <c r="A191" s="1739"/>
      <c r="B191" s="1741"/>
      <c r="C191" s="552" t="s">
        <v>1870</v>
      </c>
      <c r="D191" s="719" t="s">
        <v>1897</v>
      </c>
      <c r="E191" s="731"/>
      <c r="F191" s="731">
        <v>4023</v>
      </c>
      <c r="G191" s="731">
        <v>4023</v>
      </c>
      <c r="H191" s="793">
        <f t="shared" si="9"/>
        <v>100</v>
      </c>
    </row>
    <row r="192" spans="1:9" s="367" customFormat="1" ht="20.25" customHeight="1" thickTop="1" thickBot="1" x14ac:dyDescent="0.3">
      <c r="A192" s="708" t="s">
        <v>1105</v>
      </c>
      <c r="B192" s="709"/>
      <c r="C192" s="710"/>
      <c r="D192" s="711"/>
      <c r="E192" s="720">
        <f>SUM(E187)</f>
        <v>5545</v>
      </c>
      <c r="F192" s="720">
        <f>SUM(F187,F190)</f>
        <v>10711</v>
      </c>
      <c r="G192" s="720">
        <f>SUM(G187,G190)</f>
        <v>10711</v>
      </c>
      <c r="H192" s="794">
        <f>(G192/F192)*100</f>
        <v>100</v>
      </c>
    </row>
    <row r="193" spans="1:9" s="367" customFormat="1" ht="20.25" customHeight="1" thickTop="1" x14ac:dyDescent="0.25">
      <c r="A193" s="361"/>
      <c r="B193" s="362"/>
      <c r="C193" s="363"/>
      <c r="D193" s="364"/>
      <c r="E193" s="365"/>
      <c r="F193" s="365"/>
      <c r="G193" s="365"/>
      <c r="H193" s="366"/>
    </row>
    <row r="194" spans="1:9" s="367" customFormat="1" ht="27.75" customHeight="1" thickBot="1" x14ac:dyDescent="0.3">
      <c r="A194" s="758" t="s">
        <v>404</v>
      </c>
      <c r="B194" s="725"/>
      <c r="C194" s="726"/>
      <c r="D194" s="727"/>
      <c r="E194" s="796">
        <f>E192</f>
        <v>5545</v>
      </c>
      <c r="F194" s="796">
        <f>F192</f>
        <v>10711</v>
      </c>
      <c r="G194" s="796">
        <f>G192</f>
        <v>10711</v>
      </c>
      <c r="H194" s="763">
        <f>(G194/F194)*100</f>
        <v>100</v>
      </c>
    </row>
    <row r="195" spans="1:9" ht="15" thickTop="1" x14ac:dyDescent="0.2">
      <c r="A195" s="1729"/>
    </row>
    <row r="196" spans="1:9" x14ac:dyDescent="0.2">
      <c r="A196" s="1729"/>
    </row>
    <row r="197" spans="1:9" x14ac:dyDescent="0.2">
      <c r="A197" s="1729"/>
    </row>
    <row r="198" spans="1:9" s="501" customFormat="1" ht="15.75" x14ac:dyDescent="0.25">
      <c r="A198" s="695" t="s">
        <v>1359</v>
      </c>
      <c r="B198" s="735"/>
      <c r="C198" s="798"/>
      <c r="E198" s="487" t="s">
        <v>1195</v>
      </c>
      <c r="F198" s="487"/>
      <c r="G198" s="487"/>
      <c r="H198" s="789"/>
    </row>
    <row r="199" spans="1:9" ht="15" thickBot="1" x14ac:dyDescent="0.25">
      <c r="A199" s="1729"/>
      <c r="H199" s="1735" t="s">
        <v>161</v>
      </c>
    </row>
    <row r="200" spans="1:9" s="703" customFormat="1" ht="20.25" customHeight="1" thickTop="1" thickBot="1" x14ac:dyDescent="0.25">
      <c r="A200" s="755" t="s">
        <v>162</v>
      </c>
      <c r="B200" s="698" t="s">
        <v>163</v>
      </c>
      <c r="C200" s="699" t="s">
        <v>705</v>
      </c>
      <c r="D200" s="700" t="s">
        <v>164</v>
      </c>
      <c r="E200" s="701" t="s">
        <v>165</v>
      </c>
      <c r="F200" s="701" t="s">
        <v>881</v>
      </c>
      <c r="G200" s="701" t="s">
        <v>882</v>
      </c>
      <c r="H200" s="702" t="s">
        <v>883</v>
      </c>
    </row>
    <row r="201" spans="1:9" s="383" customFormat="1" ht="13.5" thickTop="1" thickBot="1" x14ac:dyDescent="0.25">
      <c r="A201" s="566">
        <v>1</v>
      </c>
      <c r="B201" s="567">
        <v>2</v>
      </c>
      <c r="C201" s="567">
        <v>3</v>
      </c>
      <c r="D201" s="567">
        <v>4</v>
      </c>
      <c r="E201" s="567">
        <v>5</v>
      </c>
      <c r="F201" s="541">
        <v>6</v>
      </c>
      <c r="G201" s="541">
        <v>7</v>
      </c>
      <c r="H201" s="636" t="s">
        <v>61</v>
      </c>
      <c r="I201" s="107"/>
    </row>
    <row r="202" spans="1:9" s="432" customFormat="1" ht="15.75" thickTop="1" x14ac:dyDescent="0.25">
      <c r="A202" s="1782">
        <v>4357</v>
      </c>
      <c r="B202" s="2425">
        <v>5331</v>
      </c>
      <c r="C202" s="1765"/>
      <c r="D202" s="624" t="s">
        <v>236</v>
      </c>
      <c r="E202" s="714">
        <f>E203+E204</f>
        <v>1016</v>
      </c>
      <c r="F202" s="714">
        <f>F203+F204</f>
        <v>1418</v>
      </c>
      <c r="G202" s="714">
        <f>G203+G204</f>
        <v>1418</v>
      </c>
      <c r="H202" s="705">
        <f>G202/F202*100</f>
        <v>100</v>
      </c>
    </row>
    <row r="203" spans="1:9" x14ac:dyDescent="0.2">
      <c r="A203" s="1739"/>
      <c r="B203" s="1740"/>
      <c r="C203" s="707" t="s">
        <v>575</v>
      </c>
      <c r="D203" s="1392" t="s">
        <v>1260</v>
      </c>
      <c r="E203" s="731">
        <v>222</v>
      </c>
      <c r="F203" s="731">
        <v>222</v>
      </c>
      <c r="G203" s="731">
        <v>222</v>
      </c>
      <c r="H203" s="793">
        <f>(G203/F203)*100</f>
        <v>100</v>
      </c>
    </row>
    <row r="204" spans="1:9" x14ac:dyDescent="0.2">
      <c r="A204" s="1739"/>
      <c r="B204" s="1740"/>
      <c r="C204" s="552" t="s">
        <v>570</v>
      </c>
      <c r="D204" s="719" t="s">
        <v>1088</v>
      </c>
      <c r="E204" s="731">
        <v>794</v>
      </c>
      <c r="F204" s="731">
        <v>1196</v>
      </c>
      <c r="G204" s="731">
        <v>1196</v>
      </c>
      <c r="H204" s="793">
        <f>(G204/F204)*100</f>
        <v>100</v>
      </c>
    </row>
    <row r="205" spans="1:9" ht="15" x14ac:dyDescent="0.25">
      <c r="A205" s="1739">
        <v>4357</v>
      </c>
      <c r="B205" s="1741">
        <v>5336</v>
      </c>
      <c r="C205" s="1770"/>
      <c r="D205" s="1725" t="s">
        <v>1659</v>
      </c>
      <c r="E205" s="731"/>
      <c r="F205" s="1429">
        <v>663</v>
      </c>
      <c r="G205" s="1429">
        <v>663</v>
      </c>
      <c r="H205" s="800">
        <f t="shared" ref="H205:H206" si="10">(G205/F205)*100</f>
        <v>100</v>
      </c>
    </row>
    <row r="206" spans="1:9" ht="15" thickBot="1" x14ac:dyDescent="0.25">
      <c r="A206" s="1739"/>
      <c r="B206" s="1741"/>
      <c r="C206" s="552" t="s">
        <v>1870</v>
      </c>
      <c r="D206" s="719" t="s">
        <v>1897</v>
      </c>
      <c r="E206" s="731"/>
      <c r="F206" s="731">
        <v>663</v>
      </c>
      <c r="G206" s="731">
        <v>663</v>
      </c>
      <c r="H206" s="793">
        <f t="shared" si="10"/>
        <v>100</v>
      </c>
    </row>
    <row r="207" spans="1:9" s="367" customFormat="1" ht="20.25" customHeight="1" thickTop="1" thickBot="1" x14ac:dyDescent="0.3">
      <c r="A207" s="708" t="s">
        <v>1105</v>
      </c>
      <c r="B207" s="709"/>
      <c r="C207" s="710"/>
      <c r="D207" s="711"/>
      <c r="E207" s="720">
        <f>SUM(E202)</f>
        <v>1016</v>
      </c>
      <c r="F207" s="720">
        <f>SUM(F202,F205)</f>
        <v>2081</v>
      </c>
      <c r="G207" s="720">
        <f>SUM(G202,G205)</f>
        <v>2081</v>
      </c>
      <c r="H207" s="794">
        <f>(G207/F207)*100</f>
        <v>100</v>
      </c>
    </row>
    <row r="208" spans="1:9" s="795" customFormat="1" ht="20.25" customHeight="1" thickTop="1" x14ac:dyDescent="0.25">
      <c r="A208" s="1742"/>
      <c r="B208" s="1743"/>
      <c r="C208" s="1744"/>
      <c r="D208" s="1745"/>
      <c r="E208" s="1746"/>
      <c r="F208" s="1746"/>
      <c r="G208" s="1746"/>
      <c r="H208" s="1747"/>
    </row>
    <row r="209" spans="1:9" s="367" customFormat="1" ht="27.75" customHeight="1" thickBot="1" x14ac:dyDescent="0.3">
      <c r="A209" s="758" t="s">
        <v>1360</v>
      </c>
      <c r="B209" s="725"/>
      <c r="C209" s="726"/>
      <c r="D209" s="727"/>
      <c r="E209" s="796">
        <f>SUM(E207)</f>
        <v>1016</v>
      </c>
      <c r="F209" s="796">
        <f>SUM(F207)</f>
        <v>2081</v>
      </c>
      <c r="G209" s="796">
        <f>SUM(G207)</f>
        <v>2081</v>
      </c>
      <c r="H209" s="763">
        <f>(G209/F209)*100</f>
        <v>100</v>
      </c>
    </row>
    <row r="210" spans="1:9" s="810" customFormat="1" ht="15.75" thickTop="1" x14ac:dyDescent="0.2">
      <c r="F210" s="1728"/>
      <c r="G210" s="1728"/>
      <c r="H210" s="765"/>
    </row>
    <row r="211" spans="1:9" s="810" customFormat="1" ht="15" x14ac:dyDescent="0.2">
      <c r="F211" s="1728"/>
      <c r="G211" s="1728"/>
      <c r="H211" s="765"/>
    </row>
    <row r="212" spans="1:9" s="810" customFormat="1" ht="15" x14ac:dyDescent="0.2">
      <c r="F212" s="1728"/>
      <c r="G212" s="1728"/>
      <c r="H212" s="765"/>
    </row>
    <row r="213" spans="1:9" s="501" customFormat="1" ht="15.75" x14ac:dyDescent="0.25">
      <c r="A213" s="695" t="s">
        <v>405</v>
      </c>
      <c r="B213" s="735"/>
      <c r="C213" s="798"/>
      <c r="E213" s="487" t="s">
        <v>1196</v>
      </c>
      <c r="F213" s="487"/>
      <c r="G213" s="487"/>
      <c r="H213" s="789"/>
    </row>
    <row r="214" spans="1:9" ht="15" thickBot="1" x14ac:dyDescent="0.25">
      <c r="A214" s="1729"/>
      <c r="H214" s="1735" t="s">
        <v>161</v>
      </c>
    </row>
    <row r="215" spans="1:9" s="703" customFormat="1" ht="20.25" customHeight="1" thickTop="1" thickBot="1" x14ac:dyDescent="0.25">
      <c r="A215" s="755" t="s">
        <v>162</v>
      </c>
      <c r="B215" s="698" t="s">
        <v>163</v>
      </c>
      <c r="C215" s="699" t="s">
        <v>705</v>
      </c>
      <c r="D215" s="700" t="s">
        <v>164</v>
      </c>
      <c r="E215" s="701" t="s">
        <v>165</v>
      </c>
      <c r="F215" s="701" t="s">
        <v>881</v>
      </c>
      <c r="G215" s="701" t="s">
        <v>882</v>
      </c>
      <c r="H215" s="702" t="s">
        <v>883</v>
      </c>
    </row>
    <row r="216" spans="1:9" s="383" customFormat="1" ht="13.5" thickTop="1" thickBot="1" x14ac:dyDescent="0.25">
      <c r="A216" s="566">
        <v>1</v>
      </c>
      <c r="B216" s="567">
        <v>2</v>
      </c>
      <c r="C216" s="567">
        <v>3</v>
      </c>
      <c r="D216" s="567">
        <v>4</v>
      </c>
      <c r="E216" s="567">
        <v>5</v>
      </c>
      <c r="F216" s="541">
        <v>6</v>
      </c>
      <c r="G216" s="541">
        <v>7</v>
      </c>
      <c r="H216" s="636" t="s">
        <v>61</v>
      </c>
      <c r="I216" s="107"/>
    </row>
    <row r="217" spans="1:9" s="432" customFormat="1" ht="15.75" thickTop="1" x14ac:dyDescent="0.25">
      <c r="A217" s="1782">
        <v>4357</v>
      </c>
      <c r="B217" s="2425">
        <v>5331</v>
      </c>
      <c r="C217" s="1765"/>
      <c r="D217" s="624" t="s">
        <v>236</v>
      </c>
      <c r="E217" s="714">
        <f>E218+E219</f>
        <v>3874</v>
      </c>
      <c r="F217" s="714">
        <f>F218+F219</f>
        <v>3768</v>
      </c>
      <c r="G217" s="714">
        <f>G218+G219</f>
        <v>3768</v>
      </c>
      <c r="H217" s="705">
        <f>G217/F217*100</f>
        <v>100</v>
      </c>
    </row>
    <row r="218" spans="1:9" x14ac:dyDescent="0.2">
      <c r="A218" s="1739"/>
      <c r="B218" s="1740"/>
      <c r="C218" s="707" t="s">
        <v>575</v>
      </c>
      <c r="D218" s="1392" t="s">
        <v>1260</v>
      </c>
      <c r="E218" s="731">
        <v>1487</v>
      </c>
      <c r="F218" s="731">
        <v>1518</v>
      </c>
      <c r="G218" s="731">
        <v>1518</v>
      </c>
      <c r="H218" s="793">
        <f>(G218/F218)*100</f>
        <v>100</v>
      </c>
    </row>
    <row r="219" spans="1:9" x14ac:dyDescent="0.2">
      <c r="A219" s="1739"/>
      <c r="B219" s="1741"/>
      <c r="C219" s="552" t="s">
        <v>570</v>
      </c>
      <c r="D219" s="719" t="s">
        <v>1088</v>
      </c>
      <c r="E219" s="731">
        <v>2387</v>
      </c>
      <c r="F219" s="731">
        <v>2250</v>
      </c>
      <c r="G219" s="731">
        <v>2250</v>
      </c>
      <c r="H219" s="793">
        <f>(G219/F219)*100</f>
        <v>100</v>
      </c>
    </row>
    <row r="220" spans="1:9" ht="15" x14ac:dyDescent="0.25">
      <c r="A220" s="1739">
        <v>4357</v>
      </c>
      <c r="B220" s="1741">
        <v>5336</v>
      </c>
      <c r="C220" s="1770"/>
      <c r="D220" s="1725" t="s">
        <v>1659</v>
      </c>
      <c r="E220" s="731"/>
      <c r="F220" s="1429">
        <v>2232</v>
      </c>
      <c r="G220" s="1429">
        <v>2232</v>
      </c>
      <c r="H220" s="800">
        <f t="shared" ref="H220:H221" si="11">(G220/F220)*100</f>
        <v>100</v>
      </c>
    </row>
    <row r="221" spans="1:9" ht="15" thickBot="1" x14ac:dyDescent="0.25">
      <c r="A221" s="1739"/>
      <c r="B221" s="1741"/>
      <c r="C221" s="552" t="s">
        <v>1870</v>
      </c>
      <c r="D221" s="719" t="s">
        <v>1897</v>
      </c>
      <c r="E221" s="731"/>
      <c r="F221" s="731">
        <v>2232</v>
      </c>
      <c r="G221" s="731">
        <v>2232</v>
      </c>
      <c r="H221" s="793">
        <f t="shared" si="11"/>
        <v>100</v>
      </c>
    </row>
    <row r="222" spans="1:9" s="367" customFormat="1" ht="20.25" customHeight="1" thickTop="1" thickBot="1" x14ac:dyDescent="0.3">
      <c r="A222" s="708" t="s">
        <v>1105</v>
      </c>
      <c r="B222" s="709"/>
      <c r="C222" s="710"/>
      <c r="D222" s="711"/>
      <c r="E222" s="720">
        <f>SUM(E217)</f>
        <v>3874</v>
      </c>
      <c r="F222" s="720">
        <f>SUM(F217,F220)</f>
        <v>6000</v>
      </c>
      <c r="G222" s="720">
        <f>SUM(G217,G220)</f>
        <v>6000</v>
      </c>
      <c r="H222" s="794">
        <f>(G222/F222)*100</f>
        <v>100</v>
      </c>
    </row>
    <row r="223" spans="1:9" s="367" customFormat="1" ht="20.25" customHeight="1" thickTop="1" x14ac:dyDescent="0.25">
      <c r="A223" s="361"/>
      <c r="B223" s="362"/>
      <c r="C223" s="363"/>
      <c r="D223" s="364"/>
      <c r="E223" s="365"/>
      <c r="F223" s="365"/>
      <c r="G223" s="365"/>
      <c r="H223" s="366"/>
    </row>
    <row r="224" spans="1:9" s="367" customFormat="1" ht="27.75" customHeight="1" thickBot="1" x14ac:dyDescent="0.3">
      <c r="A224" s="758" t="s">
        <v>719</v>
      </c>
      <c r="B224" s="725"/>
      <c r="C224" s="726"/>
      <c r="D224" s="727"/>
      <c r="E224" s="796">
        <f>SUM(E222)</f>
        <v>3874</v>
      </c>
      <c r="F224" s="796">
        <f>SUM(F222)</f>
        <v>6000</v>
      </c>
      <c r="G224" s="796">
        <f>SUM(G222)</f>
        <v>6000</v>
      </c>
      <c r="H224" s="763">
        <f>(G224/F224)*100</f>
        <v>100</v>
      </c>
    </row>
    <row r="225" spans="1:9" ht="15" thickTop="1" x14ac:dyDescent="0.2"/>
    <row r="228" spans="1:9" s="501" customFormat="1" ht="15.75" x14ac:dyDescent="0.25">
      <c r="A228" s="695" t="s">
        <v>442</v>
      </c>
      <c r="B228" s="735"/>
      <c r="C228" s="798"/>
      <c r="E228" s="487" t="s">
        <v>443</v>
      </c>
      <c r="F228" s="487"/>
      <c r="G228" s="487"/>
      <c r="H228" s="789"/>
    </row>
    <row r="229" spans="1:9" ht="15" thickBot="1" x14ac:dyDescent="0.25">
      <c r="A229" s="1729"/>
      <c r="H229" s="1735" t="s">
        <v>161</v>
      </c>
    </row>
    <row r="230" spans="1:9" s="703" customFormat="1" ht="20.25" customHeight="1" thickTop="1" thickBot="1" x14ac:dyDescent="0.25">
      <c r="A230" s="755" t="s">
        <v>162</v>
      </c>
      <c r="B230" s="698" t="s">
        <v>163</v>
      </c>
      <c r="C230" s="699" t="s">
        <v>705</v>
      </c>
      <c r="D230" s="700" t="s">
        <v>164</v>
      </c>
      <c r="E230" s="701" t="s">
        <v>165</v>
      </c>
      <c r="F230" s="701" t="s">
        <v>881</v>
      </c>
      <c r="G230" s="701" t="s">
        <v>882</v>
      </c>
      <c r="H230" s="702" t="s">
        <v>883</v>
      </c>
    </row>
    <row r="231" spans="1:9" s="383" customFormat="1" ht="13.5" thickTop="1" thickBot="1" x14ac:dyDescent="0.25">
      <c r="A231" s="566">
        <v>1</v>
      </c>
      <c r="B231" s="567">
        <v>2</v>
      </c>
      <c r="C231" s="567">
        <v>3</v>
      </c>
      <c r="D231" s="567">
        <v>4</v>
      </c>
      <c r="E231" s="567">
        <v>5</v>
      </c>
      <c r="F231" s="541">
        <v>6</v>
      </c>
      <c r="G231" s="541">
        <v>7</v>
      </c>
      <c r="H231" s="636" t="s">
        <v>61</v>
      </c>
      <c r="I231" s="107"/>
    </row>
    <row r="232" spans="1:9" s="432" customFormat="1" ht="15.75" thickTop="1" x14ac:dyDescent="0.25">
      <c r="A232" s="1782">
        <v>4357</v>
      </c>
      <c r="B232" s="2425">
        <v>5331</v>
      </c>
      <c r="C232" s="1765"/>
      <c r="D232" s="624" t="s">
        <v>236</v>
      </c>
      <c r="E232" s="714">
        <f>E233+E234</f>
        <v>14237</v>
      </c>
      <c r="F232" s="714">
        <f>F233+F234</f>
        <v>14079</v>
      </c>
      <c r="G232" s="714">
        <f>G233+G234</f>
        <v>14077</v>
      </c>
      <c r="H232" s="705">
        <f>G232/F232*100</f>
        <v>99.985794445628244</v>
      </c>
    </row>
    <row r="233" spans="1:9" x14ac:dyDescent="0.2">
      <c r="A233" s="1739"/>
      <c r="B233" s="1740"/>
      <c r="C233" s="707" t="s">
        <v>575</v>
      </c>
      <c r="D233" s="1392" t="s">
        <v>1260</v>
      </c>
      <c r="E233" s="731">
        <v>2435</v>
      </c>
      <c r="F233" s="731">
        <v>5788</v>
      </c>
      <c r="G233" s="731">
        <v>5786</v>
      </c>
      <c r="H233" s="793">
        <f>(G233/F233)*100</f>
        <v>99.965445749827225</v>
      </c>
    </row>
    <row r="234" spans="1:9" x14ac:dyDescent="0.2">
      <c r="A234" s="1739"/>
      <c r="B234" s="1740"/>
      <c r="C234" s="552" t="s">
        <v>570</v>
      </c>
      <c r="D234" s="719" t="s">
        <v>1088</v>
      </c>
      <c r="E234" s="731">
        <v>11802</v>
      </c>
      <c r="F234" s="731">
        <v>8291</v>
      </c>
      <c r="G234" s="731">
        <v>8291</v>
      </c>
      <c r="H234" s="793">
        <f>(G234/F234)*100</f>
        <v>100</v>
      </c>
    </row>
    <row r="235" spans="1:9" ht="15" x14ac:dyDescent="0.25">
      <c r="A235" s="1739">
        <v>4357</v>
      </c>
      <c r="B235" s="1741">
        <v>5336</v>
      </c>
      <c r="C235" s="1770"/>
      <c r="D235" s="1725" t="s">
        <v>1659</v>
      </c>
      <c r="E235" s="731"/>
      <c r="F235" s="1429">
        <v>7817</v>
      </c>
      <c r="G235" s="1429">
        <v>7817</v>
      </c>
      <c r="H235" s="800">
        <f t="shared" ref="H235:H236" si="12">(G235/F235)*100</f>
        <v>100</v>
      </c>
    </row>
    <row r="236" spans="1:9" ht="15" thickBot="1" x14ac:dyDescent="0.25">
      <c r="A236" s="1739"/>
      <c r="B236" s="1741"/>
      <c r="C236" s="552" t="s">
        <v>1870</v>
      </c>
      <c r="D236" s="719" t="s">
        <v>1897</v>
      </c>
      <c r="E236" s="731"/>
      <c r="F236" s="731">
        <v>7817</v>
      </c>
      <c r="G236" s="731">
        <v>7817</v>
      </c>
      <c r="H236" s="793">
        <f t="shared" si="12"/>
        <v>100</v>
      </c>
    </row>
    <row r="237" spans="1:9" s="367" customFormat="1" ht="20.25" customHeight="1" thickTop="1" thickBot="1" x14ac:dyDescent="0.3">
      <c r="A237" s="708" t="s">
        <v>1105</v>
      </c>
      <c r="B237" s="709"/>
      <c r="C237" s="710"/>
      <c r="D237" s="711"/>
      <c r="E237" s="720">
        <f>SUM(E232)</f>
        <v>14237</v>
      </c>
      <c r="F237" s="720">
        <f>SUM(F232,F235)</f>
        <v>21896</v>
      </c>
      <c r="G237" s="720">
        <f>SUM(G232,G235)</f>
        <v>21894</v>
      </c>
      <c r="H237" s="794">
        <f>(G237/F237)*100</f>
        <v>99.990865911582034</v>
      </c>
    </row>
    <row r="238" spans="1:9" s="432" customFormat="1" ht="15.75" thickTop="1" x14ac:dyDescent="0.25">
      <c r="A238" s="754"/>
      <c r="B238" s="1754"/>
      <c r="C238" s="798"/>
      <c r="E238" s="487"/>
      <c r="F238" s="487"/>
      <c r="G238" s="487"/>
      <c r="H238" s="789"/>
    </row>
    <row r="239" spans="1:9" s="367" customFormat="1" ht="27.75" customHeight="1" thickBot="1" x14ac:dyDescent="0.3">
      <c r="A239" s="758" t="s">
        <v>1320</v>
      </c>
      <c r="B239" s="725"/>
      <c r="C239" s="726"/>
      <c r="D239" s="727"/>
      <c r="E239" s="796">
        <f>SUM(E237)</f>
        <v>14237</v>
      </c>
      <c r="F239" s="796">
        <f>SUM(F237)</f>
        <v>21896</v>
      </c>
      <c r="G239" s="796">
        <f>SUM(G237)</f>
        <v>21894</v>
      </c>
      <c r="H239" s="763">
        <f>(G239/F239)*100</f>
        <v>99.990865911582034</v>
      </c>
    </row>
    <row r="240" spans="1:9" s="795" customFormat="1" ht="14.25" customHeight="1" thickTop="1" x14ac:dyDescent="0.25">
      <c r="A240" s="1742"/>
      <c r="B240" s="1743"/>
      <c r="C240" s="1748"/>
      <c r="D240" s="1745"/>
      <c r="E240" s="799"/>
      <c r="F240" s="799"/>
      <c r="G240" s="799"/>
      <c r="H240" s="1749"/>
    </row>
    <row r="241" spans="1:12" s="795" customFormat="1" ht="14.25" customHeight="1" x14ac:dyDescent="0.25">
      <c r="A241" s="1742"/>
      <c r="B241" s="1743"/>
      <c r="C241" s="1748"/>
      <c r="D241" s="1745"/>
      <c r="E241" s="799"/>
      <c r="F241" s="799"/>
      <c r="G241" s="799"/>
      <c r="H241" s="1749"/>
    </row>
    <row r="242" spans="1:12" s="795" customFormat="1" ht="14.25" customHeight="1" x14ac:dyDescent="0.25">
      <c r="A242" s="1742"/>
      <c r="B242" s="1743"/>
      <c r="C242" s="1748"/>
      <c r="D242" s="1745"/>
      <c r="E242" s="799"/>
      <c r="F242" s="799"/>
      <c r="G242" s="799"/>
      <c r="H242" s="1749"/>
    </row>
    <row r="243" spans="1:12" s="501" customFormat="1" ht="15.75" x14ac:dyDescent="0.25">
      <c r="A243" s="695" t="s">
        <v>72</v>
      </c>
      <c r="B243" s="1766"/>
      <c r="C243" s="1766"/>
      <c r="D243" s="1766"/>
      <c r="E243" s="487" t="s">
        <v>444</v>
      </c>
      <c r="F243" s="487"/>
      <c r="G243" s="487"/>
      <c r="H243" s="789"/>
    </row>
    <row r="244" spans="1:12" ht="15" thickBot="1" x14ac:dyDescent="0.25">
      <c r="A244" s="1729"/>
      <c r="H244" s="1735" t="s">
        <v>161</v>
      </c>
    </row>
    <row r="245" spans="1:12" s="703" customFormat="1" ht="20.25" customHeight="1" thickTop="1" thickBot="1" x14ac:dyDescent="0.25">
      <c r="A245" s="755" t="s">
        <v>162</v>
      </c>
      <c r="B245" s="698" t="s">
        <v>163</v>
      </c>
      <c r="C245" s="699" t="s">
        <v>705</v>
      </c>
      <c r="D245" s="700" t="s">
        <v>164</v>
      </c>
      <c r="E245" s="701" t="s">
        <v>165</v>
      </c>
      <c r="F245" s="701" t="s">
        <v>881</v>
      </c>
      <c r="G245" s="701" t="s">
        <v>882</v>
      </c>
      <c r="H245" s="702" t="s">
        <v>883</v>
      </c>
    </row>
    <row r="246" spans="1:12" s="383" customFormat="1" ht="13.5" thickTop="1" thickBot="1" x14ac:dyDescent="0.25">
      <c r="A246" s="566">
        <v>1</v>
      </c>
      <c r="B246" s="567">
        <v>2</v>
      </c>
      <c r="C246" s="567">
        <v>3</v>
      </c>
      <c r="D246" s="567">
        <v>4</v>
      </c>
      <c r="E246" s="567">
        <v>5</v>
      </c>
      <c r="F246" s="541">
        <v>6</v>
      </c>
      <c r="G246" s="541">
        <v>7</v>
      </c>
      <c r="H246" s="636" t="s">
        <v>61</v>
      </c>
      <c r="I246" s="107"/>
    </row>
    <row r="247" spans="1:12" s="432" customFormat="1" ht="15.75" thickTop="1" x14ac:dyDescent="0.25">
      <c r="A247" s="1782">
        <v>4351</v>
      </c>
      <c r="B247" s="2425">
        <v>5331</v>
      </c>
      <c r="C247" s="1765"/>
      <c r="D247" s="624" t="s">
        <v>236</v>
      </c>
      <c r="E247" s="714">
        <f>E248+E249</f>
        <v>8212</v>
      </c>
      <c r="F247" s="714">
        <f>F248+F249</f>
        <v>7113</v>
      </c>
      <c r="G247" s="714">
        <f>G248+G249</f>
        <v>7113</v>
      </c>
      <c r="H247" s="705">
        <f>G247/F247*100</f>
        <v>100</v>
      </c>
    </row>
    <row r="248" spans="1:12" x14ac:dyDescent="0.2">
      <c r="A248" s="1739"/>
      <c r="B248" s="1740"/>
      <c r="C248" s="707" t="s">
        <v>575</v>
      </c>
      <c r="D248" s="1392" t="s">
        <v>1260</v>
      </c>
      <c r="E248" s="731">
        <v>1389</v>
      </c>
      <c r="F248" s="731">
        <v>1398</v>
      </c>
      <c r="G248" s="731">
        <v>1398</v>
      </c>
      <c r="H248" s="793">
        <f>(G248/F248)*100</f>
        <v>100</v>
      </c>
    </row>
    <row r="249" spans="1:12" x14ac:dyDescent="0.2">
      <c r="A249" s="1739"/>
      <c r="B249" s="1740"/>
      <c r="C249" s="552" t="s">
        <v>570</v>
      </c>
      <c r="D249" s="719" t="s">
        <v>1088</v>
      </c>
      <c r="E249" s="731">
        <v>6823</v>
      </c>
      <c r="F249" s="731">
        <v>5715</v>
      </c>
      <c r="G249" s="731">
        <v>5715</v>
      </c>
      <c r="H249" s="793">
        <f>(G249/F249)*100</f>
        <v>100</v>
      </c>
    </row>
    <row r="250" spans="1:12" ht="15" x14ac:dyDescent="0.25">
      <c r="A250" s="1739">
        <v>4351</v>
      </c>
      <c r="B250" s="1741">
        <v>5336</v>
      </c>
      <c r="C250" s="1770"/>
      <c r="D250" s="1725" t="s">
        <v>1659</v>
      </c>
      <c r="E250" s="731"/>
      <c r="F250" s="1429">
        <v>7576</v>
      </c>
      <c r="G250" s="1429">
        <v>7576</v>
      </c>
      <c r="H250" s="800">
        <f t="shared" ref="H250:H251" si="13">(G250/F250)*100</f>
        <v>100</v>
      </c>
    </row>
    <row r="251" spans="1:12" ht="15" thickBot="1" x14ac:dyDescent="0.25">
      <c r="A251" s="1739"/>
      <c r="B251" s="1741"/>
      <c r="C251" s="552" t="s">
        <v>1870</v>
      </c>
      <c r="D251" s="719" t="s">
        <v>1897</v>
      </c>
      <c r="E251" s="731"/>
      <c r="F251" s="731">
        <v>7576</v>
      </c>
      <c r="G251" s="731">
        <v>7576</v>
      </c>
      <c r="H251" s="793">
        <f t="shared" si="13"/>
        <v>100</v>
      </c>
    </row>
    <row r="252" spans="1:12" s="367" customFormat="1" ht="20.25" customHeight="1" thickTop="1" thickBot="1" x14ac:dyDescent="0.3">
      <c r="A252" s="708" t="s">
        <v>1105</v>
      </c>
      <c r="B252" s="709"/>
      <c r="C252" s="710"/>
      <c r="D252" s="711"/>
      <c r="E252" s="720">
        <f>SUM(E247)</f>
        <v>8212</v>
      </c>
      <c r="F252" s="720">
        <f>SUM(F247,F250)</f>
        <v>14689</v>
      </c>
      <c r="G252" s="720">
        <f>SUM(G247,G250)</f>
        <v>14689</v>
      </c>
      <c r="H252" s="794">
        <f>(G252/F252)*100</f>
        <v>100</v>
      </c>
    </row>
    <row r="253" spans="1:12" ht="15" thickTop="1" x14ac:dyDescent="0.2">
      <c r="A253" s="1729"/>
    </row>
    <row r="254" spans="1:12" s="367" customFormat="1" ht="27.75" customHeight="1" thickBot="1" x14ac:dyDescent="0.3">
      <c r="A254" s="758" t="s">
        <v>73</v>
      </c>
      <c r="B254" s="725"/>
      <c r="C254" s="726"/>
      <c r="D254" s="727"/>
      <c r="E254" s="796">
        <f>SUM(E252)</f>
        <v>8212</v>
      </c>
      <c r="F254" s="796">
        <f>SUM(F252)</f>
        <v>14689</v>
      </c>
      <c r="G254" s="796">
        <f>SUM(G252)</f>
        <v>14689</v>
      </c>
      <c r="H254" s="763">
        <f>(G254/F254)*100</f>
        <v>100</v>
      </c>
      <c r="J254" s="797"/>
      <c r="K254" s="797"/>
      <c r="L254" s="797"/>
    </row>
    <row r="255" spans="1:12" s="795" customFormat="1" ht="14.25" customHeight="1" thickTop="1" x14ac:dyDescent="0.25">
      <c r="A255" s="1742"/>
      <c r="B255" s="1743"/>
      <c r="C255" s="1744"/>
      <c r="D255" s="1745"/>
      <c r="E255" s="1746"/>
      <c r="F255" s="1746"/>
      <c r="G255" s="1746"/>
      <c r="H255" s="1747"/>
      <c r="J255" s="802"/>
      <c r="K255" s="802"/>
      <c r="L255" s="802"/>
    </row>
    <row r="256" spans="1:12" s="795" customFormat="1" ht="14.25" customHeight="1" x14ac:dyDescent="0.25">
      <c r="A256" s="1742"/>
      <c r="B256" s="1743"/>
      <c r="C256" s="1744"/>
      <c r="D256" s="1745"/>
      <c r="E256" s="1746"/>
      <c r="F256" s="1746"/>
      <c r="G256" s="1746"/>
      <c r="H256" s="1747"/>
      <c r="J256" s="802"/>
      <c r="K256" s="802"/>
      <c r="L256" s="802"/>
    </row>
    <row r="257" spans="1:12" s="795" customFormat="1" ht="14.25" customHeight="1" x14ac:dyDescent="0.25">
      <c r="A257" s="1742"/>
      <c r="B257" s="1743"/>
      <c r="C257" s="1744"/>
      <c r="D257" s="1745"/>
      <c r="E257" s="1746"/>
      <c r="F257" s="1746"/>
      <c r="G257" s="1746"/>
      <c r="H257" s="1747"/>
      <c r="J257" s="802"/>
      <c r="K257" s="802"/>
      <c r="L257" s="802"/>
    </row>
    <row r="258" spans="1:12" s="795" customFormat="1" ht="14.25" customHeight="1" x14ac:dyDescent="0.25">
      <c r="A258" s="1742"/>
      <c r="B258" s="1743"/>
      <c r="C258" s="1744"/>
      <c r="D258" s="1745"/>
      <c r="E258" s="1746"/>
      <c r="F258" s="1746"/>
      <c r="G258" s="1746"/>
      <c r="H258" s="1747"/>
      <c r="J258" s="802"/>
      <c r="K258" s="802"/>
      <c r="L258" s="802"/>
    </row>
    <row r="259" spans="1:12" s="795" customFormat="1" ht="14.25" customHeight="1" x14ac:dyDescent="0.25">
      <c r="A259" s="1742"/>
      <c r="B259" s="1743"/>
      <c r="C259" s="1744"/>
      <c r="D259" s="1745"/>
      <c r="E259" s="1746"/>
      <c r="F259" s="1746"/>
      <c r="G259" s="1746"/>
      <c r="H259" s="1747"/>
      <c r="J259" s="802"/>
      <c r="K259" s="802"/>
      <c r="L259" s="802"/>
    </row>
    <row r="260" spans="1:12" s="501" customFormat="1" ht="14.25" customHeight="1" x14ac:dyDescent="0.25">
      <c r="A260" s="695" t="s">
        <v>252</v>
      </c>
      <c r="B260" s="735"/>
      <c r="C260" s="798"/>
      <c r="E260" s="487" t="s">
        <v>1321</v>
      </c>
      <c r="F260" s="487"/>
      <c r="G260" s="487"/>
      <c r="H260" s="789"/>
    </row>
    <row r="261" spans="1:12" ht="15" thickBot="1" x14ac:dyDescent="0.25">
      <c r="A261" s="1729"/>
      <c r="H261" s="1735" t="s">
        <v>161</v>
      </c>
    </row>
    <row r="262" spans="1:12" s="703" customFormat="1" ht="20.25" customHeight="1" thickTop="1" thickBot="1" x14ac:dyDescent="0.25">
      <c r="A262" s="755" t="s">
        <v>162</v>
      </c>
      <c r="B262" s="698" t="s">
        <v>163</v>
      </c>
      <c r="C262" s="699" t="s">
        <v>705</v>
      </c>
      <c r="D262" s="700" t="s">
        <v>164</v>
      </c>
      <c r="E262" s="701" t="s">
        <v>165</v>
      </c>
      <c r="F262" s="701" t="s">
        <v>881</v>
      </c>
      <c r="G262" s="701" t="s">
        <v>882</v>
      </c>
      <c r="H262" s="702" t="s">
        <v>883</v>
      </c>
    </row>
    <row r="263" spans="1:12" s="383" customFormat="1" ht="13.5" thickTop="1" thickBot="1" x14ac:dyDescent="0.25">
      <c r="A263" s="566">
        <v>1</v>
      </c>
      <c r="B263" s="567">
        <v>2</v>
      </c>
      <c r="C263" s="567">
        <v>3</v>
      </c>
      <c r="D263" s="567">
        <v>4</v>
      </c>
      <c r="E263" s="567">
        <v>5</v>
      </c>
      <c r="F263" s="541">
        <v>6</v>
      </c>
      <c r="G263" s="541">
        <v>7</v>
      </c>
      <c r="H263" s="636" t="s">
        <v>61</v>
      </c>
      <c r="I263" s="107"/>
    </row>
    <row r="264" spans="1:12" s="432" customFormat="1" ht="15.75" thickTop="1" x14ac:dyDescent="0.25">
      <c r="A264" s="1782">
        <v>4357</v>
      </c>
      <c r="B264" s="2425">
        <v>5331</v>
      </c>
      <c r="C264" s="1765"/>
      <c r="D264" s="624" t="s">
        <v>236</v>
      </c>
      <c r="E264" s="714">
        <f>E265+E266</f>
        <v>11643</v>
      </c>
      <c r="F264" s="714">
        <f>F265+F266</f>
        <v>9700</v>
      </c>
      <c r="G264" s="714">
        <f>G265+G266</f>
        <v>9700</v>
      </c>
      <c r="H264" s="705">
        <f>G264/F264*100</f>
        <v>100</v>
      </c>
    </row>
    <row r="265" spans="1:12" x14ac:dyDescent="0.2">
      <c r="A265" s="1739"/>
      <c r="B265" s="1740"/>
      <c r="C265" s="707" t="s">
        <v>575</v>
      </c>
      <c r="D265" s="1392" t="s">
        <v>1260</v>
      </c>
      <c r="E265" s="731">
        <v>1290</v>
      </c>
      <c r="F265" s="731">
        <v>1393</v>
      </c>
      <c r="G265" s="731">
        <v>1393</v>
      </c>
      <c r="H265" s="793">
        <f>(G265/F265)*100</f>
        <v>100</v>
      </c>
    </row>
    <row r="266" spans="1:12" x14ac:dyDescent="0.2">
      <c r="A266" s="1739"/>
      <c r="B266" s="1740"/>
      <c r="C266" s="552" t="s">
        <v>570</v>
      </c>
      <c r="D266" s="719" t="s">
        <v>1088</v>
      </c>
      <c r="E266" s="731">
        <v>10353</v>
      </c>
      <c r="F266" s="731">
        <v>8307</v>
      </c>
      <c r="G266" s="731">
        <v>8307</v>
      </c>
      <c r="H266" s="793">
        <f>(G266/F266)*100</f>
        <v>100</v>
      </c>
    </row>
    <row r="267" spans="1:12" ht="15" x14ac:dyDescent="0.25">
      <c r="A267" s="1739">
        <v>4357</v>
      </c>
      <c r="B267" s="1741">
        <v>5336</v>
      </c>
      <c r="C267" s="1770"/>
      <c r="D267" s="1725" t="s">
        <v>1659</v>
      </c>
      <c r="E267" s="731"/>
      <c r="F267" s="1429">
        <f>F268+F269+F270</f>
        <v>10583</v>
      </c>
      <c r="G267" s="1429">
        <f>G268+G269+G270</f>
        <v>10583</v>
      </c>
      <c r="H267" s="800">
        <f t="shared" ref="H267:H268" si="14">(G267/F267)*100</f>
        <v>100</v>
      </c>
    </row>
    <row r="268" spans="1:12" x14ac:dyDescent="0.2">
      <c r="A268" s="1739"/>
      <c r="B268" s="1741"/>
      <c r="C268" s="552" t="s">
        <v>1870</v>
      </c>
      <c r="D268" s="719" t="s">
        <v>1897</v>
      </c>
      <c r="E268" s="731"/>
      <c r="F268" s="731">
        <v>9679</v>
      </c>
      <c r="G268" s="731">
        <v>9679</v>
      </c>
      <c r="H268" s="793">
        <f t="shared" si="14"/>
        <v>100</v>
      </c>
    </row>
    <row r="269" spans="1:12" x14ac:dyDescent="0.2">
      <c r="A269" s="1739"/>
      <c r="B269" s="1740"/>
      <c r="C269" s="552" t="s">
        <v>1355</v>
      </c>
      <c r="D269" s="1751" t="s">
        <v>1356</v>
      </c>
      <c r="E269" s="731"/>
      <c r="F269" s="731">
        <v>136</v>
      </c>
      <c r="G269" s="731">
        <v>136</v>
      </c>
      <c r="H269" s="793">
        <f>(G269/F269)*100</f>
        <v>100</v>
      </c>
    </row>
    <row r="270" spans="1:12" ht="15" thickBot="1" x14ac:dyDescent="0.25">
      <c r="A270" s="1739"/>
      <c r="B270" s="1740"/>
      <c r="C270" s="552" t="s">
        <v>1357</v>
      </c>
      <c r="D270" s="2437" t="s">
        <v>1358</v>
      </c>
      <c r="E270" s="731"/>
      <c r="F270" s="731">
        <v>768</v>
      </c>
      <c r="G270" s="731">
        <v>768</v>
      </c>
      <c r="H270" s="793">
        <f>(G270/F270)*100</f>
        <v>100</v>
      </c>
    </row>
    <row r="271" spans="1:12" s="367" customFormat="1" ht="20.25" customHeight="1" thickTop="1" thickBot="1" x14ac:dyDescent="0.3">
      <c r="A271" s="708" t="s">
        <v>1105</v>
      </c>
      <c r="B271" s="709"/>
      <c r="C271" s="710"/>
      <c r="D271" s="711"/>
      <c r="E271" s="720">
        <f>SUM(E264)</f>
        <v>11643</v>
      </c>
      <c r="F271" s="720">
        <f>SUM(F264,F267)</f>
        <v>20283</v>
      </c>
      <c r="G271" s="720">
        <f>SUM(G264,G267)</f>
        <v>20283</v>
      </c>
      <c r="H271" s="794">
        <f>(G271/F271)*100</f>
        <v>100</v>
      </c>
    </row>
    <row r="272" spans="1:12" s="432" customFormat="1" ht="15.75" thickTop="1" x14ac:dyDescent="0.25">
      <c r="A272" s="1782">
        <v>4357</v>
      </c>
      <c r="B272" s="2425">
        <v>6351</v>
      </c>
      <c r="C272" s="1765"/>
      <c r="D272" s="624" t="s">
        <v>1175</v>
      </c>
      <c r="E272" s="714"/>
      <c r="F272" s="714">
        <v>1400</v>
      </c>
      <c r="G272" s="714">
        <v>1400</v>
      </c>
      <c r="H272" s="800">
        <f t="shared" ref="H272:H275" si="15">(G272/F272)*100</f>
        <v>100</v>
      </c>
      <c r="I272" s="911"/>
      <c r="J272" s="911"/>
    </row>
    <row r="273" spans="1:19" x14ac:dyDescent="0.2">
      <c r="A273" s="1739"/>
      <c r="B273" s="1740"/>
      <c r="C273" s="715" t="s">
        <v>754</v>
      </c>
      <c r="D273" s="119" t="s">
        <v>890</v>
      </c>
      <c r="E273" s="731"/>
      <c r="F273" s="731">
        <v>1400</v>
      </c>
      <c r="G273" s="731">
        <v>1400</v>
      </c>
      <c r="H273" s="793">
        <f t="shared" si="15"/>
        <v>100</v>
      </c>
    </row>
    <row r="274" spans="1:19" ht="15" x14ac:dyDescent="0.25">
      <c r="A274" s="1739">
        <v>4357</v>
      </c>
      <c r="B274" s="1740">
        <v>6351</v>
      </c>
      <c r="C274" s="715"/>
      <c r="D274" s="426" t="s">
        <v>1175</v>
      </c>
      <c r="E274" s="731"/>
      <c r="F274" s="1429">
        <v>663</v>
      </c>
      <c r="G274" s="1429">
        <v>663</v>
      </c>
      <c r="H274" s="800">
        <f t="shared" si="15"/>
        <v>100</v>
      </c>
    </row>
    <row r="275" spans="1:19" ht="15" thickBot="1" x14ac:dyDescent="0.25">
      <c r="A275" s="1739"/>
      <c r="B275" s="1740"/>
      <c r="C275" s="715" t="s">
        <v>754</v>
      </c>
      <c r="D275" s="119" t="s">
        <v>890</v>
      </c>
      <c r="E275" s="731"/>
      <c r="F275" s="731">
        <v>663</v>
      </c>
      <c r="G275" s="731">
        <v>663</v>
      </c>
      <c r="H275" s="793">
        <f t="shared" si="15"/>
        <v>100</v>
      </c>
    </row>
    <row r="276" spans="1:19" s="367" customFormat="1" ht="20.25" customHeight="1" thickTop="1" thickBot="1" x14ac:dyDescent="0.3">
      <c r="A276" s="708" t="s">
        <v>1106</v>
      </c>
      <c r="B276" s="709"/>
      <c r="C276" s="710"/>
      <c r="D276" s="711"/>
      <c r="E276" s="720">
        <f>E272</f>
        <v>0</v>
      </c>
      <c r="F276" s="720">
        <f>SUM(F272,F274)</f>
        <v>2063</v>
      </c>
      <c r="G276" s="720">
        <f>SUM(G272,G274)</f>
        <v>2063</v>
      </c>
      <c r="H276" s="794">
        <f>SUM(H272)</f>
        <v>100</v>
      </c>
      <c r="S276" s="367">
        <v>0</v>
      </c>
    </row>
    <row r="277" spans="1:19" s="432" customFormat="1" ht="15.75" thickTop="1" x14ac:dyDescent="0.25">
      <c r="A277" s="754"/>
      <c r="B277" s="1754"/>
      <c r="C277" s="798"/>
      <c r="E277" s="487"/>
      <c r="F277" s="487"/>
      <c r="G277" s="487"/>
      <c r="H277" s="789"/>
    </row>
    <row r="278" spans="1:19" s="367" customFormat="1" ht="27.75" customHeight="1" thickBot="1" x14ac:dyDescent="0.3">
      <c r="A278" s="758" t="s">
        <v>253</v>
      </c>
      <c r="B278" s="725"/>
      <c r="C278" s="726"/>
      <c r="D278" s="727"/>
      <c r="E278" s="796">
        <f>SUM(E271)</f>
        <v>11643</v>
      </c>
      <c r="F278" s="796">
        <f>SUM(F271,F276)</f>
        <v>22346</v>
      </c>
      <c r="G278" s="796">
        <f>SUM(G271,G276)</f>
        <v>22346</v>
      </c>
      <c r="H278" s="763">
        <f>(G278/F278)*100</f>
        <v>100</v>
      </c>
    </row>
    <row r="279" spans="1:19" s="795" customFormat="1" ht="15" customHeight="1" thickTop="1" x14ac:dyDescent="0.25">
      <c r="A279" s="1742"/>
      <c r="B279" s="1743"/>
      <c r="C279" s="1744"/>
      <c r="D279" s="1745"/>
      <c r="E279" s="1746"/>
      <c r="F279" s="1746"/>
      <c r="G279" s="1746"/>
      <c r="H279" s="1747"/>
    </row>
    <row r="280" spans="1:19" s="795" customFormat="1" ht="15" customHeight="1" x14ac:dyDescent="0.25">
      <c r="A280" s="1742"/>
      <c r="B280" s="1743"/>
      <c r="C280" s="1744"/>
      <c r="D280" s="1745"/>
      <c r="E280" s="1746"/>
      <c r="F280" s="1746"/>
      <c r="G280" s="1746"/>
      <c r="H280" s="1747"/>
    </row>
    <row r="281" spans="1:19" s="795" customFormat="1" ht="15.75" customHeight="1" x14ac:dyDescent="0.25">
      <c r="A281" s="1742"/>
      <c r="B281" s="1743"/>
      <c r="C281" s="1744"/>
      <c r="D281" s="1745"/>
      <c r="E281" s="1746"/>
      <c r="F281" s="1746"/>
      <c r="G281" s="1746"/>
      <c r="H281" s="1747"/>
    </row>
    <row r="282" spans="1:19" s="795" customFormat="1" ht="13.5" customHeight="1" x14ac:dyDescent="0.25">
      <c r="A282" s="1742"/>
      <c r="B282" s="1743"/>
      <c r="C282" s="1744"/>
      <c r="D282" s="1745"/>
      <c r="E282" s="1746"/>
      <c r="F282" s="1746"/>
      <c r="G282" s="1746"/>
      <c r="H282" s="1747"/>
    </row>
    <row r="283" spans="1:19" s="432" customFormat="1" ht="15.75" x14ac:dyDescent="0.25">
      <c r="A283" s="695" t="s">
        <v>1322</v>
      </c>
      <c r="B283" s="735"/>
      <c r="C283" s="798"/>
      <c r="D283" s="501"/>
      <c r="E283" s="487" t="s">
        <v>1323</v>
      </c>
      <c r="F283" s="487"/>
      <c r="G283" s="487"/>
      <c r="H283" s="789"/>
    </row>
    <row r="284" spans="1:19" ht="15.75" thickBot="1" x14ac:dyDescent="0.25">
      <c r="A284" s="1453"/>
      <c r="B284" s="809"/>
      <c r="D284" s="810"/>
      <c r="H284" s="1735" t="s">
        <v>161</v>
      </c>
    </row>
    <row r="285" spans="1:19" s="703" customFormat="1" ht="20.25" customHeight="1" thickTop="1" thickBot="1" x14ac:dyDescent="0.25">
      <c r="A285" s="755" t="s">
        <v>162</v>
      </c>
      <c r="B285" s="698" t="s">
        <v>163</v>
      </c>
      <c r="C285" s="699" t="s">
        <v>705</v>
      </c>
      <c r="D285" s="700" t="s">
        <v>164</v>
      </c>
      <c r="E285" s="701" t="s">
        <v>165</v>
      </c>
      <c r="F285" s="701" t="s">
        <v>881</v>
      </c>
      <c r="G285" s="701" t="s">
        <v>882</v>
      </c>
      <c r="H285" s="702" t="s">
        <v>883</v>
      </c>
    </row>
    <row r="286" spans="1:19" s="383" customFormat="1" ht="13.5" thickTop="1" thickBot="1" x14ac:dyDescent="0.25">
      <c r="A286" s="566">
        <v>1</v>
      </c>
      <c r="B286" s="567">
        <v>2</v>
      </c>
      <c r="C286" s="567">
        <v>3</v>
      </c>
      <c r="D286" s="567">
        <v>4</v>
      </c>
      <c r="E286" s="567">
        <v>5</v>
      </c>
      <c r="F286" s="541">
        <v>6</v>
      </c>
      <c r="G286" s="541">
        <v>7</v>
      </c>
      <c r="H286" s="636" t="s">
        <v>61</v>
      </c>
      <c r="I286" s="107"/>
    </row>
    <row r="287" spans="1:19" s="432" customFormat="1" ht="15.75" thickTop="1" x14ac:dyDescent="0.25">
      <c r="A287" s="1782">
        <v>4356</v>
      </c>
      <c r="B287" s="2425">
        <v>5331</v>
      </c>
      <c r="C287" s="1765"/>
      <c r="D287" s="624" t="s">
        <v>236</v>
      </c>
      <c r="E287" s="714">
        <f>E288+E289</f>
        <v>4702</v>
      </c>
      <c r="F287" s="714">
        <f>F288+F289</f>
        <v>5183</v>
      </c>
      <c r="G287" s="714">
        <f>G288+G289</f>
        <v>5183</v>
      </c>
      <c r="H287" s="705">
        <f>G287/F287*100</f>
        <v>100</v>
      </c>
    </row>
    <row r="288" spans="1:19" x14ac:dyDescent="0.2">
      <c r="A288" s="1739"/>
      <c r="B288" s="1740"/>
      <c r="C288" s="707" t="s">
        <v>575</v>
      </c>
      <c r="D288" s="1392" t="s">
        <v>1260</v>
      </c>
      <c r="E288" s="731">
        <v>766</v>
      </c>
      <c r="F288" s="731">
        <v>728</v>
      </c>
      <c r="G288" s="731">
        <v>728</v>
      </c>
      <c r="H288" s="793">
        <f t="shared" ref="H288:H294" si="16">(G288/F288)*100</f>
        <v>100</v>
      </c>
    </row>
    <row r="289" spans="1:9" x14ac:dyDescent="0.2">
      <c r="A289" s="1739"/>
      <c r="B289" s="1740"/>
      <c r="C289" s="552" t="s">
        <v>570</v>
      </c>
      <c r="D289" s="569" t="s">
        <v>1088</v>
      </c>
      <c r="E289" s="731">
        <v>3936</v>
      </c>
      <c r="F289" s="731">
        <v>4455</v>
      </c>
      <c r="G289" s="731">
        <v>4455</v>
      </c>
      <c r="H289" s="793">
        <f t="shared" si="16"/>
        <v>100</v>
      </c>
    </row>
    <row r="290" spans="1:9" ht="15" x14ac:dyDescent="0.25">
      <c r="A290" s="1739">
        <v>4356</v>
      </c>
      <c r="B290" s="1740">
        <v>5336</v>
      </c>
      <c r="C290" s="552"/>
      <c r="D290" s="1725" t="s">
        <v>1659</v>
      </c>
      <c r="E290" s="731"/>
      <c r="F290" s="1429">
        <v>3567</v>
      </c>
      <c r="G290" s="1429">
        <v>3567</v>
      </c>
      <c r="H290" s="800">
        <f t="shared" si="16"/>
        <v>100</v>
      </c>
    </row>
    <row r="291" spans="1:9" x14ac:dyDescent="0.2">
      <c r="A291" s="1739"/>
      <c r="B291" s="1740"/>
      <c r="C291" s="552" t="s">
        <v>1870</v>
      </c>
      <c r="D291" s="719" t="s">
        <v>1897</v>
      </c>
      <c r="E291" s="731"/>
      <c r="F291" s="731">
        <v>3567</v>
      </c>
      <c r="G291" s="731">
        <v>3567</v>
      </c>
      <c r="H291" s="793">
        <f t="shared" si="16"/>
        <v>100</v>
      </c>
    </row>
    <row r="292" spans="1:9" s="432" customFormat="1" ht="15" x14ac:dyDescent="0.25">
      <c r="A292" s="1739">
        <v>4399</v>
      </c>
      <c r="B292" s="1740">
        <v>5331</v>
      </c>
      <c r="C292" s="1769"/>
      <c r="D292" s="426" t="s">
        <v>236</v>
      </c>
      <c r="E292" s="1429"/>
      <c r="F292" s="1429">
        <v>25</v>
      </c>
      <c r="G292" s="1429">
        <v>25</v>
      </c>
      <c r="H292" s="800">
        <f t="shared" si="16"/>
        <v>100</v>
      </c>
    </row>
    <row r="293" spans="1:9" ht="15" thickBot="1" x14ac:dyDescent="0.25">
      <c r="A293" s="1739"/>
      <c r="B293" s="1740"/>
      <c r="C293" s="1084" t="s">
        <v>1202</v>
      </c>
      <c r="D293" s="1631" t="s">
        <v>1635</v>
      </c>
      <c r="E293" s="731"/>
      <c r="F293" s="731">
        <v>25</v>
      </c>
      <c r="G293" s="731">
        <v>25</v>
      </c>
      <c r="H293" s="793">
        <f t="shared" si="16"/>
        <v>100</v>
      </c>
    </row>
    <row r="294" spans="1:9" s="367" customFormat="1" ht="20.25" customHeight="1" thickTop="1" thickBot="1" x14ac:dyDescent="0.3">
      <c r="A294" s="708" t="s">
        <v>1105</v>
      </c>
      <c r="B294" s="709"/>
      <c r="C294" s="710"/>
      <c r="D294" s="711"/>
      <c r="E294" s="720">
        <f>E287</f>
        <v>4702</v>
      </c>
      <c r="F294" s="720">
        <f>SUM(F287,F292,F290)</f>
        <v>8775</v>
      </c>
      <c r="G294" s="720">
        <f>SUM(G287,G292,G290)</f>
        <v>8775</v>
      </c>
      <c r="H294" s="794">
        <f t="shared" si="16"/>
        <v>100</v>
      </c>
    </row>
    <row r="295" spans="1:9" s="367" customFormat="1" ht="20.25" customHeight="1" thickTop="1" x14ac:dyDescent="0.25">
      <c r="A295" s="361"/>
      <c r="B295" s="362"/>
      <c r="C295" s="363"/>
      <c r="D295" s="364"/>
      <c r="E295" s="365"/>
      <c r="F295" s="365"/>
      <c r="G295" s="365"/>
      <c r="H295" s="366"/>
    </row>
    <row r="296" spans="1:9" s="367" customFormat="1" ht="27.75" customHeight="1" thickBot="1" x14ac:dyDescent="0.3">
      <c r="A296" s="758" t="s">
        <v>1324</v>
      </c>
      <c r="B296" s="725"/>
      <c r="C296" s="726"/>
      <c r="D296" s="727"/>
      <c r="E296" s="796">
        <f>SUM(E294)</f>
        <v>4702</v>
      </c>
      <c r="F296" s="796">
        <f>SUM(F294)</f>
        <v>8775</v>
      </c>
      <c r="G296" s="796">
        <f>SUM(G294)</f>
        <v>8775</v>
      </c>
      <c r="H296" s="763">
        <f>(G296/F296)*100</f>
        <v>100</v>
      </c>
    </row>
    <row r="297" spans="1:9" s="795" customFormat="1" ht="15.75" customHeight="1" thickTop="1" x14ac:dyDescent="0.25">
      <c r="A297" s="1742"/>
      <c r="B297" s="1743"/>
      <c r="C297" s="1744"/>
      <c r="D297" s="1745"/>
      <c r="E297" s="1746"/>
      <c r="F297" s="1746"/>
      <c r="G297" s="1746"/>
      <c r="H297" s="1747"/>
    </row>
    <row r="298" spans="1:9" s="795" customFormat="1" ht="15.75" customHeight="1" x14ac:dyDescent="0.25">
      <c r="A298" s="1742"/>
      <c r="B298" s="1743"/>
      <c r="C298" s="1744"/>
      <c r="D298" s="1745"/>
      <c r="E298" s="1746"/>
      <c r="F298" s="1746"/>
      <c r="G298" s="1746"/>
      <c r="H298" s="1747"/>
    </row>
    <row r="299" spans="1:9" s="795" customFormat="1" ht="15.75" customHeight="1" x14ac:dyDescent="0.25">
      <c r="A299" s="1742"/>
      <c r="B299" s="1743"/>
      <c r="C299" s="1744"/>
      <c r="D299" s="1745"/>
      <c r="E299" s="1746"/>
      <c r="F299" s="1746"/>
      <c r="G299" s="1746"/>
      <c r="H299" s="1747"/>
    </row>
    <row r="300" spans="1:9" s="795" customFormat="1" ht="12.75" customHeight="1" x14ac:dyDescent="0.25">
      <c r="A300" s="1742"/>
      <c r="B300" s="1743"/>
      <c r="C300" s="1744"/>
      <c r="D300" s="1745"/>
      <c r="E300" s="1746"/>
      <c r="F300" s="1746"/>
      <c r="G300" s="1746"/>
      <c r="H300" s="1747"/>
    </row>
    <row r="301" spans="1:9" s="501" customFormat="1" ht="15.75" x14ac:dyDescent="0.25">
      <c r="A301" s="695" t="s">
        <v>1326</v>
      </c>
      <c r="B301" s="735"/>
      <c r="C301" s="798"/>
      <c r="E301" s="487" t="s">
        <v>1325</v>
      </c>
      <c r="F301" s="487"/>
      <c r="G301" s="487"/>
    </row>
    <row r="302" spans="1:9" s="810" customFormat="1" ht="15.75" thickBot="1" x14ac:dyDescent="0.25">
      <c r="A302" s="1453"/>
      <c r="B302" s="809"/>
      <c r="C302" s="663"/>
      <c r="E302" s="1728"/>
      <c r="F302" s="1728"/>
      <c r="G302" s="1728"/>
      <c r="H302" s="1735" t="s">
        <v>161</v>
      </c>
    </row>
    <row r="303" spans="1:9" s="703" customFormat="1" ht="20.25" customHeight="1" thickTop="1" thickBot="1" x14ac:dyDescent="0.25">
      <c r="A303" s="755" t="s">
        <v>162</v>
      </c>
      <c r="B303" s="698" t="s">
        <v>163</v>
      </c>
      <c r="C303" s="699" t="s">
        <v>705</v>
      </c>
      <c r="D303" s="700" t="s">
        <v>164</v>
      </c>
      <c r="E303" s="701" t="s">
        <v>165</v>
      </c>
      <c r="F303" s="701" t="s">
        <v>881</v>
      </c>
      <c r="G303" s="701" t="s">
        <v>882</v>
      </c>
      <c r="H303" s="702" t="s">
        <v>883</v>
      </c>
    </row>
    <row r="304" spans="1:9" s="383" customFormat="1" ht="13.5" thickTop="1" thickBot="1" x14ac:dyDescent="0.25">
      <c r="A304" s="566">
        <v>1</v>
      </c>
      <c r="B304" s="567">
        <v>2</v>
      </c>
      <c r="C304" s="567">
        <v>3</v>
      </c>
      <c r="D304" s="567">
        <v>4</v>
      </c>
      <c r="E304" s="567">
        <v>5</v>
      </c>
      <c r="F304" s="541">
        <v>6</v>
      </c>
      <c r="G304" s="541">
        <v>7</v>
      </c>
      <c r="H304" s="636" t="s">
        <v>61</v>
      </c>
      <c r="I304" s="107"/>
    </row>
    <row r="305" spans="1:11" s="432" customFormat="1" ht="15.75" thickTop="1" x14ac:dyDescent="0.25">
      <c r="A305" s="1782">
        <v>4357</v>
      </c>
      <c r="B305" s="2425">
        <v>5331</v>
      </c>
      <c r="C305" s="1765"/>
      <c r="D305" s="624" t="s">
        <v>236</v>
      </c>
      <c r="E305" s="714">
        <f>E306+E307</f>
        <v>10138</v>
      </c>
      <c r="F305" s="714">
        <f>F306+F307</f>
        <v>12064</v>
      </c>
      <c r="G305" s="714">
        <f>G306+G307</f>
        <v>12056</v>
      </c>
      <c r="H305" s="705">
        <f>G305/F305*100</f>
        <v>99.933687002652519</v>
      </c>
    </row>
    <row r="306" spans="1:11" x14ac:dyDescent="0.2">
      <c r="A306" s="1739"/>
      <c r="B306" s="1740"/>
      <c r="C306" s="707" t="s">
        <v>575</v>
      </c>
      <c r="D306" s="1392" t="s">
        <v>1260</v>
      </c>
      <c r="E306" s="731">
        <v>2229</v>
      </c>
      <c r="F306" s="731">
        <v>2300</v>
      </c>
      <c r="G306" s="731">
        <v>2292</v>
      </c>
      <c r="H306" s="793">
        <f t="shared" ref="H306:H312" si="17">(G306/F306)*100</f>
        <v>99.65217391304347</v>
      </c>
    </row>
    <row r="307" spans="1:11" x14ac:dyDescent="0.2">
      <c r="A307" s="1739"/>
      <c r="B307" s="1740"/>
      <c r="C307" s="552" t="s">
        <v>570</v>
      </c>
      <c r="D307" s="719" t="s">
        <v>1088</v>
      </c>
      <c r="E307" s="731">
        <v>7909</v>
      </c>
      <c r="F307" s="731">
        <v>9764</v>
      </c>
      <c r="G307" s="731">
        <v>9764</v>
      </c>
      <c r="H307" s="793">
        <f t="shared" si="17"/>
        <v>100</v>
      </c>
    </row>
    <row r="308" spans="1:11" s="432" customFormat="1" ht="15" x14ac:dyDescent="0.25">
      <c r="A308" s="1739">
        <v>4357</v>
      </c>
      <c r="B308" s="1740">
        <v>5336</v>
      </c>
      <c r="C308" s="1770"/>
      <c r="D308" s="672" t="s">
        <v>2054</v>
      </c>
      <c r="E308" s="1429"/>
      <c r="F308" s="1429">
        <f>F310+F311+F309</f>
        <v>8262</v>
      </c>
      <c r="G308" s="1429">
        <f>G310+G311+G309</f>
        <v>8262</v>
      </c>
      <c r="H308" s="800">
        <f t="shared" si="17"/>
        <v>100</v>
      </c>
    </row>
    <row r="309" spans="1:11" s="432" customFormat="1" ht="15" x14ac:dyDescent="0.25">
      <c r="A309" s="1739"/>
      <c r="B309" s="1740"/>
      <c r="C309" s="552" t="s">
        <v>1870</v>
      </c>
      <c r="D309" s="719" t="s">
        <v>1897</v>
      </c>
      <c r="E309" s="1429"/>
      <c r="F309" s="731">
        <v>7507</v>
      </c>
      <c r="G309" s="731">
        <v>7507</v>
      </c>
      <c r="H309" s="793">
        <f t="shared" si="17"/>
        <v>100</v>
      </c>
    </row>
    <row r="310" spans="1:11" s="432" customFormat="1" ht="15" x14ac:dyDescent="0.25">
      <c r="A310" s="1767"/>
      <c r="B310" s="1768"/>
      <c r="C310" s="552" t="s">
        <v>1355</v>
      </c>
      <c r="D310" s="1751" t="s">
        <v>1356</v>
      </c>
      <c r="E310" s="1429"/>
      <c r="F310" s="731">
        <v>113</v>
      </c>
      <c r="G310" s="731">
        <v>113</v>
      </c>
      <c r="H310" s="793">
        <f t="shared" si="17"/>
        <v>100</v>
      </c>
    </row>
    <row r="311" spans="1:11" ht="15" thickBot="1" x14ac:dyDescent="0.25">
      <c r="A311" s="1739"/>
      <c r="B311" s="1740"/>
      <c r="C311" s="552" t="s">
        <v>1357</v>
      </c>
      <c r="D311" s="1752" t="s">
        <v>1358</v>
      </c>
      <c r="E311" s="731"/>
      <c r="F311" s="731">
        <v>642</v>
      </c>
      <c r="G311" s="731">
        <v>642</v>
      </c>
      <c r="H311" s="793">
        <f t="shared" si="17"/>
        <v>100</v>
      </c>
    </row>
    <row r="312" spans="1:11" s="367" customFormat="1" ht="20.25" customHeight="1" thickTop="1" thickBot="1" x14ac:dyDescent="0.3">
      <c r="A312" s="708" t="s">
        <v>1105</v>
      </c>
      <c r="B312" s="709"/>
      <c r="C312" s="710"/>
      <c r="D312" s="711"/>
      <c r="E312" s="720">
        <f>SUM(E305)</f>
        <v>10138</v>
      </c>
      <c r="F312" s="720">
        <f>SUM(F305,F308)</f>
        <v>20326</v>
      </c>
      <c r="G312" s="720">
        <f>SUM(G305,G308)</f>
        <v>20318</v>
      </c>
      <c r="H312" s="794">
        <f t="shared" si="17"/>
        <v>99.960641542851519</v>
      </c>
      <c r="J312" s="797"/>
      <c r="K312" s="797"/>
    </row>
    <row r="313" spans="1:11" s="367" customFormat="1" ht="20.25" customHeight="1" thickTop="1" x14ac:dyDescent="0.25">
      <c r="A313" s="361"/>
      <c r="B313" s="362"/>
      <c r="C313" s="363"/>
      <c r="D313" s="364"/>
      <c r="E313" s="365"/>
      <c r="F313" s="365"/>
      <c r="G313" s="365"/>
      <c r="H313" s="366"/>
      <c r="J313" s="797"/>
      <c r="K313" s="797"/>
    </row>
    <row r="314" spans="1:11" s="367" customFormat="1" ht="20.25" customHeight="1" thickBot="1" x14ac:dyDescent="0.3">
      <c r="A314" s="758" t="s">
        <v>1327</v>
      </c>
      <c r="B314" s="725"/>
      <c r="C314" s="726"/>
      <c r="D314" s="727"/>
      <c r="E314" s="796">
        <f>SUM(E312)</f>
        <v>10138</v>
      </c>
      <c r="F314" s="796">
        <f>SUM(F312)</f>
        <v>20326</v>
      </c>
      <c r="G314" s="796">
        <f>SUM(G312)</f>
        <v>20318</v>
      </c>
      <c r="H314" s="763">
        <f>(G314/F314)*100</f>
        <v>99.960641542851519</v>
      </c>
    </row>
    <row r="315" spans="1:11" s="795" customFormat="1" ht="20.25" customHeight="1" thickTop="1" x14ac:dyDescent="0.25">
      <c r="A315" s="1742"/>
      <c r="B315" s="1743"/>
      <c r="C315" s="1744"/>
      <c r="D315" s="1745"/>
      <c r="E315" s="1746"/>
      <c r="F315" s="1746"/>
      <c r="G315" s="1746"/>
      <c r="H315" s="1747"/>
    </row>
    <row r="316" spans="1:11" s="795" customFormat="1" ht="16.5" customHeight="1" x14ac:dyDescent="0.25">
      <c r="A316" s="1742"/>
      <c r="B316" s="1743"/>
      <c r="C316" s="1744"/>
      <c r="D316" s="1745"/>
      <c r="E316" s="1746"/>
      <c r="F316" s="1746"/>
      <c r="G316" s="1746"/>
      <c r="H316" s="1747"/>
    </row>
    <row r="317" spans="1:11" ht="12.75" customHeight="1" x14ac:dyDescent="0.2"/>
    <row r="318" spans="1:11" ht="12.75" customHeight="1" x14ac:dyDescent="0.2"/>
    <row r="319" spans="1:11" ht="12.75" customHeight="1" x14ac:dyDescent="0.2"/>
    <row r="320" spans="1:11" ht="12.75" customHeight="1" x14ac:dyDescent="0.2"/>
    <row r="321" spans="1:11" ht="12.75" customHeight="1" x14ac:dyDescent="0.2"/>
    <row r="322" spans="1:11" ht="12.75" customHeight="1" x14ac:dyDescent="0.2"/>
    <row r="323" spans="1:11" ht="12.75" customHeight="1" x14ac:dyDescent="0.2"/>
    <row r="324" spans="1:11" s="501" customFormat="1" ht="13.5" customHeight="1" x14ac:dyDescent="0.25">
      <c r="A324" s="695" t="s">
        <v>255</v>
      </c>
      <c r="B324" s="735"/>
      <c r="C324" s="798"/>
      <c r="E324" s="487" t="s">
        <v>1331</v>
      </c>
      <c r="F324" s="487"/>
      <c r="G324" s="487"/>
      <c r="H324" s="789"/>
    </row>
    <row r="325" spans="1:11" ht="13.5" customHeight="1" thickBot="1" x14ac:dyDescent="0.25">
      <c r="A325" s="1729"/>
      <c r="H325" s="1735" t="s">
        <v>161</v>
      </c>
    </row>
    <row r="326" spans="1:11" s="703" customFormat="1" ht="20.25" customHeight="1" thickTop="1" thickBot="1" x14ac:dyDescent="0.25">
      <c r="A326" s="755" t="s">
        <v>162</v>
      </c>
      <c r="B326" s="698" t="s">
        <v>163</v>
      </c>
      <c r="C326" s="699" t="s">
        <v>705</v>
      </c>
      <c r="D326" s="700" t="s">
        <v>164</v>
      </c>
      <c r="E326" s="701" t="s">
        <v>165</v>
      </c>
      <c r="F326" s="701" t="s">
        <v>881</v>
      </c>
      <c r="G326" s="701" t="s">
        <v>882</v>
      </c>
      <c r="H326" s="702" t="s">
        <v>883</v>
      </c>
    </row>
    <row r="327" spans="1:11" s="383" customFormat="1" ht="13.5" thickTop="1" thickBot="1" x14ac:dyDescent="0.25">
      <c r="A327" s="566">
        <v>1</v>
      </c>
      <c r="B327" s="567">
        <v>2</v>
      </c>
      <c r="C327" s="567">
        <v>3</v>
      </c>
      <c r="D327" s="567">
        <v>4</v>
      </c>
      <c r="E327" s="567">
        <v>5</v>
      </c>
      <c r="F327" s="541">
        <v>6</v>
      </c>
      <c r="G327" s="541">
        <v>7</v>
      </c>
      <c r="H327" s="636" t="s">
        <v>61</v>
      </c>
      <c r="I327" s="107"/>
    </row>
    <row r="328" spans="1:11" s="383" customFormat="1" ht="15.75" thickTop="1" x14ac:dyDescent="0.25">
      <c r="A328" s="1782">
        <v>4324</v>
      </c>
      <c r="B328" s="1740">
        <v>5336</v>
      </c>
      <c r="C328" s="1770"/>
      <c r="D328" s="1725" t="s">
        <v>1441</v>
      </c>
      <c r="E328" s="714"/>
      <c r="F328" s="714">
        <v>639</v>
      </c>
      <c r="G328" s="714">
        <v>639</v>
      </c>
      <c r="H328" s="705">
        <f>G328/F328*100</f>
        <v>100</v>
      </c>
      <c r="I328" s="107"/>
    </row>
    <row r="329" spans="1:11" s="383" customFormat="1" x14ac:dyDescent="0.2">
      <c r="A329" s="1739"/>
      <c r="B329" s="1740"/>
      <c r="C329" s="552" t="s">
        <v>576</v>
      </c>
      <c r="D329" s="2662" t="s">
        <v>577</v>
      </c>
      <c r="E329" s="731"/>
      <c r="F329" s="731">
        <v>639</v>
      </c>
      <c r="G329" s="731">
        <v>639</v>
      </c>
      <c r="H329" s="793">
        <f>(G329/F329)*100</f>
        <v>100</v>
      </c>
      <c r="I329" s="107"/>
    </row>
    <row r="330" spans="1:11" s="383" customFormat="1" x14ac:dyDescent="0.2">
      <c r="A330" s="1739"/>
      <c r="B330" s="1740"/>
      <c r="C330" s="552"/>
      <c r="D330" s="2662"/>
      <c r="E330" s="731"/>
      <c r="F330" s="731"/>
      <c r="G330" s="731"/>
      <c r="H330" s="793"/>
      <c r="I330" s="107"/>
    </row>
    <row r="331" spans="1:11" s="432" customFormat="1" ht="15" x14ac:dyDescent="0.25">
      <c r="A331" s="1739">
        <v>4372</v>
      </c>
      <c r="B331" s="1740">
        <v>5331</v>
      </c>
      <c r="C331" s="1769"/>
      <c r="D331" s="426" t="s">
        <v>236</v>
      </c>
      <c r="E331" s="1429">
        <f>E332+E333</f>
        <v>4604</v>
      </c>
      <c r="F331" s="1429">
        <f>F332+F333</f>
        <v>5693</v>
      </c>
      <c r="G331" s="1429">
        <f>G332+G333</f>
        <v>5693</v>
      </c>
      <c r="H331" s="2157">
        <f>G331/F331*100</f>
        <v>100</v>
      </c>
    </row>
    <row r="332" spans="1:11" x14ac:dyDescent="0.2">
      <c r="A332" s="1739"/>
      <c r="B332" s="1740"/>
      <c r="C332" s="707" t="s">
        <v>575</v>
      </c>
      <c r="D332" s="1392" t="s">
        <v>1260</v>
      </c>
      <c r="E332" s="731">
        <v>292</v>
      </c>
      <c r="F332" s="731">
        <v>292</v>
      </c>
      <c r="G332" s="731">
        <v>292</v>
      </c>
      <c r="H332" s="793">
        <f>(G332/F332)*100</f>
        <v>100</v>
      </c>
    </row>
    <row r="333" spans="1:11" x14ac:dyDescent="0.2">
      <c r="A333" s="1739"/>
      <c r="B333" s="1740"/>
      <c r="C333" s="552" t="s">
        <v>570</v>
      </c>
      <c r="D333" s="548" t="s">
        <v>1088</v>
      </c>
      <c r="E333" s="731">
        <v>4312</v>
      </c>
      <c r="F333" s="731">
        <v>5401</v>
      </c>
      <c r="G333" s="731">
        <v>5401</v>
      </c>
      <c r="H333" s="793">
        <f>(G333/F333)*100</f>
        <v>100</v>
      </c>
    </row>
    <row r="334" spans="1:11" ht="15" x14ac:dyDescent="0.25">
      <c r="A334" s="1739">
        <v>4372</v>
      </c>
      <c r="B334" s="1740">
        <v>5336</v>
      </c>
      <c r="C334" s="1769"/>
      <c r="D334" s="672" t="s">
        <v>2054</v>
      </c>
      <c r="E334" s="1429"/>
      <c r="F334" s="1429">
        <v>2918</v>
      </c>
      <c r="G334" s="1429">
        <v>2918</v>
      </c>
      <c r="H334" s="2157">
        <f>G334/F334*100</f>
        <v>100</v>
      </c>
    </row>
    <row r="335" spans="1:11" ht="15" thickBot="1" x14ac:dyDescent="0.25">
      <c r="A335" s="1739"/>
      <c r="B335" s="1740"/>
      <c r="C335" s="552" t="s">
        <v>1870</v>
      </c>
      <c r="D335" s="719" t="s">
        <v>1897</v>
      </c>
      <c r="E335" s="731"/>
      <c r="F335" s="731">
        <v>2918</v>
      </c>
      <c r="G335" s="731">
        <v>2918</v>
      </c>
      <c r="H335" s="793">
        <f>(G335/F335)*100</f>
        <v>100</v>
      </c>
    </row>
    <row r="336" spans="1:11" s="367" customFormat="1" ht="20.25" customHeight="1" thickTop="1" thickBot="1" x14ac:dyDescent="0.3">
      <c r="A336" s="708" t="s">
        <v>1105</v>
      </c>
      <c r="B336" s="709"/>
      <c r="C336" s="710"/>
      <c r="D336" s="711"/>
      <c r="E336" s="720">
        <f>E331</f>
        <v>4604</v>
      </c>
      <c r="F336" s="720">
        <f>SUM(F328,F331,F334)</f>
        <v>9250</v>
      </c>
      <c r="G336" s="720">
        <f>SUM(G328,G331,G334)</f>
        <v>9250</v>
      </c>
      <c r="H336" s="794">
        <f t="shared" ref="H336" si="18">(G336/F336)*100</f>
        <v>100</v>
      </c>
      <c r="J336" s="797"/>
      <c r="K336" s="797"/>
    </row>
    <row r="337" spans="1:19" ht="15.75" thickTop="1" x14ac:dyDescent="0.25">
      <c r="A337" s="1739">
        <v>4372</v>
      </c>
      <c r="B337" s="1740">
        <v>6351</v>
      </c>
      <c r="C337" s="552"/>
      <c r="D337" s="426" t="s">
        <v>1175</v>
      </c>
      <c r="E337" s="731"/>
      <c r="F337" s="1429">
        <v>700</v>
      </c>
      <c r="G337" s="1429">
        <v>700</v>
      </c>
      <c r="H337" s="800">
        <f>(G337/F337)*100</f>
        <v>100</v>
      </c>
    </row>
    <row r="338" spans="1:19" ht="15" thickBot="1" x14ac:dyDescent="0.25">
      <c r="A338" s="1739"/>
      <c r="B338" s="1740"/>
      <c r="C338" s="715" t="s">
        <v>754</v>
      </c>
      <c r="D338" s="119" t="s">
        <v>890</v>
      </c>
      <c r="E338" s="731"/>
      <c r="F338" s="731">
        <v>700</v>
      </c>
      <c r="G338" s="731">
        <v>700</v>
      </c>
      <c r="H338" s="793">
        <f>(G338/F338)*100</f>
        <v>100</v>
      </c>
    </row>
    <row r="339" spans="1:19" s="367" customFormat="1" ht="20.25" customHeight="1" thickTop="1" thickBot="1" x14ac:dyDescent="0.3">
      <c r="A339" s="708" t="s">
        <v>1106</v>
      </c>
      <c r="B339" s="709"/>
      <c r="C339" s="710"/>
      <c r="D339" s="711"/>
      <c r="E339" s="720">
        <f>E335</f>
        <v>0</v>
      </c>
      <c r="F339" s="720">
        <f>F337</f>
        <v>700</v>
      </c>
      <c r="G339" s="720">
        <f>G337</f>
        <v>700</v>
      </c>
      <c r="H339" s="794">
        <f>SUM(H335)</f>
        <v>100</v>
      </c>
      <c r="S339" s="367">
        <v>0</v>
      </c>
    </row>
    <row r="340" spans="1:19" s="432" customFormat="1" ht="15.75" thickTop="1" x14ac:dyDescent="0.25">
      <c r="A340" s="754"/>
      <c r="B340" s="1754"/>
      <c r="C340" s="798"/>
      <c r="E340" s="487"/>
      <c r="F340" s="487"/>
      <c r="G340" s="487"/>
      <c r="H340" s="789"/>
    </row>
    <row r="341" spans="1:19" s="367" customFormat="1" ht="27.75" customHeight="1" thickBot="1" x14ac:dyDescent="0.3">
      <c r="A341" s="758" t="s">
        <v>3</v>
      </c>
      <c r="B341" s="725"/>
      <c r="C341" s="726"/>
      <c r="D341" s="727"/>
      <c r="E341" s="796">
        <f>E336</f>
        <v>4604</v>
      </c>
      <c r="F341" s="796">
        <f>F336+F339</f>
        <v>9950</v>
      </c>
      <c r="G341" s="796">
        <f>G336+G339</f>
        <v>9950</v>
      </c>
      <c r="H341" s="763">
        <f>(G341/F341)*100</f>
        <v>100</v>
      </c>
    </row>
    <row r="342" spans="1:19" ht="15" thickTop="1" x14ac:dyDescent="0.2"/>
    <row r="344" spans="1:19" s="501" customFormat="1" ht="15.75" x14ac:dyDescent="0.25">
      <c r="A344" s="695" t="s">
        <v>12</v>
      </c>
      <c r="B344" s="735"/>
      <c r="C344" s="798"/>
      <c r="E344" s="487" t="s">
        <v>1328</v>
      </c>
      <c r="F344" s="487"/>
      <c r="G344" s="487"/>
      <c r="H344" s="789"/>
    </row>
    <row r="345" spans="1:19" ht="15" thickBot="1" x14ac:dyDescent="0.25">
      <c r="A345" s="1729"/>
      <c r="H345" s="1735" t="s">
        <v>161</v>
      </c>
    </row>
    <row r="346" spans="1:19" s="703" customFormat="1" ht="20.25" customHeight="1" thickTop="1" thickBot="1" x14ac:dyDescent="0.25">
      <c r="A346" s="755" t="s">
        <v>162</v>
      </c>
      <c r="B346" s="698" t="s">
        <v>163</v>
      </c>
      <c r="C346" s="699" t="s">
        <v>705</v>
      </c>
      <c r="D346" s="700" t="s">
        <v>164</v>
      </c>
      <c r="E346" s="701" t="s">
        <v>165</v>
      </c>
      <c r="F346" s="701" t="s">
        <v>881</v>
      </c>
      <c r="G346" s="701" t="s">
        <v>882</v>
      </c>
      <c r="H346" s="702" t="s">
        <v>883</v>
      </c>
    </row>
    <row r="347" spans="1:19" s="383" customFormat="1" ht="13.5" thickTop="1" thickBot="1" x14ac:dyDescent="0.25">
      <c r="A347" s="566">
        <v>1</v>
      </c>
      <c r="B347" s="567">
        <v>2</v>
      </c>
      <c r="C347" s="567">
        <v>3</v>
      </c>
      <c r="D347" s="567">
        <v>4</v>
      </c>
      <c r="E347" s="567">
        <v>5</v>
      </c>
      <c r="F347" s="541">
        <v>6</v>
      </c>
      <c r="G347" s="541">
        <v>7</v>
      </c>
      <c r="H347" s="636" t="s">
        <v>61</v>
      </c>
      <c r="I347" s="107"/>
    </row>
    <row r="348" spans="1:19" s="432" customFormat="1" ht="15.75" thickTop="1" x14ac:dyDescent="0.25">
      <c r="A348" s="1782">
        <v>4357</v>
      </c>
      <c r="B348" s="2425">
        <v>5331</v>
      </c>
      <c r="C348" s="1765"/>
      <c r="D348" s="624" t="s">
        <v>236</v>
      </c>
      <c r="E348" s="714">
        <f>E349+E350</f>
        <v>5312</v>
      </c>
      <c r="F348" s="714">
        <f>F349+F350</f>
        <v>6102</v>
      </c>
      <c r="G348" s="714">
        <f>G349+G350</f>
        <v>6102</v>
      </c>
      <c r="H348" s="705">
        <f>G348/F348*100</f>
        <v>100</v>
      </c>
    </row>
    <row r="349" spans="1:19" x14ac:dyDescent="0.2">
      <c r="A349" s="1739"/>
      <c r="B349" s="1740"/>
      <c r="C349" s="707" t="s">
        <v>575</v>
      </c>
      <c r="D349" s="1392" t="s">
        <v>1260</v>
      </c>
      <c r="E349" s="731">
        <v>1917</v>
      </c>
      <c r="F349" s="731">
        <v>1899</v>
      </c>
      <c r="G349" s="731">
        <v>1899</v>
      </c>
      <c r="H349" s="793">
        <f t="shared" ref="H349:H355" si="19">(G349/F349)*100</f>
        <v>100</v>
      </c>
    </row>
    <row r="350" spans="1:19" x14ac:dyDescent="0.2">
      <c r="A350" s="1739"/>
      <c r="B350" s="1740"/>
      <c r="C350" s="552" t="s">
        <v>570</v>
      </c>
      <c r="D350" s="548" t="s">
        <v>1088</v>
      </c>
      <c r="E350" s="731">
        <v>3395</v>
      </c>
      <c r="F350" s="731">
        <v>4203</v>
      </c>
      <c r="G350" s="731">
        <v>4203</v>
      </c>
      <c r="H350" s="793">
        <f t="shared" si="19"/>
        <v>100</v>
      </c>
    </row>
    <row r="351" spans="1:19" ht="15" x14ac:dyDescent="0.25">
      <c r="A351" s="1739">
        <v>4357</v>
      </c>
      <c r="B351" s="1740">
        <v>5336</v>
      </c>
      <c r="C351" s="1770"/>
      <c r="D351" s="672" t="s">
        <v>2054</v>
      </c>
      <c r="E351" s="1429"/>
      <c r="F351" s="1429">
        <f>F353+F354+F352</f>
        <v>4038</v>
      </c>
      <c r="G351" s="1429">
        <f>G353+G354+G352</f>
        <v>4038</v>
      </c>
      <c r="H351" s="800">
        <f t="shared" si="19"/>
        <v>100</v>
      </c>
    </row>
    <row r="352" spans="1:19" ht="15" x14ac:dyDescent="0.25">
      <c r="A352" s="1739"/>
      <c r="B352" s="1740"/>
      <c r="C352" s="552" t="s">
        <v>1870</v>
      </c>
      <c r="D352" s="719" t="s">
        <v>1897</v>
      </c>
      <c r="E352" s="1429"/>
      <c r="F352" s="731">
        <v>3676</v>
      </c>
      <c r="G352" s="731">
        <v>3676</v>
      </c>
      <c r="H352" s="793">
        <f t="shared" si="19"/>
        <v>100</v>
      </c>
    </row>
    <row r="353" spans="1:9" ht="15" x14ac:dyDescent="0.25">
      <c r="A353" s="1767"/>
      <c r="B353" s="1768"/>
      <c r="C353" s="552" t="s">
        <v>1355</v>
      </c>
      <c r="D353" s="1751" t="s">
        <v>1356</v>
      </c>
      <c r="E353" s="1429"/>
      <c r="F353" s="731">
        <v>54</v>
      </c>
      <c r="G353" s="731">
        <v>54</v>
      </c>
      <c r="H353" s="793">
        <f t="shared" si="19"/>
        <v>100</v>
      </c>
    </row>
    <row r="354" spans="1:9" ht="15" thickBot="1" x14ac:dyDescent="0.25">
      <c r="A354" s="1739"/>
      <c r="B354" s="1740"/>
      <c r="C354" s="552" t="s">
        <v>1357</v>
      </c>
      <c r="D354" s="1752" t="s">
        <v>1358</v>
      </c>
      <c r="E354" s="731"/>
      <c r="F354" s="731">
        <v>308</v>
      </c>
      <c r="G354" s="731">
        <v>308</v>
      </c>
      <c r="H354" s="793">
        <f t="shared" si="19"/>
        <v>100</v>
      </c>
    </row>
    <row r="355" spans="1:9" s="367" customFormat="1" ht="20.25" customHeight="1" thickTop="1" thickBot="1" x14ac:dyDescent="0.3">
      <c r="A355" s="708" t="s">
        <v>1105</v>
      </c>
      <c r="B355" s="709"/>
      <c r="C355" s="710"/>
      <c r="D355" s="801"/>
      <c r="E355" s="720">
        <f>SUM(E348,E351)</f>
        <v>5312</v>
      </c>
      <c r="F355" s="720">
        <f>SUM(F348,F351)</f>
        <v>10140</v>
      </c>
      <c r="G355" s="720">
        <f>SUM(G348,G351)</f>
        <v>10140</v>
      </c>
      <c r="H355" s="794">
        <f t="shared" si="19"/>
        <v>100</v>
      </c>
    </row>
    <row r="356" spans="1:9" s="432" customFormat="1" ht="15.75" thickTop="1" x14ac:dyDescent="0.25">
      <c r="A356" s="754"/>
      <c r="B356" s="1754"/>
      <c r="C356" s="798"/>
      <c r="E356" s="487"/>
      <c r="F356" s="487"/>
      <c r="G356" s="487"/>
      <c r="H356" s="789"/>
    </row>
    <row r="357" spans="1:9" s="367" customFormat="1" ht="27.75" customHeight="1" thickBot="1" x14ac:dyDescent="0.3">
      <c r="A357" s="758" t="s">
        <v>13</v>
      </c>
      <c r="B357" s="725"/>
      <c r="C357" s="726"/>
      <c r="D357" s="727"/>
      <c r="E357" s="796">
        <f>SUM(E355)</f>
        <v>5312</v>
      </c>
      <c r="F357" s="796">
        <f>SUM(F355)</f>
        <v>10140</v>
      </c>
      <c r="G357" s="796">
        <f>SUM(G355)</f>
        <v>10140</v>
      </c>
      <c r="H357" s="763">
        <f>(G357/F357)*100</f>
        <v>100</v>
      </c>
    </row>
    <row r="358" spans="1:9" ht="13.5" customHeight="1" thickTop="1" x14ac:dyDescent="0.2"/>
    <row r="359" spans="1:9" ht="13.5" customHeight="1" x14ac:dyDescent="0.2"/>
    <row r="360" spans="1:9" s="501" customFormat="1" ht="14.25" customHeight="1" x14ac:dyDescent="0.25">
      <c r="A360" s="695" t="s">
        <v>14</v>
      </c>
      <c r="B360" s="735"/>
      <c r="C360" s="798"/>
      <c r="E360" s="487" t="s">
        <v>1329</v>
      </c>
      <c r="F360" s="487"/>
      <c r="G360" s="487"/>
      <c r="H360" s="789"/>
    </row>
    <row r="361" spans="1:9" ht="15" thickBot="1" x14ac:dyDescent="0.25">
      <c r="A361" s="1729"/>
      <c r="H361" s="1735" t="s">
        <v>161</v>
      </c>
    </row>
    <row r="362" spans="1:9" s="703" customFormat="1" ht="20.25" customHeight="1" thickTop="1" thickBot="1" x14ac:dyDescent="0.25">
      <c r="A362" s="755" t="s">
        <v>162</v>
      </c>
      <c r="B362" s="698" t="s">
        <v>163</v>
      </c>
      <c r="C362" s="699" t="s">
        <v>705</v>
      </c>
      <c r="D362" s="700" t="s">
        <v>164</v>
      </c>
      <c r="E362" s="701" t="s">
        <v>165</v>
      </c>
      <c r="F362" s="701" t="s">
        <v>881</v>
      </c>
      <c r="G362" s="701" t="s">
        <v>882</v>
      </c>
      <c r="H362" s="702" t="s">
        <v>883</v>
      </c>
    </row>
    <row r="363" spans="1:9" s="383" customFormat="1" ht="13.5" thickTop="1" thickBot="1" x14ac:dyDescent="0.25">
      <c r="A363" s="566">
        <v>1</v>
      </c>
      <c r="B363" s="567">
        <v>2</v>
      </c>
      <c r="C363" s="567">
        <v>3</v>
      </c>
      <c r="D363" s="567">
        <v>4</v>
      </c>
      <c r="E363" s="567">
        <v>5</v>
      </c>
      <c r="F363" s="541">
        <v>6</v>
      </c>
      <c r="G363" s="541">
        <v>7</v>
      </c>
      <c r="H363" s="636" t="s">
        <v>61</v>
      </c>
      <c r="I363" s="107"/>
    </row>
    <row r="364" spans="1:9" s="432" customFormat="1" ht="15.75" thickTop="1" x14ac:dyDescent="0.25">
      <c r="A364" s="1782">
        <v>4357</v>
      </c>
      <c r="B364" s="2425">
        <v>5331</v>
      </c>
      <c r="C364" s="1765"/>
      <c r="D364" s="624" t="s">
        <v>236</v>
      </c>
      <c r="E364" s="714">
        <f>E365+E366</f>
        <v>2816</v>
      </c>
      <c r="F364" s="714">
        <f>F365+F366</f>
        <v>3433</v>
      </c>
      <c r="G364" s="714">
        <f>G365+G366</f>
        <v>3433</v>
      </c>
      <c r="H364" s="705">
        <f>G364/F364*100</f>
        <v>100</v>
      </c>
    </row>
    <row r="365" spans="1:9" x14ac:dyDescent="0.2">
      <c r="A365" s="1739"/>
      <c r="B365" s="1740"/>
      <c r="C365" s="707" t="s">
        <v>575</v>
      </c>
      <c r="D365" s="1392" t="s">
        <v>1260</v>
      </c>
      <c r="E365" s="731">
        <v>174</v>
      </c>
      <c r="F365" s="731">
        <v>174</v>
      </c>
      <c r="G365" s="731">
        <v>174</v>
      </c>
      <c r="H365" s="793">
        <f>(G365/F365)*100</f>
        <v>100</v>
      </c>
    </row>
    <row r="366" spans="1:9" x14ac:dyDescent="0.2">
      <c r="A366" s="1739"/>
      <c r="B366" s="1740"/>
      <c r="C366" s="552" t="s">
        <v>570</v>
      </c>
      <c r="D366" s="548" t="s">
        <v>1088</v>
      </c>
      <c r="E366" s="731">
        <v>2642</v>
      </c>
      <c r="F366" s="731">
        <v>3259</v>
      </c>
      <c r="G366" s="731">
        <v>3259</v>
      </c>
      <c r="H366" s="793">
        <f>(G366/F366)*100</f>
        <v>100</v>
      </c>
    </row>
    <row r="367" spans="1:9" ht="15" x14ac:dyDescent="0.25">
      <c r="A367" s="1739">
        <v>4357</v>
      </c>
      <c r="B367" s="1740">
        <v>5336</v>
      </c>
      <c r="C367" s="1770"/>
      <c r="D367" s="672" t="s">
        <v>2054</v>
      </c>
      <c r="E367" s="1429"/>
      <c r="F367" s="1429">
        <v>2324</v>
      </c>
      <c r="G367" s="1429">
        <v>2324</v>
      </c>
      <c r="H367" s="800">
        <f t="shared" ref="H367:H368" si="20">(G367/F367)*100</f>
        <v>100</v>
      </c>
    </row>
    <row r="368" spans="1:9" ht="15.75" thickBot="1" x14ac:dyDescent="0.3">
      <c r="A368" s="1739"/>
      <c r="B368" s="1740"/>
      <c r="C368" s="552" t="s">
        <v>1870</v>
      </c>
      <c r="D368" s="719" t="s">
        <v>1897</v>
      </c>
      <c r="E368" s="1429"/>
      <c r="F368" s="731">
        <v>2324</v>
      </c>
      <c r="G368" s="731">
        <v>2324</v>
      </c>
      <c r="H368" s="793">
        <f t="shared" si="20"/>
        <v>100</v>
      </c>
    </row>
    <row r="369" spans="1:13" s="367" customFormat="1" ht="20.25" customHeight="1" thickTop="1" thickBot="1" x14ac:dyDescent="0.3">
      <c r="A369" s="708" t="s">
        <v>1105</v>
      </c>
      <c r="B369" s="709"/>
      <c r="C369" s="710"/>
      <c r="D369" s="711"/>
      <c r="E369" s="720">
        <f>E364</f>
        <v>2816</v>
      </c>
      <c r="F369" s="720">
        <f>F364+F367</f>
        <v>5757</v>
      </c>
      <c r="G369" s="720">
        <f>G364+G367</f>
        <v>5757</v>
      </c>
      <c r="H369" s="794">
        <f>(G369/F369)*100</f>
        <v>100</v>
      </c>
    </row>
    <row r="370" spans="1:13" s="432" customFormat="1" ht="15.75" thickTop="1" x14ac:dyDescent="0.25">
      <c r="A370" s="754"/>
      <c r="B370" s="1754"/>
      <c r="C370" s="798"/>
      <c r="E370" s="487"/>
      <c r="F370" s="487"/>
      <c r="G370" s="487"/>
      <c r="H370" s="789"/>
    </row>
    <row r="371" spans="1:13" s="367" customFormat="1" ht="27.75" customHeight="1" thickBot="1" x14ac:dyDescent="0.3">
      <c r="A371" s="758" t="s">
        <v>15</v>
      </c>
      <c r="B371" s="725"/>
      <c r="C371" s="726"/>
      <c r="D371" s="727"/>
      <c r="E371" s="796">
        <f>E369</f>
        <v>2816</v>
      </c>
      <c r="F371" s="796">
        <f>F369</f>
        <v>5757</v>
      </c>
      <c r="G371" s="796">
        <f>G369</f>
        <v>5757</v>
      </c>
      <c r="H371" s="763">
        <f>(G371/F371)*100</f>
        <v>100</v>
      </c>
    </row>
    <row r="372" spans="1:13" s="795" customFormat="1" ht="16.5" customHeight="1" thickTop="1" x14ac:dyDescent="0.25">
      <c r="A372" s="1742"/>
      <c r="B372" s="1743"/>
      <c r="C372" s="1744"/>
      <c r="D372" s="1745"/>
      <c r="E372" s="1746"/>
      <c r="F372" s="1746"/>
      <c r="G372" s="1746"/>
      <c r="H372" s="1747"/>
    </row>
    <row r="373" spans="1:13" s="795" customFormat="1" ht="16.5" customHeight="1" x14ac:dyDescent="0.25">
      <c r="A373" s="1742"/>
      <c r="B373" s="1743"/>
      <c r="C373" s="1744"/>
      <c r="D373" s="1745"/>
      <c r="E373" s="1746"/>
      <c r="F373" s="1746"/>
      <c r="G373" s="1746"/>
      <c r="H373" s="1747"/>
    </row>
    <row r="374" spans="1:13" s="501" customFormat="1" ht="15.75" x14ac:dyDescent="0.25">
      <c r="A374" s="695" t="s">
        <v>16</v>
      </c>
      <c r="B374" s="735"/>
      <c r="C374" s="798"/>
      <c r="E374" s="487" t="s">
        <v>1330</v>
      </c>
      <c r="F374" s="487"/>
      <c r="G374" s="487"/>
      <c r="H374" s="789"/>
    </row>
    <row r="375" spans="1:13" ht="15" thickBot="1" x14ac:dyDescent="0.25">
      <c r="A375" s="1729"/>
      <c r="H375" s="1735" t="s">
        <v>161</v>
      </c>
    </row>
    <row r="376" spans="1:13" s="703" customFormat="1" ht="20.25" customHeight="1" thickTop="1" thickBot="1" x14ac:dyDescent="0.25">
      <c r="A376" s="755" t="s">
        <v>162</v>
      </c>
      <c r="B376" s="698" t="s">
        <v>163</v>
      </c>
      <c r="C376" s="699" t="s">
        <v>705</v>
      </c>
      <c r="D376" s="700" t="s">
        <v>164</v>
      </c>
      <c r="E376" s="701" t="s">
        <v>165</v>
      </c>
      <c r="F376" s="701" t="s">
        <v>881</v>
      </c>
      <c r="G376" s="701" t="s">
        <v>882</v>
      </c>
      <c r="H376" s="702" t="s">
        <v>883</v>
      </c>
    </row>
    <row r="377" spans="1:13" s="383" customFormat="1" ht="13.5" thickTop="1" thickBot="1" x14ac:dyDescent="0.25">
      <c r="A377" s="566">
        <v>1</v>
      </c>
      <c r="B377" s="567">
        <v>2</v>
      </c>
      <c r="C377" s="567">
        <v>3</v>
      </c>
      <c r="D377" s="567">
        <v>4</v>
      </c>
      <c r="E377" s="567">
        <v>5</v>
      </c>
      <c r="F377" s="541">
        <v>6</v>
      </c>
      <c r="G377" s="541">
        <v>7</v>
      </c>
      <c r="H377" s="636" t="s">
        <v>61</v>
      </c>
      <c r="I377" s="107"/>
    </row>
    <row r="378" spans="1:13" s="432" customFormat="1" ht="15.75" thickTop="1" x14ac:dyDescent="0.25">
      <c r="A378" s="1782">
        <v>4357</v>
      </c>
      <c r="B378" s="2425">
        <v>5331</v>
      </c>
      <c r="C378" s="1765"/>
      <c r="D378" s="624" t="s">
        <v>236</v>
      </c>
      <c r="E378" s="714">
        <f>E379+E380</f>
        <v>5421</v>
      </c>
      <c r="F378" s="714">
        <f>F379+F380</f>
        <v>7655</v>
      </c>
      <c r="G378" s="714">
        <f>G379+G380</f>
        <v>7655</v>
      </c>
      <c r="H378" s="705">
        <f>G378/F378*100</f>
        <v>100</v>
      </c>
    </row>
    <row r="379" spans="1:13" x14ac:dyDescent="0.2">
      <c r="A379" s="1739"/>
      <c r="B379" s="1740"/>
      <c r="C379" s="707" t="s">
        <v>575</v>
      </c>
      <c r="D379" s="1392" t="s">
        <v>1260</v>
      </c>
      <c r="E379" s="731">
        <v>963</v>
      </c>
      <c r="F379" s="731">
        <v>980</v>
      </c>
      <c r="G379" s="731">
        <v>980</v>
      </c>
      <c r="H379" s="793">
        <f>(G379/F379)*100</f>
        <v>100</v>
      </c>
    </row>
    <row r="380" spans="1:13" x14ac:dyDescent="0.2">
      <c r="A380" s="1739"/>
      <c r="B380" s="1740"/>
      <c r="C380" s="552" t="s">
        <v>570</v>
      </c>
      <c r="D380" s="548" t="s">
        <v>1088</v>
      </c>
      <c r="E380" s="731">
        <v>4458</v>
      </c>
      <c r="F380" s="731">
        <v>6675</v>
      </c>
      <c r="G380" s="731">
        <v>6675</v>
      </c>
      <c r="H380" s="793">
        <f>(G380/F380)*100</f>
        <v>100</v>
      </c>
    </row>
    <row r="381" spans="1:13" ht="15" x14ac:dyDescent="0.25">
      <c r="A381" s="1739">
        <v>4357</v>
      </c>
      <c r="B381" s="1740">
        <v>5336</v>
      </c>
      <c r="C381" s="1770"/>
      <c r="D381" s="672" t="s">
        <v>2054</v>
      </c>
      <c r="E381" s="1429"/>
      <c r="F381" s="1429">
        <v>3965</v>
      </c>
      <c r="G381" s="1429">
        <v>3965</v>
      </c>
      <c r="H381" s="800">
        <f t="shared" ref="H381:H382" si="21">(G381/F381)*100</f>
        <v>100</v>
      </c>
    </row>
    <row r="382" spans="1:13" ht="15.75" thickBot="1" x14ac:dyDescent="0.3">
      <c r="A382" s="1739"/>
      <c r="B382" s="1740"/>
      <c r="C382" s="552" t="s">
        <v>1870</v>
      </c>
      <c r="D382" s="556" t="s">
        <v>1897</v>
      </c>
      <c r="E382" s="1429"/>
      <c r="F382" s="731">
        <v>3965</v>
      </c>
      <c r="G382" s="731">
        <v>3965</v>
      </c>
      <c r="H382" s="793">
        <f t="shared" si="21"/>
        <v>100</v>
      </c>
    </row>
    <row r="383" spans="1:13" s="795" customFormat="1" ht="20.25" customHeight="1" thickTop="1" thickBot="1" x14ac:dyDescent="0.3">
      <c r="A383" s="708" t="s">
        <v>1105</v>
      </c>
      <c r="B383" s="709"/>
      <c r="C383" s="710"/>
      <c r="D383" s="801"/>
      <c r="E383" s="720">
        <f>SUM(E378)</f>
        <v>5421</v>
      </c>
      <c r="F383" s="720">
        <f>SUM(F378,F381)</f>
        <v>11620</v>
      </c>
      <c r="G383" s="720">
        <f>SUM(G378,G381)</f>
        <v>11620</v>
      </c>
      <c r="H383" s="794">
        <f>(G383/F383)*100</f>
        <v>100</v>
      </c>
      <c r="J383" s="382">
        <f>E383+E369+E355+E336+E312+E294+E271+E252+E237+E222+E207+E192+E177+E162+E147+E130</f>
        <v>86428</v>
      </c>
      <c r="K383" s="382">
        <f>F383+F369+F355+F336+F312+F294+F271+F252+F237+F222+F207+F192+F177+F162+F147+F130</f>
        <v>159023</v>
      </c>
      <c r="L383" s="382">
        <f>G383+G369+G355+G336+G312+G294+G271+G252+G237+G222+G207+G192+G177+G162+G147+G130</f>
        <v>159013</v>
      </c>
      <c r="M383" s="381" t="s">
        <v>642</v>
      </c>
    </row>
    <row r="384" spans="1:13" ht="15" thickTop="1" x14ac:dyDescent="0.2">
      <c r="A384" s="1729"/>
      <c r="J384" s="382">
        <f>E339+E276</f>
        <v>0</v>
      </c>
      <c r="K384" s="382">
        <f>F339+F276</f>
        <v>2763</v>
      </c>
      <c r="L384" s="382">
        <f>G339+G276</f>
        <v>2763</v>
      </c>
      <c r="M384" s="381" t="s">
        <v>588</v>
      </c>
    </row>
    <row r="385" spans="1:9" s="367" customFormat="1" ht="27.75" customHeight="1" thickBot="1" x14ac:dyDescent="0.3">
      <c r="A385" s="758" t="s">
        <v>17</v>
      </c>
      <c r="B385" s="725"/>
      <c r="C385" s="726"/>
      <c r="D385" s="727"/>
      <c r="E385" s="796">
        <f>E383</f>
        <v>5421</v>
      </c>
      <c r="F385" s="796">
        <f>F383</f>
        <v>11620</v>
      </c>
      <c r="G385" s="796">
        <f>G383</f>
        <v>11620</v>
      </c>
      <c r="H385" s="763">
        <f>(G385/F385)*100</f>
        <v>100</v>
      </c>
    </row>
    <row r="386" spans="1:9" s="501" customFormat="1" ht="16.5" thickTop="1" x14ac:dyDescent="0.25">
      <c r="A386" s="695" t="s">
        <v>824</v>
      </c>
      <c r="B386" s="735"/>
      <c r="C386" s="798"/>
      <c r="E386" s="487" t="s">
        <v>1332</v>
      </c>
      <c r="F386" s="487"/>
      <c r="G386" s="487"/>
      <c r="H386" s="789"/>
    </row>
    <row r="387" spans="1:9" ht="15" thickBot="1" x14ac:dyDescent="0.25">
      <c r="A387" s="1729"/>
      <c r="H387" s="1735" t="s">
        <v>161</v>
      </c>
    </row>
    <row r="388" spans="1:9" s="703" customFormat="1" ht="20.25" customHeight="1" thickTop="1" thickBot="1" x14ac:dyDescent="0.25">
      <c r="A388" s="755" t="s">
        <v>162</v>
      </c>
      <c r="B388" s="698" t="s">
        <v>163</v>
      </c>
      <c r="C388" s="699" t="s">
        <v>705</v>
      </c>
      <c r="D388" s="700" t="s">
        <v>164</v>
      </c>
      <c r="E388" s="701" t="s">
        <v>165</v>
      </c>
      <c r="F388" s="701" t="s">
        <v>881</v>
      </c>
      <c r="G388" s="701" t="s">
        <v>882</v>
      </c>
      <c r="H388" s="702" t="s">
        <v>883</v>
      </c>
    </row>
    <row r="389" spans="1:9" s="383" customFormat="1" ht="13.5" thickTop="1" thickBot="1" x14ac:dyDescent="0.25">
      <c r="A389" s="566">
        <v>1</v>
      </c>
      <c r="B389" s="567">
        <v>2</v>
      </c>
      <c r="C389" s="567">
        <v>3</v>
      </c>
      <c r="D389" s="567">
        <v>4</v>
      </c>
      <c r="E389" s="567">
        <v>5</v>
      </c>
      <c r="F389" s="541">
        <v>6</v>
      </c>
      <c r="G389" s="541">
        <v>7</v>
      </c>
      <c r="H389" s="636" t="s">
        <v>61</v>
      </c>
      <c r="I389" s="107"/>
    </row>
    <row r="390" spans="1:9" s="432" customFormat="1" ht="15.75" thickTop="1" x14ac:dyDescent="0.25">
      <c r="A390" s="1782">
        <v>4354</v>
      </c>
      <c r="B390" s="2425">
        <v>5331</v>
      </c>
      <c r="C390" s="1765"/>
      <c r="D390" s="624" t="s">
        <v>236</v>
      </c>
      <c r="E390" s="714">
        <f>E391+E392</f>
        <v>2411</v>
      </c>
      <c r="F390" s="714">
        <f>F391+F392</f>
        <v>2598</v>
      </c>
      <c r="G390" s="714">
        <f>G391+G392</f>
        <v>2598</v>
      </c>
      <c r="H390" s="705">
        <f>G390/F390*100</f>
        <v>100</v>
      </c>
    </row>
    <row r="391" spans="1:9" x14ac:dyDescent="0.2">
      <c r="A391" s="1739"/>
      <c r="B391" s="1740"/>
      <c r="C391" s="707" t="s">
        <v>575</v>
      </c>
      <c r="D391" s="1392" t="s">
        <v>1260</v>
      </c>
      <c r="E391" s="731">
        <v>177</v>
      </c>
      <c r="F391" s="731">
        <v>177</v>
      </c>
      <c r="G391" s="731">
        <v>177</v>
      </c>
      <c r="H391" s="793">
        <f>(G391/F391)*100</f>
        <v>100</v>
      </c>
    </row>
    <row r="392" spans="1:9" x14ac:dyDescent="0.2">
      <c r="A392" s="1739"/>
      <c r="B392" s="1740"/>
      <c r="C392" s="552" t="s">
        <v>570</v>
      </c>
      <c r="D392" s="719" t="s">
        <v>1088</v>
      </c>
      <c r="E392" s="731">
        <v>2234</v>
      </c>
      <c r="F392" s="731">
        <v>2421</v>
      </c>
      <c r="G392" s="731">
        <v>2421</v>
      </c>
      <c r="H392" s="793">
        <f>(G392/F392)*100</f>
        <v>100</v>
      </c>
    </row>
    <row r="393" spans="1:9" ht="15" x14ac:dyDescent="0.25">
      <c r="A393" s="1739">
        <v>4354</v>
      </c>
      <c r="B393" s="1740">
        <v>5336</v>
      </c>
      <c r="C393" s="1770"/>
      <c r="D393" s="672" t="s">
        <v>2054</v>
      </c>
      <c r="E393" s="1429"/>
      <c r="F393" s="1429">
        <v>2209</v>
      </c>
      <c r="G393" s="1429">
        <v>2209</v>
      </c>
      <c r="H393" s="800">
        <f t="shared" ref="H393:H394" si="22">(G393/F393)*100</f>
        <v>100</v>
      </c>
    </row>
    <row r="394" spans="1:9" ht="15.75" thickBot="1" x14ac:dyDescent="0.3">
      <c r="A394" s="1739"/>
      <c r="B394" s="1740"/>
      <c r="C394" s="552" t="s">
        <v>1870</v>
      </c>
      <c r="D394" s="556" t="s">
        <v>1897</v>
      </c>
      <c r="E394" s="1429"/>
      <c r="F394" s="731">
        <v>2209</v>
      </c>
      <c r="G394" s="731">
        <v>2209</v>
      </c>
      <c r="H394" s="793">
        <f t="shared" si="22"/>
        <v>100</v>
      </c>
    </row>
    <row r="395" spans="1:9" s="367" customFormat="1" ht="20.25" customHeight="1" thickTop="1" thickBot="1" x14ac:dyDescent="0.3">
      <c r="A395" s="708" t="s">
        <v>1105</v>
      </c>
      <c r="B395" s="709"/>
      <c r="C395" s="710"/>
      <c r="D395" s="711"/>
      <c r="E395" s="720">
        <f>SUM(E390)</f>
        <v>2411</v>
      </c>
      <c r="F395" s="720">
        <f>SUM(F390,F393)</f>
        <v>4807</v>
      </c>
      <c r="G395" s="720">
        <f>SUM(G390,G393)</f>
        <v>4807</v>
      </c>
      <c r="H395" s="794">
        <f>(G395/F395)*100</f>
        <v>100</v>
      </c>
    </row>
    <row r="396" spans="1:9" s="432" customFormat="1" ht="15.75" thickTop="1" x14ac:dyDescent="0.25">
      <c r="A396" s="1754"/>
      <c r="B396" s="1754"/>
      <c r="C396" s="798"/>
      <c r="E396" s="487"/>
      <c r="F396" s="487"/>
      <c r="G396" s="487"/>
      <c r="H396" s="789"/>
    </row>
    <row r="397" spans="1:9" s="367" customFormat="1" ht="27.75" customHeight="1" thickBot="1" x14ac:dyDescent="0.3">
      <c r="A397" s="758" t="s">
        <v>825</v>
      </c>
      <c r="B397" s="725"/>
      <c r="C397" s="726"/>
      <c r="D397" s="727"/>
      <c r="E397" s="796">
        <f>E390</f>
        <v>2411</v>
      </c>
      <c r="F397" s="796">
        <f>F390+F393</f>
        <v>4807</v>
      </c>
      <c r="G397" s="796">
        <f>G390+G393</f>
        <v>4807</v>
      </c>
      <c r="H397" s="763">
        <f>(G397/F397)*100</f>
        <v>100</v>
      </c>
    </row>
    <row r="398" spans="1:9" s="795" customFormat="1" ht="13.5" customHeight="1" thickTop="1" x14ac:dyDescent="0.25">
      <c r="A398" s="1742"/>
      <c r="B398" s="1743"/>
      <c r="C398" s="1748"/>
      <c r="D398" s="1745"/>
      <c r="E398" s="799"/>
      <c r="F398" s="799"/>
      <c r="G398" s="799"/>
      <c r="H398" s="1749"/>
    </row>
    <row r="399" spans="1:9" s="795" customFormat="1" ht="13.5" customHeight="1" x14ac:dyDescent="0.25">
      <c r="A399" s="1742"/>
      <c r="B399" s="1743"/>
      <c r="C399" s="1748"/>
      <c r="D399" s="1745"/>
      <c r="E399" s="799"/>
      <c r="F399" s="799"/>
      <c r="G399" s="799"/>
      <c r="H399" s="1749"/>
    </row>
    <row r="400" spans="1:9" s="795" customFormat="1" ht="12.75" customHeight="1" x14ac:dyDescent="0.25">
      <c r="A400" s="1742"/>
      <c r="B400" s="1743"/>
      <c r="C400" s="1748"/>
      <c r="D400" s="1745"/>
      <c r="E400" s="799"/>
      <c r="F400" s="799"/>
      <c r="G400" s="799"/>
      <c r="H400" s="1749"/>
    </row>
    <row r="401" spans="1:19" s="501" customFormat="1" ht="15.75" x14ac:dyDescent="0.25">
      <c r="A401" s="695" t="s">
        <v>662</v>
      </c>
      <c r="B401" s="735"/>
      <c r="C401" s="798"/>
      <c r="E401" s="487" t="s">
        <v>410</v>
      </c>
      <c r="F401" s="487"/>
      <c r="G401" s="487"/>
      <c r="H401" s="789"/>
    </row>
    <row r="402" spans="1:19" ht="15" thickBot="1" x14ac:dyDescent="0.25">
      <c r="A402" s="1729"/>
      <c r="H402" s="1735" t="s">
        <v>161</v>
      </c>
    </row>
    <row r="403" spans="1:19" s="703" customFormat="1" ht="20.25" customHeight="1" thickTop="1" thickBot="1" x14ac:dyDescent="0.25">
      <c r="A403" s="755" t="s">
        <v>162</v>
      </c>
      <c r="B403" s="698" t="s">
        <v>163</v>
      </c>
      <c r="C403" s="699" t="s">
        <v>705</v>
      </c>
      <c r="D403" s="700" t="s">
        <v>164</v>
      </c>
      <c r="E403" s="701" t="s">
        <v>165</v>
      </c>
      <c r="F403" s="701" t="s">
        <v>881</v>
      </c>
      <c r="G403" s="701" t="s">
        <v>882</v>
      </c>
      <c r="H403" s="702" t="s">
        <v>883</v>
      </c>
    </row>
    <row r="404" spans="1:19" s="383" customFormat="1" ht="13.5" thickTop="1" thickBot="1" x14ac:dyDescent="0.25">
      <c r="A404" s="566">
        <v>1</v>
      </c>
      <c r="B404" s="567">
        <v>2</v>
      </c>
      <c r="C404" s="567">
        <v>3</v>
      </c>
      <c r="D404" s="567">
        <v>4</v>
      </c>
      <c r="E404" s="567">
        <v>5</v>
      </c>
      <c r="F404" s="541">
        <v>6</v>
      </c>
      <c r="G404" s="541">
        <v>7</v>
      </c>
      <c r="H404" s="636" t="s">
        <v>61</v>
      </c>
      <c r="I404" s="107"/>
    </row>
    <row r="405" spans="1:19" s="432" customFormat="1" ht="15.75" thickTop="1" x14ac:dyDescent="0.25">
      <c r="A405" s="1782">
        <v>4354</v>
      </c>
      <c r="B405" s="2425">
        <v>5331</v>
      </c>
      <c r="C405" s="1765"/>
      <c r="D405" s="624" t="s">
        <v>236</v>
      </c>
      <c r="E405" s="714">
        <f>E406+E407</f>
        <v>592</v>
      </c>
      <c r="F405" s="714">
        <f>F406+F407</f>
        <v>525</v>
      </c>
      <c r="G405" s="714">
        <f>G406+G407</f>
        <v>525</v>
      </c>
      <c r="H405" s="705">
        <f>G405/F405*100</f>
        <v>100</v>
      </c>
    </row>
    <row r="406" spans="1:19" x14ac:dyDescent="0.2">
      <c r="A406" s="1739"/>
      <c r="B406" s="1740"/>
      <c r="C406" s="707" t="s">
        <v>575</v>
      </c>
      <c r="D406" s="1392" t="s">
        <v>1260</v>
      </c>
      <c r="E406" s="731">
        <v>210</v>
      </c>
      <c r="F406" s="731">
        <v>210</v>
      </c>
      <c r="G406" s="731">
        <v>210</v>
      </c>
      <c r="H406" s="793">
        <f>(G406/F406)*100</f>
        <v>100</v>
      </c>
    </row>
    <row r="407" spans="1:19" x14ac:dyDescent="0.2">
      <c r="A407" s="1739"/>
      <c r="B407" s="1740"/>
      <c r="C407" s="552" t="s">
        <v>570</v>
      </c>
      <c r="D407" s="719" t="s">
        <v>1088</v>
      </c>
      <c r="E407" s="731">
        <v>382</v>
      </c>
      <c r="F407" s="731">
        <v>315</v>
      </c>
      <c r="G407" s="731">
        <v>315</v>
      </c>
      <c r="H407" s="793">
        <f>(G407/F407)*100</f>
        <v>100</v>
      </c>
    </row>
    <row r="408" spans="1:19" ht="15" x14ac:dyDescent="0.25">
      <c r="A408" s="1739">
        <v>4354</v>
      </c>
      <c r="B408" s="1740">
        <v>5336</v>
      </c>
      <c r="C408" s="1770"/>
      <c r="D408" s="672" t="s">
        <v>2054</v>
      </c>
      <c r="E408" s="1429"/>
      <c r="F408" s="1429">
        <v>434</v>
      </c>
      <c r="G408" s="1429">
        <v>434</v>
      </c>
      <c r="H408" s="800">
        <f t="shared" ref="H408:H409" si="23">(G408/F408)*100</f>
        <v>100</v>
      </c>
    </row>
    <row r="409" spans="1:19" ht="15.75" thickBot="1" x14ac:dyDescent="0.3">
      <c r="A409" s="1739"/>
      <c r="B409" s="1740"/>
      <c r="C409" s="552" t="s">
        <v>1870</v>
      </c>
      <c r="D409" s="556" t="s">
        <v>1897</v>
      </c>
      <c r="E409" s="1429"/>
      <c r="F409" s="731">
        <v>434</v>
      </c>
      <c r="G409" s="731">
        <v>434</v>
      </c>
      <c r="H409" s="793">
        <f t="shared" si="23"/>
        <v>100</v>
      </c>
    </row>
    <row r="410" spans="1:19" s="367" customFormat="1" ht="20.25" customHeight="1" thickTop="1" thickBot="1" x14ac:dyDescent="0.3">
      <c r="A410" s="708" t="s">
        <v>1105</v>
      </c>
      <c r="B410" s="709"/>
      <c r="C410" s="710"/>
      <c r="D410" s="711"/>
      <c r="E410" s="720">
        <f>SUM(E405)</f>
        <v>592</v>
      </c>
      <c r="F410" s="720">
        <f>SUM(F405,F408)</f>
        <v>959</v>
      </c>
      <c r="G410" s="720">
        <f>SUM(G405,G408)</f>
        <v>959</v>
      </c>
      <c r="H410" s="794">
        <f>(G410/F410)*100</f>
        <v>100</v>
      </c>
    </row>
    <row r="411" spans="1:19" s="432" customFormat="1" ht="15.75" thickTop="1" x14ac:dyDescent="0.25">
      <c r="A411" s="754"/>
      <c r="B411" s="1754"/>
      <c r="C411" s="798"/>
      <c r="E411" s="487"/>
      <c r="F411" s="487"/>
      <c r="G411" s="487"/>
      <c r="H411" s="789"/>
      <c r="S411" s="432">
        <v>0</v>
      </c>
    </row>
    <row r="412" spans="1:19" s="367" customFormat="1" ht="27.75" customHeight="1" thickBot="1" x14ac:dyDescent="0.3">
      <c r="A412" s="758" t="s">
        <v>663</v>
      </c>
      <c r="B412" s="725"/>
      <c r="C412" s="726"/>
      <c r="D412" s="727"/>
      <c r="E412" s="796">
        <f>E410</f>
        <v>592</v>
      </c>
      <c r="F412" s="796">
        <f>F410</f>
        <v>959</v>
      </c>
      <c r="G412" s="796">
        <f>G410</f>
        <v>959</v>
      </c>
      <c r="H412" s="763">
        <f>(G412/F412)*100</f>
        <v>100</v>
      </c>
    </row>
    <row r="413" spans="1:19" s="795" customFormat="1" ht="15.75" customHeight="1" thickTop="1" x14ac:dyDescent="0.25">
      <c r="A413" s="1742"/>
      <c r="B413" s="1743"/>
      <c r="C413" s="1748"/>
      <c r="D413" s="1745"/>
      <c r="E413" s="799"/>
      <c r="F413" s="799"/>
      <c r="G413" s="799"/>
      <c r="H413" s="1749"/>
    </row>
    <row r="414" spans="1:19" s="795" customFormat="1" ht="15.75" customHeight="1" x14ac:dyDescent="0.25">
      <c r="A414" s="1742"/>
      <c r="B414" s="1743"/>
      <c r="C414" s="1748"/>
      <c r="D414" s="1745"/>
      <c r="E414" s="799"/>
      <c r="F414" s="799"/>
      <c r="G414" s="799"/>
      <c r="H414" s="1749"/>
    </row>
    <row r="415" spans="1:19" s="795" customFormat="1" ht="15.75" customHeight="1" x14ac:dyDescent="0.25">
      <c r="A415" s="1742"/>
      <c r="B415" s="1743"/>
      <c r="C415" s="1748"/>
      <c r="D415" s="1745"/>
      <c r="E415" s="799"/>
      <c r="F415" s="799"/>
      <c r="G415" s="799"/>
      <c r="H415" s="1749"/>
    </row>
    <row r="416" spans="1:19" s="501" customFormat="1" ht="15.75" x14ac:dyDescent="0.25">
      <c r="A416" s="695" t="s">
        <v>412</v>
      </c>
      <c r="B416" s="735"/>
      <c r="C416" s="798"/>
      <c r="E416" s="487" t="s">
        <v>411</v>
      </c>
      <c r="F416" s="487"/>
      <c r="G416" s="487"/>
      <c r="H416" s="789"/>
    </row>
    <row r="417" spans="1:9" ht="15" thickBot="1" x14ac:dyDescent="0.25">
      <c r="A417" s="1729"/>
      <c r="H417" s="1735" t="s">
        <v>161</v>
      </c>
    </row>
    <row r="418" spans="1:9" s="703" customFormat="1" ht="20.25" customHeight="1" thickTop="1" thickBot="1" x14ac:dyDescent="0.25">
      <c r="A418" s="755" t="s">
        <v>162</v>
      </c>
      <c r="B418" s="698" t="s">
        <v>163</v>
      </c>
      <c r="C418" s="699" t="s">
        <v>705</v>
      </c>
      <c r="D418" s="700" t="s">
        <v>164</v>
      </c>
      <c r="E418" s="701" t="s">
        <v>165</v>
      </c>
      <c r="F418" s="701" t="s">
        <v>881</v>
      </c>
      <c r="G418" s="701" t="s">
        <v>882</v>
      </c>
      <c r="H418" s="702" t="s">
        <v>883</v>
      </c>
    </row>
    <row r="419" spans="1:9" s="383" customFormat="1" ht="13.5" thickTop="1" thickBot="1" x14ac:dyDescent="0.25">
      <c r="A419" s="566">
        <v>1</v>
      </c>
      <c r="B419" s="567">
        <v>2</v>
      </c>
      <c r="C419" s="567">
        <v>3</v>
      </c>
      <c r="D419" s="567">
        <v>4</v>
      </c>
      <c r="E419" s="567">
        <v>5</v>
      </c>
      <c r="F419" s="541">
        <v>6</v>
      </c>
      <c r="G419" s="541">
        <v>7</v>
      </c>
      <c r="H419" s="636" t="s">
        <v>61</v>
      </c>
      <c r="I419" s="107"/>
    </row>
    <row r="420" spans="1:9" s="432" customFormat="1" ht="15.75" thickTop="1" x14ac:dyDescent="0.25">
      <c r="A420" s="1782">
        <v>4357</v>
      </c>
      <c r="B420" s="2425">
        <v>5331</v>
      </c>
      <c r="C420" s="1765"/>
      <c r="D420" s="624" t="s">
        <v>236</v>
      </c>
      <c r="E420" s="714">
        <f>E421+E422</f>
        <v>2992</v>
      </c>
      <c r="F420" s="714">
        <f>F421+F422</f>
        <v>3041</v>
      </c>
      <c r="G420" s="714">
        <f>G421+G422</f>
        <v>3041</v>
      </c>
      <c r="H420" s="705">
        <f>G420/F420*100</f>
        <v>100</v>
      </c>
    </row>
    <row r="421" spans="1:9" x14ac:dyDescent="0.2">
      <c r="A421" s="1739"/>
      <c r="B421" s="1740"/>
      <c r="C421" s="707" t="s">
        <v>575</v>
      </c>
      <c r="D421" s="1392" t="s">
        <v>1260</v>
      </c>
      <c r="E421" s="731">
        <v>430</v>
      </c>
      <c r="F421" s="731">
        <v>444</v>
      </c>
      <c r="G421" s="731">
        <v>444</v>
      </c>
      <c r="H421" s="793">
        <f t="shared" ref="H421:H427" si="24">(G421/F421)*100</f>
        <v>100</v>
      </c>
    </row>
    <row r="422" spans="1:9" x14ac:dyDescent="0.2">
      <c r="A422" s="1739"/>
      <c r="B422" s="1740"/>
      <c r="C422" s="552" t="s">
        <v>570</v>
      </c>
      <c r="D422" s="548" t="s">
        <v>1088</v>
      </c>
      <c r="E422" s="731">
        <v>2562</v>
      </c>
      <c r="F422" s="731">
        <v>2597</v>
      </c>
      <c r="G422" s="731">
        <v>2597</v>
      </c>
      <c r="H422" s="793">
        <f t="shared" si="24"/>
        <v>100</v>
      </c>
    </row>
    <row r="423" spans="1:9" ht="15" x14ac:dyDescent="0.25">
      <c r="A423" s="1739">
        <v>4357</v>
      </c>
      <c r="B423" s="1740">
        <v>5336</v>
      </c>
      <c r="C423" s="1770"/>
      <c r="D423" s="672" t="s">
        <v>2054</v>
      </c>
      <c r="E423" s="1429"/>
      <c r="F423" s="1429">
        <f>F425+F426+F424</f>
        <v>2841</v>
      </c>
      <c r="G423" s="1429">
        <f>G425+G426+G424</f>
        <v>2841</v>
      </c>
      <c r="H423" s="800">
        <f t="shared" si="24"/>
        <v>100</v>
      </c>
    </row>
    <row r="424" spans="1:9" ht="15" x14ac:dyDescent="0.25">
      <c r="A424" s="1739"/>
      <c r="B424" s="1740"/>
      <c r="C424" s="552" t="s">
        <v>1870</v>
      </c>
      <c r="D424" s="548" t="s">
        <v>1897</v>
      </c>
      <c r="E424" s="1429"/>
      <c r="F424" s="731">
        <v>2424</v>
      </c>
      <c r="G424" s="731">
        <v>2424</v>
      </c>
      <c r="H424" s="793">
        <f t="shared" si="24"/>
        <v>100</v>
      </c>
    </row>
    <row r="425" spans="1:9" ht="15" x14ac:dyDescent="0.25">
      <c r="A425" s="1739"/>
      <c r="B425" s="1740"/>
      <c r="C425" s="552" t="s">
        <v>1355</v>
      </c>
      <c r="D425" s="1751" t="s">
        <v>1356</v>
      </c>
      <c r="E425" s="1429"/>
      <c r="F425" s="731">
        <v>62</v>
      </c>
      <c r="G425" s="731">
        <v>62</v>
      </c>
      <c r="H425" s="793">
        <f t="shared" si="24"/>
        <v>100</v>
      </c>
    </row>
    <row r="426" spans="1:9" ht="15" thickBot="1" x14ac:dyDescent="0.25">
      <c r="A426" s="1739"/>
      <c r="B426" s="1740"/>
      <c r="C426" s="552" t="s">
        <v>1357</v>
      </c>
      <c r="D426" s="1752" t="s">
        <v>1358</v>
      </c>
      <c r="E426" s="731"/>
      <c r="F426" s="731">
        <v>355</v>
      </c>
      <c r="G426" s="731">
        <v>355</v>
      </c>
      <c r="H426" s="793">
        <f t="shared" si="24"/>
        <v>100</v>
      </c>
    </row>
    <row r="427" spans="1:9" s="367" customFormat="1" ht="20.25" customHeight="1" thickTop="1" thickBot="1" x14ac:dyDescent="0.3">
      <c r="A427" s="708" t="s">
        <v>1105</v>
      </c>
      <c r="B427" s="709"/>
      <c r="C427" s="710"/>
      <c r="D427" s="801"/>
      <c r="E427" s="720">
        <f>SUM(E420,E423)</f>
        <v>2992</v>
      </c>
      <c r="F427" s="720">
        <f>SUM(F420,F423)</f>
        <v>5882</v>
      </c>
      <c r="G427" s="720">
        <f>SUM(G420,G423)</f>
        <v>5882</v>
      </c>
      <c r="H427" s="794">
        <f t="shared" si="24"/>
        <v>100</v>
      </c>
    </row>
    <row r="428" spans="1:9" s="432" customFormat="1" ht="15.75" thickTop="1" x14ac:dyDescent="0.25">
      <c r="A428" s="754"/>
      <c r="B428" s="1754"/>
      <c r="C428" s="798"/>
      <c r="E428" s="487"/>
      <c r="F428" s="487"/>
      <c r="G428" s="487"/>
      <c r="H428" s="789"/>
    </row>
    <row r="429" spans="1:9" s="367" customFormat="1" ht="27.75" customHeight="1" thickBot="1" x14ac:dyDescent="0.3">
      <c r="A429" s="758" t="s">
        <v>413</v>
      </c>
      <c r="B429" s="725"/>
      <c r="C429" s="726"/>
      <c r="D429" s="727"/>
      <c r="E429" s="796">
        <f>E427</f>
        <v>2992</v>
      </c>
      <c r="F429" s="796">
        <f>F427</f>
        <v>5882</v>
      </c>
      <c r="G429" s="796">
        <f>G427</f>
        <v>5882</v>
      </c>
      <c r="H429" s="763">
        <f>(G429/F429)*100</f>
        <v>100</v>
      </c>
    </row>
    <row r="430" spans="1:9" s="795" customFormat="1" ht="15.75" customHeight="1" thickTop="1" x14ac:dyDescent="0.25">
      <c r="A430" s="1742"/>
      <c r="B430" s="1743"/>
      <c r="C430" s="1748"/>
      <c r="D430" s="1745"/>
      <c r="E430" s="799"/>
      <c r="F430" s="799"/>
      <c r="G430" s="799"/>
      <c r="H430" s="1749"/>
    </row>
    <row r="431" spans="1:9" s="795" customFormat="1" ht="15.75" customHeight="1" x14ac:dyDescent="0.25">
      <c r="A431" s="1742"/>
      <c r="B431" s="1743"/>
      <c r="C431" s="1748"/>
      <c r="D431" s="1745"/>
      <c r="E431" s="799"/>
      <c r="F431" s="799"/>
      <c r="G431" s="799"/>
      <c r="H431" s="1749"/>
    </row>
    <row r="432" spans="1:9" s="795" customFormat="1" ht="15.75" customHeight="1" x14ac:dyDescent="0.25">
      <c r="A432" s="1742"/>
      <c r="B432" s="1743"/>
      <c r="C432" s="1748"/>
      <c r="D432" s="1745"/>
      <c r="E432" s="799"/>
      <c r="F432" s="799"/>
      <c r="G432" s="799"/>
      <c r="H432" s="1749"/>
    </row>
    <row r="433" spans="1:9" s="501" customFormat="1" ht="15.75" x14ac:dyDescent="0.25">
      <c r="A433" s="695" t="s">
        <v>1361</v>
      </c>
      <c r="B433" s="735"/>
      <c r="C433" s="798"/>
      <c r="E433" s="487" t="s">
        <v>414</v>
      </c>
      <c r="F433" s="487"/>
      <c r="G433" s="487"/>
      <c r="H433" s="789"/>
    </row>
    <row r="434" spans="1:9" ht="15" thickBot="1" x14ac:dyDescent="0.25">
      <c r="A434" s="1729"/>
      <c r="H434" s="1735" t="s">
        <v>161</v>
      </c>
    </row>
    <row r="435" spans="1:9" s="703" customFormat="1" ht="20.25" customHeight="1" thickTop="1" thickBot="1" x14ac:dyDescent="0.25">
      <c r="A435" s="755" t="s">
        <v>162</v>
      </c>
      <c r="B435" s="698" t="s">
        <v>163</v>
      </c>
      <c r="C435" s="699" t="s">
        <v>705</v>
      </c>
      <c r="D435" s="700" t="s">
        <v>164</v>
      </c>
      <c r="E435" s="701" t="s">
        <v>165</v>
      </c>
      <c r="F435" s="701" t="s">
        <v>881</v>
      </c>
      <c r="G435" s="701" t="s">
        <v>882</v>
      </c>
      <c r="H435" s="702" t="s">
        <v>883</v>
      </c>
    </row>
    <row r="436" spans="1:9" s="383" customFormat="1" ht="13.5" thickTop="1" thickBot="1" x14ac:dyDescent="0.25">
      <c r="A436" s="566">
        <v>1</v>
      </c>
      <c r="B436" s="567">
        <v>2</v>
      </c>
      <c r="C436" s="567">
        <v>3</v>
      </c>
      <c r="D436" s="567">
        <v>4</v>
      </c>
      <c r="E436" s="567">
        <v>5</v>
      </c>
      <c r="F436" s="541">
        <v>6</v>
      </c>
      <c r="G436" s="541">
        <v>7</v>
      </c>
      <c r="H436" s="636" t="s">
        <v>61</v>
      </c>
      <c r="I436" s="107"/>
    </row>
    <row r="437" spans="1:9" s="432" customFormat="1" ht="15.75" thickTop="1" x14ac:dyDescent="0.25">
      <c r="A437" s="1782">
        <v>4356</v>
      </c>
      <c r="B437" s="2425">
        <v>5331</v>
      </c>
      <c r="C437" s="1765"/>
      <c r="D437" s="624" t="s">
        <v>236</v>
      </c>
      <c r="E437" s="714">
        <f>E438+E439</f>
        <v>1058</v>
      </c>
      <c r="F437" s="714">
        <f>F438+F439</f>
        <v>1495</v>
      </c>
      <c r="G437" s="714">
        <f>G438+G439</f>
        <v>1495</v>
      </c>
      <c r="H437" s="705">
        <f>G437/F437*100</f>
        <v>100</v>
      </c>
    </row>
    <row r="438" spans="1:9" x14ac:dyDescent="0.2">
      <c r="A438" s="1739"/>
      <c r="B438" s="1740"/>
      <c r="C438" s="707" t="s">
        <v>575</v>
      </c>
      <c r="D438" s="1392" t="s">
        <v>1260</v>
      </c>
      <c r="E438" s="731">
        <v>14</v>
      </c>
      <c r="F438" s="731">
        <v>14</v>
      </c>
      <c r="G438" s="731">
        <v>14</v>
      </c>
      <c r="H438" s="793">
        <f>(G438/F438)*100</f>
        <v>100</v>
      </c>
    </row>
    <row r="439" spans="1:9" x14ac:dyDescent="0.2">
      <c r="A439" s="1739"/>
      <c r="B439" s="1740"/>
      <c r="C439" s="552" t="s">
        <v>570</v>
      </c>
      <c r="D439" s="719" t="s">
        <v>1088</v>
      </c>
      <c r="E439" s="731">
        <v>1044</v>
      </c>
      <c r="F439" s="731">
        <v>1481</v>
      </c>
      <c r="G439" s="731">
        <v>1481</v>
      </c>
      <c r="H439" s="793">
        <f>(G439/F439)*100</f>
        <v>100</v>
      </c>
    </row>
    <row r="440" spans="1:9" ht="15" x14ac:dyDescent="0.25">
      <c r="A440" s="1739">
        <v>4356</v>
      </c>
      <c r="B440" s="1740">
        <v>5336</v>
      </c>
      <c r="C440" s="1770"/>
      <c r="D440" s="672" t="s">
        <v>2054</v>
      </c>
      <c r="E440" s="1429"/>
      <c r="F440" s="1429">
        <v>926</v>
      </c>
      <c r="G440" s="1429">
        <v>926</v>
      </c>
      <c r="H440" s="800">
        <f t="shared" ref="H440:H441" si="25">(G440/F440)*100</f>
        <v>100</v>
      </c>
    </row>
    <row r="441" spans="1:9" ht="15.75" thickBot="1" x14ac:dyDescent="0.3">
      <c r="A441" s="1739"/>
      <c r="B441" s="1740"/>
      <c r="C441" s="552" t="s">
        <v>1870</v>
      </c>
      <c r="D441" s="548" t="s">
        <v>1897</v>
      </c>
      <c r="E441" s="1429"/>
      <c r="F441" s="731">
        <v>926</v>
      </c>
      <c r="G441" s="731">
        <v>926</v>
      </c>
      <c r="H441" s="793">
        <f t="shared" si="25"/>
        <v>100</v>
      </c>
    </row>
    <row r="442" spans="1:9" s="367" customFormat="1" ht="20.25" customHeight="1" thickTop="1" thickBot="1" x14ac:dyDescent="0.3">
      <c r="A442" s="708" t="s">
        <v>1105</v>
      </c>
      <c r="B442" s="709"/>
      <c r="C442" s="710"/>
      <c r="D442" s="711"/>
      <c r="E442" s="720">
        <f>SUM(E437)</f>
        <v>1058</v>
      </c>
      <c r="F442" s="720">
        <f>SUM(F437,F440)</f>
        <v>2421</v>
      </c>
      <c r="G442" s="720">
        <f>SUM(G437,G440)</f>
        <v>2421</v>
      </c>
      <c r="H442" s="794">
        <f>(G442/F442)*100</f>
        <v>100</v>
      </c>
    </row>
    <row r="443" spans="1:9" s="432" customFormat="1" ht="15.75" thickTop="1" x14ac:dyDescent="0.25">
      <c r="A443" s="754"/>
      <c r="B443" s="1754"/>
      <c r="C443" s="798"/>
      <c r="E443" s="487"/>
      <c r="F443" s="487"/>
      <c r="G443" s="487"/>
      <c r="H443" s="789"/>
    </row>
    <row r="444" spans="1:9" s="367" customFormat="1" ht="22.5" customHeight="1" thickBot="1" x14ac:dyDescent="0.3">
      <c r="A444" s="1432" t="s">
        <v>1362</v>
      </c>
      <c r="B444" s="1432"/>
      <c r="C444" s="1432"/>
      <c r="D444" s="1432"/>
      <c r="E444" s="1433">
        <f>SUM(E442)</f>
        <v>1058</v>
      </c>
      <c r="F444" s="1433">
        <f>SUM(F442)</f>
        <v>2421</v>
      </c>
      <c r="G444" s="1433">
        <f>SUM(G442)</f>
        <v>2421</v>
      </c>
      <c r="H444" s="1434">
        <f>(G444/F444)*100</f>
        <v>100</v>
      </c>
    </row>
    <row r="445" spans="1:9" s="795" customFormat="1" ht="16.5" customHeight="1" thickTop="1" x14ac:dyDescent="0.25">
      <c r="A445" s="1742"/>
      <c r="B445" s="1743"/>
      <c r="C445" s="1744"/>
      <c r="D445" s="1745"/>
      <c r="E445" s="1746"/>
      <c r="F445" s="1746"/>
      <c r="G445" s="1746"/>
      <c r="H445" s="1747"/>
    </row>
    <row r="446" spans="1:9" s="795" customFormat="1" ht="16.5" customHeight="1" x14ac:dyDescent="0.25">
      <c r="A446" s="1742"/>
      <c r="B446" s="1743"/>
      <c r="C446" s="1744"/>
      <c r="D446" s="1745"/>
      <c r="E446" s="1746"/>
      <c r="F446" s="1746"/>
      <c r="G446" s="1746"/>
      <c r="H446" s="1747"/>
    </row>
    <row r="447" spans="1:9" s="795" customFormat="1" ht="16.5" customHeight="1" x14ac:dyDescent="0.25">
      <c r="A447" s="1742"/>
      <c r="B447" s="1743"/>
      <c r="C447" s="1744"/>
      <c r="D447" s="1745"/>
      <c r="E447" s="1746"/>
      <c r="F447" s="1746"/>
      <c r="G447" s="1746"/>
      <c r="H447" s="1747"/>
    </row>
    <row r="448" spans="1:9" s="501" customFormat="1" ht="15.75" x14ac:dyDescent="0.25">
      <c r="A448" s="695" t="s">
        <v>475</v>
      </c>
      <c r="B448" s="735"/>
      <c r="C448" s="798"/>
      <c r="E448" s="487" t="s">
        <v>415</v>
      </c>
      <c r="F448" s="487"/>
      <c r="G448" s="487"/>
      <c r="H448" s="789"/>
    </row>
    <row r="449" spans="1:9" ht="15" thickBot="1" x14ac:dyDescent="0.25">
      <c r="A449" s="1729"/>
      <c r="H449" s="1735" t="s">
        <v>161</v>
      </c>
    </row>
    <row r="450" spans="1:9" s="703" customFormat="1" ht="20.25" customHeight="1" thickTop="1" thickBot="1" x14ac:dyDescent="0.25">
      <c r="A450" s="755" t="s">
        <v>162</v>
      </c>
      <c r="B450" s="698" t="s">
        <v>163</v>
      </c>
      <c r="C450" s="699" t="s">
        <v>705</v>
      </c>
      <c r="D450" s="700" t="s">
        <v>164</v>
      </c>
      <c r="E450" s="701" t="s">
        <v>165</v>
      </c>
      <c r="F450" s="701" t="s">
        <v>881</v>
      </c>
      <c r="G450" s="701" t="s">
        <v>882</v>
      </c>
      <c r="H450" s="702" t="s">
        <v>883</v>
      </c>
    </row>
    <row r="451" spans="1:9" s="383" customFormat="1" ht="13.5" thickTop="1" thickBot="1" x14ac:dyDescent="0.25">
      <c r="A451" s="566">
        <v>1</v>
      </c>
      <c r="B451" s="567">
        <v>2</v>
      </c>
      <c r="C451" s="567">
        <v>3</v>
      </c>
      <c r="D451" s="567">
        <v>4</v>
      </c>
      <c r="E451" s="567">
        <v>5</v>
      </c>
      <c r="F451" s="541">
        <v>6</v>
      </c>
      <c r="G451" s="541">
        <v>7</v>
      </c>
      <c r="H451" s="636" t="s">
        <v>61</v>
      </c>
      <c r="I451" s="107"/>
    </row>
    <row r="452" spans="1:9" s="432" customFormat="1" ht="15.75" thickTop="1" x14ac:dyDescent="0.25">
      <c r="A452" s="1782">
        <v>4357</v>
      </c>
      <c r="B452" s="2425">
        <v>5331</v>
      </c>
      <c r="C452" s="1765"/>
      <c r="D452" s="624" t="s">
        <v>236</v>
      </c>
      <c r="E452" s="714">
        <f>E453+E454</f>
        <v>5118</v>
      </c>
      <c r="F452" s="714">
        <f>F453+F454</f>
        <v>9831</v>
      </c>
      <c r="G452" s="714">
        <f>G453+G454</f>
        <v>9829</v>
      </c>
      <c r="H452" s="705">
        <f>G452/F452*100</f>
        <v>99.979656189604313</v>
      </c>
    </row>
    <row r="453" spans="1:9" x14ac:dyDescent="0.2">
      <c r="A453" s="1739"/>
      <c r="B453" s="1740"/>
      <c r="C453" s="552" t="s">
        <v>575</v>
      </c>
      <c r="D453" s="1392" t="s">
        <v>1260</v>
      </c>
      <c r="E453" s="1346">
        <v>993</v>
      </c>
      <c r="F453" s="731">
        <v>1010</v>
      </c>
      <c r="G453" s="731">
        <v>1008</v>
      </c>
      <c r="H453" s="793">
        <f>(G453/F453)*100</f>
        <v>99.801980198019805</v>
      </c>
    </row>
    <row r="454" spans="1:9" x14ac:dyDescent="0.2">
      <c r="A454" s="1739"/>
      <c r="B454" s="1740"/>
      <c r="C454" s="552" t="s">
        <v>570</v>
      </c>
      <c r="D454" s="548" t="s">
        <v>1088</v>
      </c>
      <c r="E454" s="731">
        <v>4125</v>
      </c>
      <c r="F454" s="731">
        <v>8821</v>
      </c>
      <c r="G454" s="731">
        <v>8821</v>
      </c>
      <c r="H454" s="793">
        <f>(G454/F454)*100</f>
        <v>100</v>
      </c>
    </row>
    <row r="455" spans="1:9" ht="15" x14ac:dyDescent="0.25">
      <c r="A455" s="1739">
        <v>4357</v>
      </c>
      <c r="B455" s="1740">
        <v>5336</v>
      </c>
      <c r="C455" s="1770"/>
      <c r="D455" s="672" t="s">
        <v>2054</v>
      </c>
      <c r="E455" s="1429"/>
      <c r="F455" s="1429">
        <v>3629</v>
      </c>
      <c r="G455" s="1429">
        <v>3629</v>
      </c>
      <c r="H455" s="800">
        <f t="shared" ref="H455:H456" si="26">(G455/F455)*100</f>
        <v>100</v>
      </c>
    </row>
    <row r="456" spans="1:9" ht="15.75" thickBot="1" x14ac:dyDescent="0.3">
      <c r="A456" s="1739"/>
      <c r="B456" s="1740"/>
      <c r="C456" s="552" t="s">
        <v>1870</v>
      </c>
      <c r="D456" s="556" t="s">
        <v>1897</v>
      </c>
      <c r="E456" s="1429"/>
      <c r="F456" s="731">
        <v>3629</v>
      </c>
      <c r="G456" s="731">
        <v>3629</v>
      </c>
      <c r="H456" s="793">
        <f t="shared" si="26"/>
        <v>100</v>
      </c>
    </row>
    <row r="457" spans="1:9" s="367" customFormat="1" ht="20.25" customHeight="1" thickTop="1" thickBot="1" x14ac:dyDescent="0.3">
      <c r="A457" s="708" t="s">
        <v>1105</v>
      </c>
      <c r="B457" s="709"/>
      <c r="C457" s="710"/>
      <c r="D457" s="801"/>
      <c r="E457" s="720">
        <f>E452</f>
        <v>5118</v>
      </c>
      <c r="F457" s="720">
        <f>SUM(F452,F455)</f>
        <v>13460</v>
      </c>
      <c r="G457" s="720">
        <f>SUM(G452,G455)</f>
        <v>13458</v>
      </c>
      <c r="H457" s="794">
        <f>(G457/F457)*100</f>
        <v>99.985141158989592</v>
      </c>
    </row>
    <row r="458" spans="1:9" s="432" customFormat="1" ht="15.75" thickTop="1" x14ac:dyDescent="0.25">
      <c r="A458" s="754"/>
      <c r="B458" s="1754"/>
      <c r="C458" s="798"/>
      <c r="E458" s="487"/>
      <c r="F458" s="487"/>
      <c r="G458" s="487"/>
      <c r="H458" s="789"/>
    </row>
    <row r="459" spans="1:9" s="367" customFormat="1" ht="22.5" customHeight="1" thickBot="1" x14ac:dyDescent="0.3">
      <c r="A459" s="758" t="s">
        <v>476</v>
      </c>
      <c r="B459" s="725"/>
      <c r="C459" s="726"/>
      <c r="D459" s="727"/>
      <c r="E459" s="796">
        <f>SUM(E457)</f>
        <v>5118</v>
      </c>
      <c r="F459" s="796">
        <f>SUM(F457)</f>
        <v>13460</v>
      </c>
      <c r="G459" s="796">
        <f>SUM(G457)</f>
        <v>13458</v>
      </c>
      <c r="H459" s="763">
        <f>(G459/F459)*100</f>
        <v>99.985141158989592</v>
      </c>
    </row>
    <row r="460" spans="1:9" s="795" customFormat="1" ht="15" customHeight="1" thickTop="1" x14ac:dyDescent="0.25">
      <c r="A460" s="1742"/>
      <c r="B460" s="1743"/>
      <c r="C460" s="1748"/>
      <c r="D460" s="1745"/>
      <c r="E460" s="799"/>
      <c r="F460" s="799"/>
      <c r="G460" s="799"/>
      <c r="H460" s="1749"/>
    </row>
    <row r="461" spans="1:9" s="795" customFormat="1" ht="15" customHeight="1" x14ac:dyDescent="0.25">
      <c r="A461" s="1742"/>
      <c r="B461" s="1743"/>
      <c r="C461" s="1748"/>
      <c r="D461" s="1745"/>
      <c r="E461" s="799"/>
      <c r="F461" s="799"/>
      <c r="G461" s="799"/>
      <c r="H461" s="1749"/>
    </row>
    <row r="462" spans="1:9" s="795" customFormat="1" ht="15" customHeight="1" x14ac:dyDescent="0.25">
      <c r="A462" s="1742"/>
      <c r="B462" s="1743"/>
      <c r="C462" s="1748"/>
      <c r="D462" s="1745"/>
      <c r="E462" s="799"/>
      <c r="F462" s="799"/>
      <c r="G462" s="799"/>
      <c r="H462" s="1749"/>
    </row>
    <row r="463" spans="1:9" s="501" customFormat="1" ht="15.75" x14ac:dyDescent="0.25">
      <c r="A463" s="695" t="s">
        <v>477</v>
      </c>
      <c r="B463" s="735"/>
      <c r="C463" s="798"/>
      <c r="E463" s="487" t="s">
        <v>416</v>
      </c>
      <c r="F463" s="487"/>
      <c r="G463" s="487"/>
      <c r="H463" s="789"/>
    </row>
    <row r="464" spans="1:9" ht="15" thickBot="1" x14ac:dyDescent="0.25">
      <c r="A464" s="1729"/>
      <c r="H464" s="1735" t="s">
        <v>161</v>
      </c>
    </row>
    <row r="465" spans="1:9" s="703" customFormat="1" ht="20.25" customHeight="1" thickTop="1" thickBot="1" x14ac:dyDescent="0.25">
      <c r="A465" s="755" t="s">
        <v>162</v>
      </c>
      <c r="B465" s="698" t="s">
        <v>163</v>
      </c>
      <c r="C465" s="699" t="s">
        <v>705</v>
      </c>
      <c r="D465" s="700" t="s">
        <v>164</v>
      </c>
      <c r="E465" s="701" t="s">
        <v>165</v>
      </c>
      <c r="F465" s="701" t="s">
        <v>881</v>
      </c>
      <c r="G465" s="701" t="s">
        <v>882</v>
      </c>
      <c r="H465" s="702" t="s">
        <v>883</v>
      </c>
    </row>
    <row r="466" spans="1:9" s="383" customFormat="1" ht="13.5" thickTop="1" thickBot="1" x14ac:dyDescent="0.25">
      <c r="A466" s="566">
        <v>1</v>
      </c>
      <c r="B466" s="567">
        <v>2</v>
      </c>
      <c r="C466" s="567">
        <v>3</v>
      </c>
      <c r="D466" s="567">
        <v>4</v>
      </c>
      <c r="E466" s="567">
        <v>5</v>
      </c>
      <c r="F466" s="541">
        <v>6</v>
      </c>
      <c r="G466" s="541">
        <v>7</v>
      </c>
      <c r="H466" s="636" t="s">
        <v>61</v>
      </c>
      <c r="I466" s="107"/>
    </row>
    <row r="467" spans="1:9" s="432" customFormat="1" ht="15.75" thickTop="1" x14ac:dyDescent="0.25">
      <c r="A467" s="1782">
        <v>4357</v>
      </c>
      <c r="B467" s="2425">
        <v>5331</v>
      </c>
      <c r="C467" s="1765"/>
      <c r="D467" s="624" t="s">
        <v>236</v>
      </c>
      <c r="E467" s="714">
        <f>E468+E469</f>
        <v>1777</v>
      </c>
      <c r="F467" s="714">
        <f>F468+F469</f>
        <v>2450</v>
      </c>
      <c r="G467" s="714">
        <f>G468+G469</f>
        <v>2450</v>
      </c>
      <c r="H467" s="705">
        <f>G467/F467*100</f>
        <v>100</v>
      </c>
    </row>
    <row r="468" spans="1:9" x14ac:dyDescent="0.2">
      <c r="A468" s="1739"/>
      <c r="B468" s="1740"/>
      <c r="C468" s="707" t="s">
        <v>575</v>
      </c>
      <c r="D468" s="1392" t="s">
        <v>1260</v>
      </c>
      <c r="E468" s="731">
        <v>299</v>
      </c>
      <c r="F468" s="731">
        <v>299</v>
      </c>
      <c r="G468" s="731">
        <v>299</v>
      </c>
      <c r="H468" s="793">
        <f>(G468/F468)*100</f>
        <v>100</v>
      </c>
    </row>
    <row r="469" spans="1:9" x14ac:dyDescent="0.2">
      <c r="A469" s="1739"/>
      <c r="B469" s="1740"/>
      <c r="C469" s="552" t="s">
        <v>570</v>
      </c>
      <c r="D469" s="548" t="s">
        <v>1088</v>
      </c>
      <c r="E469" s="731">
        <v>1478</v>
      </c>
      <c r="F469" s="731">
        <v>2151</v>
      </c>
      <c r="G469" s="731">
        <v>2151</v>
      </c>
      <c r="H469" s="793">
        <f>(G469/F469)*100</f>
        <v>100</v>
      </c>
    </row>
    <row r="470" spans="1:9" ht="15" x14ac:dyDescent="0.25">
      <c r="A470" s="1739">
        <v>4357</v>
      </c>
      <c r="B470" s="1740">
        <v>5336</v>
      </c>
      <c r="C470" s="1770"/>
      <c r="D470" s="672" t="s">
        <v>2054</v>
      </c>
      <c r="E470" s="1429"/>
      <c r="F470" s="1429">
        <v>1556</v>
      </c>
      <c r="G470" s="1429">
        <v>1556</v>
      </c>
      <c r="H470" s="800">
        <f t="shared" ref="H470:H471" si="27">(G470/F470)*100</f>
        <v>100</v>
      </c>
    </row>
    <row r="471" spans="1:9" ht="15.75" thickBot="1" x14ac:dyDescent="0.3">
      <c r="A471" s="1739"/>
      <c r="B471" s="1740"/>
      <c r="C471" s="552" t="s">
        <v>1870</v>
      </c>
      <c r="D471" s="556" t="s">
        <v>1897</v>
      </c>
      <c r="E471" s="1429"/>
      <c r="F471" s="731">
        <v>1556</v>
      </c>
      <c r="G471" s="731">
        <v>1556</v>
      </c>
      <c r="H471" s="793">
        <f t="shared" si="27"/>
        <v>100</v>
      </c>
    </row>
    <row r="472" spans="1:9" s="367" customFormat="1" ht="20.25" customHeight="1" thickTop="1" thickBot="1" x14ac:dyDescent="0.3">
      <c r="A472" s="708" t="s">
        <v>1105</v>
      </c>
      <c r="B472" s="709"/>
      <c r="C472" s="710"/>
      <c r="D472" s="711"/>
      <c r="E472" s="720">
        <f>SUM(E467)</f>
        <v>1777</v>
      </c>
      <c r="F472" s="720">
        <f>SUM(F467,F470)</f>
        <v>4006</v>
      </c>
      <c r="G472" s="720">
        <f>SUM(G467,G470)</f>
        <v>4006</v>
      </c>
      <c r="H472" s="794">
        <f>(G472/F472)*100</f>
        <v>100</v>
      </c>
    </row>
    <row r="473" spans="1:9" s="367" customFormat="1" ht="20.25" customHeight="1" thickTop="1" x14ac:dyDescent="0.25">
      <c r="A473" s="361"/>
      <c r="B473" s="362"/>
      <c r="C473" s="363"/>
      <c r="D473" s="364"/>
      <c r="E473" s="365"/>
      <c r="F473" s="365"/>
      <c r="G473" s="365"/>
      <c r="H473" s="366"/>
    </row>
    <row r="474" spans="1:9" s="367" customFormat="1" ht="22.5" customHeight="1" thickBot="1" x14ac:dyDescent="0.3">
      <c r="A474" s="758" t="s">
        <v>1337</v>
      </c>
      <c r="B474" s="725"/>
      <c r="C474" s="726"/>
      <c r="D474" s="727"/>
      <c r="E474" s="796">
        <f>SUM(E472)</f>
        <v>1777</v>
      </c>
      <c r="F474" s="796">
        <f>SUM(F472)</f>
        <v>4006</v>
      </c>
      <c r="G474" s="796">
        <f>SUM(G472)</f>
        <v>4006</v>
      </c>
      <c r="H474" s="763">
        <f>(G474/F474)*100</f>
        <v>100</v>
      </c>
    </row>
    <row r="475" spans="1:9" s="795" customFormat="1" ht="14.25" customHeight="1" thickTop="1" x14ac:dyDescent="0.25">
      <c r="A475" s="1742"/>
      <c r="B475" s="1743"/>
      <c r="C475" s="1748"/>
      <c r="D475" s="1745"/>
      <c r="E475" s="799"/>
      <c r="F475" s="799"/>
      <c r="G475" s="799"/>
      <c r="H475" s="1749"/>
    </row>
    <row r="476" spans="1:9" s="795" customFormat="1" ht="14.25" customHeight="1" x14ac:dyDescent="0.25">
      <c r="A476" s="1742"/>
      <c r="B476" s="1743"/>
      <c r="C476" s="1748"/>
      <c r="D476" s="1745"/>
      <c r="E476" s="799"/>
      <c r="F476" s="799"/>
      <c r="G476" s="799"/>
      <c r="H476" s="1749"/>
    </row>
    <row r="477" spans="1:9" s="795" customFormat="1" ht="14.25" customHeight="1" x14ac:dyDescent="0.25">
      <c r="A477" s="1742"/>
      <c r="B477" s="1743"/>
      <c r="C477" s="1748"/>
      <c r="D477" s="1745"/>
      <c r="E477" s="799"/>
      <c r="F477" s="799"/>
      <c r="G477" s="799"/>
      <c r="H477" s="1749"/>
    </row>
    <row r="478" spans="1:9" s="501" customFormat="1" ht="15.75" x14ac:dyDescent="0.25">
      <c r="A478" s="695" t="s">
        <v>4</v>
      </c>
      <c r="B478" s="735"/>
      <c r="C478" s="798"/>
      <c r="E478" s="487" t="s">
        <v>417</v>
      </c>
      <c r="F478" s="487"/>
      <c r="G478" s="487"/>
      <c r="H478" s="789"/>
    </row>
    <row r="479" spans="1:9" ht="15" thickBot="1" x14ac:dyDescent="0.25">
      <c r="A479" s="1729"/>
      <c r="H479" s="1735" t="s">
        <v>161</v>
      </c>
    </row>
    <row r="480" spans="1:9" s="703" customFormat="1" ht="20.25" customHeight="1" thickTop="1" thickBot="1" x14ac:dyDescent="0.25">
      <c r="A480" s="755" t="s">
        <v>162</v>
      </c>
      <c r="B480" s="698" t="s">
        <v>163</v>
      </c>
      <c r="C480" s="699" t="s">
        <v>705</v>
      </c>
      <c r="D480" s="700" t="s">
        <v>164</v>
      </c>
      <c r="E480" s="701" t="s">
        <v>165</v>
      </c>
      <c r="F480" s="701" t="s">
        <v>881</v>
      </c>
      <c r="G480" s="701" t="s">
        <v>882</v>
      </c>
      <c r="H480" s="702" t="s">
        <v>883</v>
      </c>
    </row>
    <row r="481" spans="1:9" s="383" customFormat="1" ht="13.5" thickTop="1" thickBot="1" x14ac:dyDescent="0.25">
      <c r="A481" s="566">
        <v>1</v>
      </c>
      <c r="B481" s="567">
        <v>2</v>
      </c>
      <c r="C481" s="567">
        <v>3</v>
      </c>
      <c r="D481" s="567">
        <v>4</v>
      </c>
      <c r="E481" s="567">
        <v>5</v>
      </c>
      <c r="F481" s="541">
        <v>6</v>
      </c>
      <c r="G481" s="541">
        <v>7</v>
      </c>
      <c r="H481" s="636" t="s">
        <v>61</v>
      </c>
      <c r="I481" s="107"/>
    </row>
    <row r="482" spans="1:9" s="432" customFormat="1" ht="15.75" thickTop="1" x14ac:dyDescent="0.25">
      <c r="A482" s="1782">
        <v>4357</v>
      </c>
      <c r="B482" s="2425">
        <v>5331</v>
      </c>
      <c r="C482" s="1765"/>
      <c r="D482" s="624" t="s">
        <v>236</v>
      </c>
      <c r="E482" s="714">
        <f>E483+E484</f>
        <v>4805</v>
      </c>
      <c r="F482" s="714">
        <f>F483+F484</f>
        <v>5136</v>
      </c>
      <c r="G482" s="714">
        <f>G483+G484</f>
        <v>5136</v>
      </c>
      <c r="H482" s="705">
        <f>G482/F482*100</f>
        <v>100</v>
      </c>
    </row>
    <row r="483" spans="1:9" x14ac:dyDescent="0.2">
      <c r="A483" s="1739"/>
      <c r="B483" s="1740"/>
      <c r="C483" s="707" t="s">
        <v>575</v>
      </c>
      <c r="D483" s="1392" t="s">
        <v>1260</v>
      </c>
      <c r="E483" s="731">
        <v>1172</v>
      </c>
      <c r="F483" s="731">
        <v>757</v>
      </c>
      <c r="G483" s="731">
        <v>757</v>
      </c>
      <c r="H483" s="793">
        <f>(G483/F483)*100</f>
        <v>100</v>
      </c>
    </row>
    <row r="484" spans="1:9" x14ac:dyDescent="0.2">
      <c r="A484" s="1739"/>
      <c r="B484" s="1740"/>
      <c r="C484" s="552" t="s">
        <v>570</v>
      </c>
      <c r="D484" s="548" t="s">
        <v>1088</v>
      </c>
      <c r="E484" s="1346">
        <v>3633</v>
      </c>
      <c r="F484" s="731">
        <v>4379</v>
      </c>
      <c r="G484" s="731">
        <v>4379</v>
      </c>
      <c r="H484" s="793">
        <f>(G484/F484)*100</f>
        <v>100</v>
      </c>
    </row>
    <row r="485" spans="1:9" ht="15" x14ac:dyDescent="0.25">
      <c r="A485" s="1739">
        <v>4357</v>
      </c>
      <c r="B485" s="1740">
        <v>5336</v>
      </c>
      <c r="C485" s="1770"/>
      <c r="D485" s="672" t="s">
        <v>2054</v>
      </c>
      <c r="E485" s="1429"/>
      <c r="F485" s="1429">
        <v>3890</v>
      </c>
      <c r="G485" s="1429">
        <v>3890</v>
      </c>
      <c r="H485" s="800">
        <f t="shared" ref="H485:H486" si="28">(G485/F485)*100</f>
        <v>100</v>
      </c>
    </row>
    <row r="486" spans="1:9" ht="15.75" thickBot="1" x14ac:dyDescent="0.3">
      <c r="A486" s="1739"/>
      <c r="B486" s="1740"/>
      <c r="C486" s="552" t="s">
        <v>1870</v>
      </c>
      <c r="D486" s="556" t="s">
        <v>1897</v>
      </c>
      <c r="E486" s="1429"/>
      <c r="F486" s="731">
        <v>3890</v>
      </c>
      <c r="G486" s="731">
        <v>3890</v>
      </c>
      <c r="H486" s="793">
        <f t="shared" si="28"/>
        <v>100</v>
      </c>
    </row>
    <row r="487" spans="1:9" s="367" customFormat="1" ht="20.25" customHeight="1" thickTop="1" thickBot="1" x14ac:dyDescent="0.3">
      <c r="A487" s="708" t="s">
        <v>1105</v>
      </c>
      <c r="B487" s="709"/>
      <c r="C487" s="710"/>
      <c r="D487" s="711"/>
      <c r="E487" s="720">
        <f>SUM(E482)</f>
        <v>4805</v>
      </c>
      <c r="F487" s="720">
        <f>SUM(F482,F485)</f>
        <v>9026</v>
      </c>
      <c r="G487" s="720">
        <f>SUM(G482,G485)</f>
        <v>9026</v>
      </c>
      <c r="H487" s="794">
        <f>(G487/F487)*100</f>
        <v>100</v>
      </c>
    </row>
    <row r="488" spans="1:9" s="432" customFormat="1" ht="15.75" thickTop="1" x14ac:dyDescent="0.25">
      <c r="A488" s="754"/>
      <c r="B488" s="1754"/>
      <c r="C488" s="798"/>
      <c r="E488" s="487"/>
      <c r="F488" s="487"/>
      <c r="G488" s="487"/>
      <c r="H488" s="789"/>
    </row>
    <row r="489" spans="1:9" s="367" customFormat="1" ht="27.75" customHeight="1" thickBot="1" x14ac:dyDescent="0.3">
      <c r="A489" s="758" t="s">
        <v>6</v>
      </c>
      <c r="B489" s="725"/>
      <c r="C489" s="726"/>
      <c r="D489" s="727"/>
      <c r="E489" s="796">
        <f>SUM(E487)</f>
        <v>4805</v>
      </c>
      <c r="F489" s="796">
        <f>SUM(F487)</f>
        <v>9026</v>
      </c>
      <c r="G489" s="796">
        <f>SUM(G487)</f>
        <v>9026</v>
      </c>
      <c r="H489" s="763">
        <f>(G489/F489)*100</f>
        <v>100</v>
      </c>
    </row>
    <row r="490" spans="1:9" s="795" customFormat="1" ht="15" customHeight="1" thickTop="1" x14ac:dyDescent="0.25">
      <c r="A490" s="1742"/>
      <c r="B490" s="1743"/>
      <c r="C490" s="1748"/>
      <c r="D490" s="1745"/>
      <c r="E490" s="799"/>
      <c r="F490" s="799"/>
      <c r="G490" s="799"/>
      <c r="H490" s="1749"/>
    </row>
    <row r="491" spans="1:9" s="795" customFormat="1" ht="15" customHeight="1" x14ac:dyDescent="0.25">
      <c r="A491" s="1742"/>
      <c r="B491" s="1743"/>
      <c r="C491" s="1748"/>
      <c r="D491" s="1745"/>
      <c r="E491" s="799"/>
      <c r="F491" s="799"/>
      <c r="G491" s="799"/>
      <c r="H491" s="1749"/>
    </row>
    <row r="492" spans="1:9" s="795" customFormat="1" ht="15" customHeight="1" x14ac:dyDescent="0.25">
      <c r="A492" s="1742"/>
      <c r="B492" s="1743"/>
      <c r="C492" s="1748"/>
      <c r="D492" s="1745"/>
      <c r="E492" s="799"/>
      <c r="F492" s="799"/>
      <c r="G492" s="799"/>
      <c r="H492" s="1749"/>
    </row>
    <row r="493" spans="1:9" s="501" customFormat="1" ht="15.75" x14ac:dyDescent="0.25">
      <c r="A493" s="695" t="s">
        <v>1036</v>
      </c>
      <c r="B493" s="735"/>
      <c r="C493" s="798"/>
      <c r="E493" s="487" t="s">
        <v>418</v>
      </c>
      <c r="F493" s="487"/>
      <c r="G493" s="487"/>
      <c r="H493" s="789"/>
    </row>
    <row r="494" spans="1:9" ht="15" thickBot="1" x14ac:dyDescent="0.25">
      <c r="A494" s="1729"/>
      <c r="H494" s="1735" t="s">
        <v>161</v>
      </c>
    </row>
    <row r="495" spans="1:9" s="703" customFormat="1" ht="20.25" customHeight="1" thickTop="1" thickBot="1" x14ac:dyDescent="0.25">
      <c r="A495" s="755" t="s">
        <v>162</v>
      </c>
      <c r="B495" s="698" t="s">
        <v>163</v>
      </c>
      <c r="C495" s="699" t="s">
        <v>705</v>
      </c>
      <c r="D495" s="700" t="s">
        <v>164</v>
      </c>
      <c r="E495" s="701" t="s">
        <v>165</v>
      </c>
      <c r="F495" s="701" t="s">
        <v>881</v>
      </c>
      <c r="G495" s="701" t="s">
        <v>882</v>
      </c>
      <c r="H495" s="702" t="s">
        <v>883</v>
      </c>
    </row>
    <row r="496" spans="1:9" s="383" customFormat="1" ht="13.5" thickTop="1" thickBot="1" x14ac:dyDescent="0.25">
      <c r="A496" s="566">
        <v>1</v>
      </c>
      <c r="B496" s="567">
        <v>2</v>
      </c>
      <c r="C496" s="567">
        <v>3</v>
      </c>
      <c r="D496" s="567">
        <v>4</v>
      </c>
      <c r="E496" s="567">
        <v>5</v>
      </c>
      <c r="F496" s="541">
        <v>6</v>
      </c>
      <c r="G496" s="541">
        <v>7</v>
      </c>
      <c r="H496" s="636" t="s">
        <v>61</v>
      </c>
      <c r="I496" s="107"/>
    </row>
    <row r="497" spans="1:8" s="432" customFormat="1" ht="15.75" thickTop="1" x14ac:dyDescent="0.25">
      <c r="A497" s="1782">
        <v>4351</v>
      </c>
      <c r="B497" s="2425">
        <v>5331</v>
      </c>
      <c r="C497" s="1765"/>
      <c r="D497" s="624" t="s">
        <v>236</v>
      </c>
      <c r="E497" s="714">
        <f>E498+E499</f>
        <v>2137</v>
      </c>
      <c r="F497" s="714">
        <f>F498+F499</f>
        <v>1850</v>
      </c>
      <c r="G497" s="714">
        <f>G498+G499</f>
        <v>1850</v>
      </c>
      <c r="H497" s="705">
        <f>G497/F497*100</f>
        <v>100</v>
      </c>
    </row>
    <row r="498" spans="1:8" x14ac:dyDescent="0.2">
      <c r="A498" s="1739"/>
      <c r="B498" s="1740"/>
      <c r="C498" s="707" t="s">
        <v>575</v>
      </c>
      <c r="D498" s="1392" t="s">
        <v>1260</v>
      </c>
      <c r="E498" s="731">
        <v>232</v>
      </c>
      <c r="F498" s="731">
        <v>262</v>
      </c>
      <c r="G498" s="731">
        <v>262</v>
      </c>
      <c r="H498" s="793">
        <f>(G498/F498)*100</f>
        <v>100</v>
      </c>
    </row>
    <row r="499" spans="1:8" x14ac:dyDescent="0.2">
      <c r="A499" s="1739"/>
      <c r="B499" s="1740"/>
      <c r="C499" s="552" t="s">
        <v>570</v>
      </c>
      <c r="D499" s="548" t="s">
        <v>1088</v>
      </c>
      <c r="E499" s="731">
        <v>1905</v>
      </c>
      <c r="F499" s="731">
        <v>1588</v>
      </c>
      <c r="G499" s="731">
        <v>1588</v>
      </c>
      <c r="H499" s="793">
        <f>(G499/F499)*100</f>
        <v>100</v>
      </c>
    </row>
    <row r="500" spans="1:8" ht="15" x14ac:dyDescent="0.25">
      <c r="A500" s="1739">
        <v>4351</v>
      </c>
      <c r="B500" s="1740">
        <v>5336</v>
      </c>
      <c r="C500" s="1770"/>
      <c r="D500" s="672" t="s">
        <v>2054</v>
      </c>
      <c r="E500" s="1429"/>
      <c r="F500" s="1429">
        <v>2062</v>
      </c>
      <c r="G500" s="1429">
        <v>2062</v>
      </c>
      <c r="H500" s="800">
        <f t="shared" ref="H500:H501" si="29">(G500/F500)*100</f>
        <v>100</v>
      </c>
    </row>
    <row r="501" spans="1:8" ht="15.75" thickBot="1" x14ac:dyDescent="0.3">
      <c r="A501" s="1739"/>
      <c r="B501" s="1740"/>
      <c r="C501" s="552" t="s">
        <v>1870</v>
      </c>
      <c r="D501" s="556" t="s">
        <v>1897</v>
      </c>
      <c r="E501" s="1429"/>
      <c r="F501" s="731">
        <v>2062</v>
      </c>
      <c r="G501" s="731">
        <v>2062</v>
      </c>
      <c r="H501" s="793">
        <f t="shared" si="29"/>
        <v>100</v>
      </c>
    </row>
    <row r="502" spans="1:8" s="367" customFormat="1" ht="20.25" customHeight="1" thickTop="1" thickBot="1" x14ac:dyDescent="0.3">
      <c r="A502" s="708" t="s">
        <v>1105</v>
      </c>
      <c r="B502" s="709"/>
      <c r="C502" s="710"/>
      <c r="D502" s="801"/>
      <c r="E502" s="720">
        <f>SUM(E497)</f>
        <v>2137</v>
      </c>
      <c r="F502" s="720">
        <f>SUM(F497,F500)</f>
        <v>3912</v>
      </c>
      <c r="G502" s="720">
        <f>SUM(G497,G500)</f>
        <v>3912</v>
      </c>
      <c r="H502" s="794">
        <f>(G502/F502)*100</f>
        <v>100</v>
      </c>
    </row>
    <row r="503" spans="1:8" s="795" customFormat="1" ht="20.25" customHeight="1" thickTop="1" x14ac:dyDescent="0.25">
      <c r="A503" s="1742"/>
      <c r="B503" s="1743"/>
      <c r="C503" s="1744"/>
      <c r="D503" s="1745"/>
      <c r="E503" s="1746"/>
      <c r="F503" s="1746"/>
      <c r="G503" s="1746"/>
      <c r="H503" s="1747"/>
    </row>
    <row r="504" spans="1:8" s="367" customFormat="1" ht="27.75" customHeight="1" thickBot="1" x14ac:dyDescent="0.3">
      <c r="A504" s="758" t="s">
        <v>1338</v>
      </c>
      <c r="B504" s="725"/>
      <c r="C504" s="726"/>
      <c r="D504" s="727"/>
      <c r="E504" s="796">
        <f>SUM(E502)</f>
        <v>2137</v>
      </c>
      <c r="F504" s="796">
        <f>SUM(F502)</f>
        <v>3912</v>
      </c>
      <c r="G504" s="796">
        <f>SUM(G502)</f>
        <v>3912</v>
      </c>
      <c r="H504" s="763">
        <f>(G504/F504)*100</f>
        <v>100</v>
      </c>
    </row>
    <row r="505" spans="1:8" s="795" customFormat="1" ht="16.5" customHeight="1" thickTop="1" x14ac:dyDescent="0.25">
      <c r="A505" s="1742"/>
      <c r="B505" s="1743"/>
      <c r="C505" s="1744"/>
      <c r="D505" s="1745"/>
      <c r="E505" s="1746"/>
      <c r="F505" s="1746"/>
      <c r="G505" s="1746"/>
      <c r="H505" s="1747"/>
    </row>
    <row r="506" spans="1:8" s="795" customFormat="1" ht="16.5" customHeight="1" x14ac:dyDescent="0.25">
      <c r="A506" s="1742"/>
      <c r="B506" s="1743"/>
      <c r="C506" s="1744"/>
      <c r="D506" s="1745"/>
      <c r="E506" s="1746"/>
      <c r="F506" s="1746"/>
      <c r="G506" s="1746"/>
      <c r="H506" s="1747"/>
    </row>
    <row r="507" spans="1:8" s="795" customFormat="1" ht="16.5" customHeight="1" x14ac:dyDescent="0.25">
      <c r="A507" s="1742"/>
      <c r="B507" s="1743"/>
      <c r="C507" s="1744"/>
      <c r="D507" s="1745"/>
      <c r="E507" s="1746"/>
      <c r="F507" s="1746"/>
      <c r="G507" s="1746"/>
      <c r="H507" s="1747"/>
    </row>
    <row r="508" spans="1:8" s="795" customFormat="1" ht="16.5" customHeight="1" x14ac:dyDescent="0.25">
      <c r="A508" s="1742"/>
      <c r="B508" s="1743"/>
      <c r="C508" s="1744"/>
      <c r="D508" s="1745"/>
      <c r="E508" s="1746"/>
      <c r="F508" s="1746"/>
      <c r="G508" s="1746"/>
      <c r="H508" s="1747"/>
    </row>
    <row r="509" spans="1:8" s="795" customFormat="1" ht="15" customHeight="1" x14ac:dyDescent="0.25">
      <c r="A509" s="1742"/>
      <c r="B509" s="1743"/>
      <c r="C509" s="1744"/>
      <c r="D509" s="1745"/>
      <c r="E509" s="1746"/>
      <c r="F509" s="1746"/>
      <c r="G509" s="1746"/>
      <c r="H509" s="1747"/>
    </row>
    <row r="510" spans="1:8" s="501" customFormat="1" ht="15.75" x14ac:dyDescent="0.25">
      <c r="A510" s="695" t="s">
        <v>1233</v>
      </c>
      <c r="B510" s="735"/>
      <c r="C510" s="798"/>
      <c r="E510" s="487" t="s">
        <v>419</v>
      </c>
      <c r="F510" s="487"/>
      <c r="G510" s="487"/>
      <c r="H510" s="789"/>
    </row>
    <row r="511" spans="1:8" ht="15" thickBot="1" x14ac:dyDescent="0.25">
      <c r="A511" s="1729"/>
      <c r="H511" s="1735" t="s">
        <v>161</v>
      </c>
    </row>
    <row r="512" spans="1:8" s="703" customFormat="1" ht="20.25" customHeight="1" thickTop="1" thickBot="1" x14ac:dyDescent="0.25">
      <c r="A512" s="755" t="s">
        <v>162</v>
      </c>
      <c r="B512" s="698" t="s">
        <v>163</v>
      </c>
      <c r="C512" s="699" t="s">
        <v>705</v>
      </c>
      <c r="D512" s="700" t="s">
        <v>164</v>
      </c>
      <c r="E512" s="701" t="s">
        <v>165</v>
      </c>
      <c r="F512" s="701" t="s">
        <v>881</v>
      </c>
      <c r="G512" s="701" t="s">
        <v>882</v>
      </c>
      <c r="H512" s="702" t="s">
        <v>883</v>
      </c>
    </row>
    <row r="513" spans="1:9" s="383" customFormat="1" ht="13.5" thickTop="1" thickBot="1" x14ac:dyDescent="0.25">
      <c r="A513" s="566">
        <v>1</v>
      </c>
      <c r="B513" s="567">
        <v>2</v>
      </c>
      <c r="C513" s="567">
        <v>3</v>
      </c>
      <c r="D513" s="567">
        <v>4</v>
      </c>
      <c r="E513" s="567">
        <v>5</v>
      </c>
      <c r="F513" s="541">
        <v>6</v>
      </c>
      <c r="G513" s="541">
        <v>7</v>
      </c>
      <c r="H513" s="636" t="s">
        <v>61</v>
      </c>
      <c r="I513" s="107"/>
    </row>
    <row r="514" spans="1:9" s="432" customFormat="1" ht="15.75" thickTop="1" x14ac:dyDescent="0.25">
      <c r="A514" s="1782">
        <v>4357</v>
      </c>
      <c r="B514" s="2425">
        <v>5331</v>
      </c>
      <c r="C514" s="1765"/>
      <c r="D514" s="624" t="s">
        <v>236</v>
      </c>
      <c r="E514" s="714">
        <f>E515+E516</f>
        <v>10786</v>
      </c>
      <c r="F514" s="714">
        <f>F515+F516</f>
        <v>11600</v>
      </c>
      <c r="G514" s="714">
        <f>G515+G516</f>
        <v>11600</v>
      </c>
      <c r="H514" s="705">
        <f>G514/F514*100</f>
        <v>100</v>
      </c>
    </row>
    <row r="515" spans="1:9" x14ac:dyDescent="0.2">
      <c r="A515" s="1739"/>
      <c r="B515" s="1740"/>
      <c r="C515" s="707" t="s">
        <v>575</v>
      </c>
      <c r="D515" s="1392" t="s">
        <v>1260</v>
      </c>
      <c r="E515" s="731">
        <v>3898</v>
      </c>
      <c r="F515" s="731">
        <v>4029</v>
      </c>
      <c r="G515" s="731">
        <v>4029</v>
      </c>
      <c r="H515" s="793">
        <f>(G515/F515)*100</f>
        <v>100</v>
      </c>
    </row>
    <row r="516" spans="1:9" x14ac:dyDescent="0.2">
      <c r="A516" s="1739"/>
      <c r="B516" s="1740"/>
      <c r="C516" s="552" t="s">
        <v>570</v>
      </c>
      <c r="D516" s="548" t="s">
        <v>1088</v>
      </c>
      <c r="E516" s="731">
        <v>6888</v>
      </c>
      <c r="F516" s="1346">
        <v>7571</v>
      </c>
      <c r="G516" s="731">
        <v>7571</v>
      </c>
      <c r="H516" s="793">
        <f>(G516/F516)*100</f>
        <v>100</v>
      </c>
    </row>
    <row r="517" spans="1:9" ht="15" x14ac:dyDescent="0.25">
      <c r="A517" s="1739">
        <v>4357</v>
      </c>
      <c r="B517" s="1740">
        <v>5336</v>
      </c>
      <c r="C517" s="1770"/>
      <c r="D517" s="672" t="s">
        <v>2054</v>
      </c>
      <c r="E517" s="1429"/>
      <c r="F517" s="1429">
        <v>6351</v>
      </c>
      <c r="G517" s="1429">
        <v>6351</v>
      </c>
      <c r="H517" s="800">
        <f t="shared" ref="H517:H518" si="30">(G517/F517)*100</f>
        <v>100</v>
      </c>
    </row>
    <row r="518" spans="1:9" ht="15.75" thickBot="1" x14ac:dyDescent="0.3">
      <c r="A518" s="1739"/>
      <c r="B518" s="1740"/>
      <c r="C518" s="552" t="s">
        <v>1870</v>
      </c>
      <c r="D518" s="556" t="s">
        <v>1897</v>
      </c>
      <c r="E518" s="1429"/>
      <c r="F518" s="731">
        <v>6351</v>
      </c>
      <c r="G518" s="731">
        <v>6351</v>
      </c>
      <c r="H518" s="793">
        <f t="shared" si="30"/>
        <v>100</v>
      </c>
    </row>
    <row r="519" spans="1:9" s="367" customFormat="1" ht="20.25" customHeight="1" thickTop="1" thickBot="1" x14ac:dyDescent="0.3">
      <c r="A519" s="708" t="s">
        <v>1105</v>
      </c>
      <c r="B519" s="709"/>
      <c r="C519" s="710"/>
      <c r="D519" s="801"/>
      <c r="E519" s="720">
        <f>SUM(E514)</f>
        <v>10786</v>
      </c>
      <c r="F519" s="720">
        <f>SUM(F514,F517)</f>
        <v>17951</v>
      </c>
      <c r="G519" s="720">
        <f>SUM(G514,G517)</f>
        <v>17951</v>
      </c>
      <c r="H519" s="794">
        <f>(G519/F519)*100</f>
        <v>100</v>
      </c>
    </row>
    <row r="520" spans="1:9" s="367" customFormat="1" ht="20.25" customHeight="1" thickTop="1" x14ac:dyDescent="0.25">
      <c r="A520" s="361"/>
      <c r="B520" s="362"/>
      <c r="C520" s="363"/>
      <c r="D520" s="364"/>
      <c r="E520" s="365"/>
      <c r="F520" s="365"/>
      <c r="G520" s="365"/>
      <c r="H520" s="366"/>
    </row>
    <row r="521" spans="1:9" s="367" customFormat="1" ht="27.75" customHeight="1" thickBot="1" x14ac:dyDescent="0.3">
      <c r="A521" s="758" t="s">
        <v>1234</v>
      </c>
      <c r="B521" s="725"/>
      <c r="C521" s="726"/>
      <c r="D521" s="727"/>
      <c r="E521" s="796">
        <f>SUM(E519)</f>
        <v>10786</v>
      </c>
      <c r="F521" s="796">
        <f>SUM(F519)</f>
        <v>17951</v>
      </c>
      <c r="G521" s="796">
        <f>SUM(G519)</f>
        <v>17951</v>
      </c>
      <c r="H521" s="763">
        <f>(G521/F521)*100</f>
        <v>100</v>
      </c>
    </row>
    <row r="522" spans="1:9" s="795" customFormat="1" ht="14.25" customHeight="1" thickTop="1" x14ac:dyDescent="0.25">
      <c r="A522" s="1742"/>
      <c r="B522" s="1743"/>
      <c r="C522" s="1748"/>
      <c r="D522" s="1745"/>
      <c r="E522" s="799"/>
      <c r="F522" s="799"/>
      <c r="G522" s="799"/>
      <c r="H522" s="1749"/>
    </row>
    <row r="523" spans="1:9" s="795" customFormat="1" ht="14.25" customHeight="1" x14ac:dyDescent="0.25">
      <c r="A523" s="1742"/>
      <c r="B523" s="1743"/>
      <c r="C523" s="1748"/>
      <c r="D523" s="1745"/>
      <c r="E523" s="799"/>
      <c r="F523" s="799"/>
      <c r="G523" s="799"/>
      <c r="H523" s="1749"/>
    </row>
    <row r="524" spans="1:9" s="795" customFormat="1" ht="14.25" customHeight="1" x14ac:dyDescent="0.25">
      <c r="A524" s="1742"/>
      <c r="B524" s="1743"/>
      <c r="C524" s="1748"/>
      <c r="D524" s="1745"/>
      <c r="E524" s="799"/>
      <c r="F524" s="799"/>
      <c r="G524" s="799"/>
      <c r="H524" s="1749"/>
    </row>
    <row r="525" spans="1:9" s="501" customFormat="1" ht="15.75" x14ac:dyDescent="0.25">
      <c r="A525" s="695" t="s">
        <v>384</v>
      </c>
      <c r="B525" s="735"/>
      <c r="C525" s="798"/>
      <c r="E525" s="487" t="s">
        <v>420</v>
      </c>
      <c r="F525" s="487"/>
      <c r="G525" s="487"/>
      <c r="H525" s="789"/>
    </row>
    <row r="526" spans="1:9" ht="15" thickBot="1" x14ac:dyDescent="0.25">
      <c r="A526" s="1729"/>
      <c r="H526" s="1735" t="s">
        <v>161</v>
      </c>
    </row>
    <row r="527" spans="1:9" s="703" customFormat="1" ht="20.25" customHeight="1" thickTop="1" thickBot="1" x14ac:dyDescent="0.25">
      <c r="A527" s="755" t="s">
        <v>162</v>
      </c>
      <c r="B527" s="698" t="s">
        <v>163</v>
      </c>
      <c r="C527" s="699" t="s">
        <v>705</v>
      </c>
      <c r="D527" s="700" t="s">
        <v>164</v>
      </c>
      <c r="E527" s="701" t="s">
        <v>165</v>
      </c>
      <c r="F527" s="701" t="s">
        <v>881</v>
      </c>
      <c r="G527" s="701" t="s">
        <v>882</v>
      </c>
      <c r="H527" s="702" t="s">
        <v>883</v>
      </c>
    </row>
    <row r="528" spans="1:9" s="383" customFormat="1" ht="13.5" thickTop="1" thickBot="1" x14ac:dyDescent="0.25">
      <c r="A528" s="566">
        <v>1</v>
      </c>
      <c r="B528" s="567">
        <v>2</v>
      </c>
      <c r="C528" s="567">
        <v>3</v>
      </c>
      <c r="D528" s="567">
        <v>4</v>
      </c>
      <c r="E528" s="567">
        <v>5</v>
      </c>
      <c r="F528" s="541">
        <v>6</v>
      </c>
      <c r="G528" s="541">
        <v>7</v>
      </c>
      <c r="H528" s="636" t="s">
        <v>61</v>
      </c>
      <c r="I528" s="107"/>
    </row>
    <row r="529" spans="1:9" s="432" customFormat="1" ht="15.75" thickTop="1" x14ac:dyDescent="0.25">
      <c r="A529" s="1782">
        <v>4357</v>
      </c>
      <c r="B529" s="2425">
        <v>5331</v>
      </c>
      <c r="C529" s="1765"/>
      <c r="D529" s="624" t="s">
        <v>236</v>
      </c>
      <c r="E529" s="714">
        <f>E530+E531</f>
        <v>3987</v>
      </c>
      <c r="F529" s="714">
        <f>F530+F531</f>
        <v>5152</v>
      </c>
      <c r="G529" s="714">
        <f>G530+G531</f>
        <v>5152</v>
      </c>
      <c r="H529" s="705">
        <f>G529/F529*100</f>
        <v>100</v>
      </c>
    </row>
    <row r="530" spans="1:9" x14ac:dyDescent="0.2">
      <c r="A530" s="1739"/>
      <c r="B530" s="1740"/>
      <c r="C530" s="707" t="s">
        <v>575</v>
      </c>
      <c r="D530" s="1392" t="s">
        <v>1260</v>
      </c>
      <c r="E530" s="731">
        <v>1338</v>
      </c>
      <c r="F530" s="731">
        <v>1251</v>
      </c>
      <c r="G530" s="731">
        <v>1251</v>
      </c>
      <c r="H530" s="793">
        <f>(G530/F530)*100</f>
        <v>100</v>
      </c>
    </row>
    <row r="531" spans="1:9" x14ac:dyDescent="0.2">
      <c r="A531" s="1739"/>
      <c r="B531" s="1740"/>
      <c r="C531" s="552" t="s">
        <v>570</v>
      </c>
      <c r="D531" s="548" t="s">
        <v>1088</v>
      </c>
      <c r="E531" s="731">
        <v>2649</v>
      </c>
      <c r="F531" s="731">
        <v>3901</v>
      </c>
      <c r="G531" s="731">
        <v>3901</v>
      </c>
      <c r="H531" s="793">
        <f>(G531/F531)*100</f>
        <v>100</v>
      </c>
    </row>
    <row r="532" spans="1:9" ht="15" x14ac:dyDescent="0.25">
      <c r="A532" s="1739">
        <v>4357</v>
      </c>
      <c r="B532" s="1740">
        <v>5336</v>
      </c>
      <c r="C532" s="1770"/>
      <c r="D532" s="672" t="s">
        <v>2054</v>
      </c>
      <c r="E532" s="1429"/>
      <c r="F532" s="1429">
        <v>1942</v>
      </c>
      <c r="G532" s="1429">
        <v>1942</v>
      </c>
      <c r="H532" s="800">
        <f t="shared" ref="H532:H533" si="31">(G532/F532)*100</f>
        <v>100</v>
      </c>
    </row>
    <row r="533" spans="1:9" ht="15.75" thickBot="1" x14ac:dyDescent="0.3">
      <c r="A533" s="1739"/>
      <c r="B533" s="1740"/>
      <c r="C533" s="552" t="s">
        <v>1870</v>
      </c>
      <c r="D533" s="556" t="s">
        <v>1897</v>
      </c>
      <c r="E533" s="1429"/>
      <c r="F533" s="731">
        <v>1942</v>
      </c>
      <c r="G533" s="731">
        <v>1942</v>
      </c>
      <c r="H533" s="793">
        <f t="shared" si="31"/>
        <v>100</v>
      </c>
    </row>
    <row r="534" spans="1:9" s="367" customFormat="1" ht="20.25" customHeight="1" thickTop="1" thickBot="1" x14ac:dyDescent="0.3">
      <c r="A534" s="708" t="s">
        <v>1105</v>
      </c>
      <c r="B534" s="709"/>
      <c r="C534" s="710"/>
      <c r="D534" s="801"/>
      <c r="E534" s="720">
        <f>SUM(E529)</f>
        <v>3987</v>
      </c>
      <c r="F534" s="720">
        <f>SUM(F529,F532)</f>
        <v>7094</v>
      </c>
      <c r="G534" s="720">
        <f>SUM(G529,G532)</f>
        <v>7094</v>
      </c>
      <c r="H534" s="794">
        <f>(G534/F534)*100</f>
        <v>100</v>
      </c>
    </row>
    <row r="535" spans="1:9" ht="15" thickTop="1" x14ac:dyDescent="0.2">
      <c r="A535" s="1729"/>
    </row>
    <row r="536" spans="1:9" s="367" customFormat="1" ht="24.75" customHeight="1" thickBot="1" x14ac:dyDescent="0.3">
      <c r="A536" s="758" t="s">
        <v>493</v>
      </c>
      <c r="B536" s="725"/>
      <c r="C536" s="726"/>
      <c r="D536" s="727"/>
      <c r="E536" s="796">
        <f>SUM(E534)</f>
        <v>3987</v>
      </c>
      <c r="F536" s="796">
        <f>SUM(F534)</f>
        <v>7094</v>
      </c>
      <c r="G536" s="796">
        <f>SUM(G534)</f>
        <v>7094</v>
      </c>
      <c r="H536" s="763">
        <f>(G536/F536)*100</f>
        <v>100</v>
      </c>
    </row>
    <row r="537" spans="1:9" s="795" customFormat="1" ht="17.25" customHeight="1" thickTop="1" x14ac:dyDescent="0.25">
      <c r="A537" s="1742"/>
      <c r="B537" s="1743"/>
      <c r="C537" s="1748"/>
      <c r="D537" s="1745"/>
      <c r="E537" s="799"/>
      <c r="F537" s="799"/>
      <c r="G537" s="799"/>
      <c r="H537" s="1749"/>
    </row>
    <row r="538" spans="1:9" s="795" customFormat="1" ht="17.25" customHeight="1" x14ac:dyDescent="0.25">
      <c r="A538" s="1742"/>
      <c r="B538" s="1743"/>
      <c r="C538" s="1748"/>
      <c r="D538" s="1745"/>
      <c r="E538" s="799"/>
      <c r="F538" s="799"/>
      <c r="G538" s="799"/>
      <c r="H538" s="1749"/>
    </row>
    <row r="539" spans="1:9" s="795" customFormat="1" ht="17.25" customHeight="1" x14ac:dyDescent="0.25">
      <c r="A539" s="1742"/>
      <c r="B539" s="1743"/>
      <c r="C539" s="1748"/>
      <c r="D539" s="1745"/>
      <c r="E539" s="799"/>
      <c r="F539" s="799"/>
      <c r="G539" s="799"/>
      <c r="H539" s="1749"/>
    </row>
    <row r="540" spans="1:9" s="501" customFormat="1" ht="15.75" x14ac:dyDescent="0.25">
      <c r="A540" s="695" t="s">
        <v>422</v>
      </c>
      <c r="B540" s="735"/>
      <c r="C540" s="798"/>
      <c r="E540" s="487" t="s">
        <v>421</v>
      </c>
      <c r="F540" s="487"/>
      <c r="G540" s="487"/>
      <c r="H540" s="789"/>
    </row>
    <row r="541" spans="1:9" ht="15" thickBot="1" x14ac:dyDescent="0.25">
      <c r="A541" s="1729"/>
      <c r="H541" s="1735" t="s">
        <v>161</v>
      </c>
    </row>
    <row r="542" spans="1:9" s="703" customFormat="1" ht="20.25" customHeight="1" thickTop="1" thickBot="1" x14ac:dyDescent="0.25">
      <c r="A542" s="755" t="s">
        <v>162</v>
      </c>
      <c r="B542" s="698" t="s">
        <v>163</v>
      </c>
      <c r="C542" s="699" t="s">
        <v>705</v>
      </c>
      <c r="D542" s="700" t="s">
        <v>164</v>
      </c>
      <c r="E542" s="701" t="s">
        <v>165</v>
      </c>
      <c r="F542" s="701" t="s">
        <v>881</v>
      </c>
      <c r="G542" s="701" t="s">
        <v>882</v>
      </c>
      <c r="H542" s="702" t="s">
        <v>883</v>
      </c>
    </row>
    <row r="543" spans="1:9" s="383" customFormat="1" ht="13.5" thickTop="1" thickBot="1" x14ac:dyDescent="0.25">
      <c r="A543" s="566">
        <v>1</v>
      </c>
      <c r="B543" s="567">
        <v>2</v>
      </c>
      <c r="C543" s="567">
        <v>3</v>
      </c>
      <c r="D543" s="567">
        <v>4</v>
      </c>
      <c r="E543" s="567">
        <v>5</v>
      </c>
      <c r="F543" s="541">
        <v>6</v>
      </c>
      <c r="G543" s="541">
        <v>7</v>
      </c>
      <c r="H543" s="636" t="s">
        <v>61</v>
      </c>
      <c r="I543" s="107"/>
    </row>
    <row r="544" spans="1:9" s="432" customFormat="1" ht="15.75" thickTop="1" x14ac:dyDescent="0.25">
      <c r="A544" s="1782">
        <v>4357</v>
      </c>
      <c r="B544" s="2425">
        <v>5331</v>
      </c>
      <c r="C544" s="1765"/>
      <c r="D544" s="624" t="s">
        <v>236</v>
      </c>
      <c r="E544" s="714">
        <f>E545+E546</f>
        <v>3016</v>
      </c>
      <c r="F544" s="714">
        <f>F545+F546</f>
        <v>3822</v>
      </c>
      <c r="G544" s="714">
        <f>G545+G546</f>
        <v>3822</v>
      </c>
      <c r="H544" s="705">
        <f>G544/F544*100</f>
        <v>100</v>
      </c>
    </row>
    <row r="545" spans="1:9" x14ac:dyDescent="0.2">
      <c r="A545" s="1739"/>
      <c r="B545" s="1740"/>
      <c r="C545" s="552" t="s">
        <v>575</v>
      </c>
      <c r="D545" s="1392" t="s">
        <v>1260</v>
      </c>
      <c r="E545" s="1346">
        <v>409</v>
      </c>
      <c r="F545" s="731">
        <v>421</v>
      </c>
      <c r="G545" s="731">
        <v>421</v>
      </c>
      <c r="H545" s="793">
        <f>(G545/F545)*100</f>
        <v>100</v>
      </c>
    </row>
    <row r="546" spans="1:9" x14ac:dyDescent="0.2">
      <c r="A546" s="1739"/>
      <c r="B546" s="1740"/>
      <c r="C546" s="552" t="s">
        <v>570</v>
      </c>
      <c r="D546" s="548" t="s">
        <v>1088</v>
      </c>
      <c r="E546" s="731">
        <v>2607</v>
      </c>
      <c r="F546" s="731">
        <v>3401</v>
      </c>
      <c r="G546" s="731">
        <v>3401</v>
      </c>
      <c r="H546" s="793">
        <f>(G546/F546)*100</f>
        <v>100</v>
      </c>
    </row>
    <row r="547" spans="1:9" ht="15" x14ac:dyDescent="0.25">
      <c r="A547" s="1739">
        <v>4357</v>
      </c>
      <c r="B547" s="1740">
        <v>5336</v>
      </c>
      <c r="C547" s="1770"/>
      <c r="D547" s="672" t="s">
        <v>2054</v>
      </c>
      <c r="E547" s="1429"/>
      <c r="F547" s="1429">
        <v>3207</v>
      </c>
      <c r="G547" s="1429">
        <v>3207</v>
      </c>
      <c r="H547" s="800">
        <f t="shared" ref="H547:H548" si="32">(G547/F547)*100</f>
        <v>100</v>
      </c>
    </row>
    <row r="548" spans="1:9" ht="15.75" thickBot="1" x14ac:dyDescent="0.3">
      <c r="A548" s="1739"/>
      <c r="B548" s="1740"/>
      <c r="C548" s="552" t="s">
        <v>1870</v>
      </c>
      <c r="D548" s="556" t="s">
        <v>1897</v>
      </c>
      <c r="E548" s="1429"/>
      <c r="F548" s="731">
        <v>3207</v>
      </c>
      <c r="G548" s="731">
        <v>3207</v>
      </c>
      <c r="H548" s="793">
        <f t="shared" si="32"/>
        <v>100</v>
      </c>
    </row>
    <row r="549" spans="1:9" s="367" customFormat="1" ht="20.25" customHeight="1" thickTop="1" thickBot="1" x14ac:dyDescent="0.3">
      <c r="A549" s="708" t="s">
        <v>1105</v>
      </c>
      <c r="B549" s="709"/>
      <c r="C549" s="710"/>
      <c r="D549" s="801"/>
      <c r="E549" s="720">
        <f>SUM(E544)</f>
        <v>3016</v>
      </c>
      <c r="F549" s="720">
        <f>SUM(F544,F547)</f>
        <v>7029</v>
      </c>
      <c r="G549" s="720">
        <f>SUM(G544,G547)</f>
        <v>7029</v>
      </c>
      <c r="H549" s="794">
        <f>(G549/F549)*100</f>
        <v>100</v>
      </c>
    </row>
    <row r="550" spans="1:9" s="432" customFormat="1" ht="15.75" thickTop="1" x14ac:dyDescent="0.25">
      <c r="A550" s="754"/>
      <c r="B550" s="1754"/>
      <c r="C550" s="798"/>
      <c r="E550" s="487"/>
      <c r="F550" s="487"/>
      <c r="G550" s="487"/>
      <c r="H550" s="789"/>
    </row>
    <row r="551" spans="1:9" s="367" customFormat="1" ht="24.75" customHeight="1" thickBot="1" x14ac:dyDescent="0.3">
      <c r="A551" s="758" t="s">
        <v>580</v>
      </c>
      <c r="B551" s="725"/>
      <c r="C551" s="726"/>
      <c r="D551" s="727"/>
      <c r="E551" s="796">
        <f>E549</f>
        <v>3016</v>
      </c>
      <c r="F551" s="796">
        <f>F549</f>
        <v>7029</v>
      </c>
      <c r="G551" s="796">
        <f>G549</f>
        <v>7029</v>
      </c>
      <c r="H551" s="763">
        <f>(G551/F551)*100</f>
        <v>100</v>
      </c>
    </row>
    <row r="552" spans="1:9" s="795" customFormat="1" ht="14.25" customHeight="1" thickTop="1" x14ac:dyDescent="0.25">
      <c r="A552" s="1742"/>
      <c r="B552" s="1743"/>
      <c r="C552" s="1748"/>
      <c r="D552" s="1745"/>
      <c r="E552" s="799"/>
      <c r="F552" s="799"/>
      <c r="G552" s="799"/>
      <c r="H552" s="1749"/>
    </row>
    <row r="553" spans="1:9" s="795" customFormat="1" ht="14.25" customHeight="1" x14ac:dyDescent="0.25">
      <c r="A553" s="1742"/>
      <c r="B553" s="1743"/>
      <c r="C553" s="1748"/>
      <c r="D553" s="1745"/>
      <c r="E553" s="799"/>
      <c r="F553" s="799"/>
      <c r="G553" s="799"/>
      <c r="H553" s="1749"/>
    </row>
    <row r="554" spans="1:9" s="795" customFormat="1" ht="14.25" customHeight="1" x14ac:dyDescent="0.25">
      <c r="A554" s="1742"/>
      <c r="B554" s="1743"/>
      <c r="C554" s="1748"/>
      <c r="D554" s="1745"/>
      <c r="E554" s="799"/>
      <c r="F554" s="799"/>
      <c r="G554" s="799"/>
      <c r="H554" s="1749"/>
    </row>
    <row r="555" spans="1:9" s="501" customFormat="1" ht="15.75" x14ac:dyDescent="0.25">
      <c r="A555" s="695" t="s">
        <v>5</v>
      </c>
      <c r="B555" s="735"/>
      <c r="C555" s="798"/>
      <c r="E555" s="487" t="s">
        <v>581</v>
      </c>
      <c r="F555" s="487"/>
      <c r="G555" s="487"/>
      <c r="H555" s="789"/>
    </row>
    <row r="556" spans="1:9" ht="11.25" customHeight="1" thickBot="1" x14ac:dyDescent="0.25">
      <c r="A556" s="1729"/>
      <c r="H556" s="1735" t="s">
        <v>161</v>
      </c>
    </row>
    <row r="557" spans="1:9" s="703" customFormat="1" ht="20.25" customHeight="1" thickTop="1" thickBot="1" x14ac:dyDescent="0.25">
      <c r="A557" s="755" t="s">
        <v>162</v>
      </c>
      <c r="B557" s="698" t="s">
        <v>163</v>
      </c>
      <c r="C557" s="699" t="s">
        <v>705</v>
      </c>
      <c r="D557" s="700" t="s">
        <v>164</v>
      </c>
      <c r="E557" s="701" t="s">
        <v>165</v>
      </c>
      <c r="F557" s="701" t="s">
        <v>881</v>
      </c>
      <c r="G557" s="701" t="s">
        <v>882</v>
      </c>
      <c r="H557" s="702" t="s">
        <v>883</v>
      </c>
    </row>
    <row r="558" spans="1:9" s="383" customFormat="1" ht="13.5" thickTop="1" thickBot="1" x14ac:dyDescent="0.25">
      <c r="A558" s="566">
        <v>1</v>
      </c>
      <c r="B558" s="567">
        <v>2</v>
      </c>
      <c r="C558" s="567">
        <v>3</v>
      </c>
      <c r="D558" s="567">
        <v>4</v>
      </c>
      <c r="E558" s="567">
        <v>5</v>
      </c>
      <c r="F558" s="541">
        <v>6</v>
      </c>
      <c r="G558" s="541">
        <v>7</v>
      </c>
      <c r="H558" s="636" t="s">
        <v>61</v>
      </c>
      <c r="I558" s="107"/>
    </row>
    <row r="559" spans="1:9" s="432" customFormat="1" ht="15.75" thickTop="1" x14ac:dyDescent="0.25">
      <c r="A559" s="1782">
        <v>4357</v>
      </c>
      <c r="B559" s="2425">
        <v>5331</v>
      </c>
      <c r="C559" s="1765"/>
      <c r="D559" s="624" t="s">
        <v>236</v>
      </c>
      <c r="E559" s="714">
        <f>E560+E561</f>
        <v>5391</v>
      </c>
      <c r="F559" s="714">
        <f>F560+F561</f>
        <v>5036</v>
      </c>
      <c r="G559" s="714">
        <f>G560+G561</f>
        <v>5005</v>
      </c>
      <c r="H559" s="705">
        <f>G559/F559*100</f>
        <v>99.3844320889595</v>
      </c>
    </row>
    <row r="560" spans="1:9" x14ac:dyDescent="0.2">
      <c r="A560" s="1739"/>
      <c r="B560" s="1740"/>
      <c r="C560" s="707" t="s">
        <v>575</v>
      </c>
      <c r="D560" s="1392" t="s">
        <v>1260</v>
      </c>
      <c r="E560" s="731">
        <v>2344</v>
      </c>
      <c r="F560" s="731">
        <v>2362</v>
      </c>
      <c r="G560" s="731">
        <v>2331</v>
      </c>
      <c r="H560" s="793">
        <f t="shared" ref="H560:H568" si="33">(G560/F560)*100</f>
        <v>98.687552921253172</v>
      </c>
    </row>
    <row r="561" spans="1:11" x14ac:dyDescent="0.2">
      <c r="A561" s="1739"/>
      <c r="B561" s="1740"/>
      <c r="C561" s="552" t="s">
        <v>570</v>
      </c>
      <c r="D561" s="548" t="s">
        <v>1088</v>
      </c>
      <c r="E561" s="731">
        <v>3047</v>
      </c>
      <c r="F561" s="731">
        <v>2674</v>
      </c>
      <c r="G561" s="731">
        <v>2674</v>
      </c>
      <c r="H561" s="793">
        <f t="shared" si="33"/>
        <v>100</v>
      </c>
    </row>
    <row r="562" spans="1:11" ht="15" x14ac:dyDescent="0.25">
      <c r="A562" s="1739">
        <v>4357</v>
      </c>
      <c r="B562" s="1740">
        <v>5336</v>
      </c>
      <c r="C562" s="1770"/>
      <c r="D562" s="672" t="s">
        <v>2054</v>
      </c>
      <c r="E562" s="1429"/>
      <c r="F562" s="1429">
        <f>F564+F565+F563</f>
        <v>3609</v>
      </c>
      <c r="G562" s="1429">
        <f>G564+G565+G563</f>
        <v>3609</v>
      </c>
      <c r="H562" s="800">
        <f t="shared" si="33"/>
        <v>100</v>
      </c>
    </row>
    <row r="563" spans="1:11" ht="15" x14ac:dyDescent="0.25">
      <c r="A563" s="1739"/>
      <c r="B563" s="1740"/>
      <c r="C563" s="552" t="s">
        <v>1870</v>
      </c>
      <c r="D563" s="548" t="s">
        <v>1897</v>
      </c>
      <c r="E563" s="1429"/>
      <c r="F563" s="731">
        <v>2993</v>
      </c>
      <c r="G563" s="731">
        <v>2993</v>
      </c>
      <c r="H563" s="793">
        <f>(G563/F563)*100</f>
        <v>100</v>
      </c>
    </row>
    <row r="564" spans="1:11" ht="15" x14ac:dyDescent="0.25">
      <c r="A564" s="1767"/>
      <c r="B564" s="1768"/>
      <c r="C564" s="552" t="s">
        <v>1355</v>
      </c>
      <c r="D564" s="1751" t="s">
        <v>1356</v>
      </c>
      <c r="E564" s="1429"/>
      <c r="F564" s="731">
        <v>92</v>
      </c>
      <c r="G564" s="731">
        <v>92</v>
      </c>
      <c r="H564" s="793">
        <f>(G564/F564)*100</f>
        <v>100</v>
      </c>
    </row>
    <row r="565" spans="1:11" ht="15" thickBot="1" x14ac:dyDescent="0.25">
      <c r="A565" s="1739"/>
      <c r="B565" s="1740"/>
      <c r="C565" s="552" t="s">
        <v>1357</v>
      </c>
      <c r="D565" s="1752" t="s">
        <v>1358</v>
      </c>
      <c r="E565" s="731"/>
      <c r="F565" s="731">
        <v>524</v>
      </c>
      <c r="G565" s="731">
        <v>524</v>
      </c>
      <c r="H565" s="793">
        <f>(G565/F565)*100</f>
        <v>100</v>
      </c>
    </row>
    <row r="566" spans="1:11" s="367" customFormat="1" ht="20.25" customHeight="1" thickTop="1" thickBot="1" x14ac:dyDescent="0.3">
      <c r="A566" s="708" t="s">
        <v>1105</v>
      </c>
      <c r="B566" s="709"/>
      <c r="C566" s="710"/>
      <c r="D566" s="711"/>
      <c r="E566" s="720">
        <f>SUM(E559)</f>
        <v>5391</v>
      </c>
      <c r="F566" s="720">
        <f>SUM(F559,F562)</f>
        <v>8645</v>
      </c>
      <c r="G566" s="720">
        <f>SUM(G559,G562)</f>
        <v>8614</v>
      </c>
      <c r="H566" s="794">
        <f t="shared" si="33"/>
        <v>99.641411220358592</v>
      </c>
      <c r="J566" s="797"/>
      <c r="K566" s="797"/>
    </row>
    <row r="567" spans="1:11" s="367" customFormat="1" ht="20.25" customHeight="1" thickTop="1" x14ac:dyDescent="0.25">
      <c r="A567" s="732"/>
      <c r="B567" s="1151"/>
      <c r="C567" s="1152"/>
      <c r="D567" s="1153"/>
      <c r="E567" s="1430"/>
      <c r="F567" s="1430"/>
      <c r="G567" s="1430"/>
      <c r="H567" s="1431"/>
    </row>
    <row r="568" spans="1:11" s="367" customFormat="1" ht="26.25" customHeight="1" thickBot="1" x14ac:dyDescent="0.3">
      <c r="A568" s="724" t="s">
        <v>7</v>
      </c>
      <c r="B568" s="1147"/>
      <c r="C568" s="1148"/>
      <c r="D568" s="1149"/>
      <c r="E568" s="803">
        <f>SUM(E566)</f>
        <v>5391</v>
      </c>
      <c r="F568" s="803">
        <f>SUM(F566)</f>
        <v>8645</v>
      </c>
      <c r="G568" s="803">
        <f>SUM(G566)</f>
        <v>8614</v>
      </c>
      <c r="H568" s="804">
        <f t="shared" si="33"/>
        <v>99.641411220358592</v>
      </c>
    </row>
    <row r="569" spans="1:11" s="795" customFormat="1" ht="14.25" customHeight="1" thickTop="1" x14ac:dyDescent="0.25">
      <c r="A569" s="1742"/>
      <c r="B569" s="1743"/>
      <c r="C569" s="1748"/>
      <c r="D569" s="1745"/>
      <c r="E569" s="799"/>
      <c r="F569" s="799"/>
      <c r="G569" s="799"/>
      <c r="H569" s="1749"/>
    </row>
    <row r="570" spans="1:11" s="795" customFormat="1" ht="14.25" customHeight="1" x14ac:dyDescent="0.25">
      <c r="A570" s="1742"/>
      <c r="B570" s="1743"/>
      <c r="C570" s="1748"/>
      <c r="D570" s="1745"/>
      <c r="E570" s="799"/>
      <c r="F570" s="799"/>
      <c r="G570" s="799"/>
      <c r="H570" s="1749"/>
    </row>
    <row r="571" spans="1:11" s="795" customFormat="1" ht="14.25" customHeight="1" x14ac:dyDescent="0.25">
      <c r="A571" s="1742"/>
      <c r="B571" s="1743"/>
      <c r="C571" s="1748"/>
      <c r="D571" s="1745"/>
      <c r="E571" s="799"/>
      <c r="F571" s="799"/>
      <c r="G571" s="799"/>
      <c r="H571" s="1749"/>
    </row>
    <row r="572" spans="1:11" s="501" customFormat="1" ht="15.75" x14ac:dyDescent="0.25">
      <c r="A572" s="695" t="s">
        <v>385</v>
      </c>
      <c r="B572" s="735"/>
      <c r="C572" s="798"/>
      <c r="E572" s="487" t="s">
        <v>582</v>
      </c>
      <c r="F572" s="487"/>
      <c r="G572" s="487"/>
      <c r="H572" s="789"/>
    </row>
    <row r="573" spans="1:11" ht="15" thickBot="1" x14ac:dyDescent="0.25">
      <c r="A573" s="1729"/>
      <c r="H573" s="1735" t="s">
        <v>161</v>
      </c>
    </row>
    <row r="574" spans="1:11" s="703" customFormat="1" ht="20.25" customHeight="1" thickTop="1" thickBot="1" x14ac:dyDescent="0.25">
      <c r="A574" s="755" t="s">
        <v>162</v>
      </c>
      <c r="B574" s="698" t="s">
        <v>163</v>
      </c>
      <c r="C574" s="699" t="s">
        <v>705</v>
      </c>
      <c r="D574" s="700" t="s">
        <v>164</v>
      </c>
      <c r="E574" s="701" t="s">
        <v>165</v>
      </c>
      <c r="F574" s="701" t="s">
        <v>881</v>
      </c>
      <c r="G574" s="701" t="s">
        <v>882</v>
      </c>
      <c r="H574" s="702" t="s">
        <v>883</v>
      </c>
    </row>
    <row r="575" spans="1:11" s="383" customFormat="1" ht="13.5" thickTop="1" thickBot="1" x14ac:dyDescent="0.25">
      <c r="A575" s="566">
        <v>1</v>
      </c>
      <c r="B575" s="567">
        <v>2</v>
      </c>
      <c r="C575" s="567">
        <v>3</v>
      </c>
      <c r="D575" s="567">
        <v>4</v>
      </c>
      <c r="E575" s="567">
        <v>5</v>
      </c>
      <c r="F575" s="541">
        <v>6</v>
      </c>
      <c r="G575" s="541">
        <v>7</v>
      </c>
      <c r="H575" s="636" t="s">
        <v>61</v>
      </c>
      <c r="I575" s="107"/>
    </row>
    <row r="576" spans="1:11" s="432" customFormat="1" ht="15.75" thickTop="1" x14ac:dyDescent="0.25">
      <c r="A576" s="1782">
        <v>4357</v>
      </c>
      <c r="B576" s="2425">
        <v>5331</v>
      </c>
      <c r="C576" s="1765"/>
      <c r="D576" s="624" t="s">
        <v>236</v>
      </c>
      <c r="E576" s="714">
        <f>E577+E578</f>
        <v>2286</v>
      </c>
      <c r="F576" s="714">
        <f>F577+F578</f>
        <v>1679</v>
      </c>
      <c r="G576" s="714">
        <f>G577+G578</f>
        <v>1679</v>
      </c>
      <c r="H576" s="705">
        <f>G576/F576*100</f>
        <v>100</v>
      </c>
    </row>
    <row r="577" spans="1:9" x14ac:dyDescent="0.2">
      <c r="A577" s="1739"/>
      <c r="B577" s="1740"/>
      <c r="C577" s="707" t="s">
        <v>575</v>
      </c>
      <c r="D577" s="1392" t="s">
        <v>1260</v>
      </c>
      <c r="E577" s="731">
        <v>794</v>
      </c>
      <c r="F577" s="731">
        <v>804</v>
      </c>
      <c r="G577" s="731">
        <v>804</v>
      </c>
      <c r="H577" s="793">
        <f>(G577/F577)*100</f>
        <v>100</v>
      </c>
    </row>
    <row r="578" spans="1:9" x14ac:dyDescent="0.2">
      <c r="A578" s="1739"/>
      <c r="B578" s="1740"/>
      <c r="C578" s="552" t="s">
        <v>570</v>
      </c>
      <c r="D578" s="548" t="s">
        <v>1088</v>
      </c>
      <c r="E578" s="731">
        <v>1492</v>
      </c>
      <c r="F578" s="731">
        <v>875</v>
      </c>
      <c r="G578" s="731">
        <v>875</v>
      </c>
      <c r="H578" s="793">
        <f>(G578/F578)*100</f>
        <v>100</v>
      </c>
    </row>
    <row r="579" spans="1:9" ht="15" x14ac:dyDescent="0.25">
      <c r="A579" s="1739">
        <v>4357</v>
      </c>
      <c r="B579" s="1740">
        <v>5336</v>
      </c>
      <c r="C579" s="1770"/>
      <c r="D579" s="672" t="s">
        <v>2054</v>
      </c>
      <c r="E579" s="1429"/>
      <c r="F579" s="1429">
        <v>2192</v>
      </c>
      <c r="G579" s="1429">
        <v>2192</v>
      </c>
      <c r="H579" s="800">
        <f t="shared" ref="H579" si="34">(G579/F579)*100</f>
        <v>100</v>
      </c>
    </row>
    <row r="580" spans="1:9" ht="15.75" thickBot="1" x14ac:dyDescent="0.3">
      <c r="A580" s="1739"/>
      <c r="B580" s="1740"/>
      <c r="C580" s="552" t="s">
        <v>1870</v>
      </c>
      <c r="D580" s="556" t="s">
        <v>1897</v>
      </c>
      <c r="E580" s="1429"/>
      <c r="F580" s="731">
        <v>2192</v>
      </c>
      <c r="G580" s="731">
        <v>2192</v>
      </c>
      <c r="H580" s="793">
        <f>(G580/F580)*100</f>
        <v>100</v>
      </c>
    </row>
    <row r="581" spans="1:9" s="367" customFormat="1" ht="20.25" customHeight="1" thickTop="1" thickBot="1" x14ac:dyDescent="0.3">
      <c r="A581" s="708" t="s">
        <v>1105</v>
      </c>
      <c r="B581" s="709"/>
      <c r="C581" s="710"/>
      <c r="D581" s="801"/>
      <c r="E581" s="720">
        <f>SUM(E576)</f>
        <v>2286</v>
      </c>
      <c r="F581" s="720">
        <f>SUM(F576,F579)</f>
        <v>3871</v>
      </c>
      <c r="G581" s="720">
        <f>SUM(G576,G579)</f>
        <v>3871</v>
      </c>
      <c r="H581" s="794">
        <f>(G581/F581)*100</f>
        <v>100</v>
      </c>
    </row>
    <row r="582" spans="1:9" s="367" customFormat="1" ht="20.25" customHeight="1" thickTop="1" x14ac:dyDescent="0.25">
      <c r="A582" s="361"/>
      <c r="B582" s="362"/>
      <c r="C582" s="363"/>
      <c r="D582" s="364"/>
      <c r="E582" s="365"/>
      <c r="F582" s="365"/>
      <c r="G582" s="365"/>
      <c r="H582" s="366"/>
    </row>
    <row r="583" spans="1:9" s="367" customFormat="1" ht="29.25" customHeight="1" thickBot="1" x14ac:dyDescent="0.3">
      <c r="A583" s="758" t="s">
        <v>386</v>
      </c>
      <c r="B583" s="725"/>
      <c r="C583" s="726"/>
      <c r="D583" s="727"/>
      <c r="E583" s="796">
        <f>SUM(E581)</f>
        <v>2286</v>
      </c>
      <c r="F583" s="796">
        <f>SUM(F581)</f>
        <v>3871</v>
      </c>
      <c r="G583" s="796">
        <f>SUM(G581)</f>
        <v>3871</v>
      </c>
      <c r="H583" s="763">
        <f>(G583/F583)*100</f>
        <v>100</v>
      </c>
    </row>
    <row r="584" spans="1:9" s="795" customFormat="1" ht="18.75" customHeight="1" thickTop="1" x14ac:dyDescent="0.25">
      <c r="A584" s="1742"/>
      <c r="B584" s="1743"/>
      <c r="C584" s="1744"/>
      <c r="D584" s="1745"/>
      <c r="E584" s="1746"/>
      <c r="F584" s="1746"/>
      <c r="G584" s="1746"/>
      <c r="H584" s="1747"/>
    </row>
    <row r="585" spans="1:9" s="795" customFormat="1" ht="18.75" customHeight="1" x14ac:dyDescent="0.25">
      <c r="A585" s="1742"/>
      <c r="B585" s="1743"/>
      <c r="C585" s="1744"/>
      <c r="D585" s="1745"/>
      <c r="E585" s="1746"/>
      <c r="F585" s="1746"/>
      <c r="G585" s="1746"/>
      <c r="H585" s="1747"/>
    </row>
    <row r="586" spans="1:9" s="795" customFormat="1" ht="18.75" customHeight="1" x14ac:dyDescent="0.25">
      <c r="A586" s="1742"/>
      <c r="B586" s="1743"/>
      <c r="C586" s="1744"/>
      <c r="D586" s="1745"/>
      <c r="E586" s="1746"/>
      <c r="F586" s="1746"/>
      <c r="G586" s="1746"/>
      <c r="H586" s="1747"/>
    </row>
    <row r="587" spans="1:9" s="501" customFormat="1" ht="15.75" x14ac:dyDescent="0.25">
      <c r="A587" s="695" t="s">
        <v>583</v>
      </c>
      <c r="B587" s="735"/>
      <c r="C587" s="798"/>
      <c r="E587" s="487" t="s">
        <v>584</v>
      </c>
      <c r="F587" s="487"/>
      <c r="G587" s="487"/>
      <c r="H587" s="789"/>
    </row>
    <row r="588" spans="1:9" ht="11.25" customHeight="1" thickBot="1" x14ac:dyDescent="0.25">
      <c r="A588" s="1729"/>
      <c r="H588" s="1735" t="s">
        <v>161</v>
      </c>
    </row>
    <row r="589" spans="1:9" s="703" customFormat="1" ht="20.25" customHeight="1" thickTop="1" thickBot="1" x14ac:dyDescent="0.25">
      <c r="A589" s="755" t="s">
        <v>162</v>
      </c>
      <c r="B589" s="698" t="s">
        <v>163</v>
      </c>
      <c r="C589" s="699" t="s">
        <v>705</v>
      </c>
      <c r="D589" s="700" t="s">
        <v>164</v>
      </c>
      <c r="E589" s="701" t="s">
        <v>165</v>
      </c>
      <c r="F589" s="701" t="s">
        <v>881</v>
      </c>
      <c r="G589" s="701" t="s">
        <v>882</v>
      </c>
      <c r="H589" s="702" t="s">
        <v>883</v>
      </c>
    </row>
    <row r="590" spans="1:9" s="383" customFormat="1" ht="13.5" thickTop="1" thickBot="1" x14ac:dyDescent="0.25">
      <c r="A590" s="566">
        <v>1</v>
      </c>
      <c r="B590" s="567">
        <v>2</v>
      </c>
      <c r="C590" s="567">
        <v>3</v>
      </c>
      <c r="D590" s="567">
        <v>4</v>
      </c>
      <c r="E590" s="567">
        <v>5</v>
      </c>
      <c r="F590" s="541">
        <v>6</v>
      </c>
      <c r="G590" s="541">
        <v>7</v>
      </c>
      <c r="H590" s="636" t="s">
        <v>61</v>
      </c>
      <c r="I590" s="107"/>
    </row>
    <row r="591" spans="1:9" s="432" customFormat="1" ht="15.75" thickTop="1" x14ac:dyDescent="0.25">
      <c r="A591" s="1782">
        <v>4357</v>
      </c>
      <c r="B591" s="2425">
        <v>5331</v>
      </c>
      <c r="C591" s="1765"/>
      <c r="D591" s="624" t="s">
        <v>236</v>
      </c>
      <c r="E591" s="714">
        <f>E592+E593</f>
        <v>3333</v>
      </c>
      <c r="F591" s="714">
        <f>F592+F593</f>
        <v>3214</v>
      </c>
      <c r="G591" s="714">
        <f>G592+G593</f>
        <v>3214</v>
      </c>
      <c r="H591" s="705">
        <f>G591/F591*100</f>
        <v>100</v>
      </c>
    </row>
    <row r="592" spans="1:9" x14ac:dyDescent="0.2">
      <c r="A592" s="1739"/>
      <c r="B592" s="1740"/>
      <c r="C592" s="707" t="s">
        <v>575</v>
      </c>
      <c r="D592" s="1392" t="s">
        <v>1260</v>
      </c>
      <c r="E592" s="731">
        <v>964</v>
      </c>
      <c r="F592" s="731">
        <v>1004</v>
      </c>
      <c r="G592" s="731">
        <v>1004</v>
      </c>
      <c r="H592" s="793">
        <f>(G592/F592)*100</f>
        <v>100</v>
      </c>
    </row>
    <row r="593" spans="1:9" x14ac:dyDescent="0.2">
      <c r="A593" s="1739"/>
      <c r="B593" s="1740"/>
      <c r="C593" s="552" t="s">
        <v>570</v>
      </c>
      <c r="D593" s="548" t="s">
        <v>1088</v>
      </c>
      <c r="E593" s="731">
        <v>2369</v>
      </c>
      <c r="F593" s="731">
        <v>2210</v>
      </c>
      <c r="G593" s="731">
        <v>2210</v>
      </c>
      <c r="H593" s="793">
        <f>(G593/F593)*100</f>
        <v>100</v>
      </c>
    </row>
    <row r="594" spans="1:9" ht="15" x14ac:dyDescent="0.25">
      <c r="A594" s="1739">
        <v>4357</v>
      </c>
      <c r="B594" s="1740">
        <v>5336</v>
      </c>
      <c r="C594" s="1770"/>
      <c r="D594" s="672" t="s">
        <v>2054</v>
      </c>
      <c r="E594" s="1429"/>
      <c r="F594" s="1429">
        <v>2299</v>
      </c>
      <c r="G594" s="1429">
        <v>2299</v>
      </c>
      <c r="H594" s="800">
        <f t="shared" ref="H594" si="35">(G594/F594)*100</f>
        <v>100</v>
      </c>
    </row>
    <row r="595" spans="1:9" ht="15.75" thickBot="1" x14ac:dyDescent="0.3">
      <c r="A595" s="1739"/>
      <c r="B595" s="1740"/>
      <c r="C595" s="552" t="s">
        <v>1870</v>
      </c>
      <c r="D595" s="556" t="s">
        <v>1897</v>
      </c>
      <c r="E595" s="1429"/>
      <c r="F595" s="731">
        <v>2299</v>
      </c>
      <c r="G595" s="731">
        <v>2299</v>
      </c>
      <c r="H595" s="793">
        <f>(G595/F595)*100</f>
        <v>100</v>
      </c>
    </row>
    <row r="596" spans="1:9" s="367" customFormat="1" ht="20.25" customHeight="1" thickTop="1" thickBot="1" x14ac:dyDescent="0.3">
      <c r="A596" s="708" t="s">
        <v>1105</v>
      </c>
      <c r="B596" s="709"/>
      <c r="C596" s="710"/>
      <c r="D596" s="801"/>
      <c r="E596" s="720">
        <f>SUM(E591)</f>
        <v>3333</v>
      </c>
      <c r="F596" s="720">
        <f>SUM(F591,F594)</f>
        <v>5513</v>
      </c>
      <c r="G596" s="720">
        <f>SUM(G591,G594)</f>
        <v>5513</v>
      </c>
      <c r="H596" s="794">
        <f>(G596/F596)*100</f>
        <v>100</v>
      </c>
    </row>
    <row r="597" spans="1:9" s="432" customFormat="1" ht="15.75" thickTop="1" x14ac:dyDescent="0.25">
      <c r="A597" s="754"/>
      <c r="B597" s="1754"/>
      <c r="C597" s="798"/>
      <c r="E597" s="487"/>
      <c r="F597" s="487"/>
      <c r="G597" s="487"/>
      <c r="H597" s="789"/>
    </row>
    <row r="598" spans="1:9" s="367" customFormat="1" ht="27" customHeight="1" thickBot="1" x14ac:dyDescent="0.3">
      <c r="A598" s="758" t="s">
        <v>585</v>
      </c>
      <c r="B598" s="725"/>
      <c r="C598" s="726"/>
      <c r="D598" s="727"/>
      <c r="E598" s="796">
        <f>SUM(E596)</f>
        <v>3333</v>
      </c>
      <c r="F598" s="796">
        <f>SUM(F596)</f>
        <v>5513</v>
      </c>
      <c r="G598" s="796">
        <f>SUM(G596)</f>
        <v>5513</v>
      </c>
      <c r="H598" s="763">
        <f>(G598/F598)*100</f>
        <v>100</v>
      </c>
    </row>
    <row r="599" spans="1:9" s="795" customFormat="1" ht="15" customHeight="1" thickTop="1" x14ac:dyDescent="0.25">
      <c r="A599" s="1742"/>
      <c r="B599" s="1743"/>
      <c r="C599" s="1748"/>
      <c r="D599" s="1745"/>
      <c r="E599" s="799"/>
      <c r="F599" s="799"/>
      <c r="G599" s="799"/>
      <c r="H599" s="1749"/>
    </row>
    <row r="600" spans="1:9" s="795" customFormat="1" ht="15" customHeight="1" x14ac:dyDescent="0.25">
      <c r="A600" s="1742"/>
      <c r="B600" s="1743"/>
      <c r="C600" s="1748"/>
      <c r="D600" s="1745"/>
      <c r="E600" s="799"/>
      <c r="F600" s="799"/>
      <c r="G600" s="799"/>
      <c r="H600" s="1749"/>
    </row>
    <row r="601" spans="1:9" s="795" customFormat="1" ht="15" customHeight="1" x14ac:dyDescent="0.25">
      <c r="A601" s="1742"/>
      <c r="B601" s="1743"/>
      <c r="C601" s="1748"/>
      <c r="D601" s="1745"/>
      <c r="E601" s="799"/>
      <c r="F601" s="799"/>
      <c r="G601" s="799"/>
      <c r="H601" s="1749"/>
    </row>
    <row r="602" spans="1:9" s="501" customFormat="1" ht="15.75" x14ac:dyDescent="0.25">
      <c r="A602" s="805" t="s">
        <v>8</v>
      </c>
      <c r="B602" s="1510"/>
      <c r="C602" s="1510"/>
      <c r="D602" s="1510"/>
      <c r="E602" s="487" t="s">
        <v>586</v>
      </c>
      <c r="F602" s="487"/>
      <c r="G602" s="487"/>
      <c r="H602" s="789"/>
    </row>
    <row r="603" spans="1:9" ht="15" thickBot="1" x14ac:dyDescent="0.25">
      <c r="A603" s="1729"/>
      <c r="H603" s="1735" t="s">
        <v>161</v>
      </c>
    </row>
    <row r="604" spans="1:9" s="703" customFormat="1" ht="20.25" customHeight="1" thickTop="1" thickBot="1" x14ac:dyDescent="0.25">
      <c r="A604" s="755" t="s">
        <v>162</v>
      </c>
      <c r="B604" s="698" t="s">
        <v>163</v>
      </c>
      <c r="C604" s="699" t="s">
        <v>705</v>
      </c>
      <c r="D604" s="700" t="s">
        <v>164</v>
      </c>
      <c r="E604" s="701" t="s">
        <v>165</v>
      </c>
      <c r="F604" s="701" t="s">
        <v>881</v>
      </c>
      <c r="G604" s="701" t="s">
        <v>882</v>
      </c>
      <c r="H604" s="702" t="s">
        <v>883</v>
      </c>
    </row>
    <row r="605" spans="1:9" s="383" customFormat="1" ht="13.5" thickTop="1" thickBot="1" x14ac:dyDescent="0.25">
      <c r="A605" s="566">
        <v>1</v>
      </c>
      <c r="B605" s="567">
        <v>2</v>
      </c>
      <c r="C605" s="567">
        <v>3</v>
      </c>
      <c r="D605" s="567">
        <v>4</v>
      </c>
      <c r="E605" s="567">
        <v>5</v>
      </c>
      <c r="F605" s="541">
        <v>6</v>
      </c>
      <c r="G605" s="541">
        <v>7</v>
      </c>
      <c r="H605" s="636" t="s">
        <v>61</v>
      </c>
      <c r="I605" s="107"/>
    </row>
    <row r="606" spans="1:9" s="432" customFormat="1" ht="15.75" thickTop="1" x14ac:dyDescent="0.25">
      <c r="A606" s="1782">
        <v>4357</v>
      </c>
      <c r="B606" s="2425">
        <v>5331</v>
      </c>
      <c r="C606" s="1765"/>
      <c r="D606" s="624" t="s">
        <v>236</v>
      </c>
      <c r="E606" s="714">
        <f>E608+E607</f>
        <v>3403</v>
      </c>
      <c r="F606" s="714">
        <f>F608+F607</f>
        <v>4653</v>
      </c>
      <c r="G606" s="714">
        <f>G608+G607</f>
        <v>4653</v>
      </c>
      <c r="H606" s="705">
        <f>G606/F606*100</f>
        <v>100</v>
      </c>
    </row>
    <row r="607" spans="1:9" x14ac:dyDescent="0.2">
      <c r="A607" s="1739"/>
      <c r="B607" s="1740"/>
      <c r="C607" s="552" t="s">
        <v>575</v>
      </c>
      <c r="D607" s="1392" t="s">
        <v>1260</v>
      </c>
      <c r="E607" s="1346">
        <v>1003</v>
      </c>
      <c r="F607" s="731">
        <v>1003</v>
      </c>
      <c r="G607" s="731">
        <v>1003</v>
      </c>
      <c r="H607" s="793">
        <f>(G607/F607)*100</f>
        <v>100</v>
      </c>
    </row>
    <row r="608" spans="1:9" x14ac:dyDescent="0.2">
      <c r="A608" s="1739"/>
      <c r="B608" s="1740"/>
      <c r="C608" s="552" t="s">
        <v>570</v>
      </c>
      <c r="D608" s="548" t="s">
        <v>1088</v>
      </c>
      <c r="E608" s="731">
        <v>2400</v>
      </c>
      <c r="F608" s="731">
        <v>3650</v>
      </c>
      <c r="G608" s="731">
        <v>3650</v>
      </c>
      <c r="H608" s="793">
        <f>(G608/F608)*100</f>
        <v>100</v>
      </c>
    </row>
    <row r="609" spans="1:9" ht="15" x14ac:dyDescent="0.25">
      <c r="A609" s="1739">
        <v>4357</v>
      </c>
      <c r="B609" s="1740">
        <v>5336</v>
      </c>
      <c r="C609" s="1770"/>
      <c r="D609" s="672" t="s">
        <v>2054</v>
      </c>
      <c r="E609" s="1429"/>
      <c r="F609" s="1429">
        <v>2584</v>
      </c>
      <c r="G609" s="1429">
        <v>2584</v>
      </c>
      <c r="H609" s="800">
        <f t="shared" ref="H609" si="36">(G609/F609)*100</f>
        <v>100</v>
      </c>
    </row>
    <row r="610" spans="1:9" ht="15.75" thickBot="1" x14ac:dyDescent="0.3">
      <c r="A610" s="1739"/>
      <c r="B610" s="1740"/>
      <c r="C610" s="552" t="s">
        <v>1870</v>
      </c>
      <c r="D610" s="556" t="s">
        <v>1897</v>
      </c>
      <c r="E610" s="1429"/>
      <c r="F610" s="731">
        <v>2584</v>
      </c>
      <c r="G610" s="731">
        <v>2584</v>
      </c>
      <c r="H610" s="793">
        <f>(G610/F610)*100</f>
        <v>100</v>
      </c>
    </row>
    <row r="611" spans="1:9" s="367" customFormat="1" ht="20.25" customHeight="1" thickTop="1" thickBot="1" x14ac:dyDescent="0.3">
      <c r="A611" s="708" t="s">
        <v>1105</v>
      </c>
      <c r="B611" s="709"/>
      <c r="C611" s="710"/>
      <c r="D611" s="801"/>
      <c r="E611" s="720">
        <f>SUM(E606)</f>
        <v>3403</v>
      </c>
      <c r="F611" s="720">
        <f>SUM(F606,F609)</f>
        <v>7237</v>
      </c>
      <c r="G611" s="720">
        <f>SUM(G606,G609)</f>
        <v>7237</v>
      </c>
      <c r="H611" s="794">
        <f>(G611/F611)*100</f>
        <v>100</v>
      </c>
    </row>
    <row r="612" spans="1:9" s="432" customFormat="1" ht="15.75" thickTop="1" x14ac:dyDescent="0.25">
      <c r="A612" s="754"/>
      <c r="B612" s="1754"/>
      <c r="C612" s="798"/>
      <c r="E612" s="487"/>
      <c r="F612" s="487"/>
      <c r="G612" s="487"/>
      <c r="H612" s="789"/>
    </row>
    <row r="613" spans="1:9" s="367" customFormat="1" ht="15" customHeight="1" x14ac:dyDescent="0.25">
      <c r="A613" s="2702" t="s">
        <v>9</v>
      </c>
      <c r="B613" s="2703"/>
      <c r="C613" s="2703"/>
      <c r="D613" s="2703"/>
      <c r="E613" s="2705">
        <f>SUM(E611)</f>
        <v>3403</v>
      </c>
      <c r="F613" s="2705">
        <f>SUM(F611)</f>
        <v>7237</v>
      </c>
      <c r="G613" s="2705">
        <f>SUM(G611)</f>
        <v>7237</v>
      </c>
      <c r="H613" s="2707">
        <f>(G613/F613)*100</f>
        <v>100</v>
      </c>
    </row>
    <row r="614" spans="1:9" s="367" customFormat="1" ht="15.75" customHeight="1" thickBot="1" x14ac:dyDescent="0.3">
      <c r="A614" s="2704"/>
      <c r="B614" s="2704"/>
      <c r="C614" s="2704"/>
      <c r="D614" s="2704"/>
      <c r="E614" s="2704"/>
      <c r="F614" s="2704"/>
      <c r="G614" s="2704"/>
      <c r="H614" s="2704"/>
    </row>
    <row r="615" spans="1:9" s="795" customFormat="1" ht="14.25" customHeight="1" thickTop="1" x14ac:dyDescent="0.25">
      <c r="A615" s="1742"/>
      <c r="B615" s="1743"/>
      <c r="C615" s="1748"/>
      <c r="D615" s="1745"/>
      <c r="E615" s="799"/>
      <c r="F615" s="799"/>
      <c r="G615" s="799"/>
      <c r="H615" s="1749"/>
    </row>
    <row r="616" spans="1:9" s="795" customFormat="1" ht="14.25" customHeight="1" x14ac:dyDescent="0.25">
      <c r="A616" s="1742"/>
      <c r="B616" s="1743"/>
      <c r="C616" s="1748"/>
      <c r="D616" s="1745"/>
      <c r="E616" s="799"/>
      <c r="F616" s="799"/>
      <c r="G616" s="799"/>
      <c r="H616" s="1749"/>
    </row>
    <row r="617" spans="1:9" s="795" customFormat="1" ht="14.25" customHeight="1" x14ac:dyDescent="0.25">
      <c r="A617" s="1742"/>
      <c r="B617" s="1743"/>
      <c r="C617" s="1748"/>
      <c r="D617" s="1745"/>
      <c r="E617" s="799"/>
      <c r="F617" s="799"/>
      <c r="G617" s="799"/>
      <c r="H617" s="1749"/>
    </row>
    <row r="618" spans="1:9" s="501" customFormat="1" ht="15.75" x14ac:dyDescent="0.25">
      <c r="A618" s="805" t="s">
        <v>10</v>
      </c>
      <c r="B618" s="1510"/>
      <c r="C618" s="1510"/>
      <c r="D618" s="1510"/>
      <c r="E618" s="487" t="s">
        <v>587</v>
      </c>
      <c r="F618" s="487"/>
      <c r="G618" s="487"/>
      <c r="H618" s="789"/>
    </row>
    <row r="619" spans="1:9" ht="15" thickBot="1" x14ac:dyDescent="0.25">
      <c r="A619" s="1729"/>
      <c r="H619" s="1735" t="s">
        <v>161</v>
      </c>
    </row>
    <row r="620" spans="1:9" s="703" customFormat="1" ht="20.25" customHeight="1" thickTop="1" thickBot="1" x14ac:dyDescent="0.25">
      <c r="A620" s="755" t="s">
        <v>162</v>
      </c>
      <c r="B620" s="698" t="s">
        <v>163</v>
      </c>
      <c r="C620" s="699" t="s">
        <v>705</v>
      </c>
      <c r="D620" s="700" t="s">
        <v>164</v>
      </c>
      <c r="E620" s="701" t="s">
        <v>165</v>
      </c>
      <c r="F620" s="701" t="s">
        <v>881</v>
      </c>
      <c r="G620" s="701" t="s">
        <v>882</v>
      </c>
      <c r="H620" s="702" t="s">
        <v>883</v>
      </c>
    </row>
    <row r="621" spans="1:9" s="383" customFormat="1" ht="13.5" thickTop="1" thickBot="1" x14ac:dyDescent="0.25">
      <c r="A621" s="566">
        <v>1</v>
      </c>
      <c r="B621" s="567">
        <v>2</v>
      </c>
      <c r="C621" s="567">
        <v>3</v>
      </c>
      <c r="D621" s="567">
        <v>4</v>
      </c>
      <c r="E621" s="567">
        <v>5</v>
      </c>
      <c r="F621" s="541">
        <v>6</v>
      </c>
      <c r="G621" s="541">
        <v>7</v>
      </c>
      <c r="H621" s="636" t="s">
        <v>61</v>
      </c>
      <c r="I621" s="107"/>
    </row>
    <row r="622" spans="1:9" s="432" customFormat="1" ht="15.75" thickTop="1" x14ac:dyDescent="0.25">
      <c r="A622" s="1782">
        <v>4357</v>
      </c>
      <c r="B622" s="2425">
        <v>5331</v>
      </c>
      <c r="C622" s="1765"/>
      <c r="D622" s="624" t="s">
        <v>236</v>
      </c>
      <c r="E622" s="714">
        <f>E623+E624+E627+E628</f>
        <v>6360</v>
      </c>
      <c r="F622" s="714">
        <f>F623+F624</f>
        <v>4470</v>
      </c>
      <c r="G622" s="714">
        <f>G623+G624</f>
        <v>4470</v>
      </c>
      <c r="H622" s="705">
        <f>G622/F622*100</f>
        <v>100</v>
      </c>
    </row>
    <row r="623" spans="1:9" x14ac:dyDescent="0.2">
      <c r="A623" s="1739"/>
      <c r="B623" s="1740"/>
      <c r="C623" s="707" t="s">
        <v>575</v>
      </c>
      <c r="D623" s="1392" t="s">
        <v>1260</v>
      </c>
      <c r="E623" s="731">
        <v>1262</v>
      </c>
      <c r="F623" s="731">
        <v>1271</v>
      </c>
      <c r="G623" s="731">
        <v>1271</v>
      </c>
      <c r="H623" s="793">
        <f t="shared" ref="H623:H629" si="37">(G623/F623)*100</f>
        <v>100</v>
      </c>
    </row>
    <row r="624" spans="1:9" x14ac:dyDescent="0.2">
      <c r="A624" s="1739"/>
      <c r="B624" s="1740"/>
      <c r="C624" s="552" t="s">
        <v>570</v>
      </c>
      <c r="D624" s="548" t="s">
        <v>1088</v>
      </c>
      <c r="E624" s="731">
        <v>5098</v>
      </c>
      <c r="F624" s="731">
        <v>3199</v>
      </c>
      <c r="G624" s="731">
        <v>3199</v>
      </c>
      <c r="H624" s="793">
        <f t="shared" si="37"/>
        <v>100</v>
      </c>
    </row>
    <row r="625" spans="1:14" ht="15" x14ac:dyDescent="0.25">
      <c r="A625" s="1739">
        <v>4357</v>
      </c>
      <c r="B625" s="1740">
        <v>5336</v>
      </c>
      <c r="C625" s="1770"/>
      <c r="D625" s="672" t="s">
        <v>2054</v>
      </c>
      <c r="E625" s="1429"/>
      <c r="F625" s="1429">
        <f>F627+F628+F626</f>
        <v>5566</v>
      </c>
      <c r="G625" s="1429">
        <f>G627+G628+G626</f>
        <v>5566</v>
      </c>
      <c r="H625" s="800">
        <f t="shared" si="37"/>
        <v>100</v>
      </c>
    </row>
    <row r="626" spans="1:14" ht="15" x14ac:dyDescent="0.25">
      <c r="A626" s="1739"/>
      <c r="B626" s="1740"/>
      <c r="C626" s="552" t="s">
        <v>1870</v>
      </c>
      <c r="D626" s="548" t="s">
        <v>1897</v>
      </c>
      <c r="E626" s="1429"/>
      <c r="F626" s="731">
        <v>5095</v>
      </c>
      <c r="G626" s="731">
        <v>5095</v>
      </c>
      <c r="H626" s="793">
        <f t="shared" si="37"/>
        <v>100</v>
      </c>
    </row>
    <row r="627" spans="1:14" x14ac:dyDescent="0.2">
      <c r="A627" s="1739"/>
      <c r="B627" s="1740"/>
      <c r="C627" s="1403" t="s">
        <v>1355</v>
      </c>
      <c r="D627" s="1751" t="s">
        <v>1356</v>
      </c>
      <c r="E627" s="731"/>
      <c r="F627" s="731">
        <v>71</v>
      </c>
      <c r="G627" s="731">
        <v>71</v>
      </c>
      <c r="H627" s="793">
        <f t="shared" si="37"/>
        <v>100</v>
      </c>
    </row>
    <row r="628" spans="1:14" ht="15" thickBot="1" x14ac:dyDescent="0.25">
      <c r="A628" s="1739"/>
      <c r="B628" s="1740"/>
      <c r="C628" s="1403" t="s">
        <v>1357</v>
      </c>
      <c r="D628" s="1752" t="s">
        <v>1358</v>
      </c>
      <c r="E628" s="731"/>
      <c r="F628" s="731">
        <v>400</v>
      </c>
      <c r="G628" s="731">
        <v>400</v>
      </c>
      <c r="H628" s="793">
        <f t="shared" si="37"/>
        <v>100</v>
      </c>
    </row>
    <row r="629" spans="1:14" s="367" customFormat="1" ht="20.25" customHeight="1" thickTop="1" thickBot="1" x14ac:dyDescent="0.3">
      <c r="A629" s="708" t="s">
        <v>1105</v>
      </c>
      <c r="B629" s="709"/>
      <c r="C629" s="710"/>
      <c r="D629" s="801"/>
      <c r="E629" s="720">
        <f>SUM(E622)</f>
        <v>6360</v>
      </c>
      <c r="F629" s="720">
        <f>SUM(F622,F625)</f>
        <v>10036</v>
      </c>
      <c r="G629" s="720">
        <f>SUM(G622,G625)</f>
        <v>10036</v>
      </c>
      <c r="H629" s="794">
        <f t="shared" si="37"/>
        <v>100</v>
      </c>
      <c r="J629" s="911">
        <f>E629+E611+E596+E581+E566+E549+E534+E519+E502+E487+E472+E457+E442+E427+E410+E395</f>
        <v>59452</v>
      </c>
      <c r="K629" s="911">
        <f>F629+F611+F596+F581+F566+F549+F534+F519+F502+F487+F472+F457+F442+F427+F410+F395</f>
        <v>111849</v>
      </c>
      <c r="L629" s="911">
        <f>G629+G611+G596+G581+G566+G549+G534+G519+G502+G487+G472+G457+G442+G427+G410+G395</f>
        <v>111816</v>
      </c>
      <c r="M629" s="911" t="s">
        <v>642</v>
      </c>
      <c r="N629" s="797"/>
    </row>
    <row r="630" spans="1:14" ht="15" thickTop="1" x14ac:dyDescent="0.2">
      <c r="A630" s="1729"/>
      <c r="J630" s="382">
        <v>0</v>
      </c>
      <c r="K630" s="382">
        <v>0</v>
      </c>
      <c r="L630" s="382">
        <v>0</v>
      </c>
      <c r="M630" s="381" t="s">
        <v>588</v>
      </c>
    </row>
    <row r="631" spans="1:14" s="795" customFormat="1" ht="27.75" customHeight="1" thickBot="1" x14ac:dyDescent="0.3">
      <c r="A631" s="758" t="s">
        <v>11</v>
      </c>
      <c r="B631" s="1771"/>
      <c r="C631" s="1771"/>
      <c r="D631" s="1771"/>
      <c r="E631" s="796">
        <f>SUM(E629)</f>
        <v>6360</v>
      </c>
      <c r="F631" s="796">
        <f>SUM(F629)</f>
        <v>10036</v>
      </c>
      <c r="G631" s="796">
        <f>SUM(G629)</f>
        <v>10036</v>
      </c>
      <c r="H631" s="763">
        <f>(G631/F631)*100</f>
        <v>100</v>
      </c>
      <c r="J631" s="802"/>
      <c r="K631" s="802"/>
      <c r="L631" s="802"/>
    </row>
    <row r="632" spans="1:14" s="795" customFormat="1" ht="21" customHeight="1" thickTop="1" x14ac:dyDescent="0.25">
      <c r="A632" s="1742"/>
      <c r="B632" s="1167"/>
      <c r="C632" s="1167"/>
      <c r="D632" s="1167"/>
      <c r="E632" s="1746"/>
      <c r="F632" s="1746"/>
      <c r="G632" s="1746"/>
      <c r="H632" s="1747"/>
      <c r="J632" s="802"/>
      <c r="K632" s="802"/>
      <c r="L632" s="802"/>
    </row>
    <row r="633" spans="1:14" s="795" customFormat="1" ht="16.5" customHeight="1" x14ac:dyDescent="0.25">
      <c r="A633" s="1742"/>
      <c r="B633" s="1167"/>
      <c r="C633" s="1167"/>
      <c r="D633" s="1167"/>
      <c r="E633" s="1746"/>
      <c r="F633" s="1746"/>
      <c r="G633" s="1746"/>
      <c r="H633" s="1747"/>
      <c r="J633" s="802"/>
      <c r="K633" s="802"/>
      <c r="L633" s="802"/>
    </row>
    <row r="634" spans="1:14" s="795" customFormat="1" ht="16.5" customHeight="1" x14ac:dyDescent="0.25">
      <c r="A634" s="1742"/>
      <c r="B634" s="1167"/>
      <c r="C634" s="1167"/>
      <c r="D634" s="1167"/>
      <c r="E634" s="1746"/>
      <c r="F634" s="1746"/>
      <c r="G634" s="1746"/>
      <c r="H634" s="1747"/>
      <c r="J634" s="802"/>
      <c r="K634" s="802"/>
      <c r="L634" s="802"/>
    </row>
    <row r="635" spans="1:14" s="501" customFormat="1" ht="15.75" x14ac:dyDescent="0.25">
      <c r="A635" s="805" t="s">
        <v>1089</v>
      </c>
      <c r="B635" s="1510"/>
      <c r="C635" s="1510"/>
      <c r="D635" s="1510"/>
      <c r="E635" s="487"/>
      <c r="F635" s="487"/>
      <c r="G635" s="487"/>
      <c r="H635" s="789"/>
    </row>
    <row r="636" spans="1:14" ht="15" thickBot="1" x14ac:dyDescent="0.25">
      <c r="H636" s="1735" t="s">
        <v>161</v>
      </c>
    </row>
    <row r="637" spans="1:14" ht="17.100000000000001" customHeight="1" thickTop="1" thickBot="1" x14ac:dyDescent="0.25">
      <c r="A637" s="631" t="s">
        <v>162</v>
      </c>
      <c r="B637" s="632" t="s">
        <v>163</v>
      </c>
      <c r="C637" s="634" t="s">
        <v>705</v>
      </c>
      <c r="D637" s="634" t="s">
        <v>164</v>
      </c>
      <c r="E637" s="634" t="s">
        <v>165</v>
      </c>
      <c r="F637" s="634" t="s">
        <v>881</v>
      </c>
      <c r="G637" s="634" t="s">
        <v>882</v>
      </c>
      <c r="H637" s="635" t="s">
        <v>883</v>
      </c>
    </row>
    <row r="638" spans="1:14" s="1750" customFormat="1" thickTop="1" thickBot="1" x14ac:dyDescent="0.25">
      <c r="A638" s="566">
        <v>1</v>
      </c>
      <c r="B638" s="567">
        <v>2</v>
      </c>
      <c r="C638" s="567">
        <v>3</v>
      </c>
      <c r="D638" s="567">
        <v>4</v>
      </c>
      <c r="E638" s="567">
        <v>5</v>
      </c>
      <c r="F638" s="1386">
        <v>6</v>
      </c>
      <c r="G638" s="1386">
        <v>7</v>
      </c>
      <c r="H638" s="1727" t="s">
        <v>61</v>
      </c>
    </row>
    <row r="639" spans="1:14" s="432" customFormat="1" ht="15.75" thickTop="1" x14ac:dyDescent="0.25">
      <c r="A639" s="2423">
        <v>4399</v>
      </c>
      <c r="B639" s="2424">
        <v>5331</v>
      </c>
      <c r="C639" s="1772"/>
      <c r="D639" s="1117" t="s">
        <v>914</v>
      </c>
      <c r="E639" s="88">
        <v>89120</v>
      </c>
      <c r="F639" s="233">
        <v>0</v>
      </c>
      <c r="G639" s="370">
        <v>0</v>
      </c>
      <c r="H639" s="240">
        <v>0</v>
      </c>
    </row>
    <row r="640" spans="1:14" ht="15" thickBot="1" x14ac:dyDescent="0.25">
      <c r="A640" s="1345"/>
      <c r="B640" s="1753"/>
      <c r="C640" s="1069" t="s">
        <v>570</v>
      </c>
      <c r="D640" s="85" t="s">
        <v>590</v>
      </c>
      <c r="E640" s="55">
        <v>89120</v>
      </c>
      <c r="F640" s="314">
        <v>0</v>
      </c>
      <c r="G640" s="316">
        <v>0</v>
      </c>
      <c r="H640" s="1074">
        <v>0</v>
      </c>
    </row>
    <row r="641" spans="1:19" s="795" customFormat="1" ht="20.25" customHeight="1" thickTop="1" thickBot="1" x14ac:dyDescent="0.3">
      <c r="A641" s="708" t="s">
        <v>1090</v>
      </c>
      <c r="B641" s="709"/>
      <c r="C641" s="710"/>
      <c r="D641" s="711"/>
      <c r="E641" s="720">
        <f>E639</f>
        <v>89120</v>
      </c>
      <c r="F641" s="720">
        <f>SUM(F639)</f>
        <v>0</v>
      </c>
      <c r="G641" s="720">
        <f>SUM(G639)</f>
        <v>0</v>
      </c>
      <c r="H641" s="794">
        <f>SUM(H639)</f>
        <v>0</v>
      </c>
      <c r="J641" s="524">
        <f>E641</f>
        <v>89120</v>
      </c>
      <c r="K641" s="524">
        <f>K387+K638</f>
        <v>0</v>
      </c>
      <c r="L641" s="524">
        <f>L387+L638</f>
        <v>0</v>
      </c>
      <c r="M641" s="523" t="s">
        <v>642</v>
      </c>
      <c r="S641" s="795">
        <v>0</v>
      </c>
    </row>
    <row r="642" spans="1:19" s="795" customFormat="1" ht="27.75" customHeight="1" thickTop="1" x14ac:dyDescent="0.25">
      <c r="A642" s="1742"/>
      <c r="B642" s="1167"/>
      <c r="C642" s="1167"/>
      <c r="D642" s="1167"/>
      <c r="E642" s="1746"/>
      <c r="F642" s="1746"/>
      <c r="G642" s="1746"/>
      <c r="H642" s="1747"/>
      <c r="J642" s="802"/>
      <c r="K642" s="802"/>
      <c r="L642" s="802"/>
    </row>
    <row r="643" spans="1:19" s="795" customFormat="1" ht="27.75" customHeight="1" x14ac:dyDescent="0.25">
      <c r="A643" s="1742"/>
      <c r="B643" s="1167"/>
      <c r="C643" s="1167"/>
      <c r="D643" s="1167"/>
      <c r="E643" s="806"/>
      <c r="F643" s="806"/>
      <c r="G643" s="806"/>
      <c r="H643" s="1747"/>
      <c r="J643" s="802"/>
      <c r="K643" s="802"/>
      <c r="L643" s="802"/>
    </row>
    <row r="644" spans="1:19" s="367" customFormat="1" ht="15.75" customHeight="1" x14ac:dyDescent="0.25">
      <c r="A644" s="361" t="s">
        <v>1150</v>
      </c>
      <c r="B644" s="362"/>
      <c r="C644" s="363"/>
      <c r="D644" s="364"/>
      <c r="E644" s="806">
        <f>E645+E646+E647+E648</f>
        <v>11781</v>
      </c>
      <c r="F644" s="806">
        <f>F645+F646+F647+F648</f>
        <v>26759</v>
      </c>
      <c r="G644" s="806">
        <f>G645+G646+G647+G648+G649</f>
        <v>27433</v>
      </c>
      <c r="H644" s="807">
        <f>(G644/F644)*100</f>
        <v>102.51877872865205</v>
      </c>
    </row>
    <row r="645" spans="1:19" s="795" customFormat="1" ht="15.75" customHeight="1" x14ac:dyDescent="0.25">
      <c r="A645" s="555" t="s">
        <v>263</v>
      </c>
      <c r="B645" s="809"/>
      <c r="C645" s="1452"/>
      <c r="D645" s="810"/>
      <c r="E645" s="1436">
        <f>E99</f>
        <v>11781</v>
      </c>
      <c r="F645" s="1436">
        <f>F99-F647</f>
        <v>17367</v>
      </c>
      <c r="G645" s="1436">
        <f>G99-G647-G649</f>
        <v>17326</v>
      </c>
      <c r="H645" s="808">
        <f>(G645/F645)*100</f>
        <v>99.76392007830944</v>
      </c>
    </row>
    <row r="646" spans="1:19" s="795" customFormat="1" ht="15.75" customHeight="1" x14ac:dyDescent="0.25">
      <c r="A646" s="555" t="s">
        <v>264</v>
      </c>
      <c r="B646" s="1453"/>
      <c r="C646" s="1452"/>
      <c r="D646" s="1454"/>
      <c r="E646" s="1436">
        <v>0</v>
      </c>
      <c r="F646" s="1436">
        <f>F109</f>
        <v>700</v>
      </c>
      <c r="G646" s="1436">
        <f>G109</f>
        <v>700</v>
      </c>
      <c r="H646" s="808">
        <f>(G646/F646)*100</f>
        <v>100</v>
      </c>
      <c r="J646" s="802"/>
      <c r="K646" s="524">
        <f>F647+F654</f>
        <v>120098</v>
      </c>
      <c r="L646" s="524">
        <f>G647+G654</f>
        <v>119839</v>
      </c>
      <c r="M646" s="523" t="s">
        <v>1898</v>
      </c>
    </row>
    <row r="647" spans="1:19" s="795" customFormat="1" ht="15.75" customHeight="1" x14ac:dyDescent="0.25">
      <c r="A647" s="555" t="s">
        <v>208</v>
      </c>
      <c r="B647" s="1453"/>
      <c r="C647" s="1452"/>
      <c r="D647" s="1454"/>
      <c r="E647" s="1436">
        <v>0</v>
      </c>
      <c r="F647" s="1436">
        <f>F13+F18+F22+F48+F49+F51+F52+F54+F55+F58+F59+F66+F67+F69+F70+F75+F76+F81+F80</f>
        <v>8692</v>
      </c>
      <c r="G647" s="1436">
        <f>G13+G18+G22+G48+G49+G51+G52+G54+G55+G58+G59+G66+G67+G69+G70+G75+G76+G81+G80</f>
        <v>8433</v>
      </c>
      <c r="H647" s="808">
        <f>(G647/F647)*100</f>
        <v>97.020248504371835</v>
      </c>
    </row>
    <row r="648" spans="1:19" s="795" customFormat="1" ht="15.75" customHeight="1" x14ac:dyDescent="0.25">
      <c r="A648" s="555" t="s">
        <v>1147</v>
      </c>
      <c r="B648" s="1453"/>
      <c r="C648" s="1452"/>
      <c r="D648" s="1454"/>
      <c r="E648" s="1436">
        <v>0</v>
      </c>
      <c r="F648" s="1436">
        <v>0</v>
      </c>
      <c r="G648" s="1436">
        <v>0</v>
      </c>
      <c r="H648" s="808">
        <v>0</v>
      </c>
    </row>
    <row r="649" spans="1:19" s="795" customFormat="1" ht="15.75" customHeight="1" x14ac:dyDescent="0.25">
      <c r="A649" s="555" t="s">
        <v>466</v>
      </c>
      <c r="B649" s="1453"/>
      <c r="C649" s="1452"/>
      <c r="D649" s="1454"/>
      <c r="E649" s="1436"/>
      <c r="F649" s="1436"/>
      <c r="G649" s="1436">
        <f>G98</f>
        <v>974</v>
      </c>
      <c r="H649" s="808">
        <v>0</v>
      </c>
    </row>
    <row r="650" spans="1:19" s="795" customFormat="1" ht="15.75" customHeight="1" x14ac:dyDescent="0.25">
      <c r="A650" s="555"/>
      <c r="B650" s="1453"/>
      <c r="C650" s="1452"/>
      <c r="D650" s="1454"/>
      <c r="E650" s="799"/>
      <c r="F650" s="799"/>
      <c r="G650" s="799"/>
      <c r="H650" s="1749"/>
    </row>
    <row r="651" spans="1:19" s="367" customFormat="1" ht="15.75" customHeight="1" x14ac:dyDescent="0.25">
      <c r="A651" s="741" t="s">
        <v>265</v>
      </c>
      <c r="B651" s="695"/>
      <c r="C651" s="736"/>
      <c r="D651" s="1773"/>
      <c r="E651" s="806">
        <f>E652+E653+E654+E655</f>
        <v>235000</v>
      </c>
      <c r="F651" s="806">
        <f>F652+F653+F654+F655</f>
        <v>273635</v>
      </c>
      <c r="G651" s="806">
        <f>G652+G653+G654+G655</f>
        <v>273592</v>
      </c>
      <c r="H651" s="807">
        <f>(G651/F651)*100</f>
        <v>99.984285635974928</v>
      </c>
    </row>
    <row r="652" spans="1:19" s="795" customFormat="1" ht="15.75" customHeight="1" x14ac:dyDescent="0.25">
      <c r="A652" s="555" t="s">
        <v>1148</v>
      </c>
      <c r="B652" s="1453"/>
      <c r="C652" s="1452"/>
      <c r="D652" s="1454"/>
      <c r="E652" s="1436">
        <f>J641+J629+J383-E654</f>
        <v>235000</v>
      </c>
      <c r="F652" s="1436">
        <f>K641+K629+K383-F654</f>
        <v>159466</v>
      </c>
      <c r="G652" s="1436">
        <f>L641+L629+L383-G654</f>
        <v>159423</v>
      </c>
      <c r="H652" s="808">
        <f>(G652/F652)*100</f>
        <v>99.973035004326931</v>
      </c>
      <c r="J652" s="588"/>
      <c r="K652" s="588"/>
      <c r="L652" s="588"/>
      <c r="M652" s="588"/>
      <c r="N652" s="588"/>
      <c r="O652" s="588"/>
      <c r="P652" s="588"/>
      <c r="Q652" s="588"/>
      <c r="R652" s="588"/>
      <c r="S652" s="588">
        <f>SUM(S135:S629)</f>
        <v>0</v>
      </c>
    </row>
    <row r="653" spans="1:19" s="795" customFormat="1" ht="15.75" customHeight="1" x14ac:dyDescent="0.25">
      <c r="A653" s="555" t="s">
        <v>1149</v>
      </c>
      <c r="B653" s="1453"/>
      <c r="C653" s="1452"/>
      <c r="D653" s="1454"/>
      <c r="E653" s="1436">
        <f>J630-E655</f>
        <v>0</v>
      </c>
      <c r="F653" s="1436">
        <f>K384</f>
        <v>2763</v>
      </c>
      <c r="G653" s="1436">
        <f>L384</f>
        <v>2763</v>
      </c>
      <c r="H653" s="808">
        <f>(G653/F653)*100</f>
        <v>100</v>
      </c>
    </row>
    <row r="654" spans="1:19" s="795" customFormat="1" ht="15.75" customHeight="1" x14ac:dyDescent="0.25">
      <c r="A654" s="555" t="s">
        <v>208</v>
      </c>
      <c r="B654" s="1730"/>
      <c r="C654" s="663"/>
      <c r="D654" s="381"/>
      <c r="E654" s="1436">
        <v>0</v>
      </c>
      <c r="F654" s="1436">
        <f>K654</f>
        <v>111406</v>
      </c>
      <c r="G654" s="1436">
        <f>L654</f>
        <v>111406</v>
      </c>
      <c r="H654" s="808">
        <f>(G654/F654)*100</f>
        <v>100</v>
      </c>
      <c r="K654" s="802">
        <f>F625+F594+F579+F562+F547+F532+F517+F500+F485+F470+F455+F440+F423+F408+F393+F381+F367+F351+F334+F308+F290+F267+F250+F235+F220+F205+F190+F175+F160+F143+F128+F328+F609</f>
        <v>111406</v>
      </c>
      <c r="L654" s="802">
        <f>G625+G594+G579+G562+G547+G532+G517+G500+G485+G470+G455+G440+G423+G408+G393+G381+G367+G351+G334+G308+G290+G267+G250+G235+G220+G205+G190+G175+G160+G143+G128+G328+G609</f>
        <v>111406</v>
      </c>
      <c r="M654" s="795" t="s">
        <v>1899</v>
      </c>
    </row>
    <row r="655" spans="1:19" s="795" customFormat="1" ht="15.75" customHeight="1" x14ac:dyDescent="0.25">
      <c r="A655" s="555" t="s">
        <v>1147</v>
      </c>
      <c r="B655" s="1730"/>
      <c r="C655" s="663"/>
      <c r="D655" s="381"/>
      <c r="E655" s="1436">
        <v>0</v>
      </c>
      <c r="F655" s="1436">
        <v>0</v>
      </c>
      <c r="G655" s="1436">
        <v>0</v>
      </c>
      <c r="H655" s="808">
        <v>0</v>
      </c>
    </row>
    <row r="656" spans="1:19" s="810" customFormat="1" ht="15" x14ac:dyDescent="0.2">
      <c r="A656" s="809"/>
      <c r="B656" s="809"/>
      <c r="C656" s="663"/>
      <c r="E656" s="1728"/>
      <c r="F656" s="1728"/>
      <c r="G656" s="1728"/>
      <c r="H656" s="765"/>
      <c r="J656" s="588"/>
      <c r="K656" s="588"/>
    </row>
    <row r="657" spans="1:12" s="1774" customFormat="1" ht="47.25" customHeight="1" thickBot="1" x14ac:dyDescent="0.35">
      <c r="A657" s="2700" t="s">
        <v>1254</v>
      </c>
      <c r="B657" s="2701"/>
      <c r="C657" s="2701"/>
      <c r="D657" s="2701"/>
      <c r="E657" s="811">
        <f>SUM(E644,E651)</f>
        <v>246781</v>
      </c>
      <c r="F657" s="811">
        <f>SUM(F644,F651)</f>
        <v>300394</v>
      </c>
      <c r="G657" s="811">
        <f>SUM(G644,G651)</f>
        <v>301025</v>
      </c>
      <c r="H657" s="660">
        <f>(G657/F657)*100</f>
        <v>100.210057457872</v>
      </c>
      <c r="J657" s="1283"/>
      <c r="K657" s="1283"/>
      <c r="L657" s="1283"/>
    </row>
    <row r="658" spans="1:12" ht="15" thickTop="1" x14ac:dyDescent="0.2"/>
  </sheetData>
  <mergeCells count="15">
    <mergeCell ref="D13:D14"/>
    <mergeCell ref="H613:H614"/>
    <mergeCell ref="F613:F614"/>
    <mergeCell ref="G613:G614"/>
    <mergeCell ref="D29:D30"/>
    <mergeCell ref="D35:D36"/>
    <mergeCell ref="D40:D41"/>
    <mergeCell ref="D45:D46"/>
    <mergeCell ref="D25:D26"/>
    <mergeCell ref="D60:D61"/>
    <mergeCell ref="A657:D657"/>
    <mergeCell ref="A613:D614"/>
    <mergeCell ref="E613:E614"/>
    <mergeCell ref="D84:D85"/>
    <mergeCell ref="D329:D330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95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 enableFormatConditionsCalculation="0">
    <tabColor rgb="FFFF0000"/>
  </sheetPr>
  <dimension ref="A1:U126"/>
  <sheetViews>
    <sheetView showGridLines="0" view="pageBreakPreview" topLeftCell="A88" zoomScaleNormal="100" zoomScaleSheetLayoutView="100" workbookViewId="0">
      <selection activeCell="I10" sqref="I10"/>
    </sheetView>
  </sheetViews>
  <sheetFormatPr defaultRowHeight="12.75" x14ac:dyDescent="0.2"/>
  <cols>
    <col min="1" max="1" width="5.5703125" style="643" customWidth="1"/>
    <col min="2" max="2" width="4.7109375" style="532" customWidth="1"/>
    <col min="3" max="3" width="9" style="1286" customWidth="1"/>
    <col min="4" max="4" width="45.7109375" style="532" customWidth="1"/>
    <col min="5" max="5" width="14.5703125" style="493" customWidth="1"/>
    <col min="6" max="6" width="14.28515625" style="493" customWidth="1"/>
    <col min="7" max="7" width="15.28515625" style="493" customWidth="1"/>
    <col min="8" max="8" width="7.140625" style="664" customWidth="1"/>
    <col min="9" max="9" width="9.140625" style="532"/>
    <col min="10" max="10" width="10.85546875" style="532" bestFit="1" customWidth="1"/>
    <col min="11" max="11" width="15" style="532" customWidth="1"/>
    <col min="12" max="12" width="13" style="532" customWidth="1"/>
    <col min="13" max="13" width="9.5703125" style="532" bestFit="1" customWidth="1"/>
    <col min="14" max="16384" width="9.140625" style="532"/>
  </cols>
  <sheetData>
    <row r="1" spans="1:21" ht="18.75" thickBot="1" x14ac:dyDescent="0.3">
      <c r="A1" s="463" t="s">
        <v>949</v>
      </c>
      <c r="B1" s="464"/>
      <c r="C1" s="483"/>
      <c r="D1" s="475"/>
      <c r="E1" s="492"/>
      <c r="F1" s="467" t="s">
        <v>950</v>
      </c>
      <c r="I1" s="17"/>
    </row>
    <row r="2" spans="1:21" ht="12.75" customHeight="1" x14ac:dyDescent="0.25">
      <c r="A2" s="6"/>
      <c r="B2" s="28"/>
      <c r="C2" s="170"/>
      <c r="D2" s="10"/>
      <c r="E2" s="137"/>
      <c r="F2" s="137"/>
      <c r="G2" s="16"/>
      <c r="H2" s="194"/>
      <c r="I2" s="17"/>
    </row>
    <row r="3" spans="1:21" ht="12.75" customHeight="1" x14ac:dyDescent="0.25">
      <c r="A3" s="67" t="s">
        <v>367</v>
      </c>
      <c r="B3" s="28"/>
      <c r="C3" s="531" t="s">
        <v>181</v>
      </c>
      <c r="D3" s="627"/>
      <c r="E3" s="137"/>
      <c r="F3" s="16"/>
      <c r="G3" s="17"/>
      <c r="H3" s="194"/>
    </row>
    <row r="4" spans="1:21" ht="12.75" customHeight="1" x14ac:dyDescent="0.25">
      <c r="A4" s="6"/>
      <c r="B4" s="28"/>
      <c r="C4" s="1719" t="s">
        <v>1634</v>
      </c>
      <c r="D4" s="667"/>
      <c r="E4" s="138"/>
      <c r="F4" s="16"/>
      <c r="G4" s="17"/>
      <c r="H4" s="194"/>
    </row>
    <row r="5" spans="1:21" ht="12.75" customHeight="1" x14ac:dyDescent="0.25">
      <c r="A5" s="6"/>
      <c r="B5" s="28"/>
      <c r="C5" s="531"/>
      <c r="D5" s="667"/>
      <c r="E5" s="138"/>
      <c r="F5" s="16"/>
      <c r="G5" s="17"/>
      <c r="H5" s="194"/>
    </row>
    <row r="6" spans="1:21" ht="12.75" customHeight="1" x14ac:dyDescent="0.25">
      <c r="A6" s="6"/>
      <c r="B6" s="28"/>
      <c r="C6" s="531"/>
      <c r="D6" s="667"/>
      <c r="E6" s="138"/>
      <c r="F6" s="16"/>
      <c r="G6" s="17"/>
      <c r="H6" s="194"/>
    </row>
    <row r="7" spans="1:21" ht="12.75" customHeight="1" x14ac:dyDescent="0.25">
      <c r="A7" s="6"/>
      <c r="B7" s="28"/>
      <c r="C7" s="531"/>
      <c r="D7" s="667"/>
      <c r="E7" s="138"/>
      <c r="F7" s="16"/>
      <c r="G7" s="17"/>
      <c r="H7" s="194"/>
    </row>
    <row r="8" spans="1:21" ht="12.75" customHeight="1" x14ac:dyDescent="0.25">
      <c r="A8" s="669" t="s">
        <v>884</v>
      </c>
      <c r="B8" s="28"/>
      <c r="C8" s="531"/>
      <c r="D8" s="667"/>
      <c r="E8" s="138"/>
      <c r="F8" s="16"/>
      <c r="G8" s="17"/>
      <c r="H8" s="194"/>
    </row>
    <row r="9" spans="1:21" ht="12.75" customHeight="1" x14ac:dyDescent="0.25">
      <c r="A9" s="669"/>
      <c r="B9" s="28"/>
      <c r="C9" s="531"/>
      <c r="D9" s="667"/>
      <c r="E9" s="138"/>
      <c r="F9" s="16"/>
      <c r="G9" s="17"/>
      <c r="H9" s="194"/>
    </row>
    <row r="10" spans="1:21" ht="13.5" thickBot="1" x14ac:dyDescent="0.25">
      <c r="A10" s="629"/>
      <c r="B10" s="629"/>
      <c r="C10" s="770"/>
      <c r="D10" s="630"/>
      <c r="G10" s="940"/>
      <c r="H10" s="664" t="s">
        <v>161</v>
      </c>
    </row>
    <row r="11" spans="1:21" s="107" customFormat="1" ht="20.25" customHeight="1" thickTop="1" thickBot="1" x14ac:dyDescent="0.25">
      <c r="A11" s="631" t="s">
        <v>162</v>
      </c>
      <c r="B11" s="632" t="s">
        <v>163</v>
      </c>
      <c r="C11" s="670" t="s">
        <v>705</v>
      </c>
      <c r="D11" s="634" t="s">
        <v>164</v>
      </c>
      <c r="E11" s="634" t="s">
        <v>165</v>
      </c>
      <c r="F11" s="634" t="s">
        <v>881</v>
      </c>
      <c r="G11" s="634" t="s">
        <v>882</v>
      </c>
      <c r="H11" s="635" t="s">
        <v>883</v>
      </c>
    </row>
    <row r="12" spans="1:21" s="383" customFormat="1" ht="13.5" thickTop="1" thickBot="1" x14ac:dyDescent="0.25">
      <c r="A12" s="566">
        <v>1</v>
      </c>
      <c r="B12" s="567">
        <v>2</v>
      </c>
      <c r="C12" s="567">
        <v>3</v>
      </c>
      <c r="D12" s="567">
        <v>4</v>
      </c>
      <c r="E12" s="567">
        <v>5</v>
      </c>
      <c r="F12" s="541">
        <v>6</v>
      </c>
      <c r="G12" s="541">
        <v>7</v>
      </c>
      <c r="H12" s="636" t="s">
        <v>61</v>
      </c>
      <c r="I12" s="107"/>
    </row>
    <row r="13" spans="1:21" s="383" customFormat="1" ht="15.75" thickTop="1" x14ac:dyDescent="0.25">
      <c r="A13" s="34">
        <v>2212</v>
      </c>
      <c r="B13" s="1088">
        <v>5169</v>
      </c>
      <c r="C13" s="1069"/>
      <c r="D13" s="87" t="s">
        <v>852</v>
      </c>
      <c r="E13" s="48">
        <v>170</v>
      </c>
      <c r="F13" s="48">
        <v>99</v>
      </c>
      <c r="G13" s="48">
        <v>99</v>
      </c>
      <c r="H13" s="203">
        <f>G13/F13*100</f>
        <v>100</v>
      </c>
      <c r="I13" s="107"/>
    </row>
    <row r="14" spans="1:21" s="1107" customFormat="1" ht="14.25" customHeight="1" x14ac:dyDescent="0.25">
      <c r="A14" s="34">
        <v>2221</v>
      </c>
      <c r="B14" s="1088">
        <v>5193</v>
      </c>
      <c r="C14" s="1069"/>
      <c r="D14" s="1057" t="s">
        <v>728</v>
      </c>
      <c r="E14" s="48">
        <f>E15+E16</f>
        <v>383500</v>
      </c>
      <c r="F14" s="48">
        <f>F15+F16</f>
        <v>378264</v>
      </c>
      <c r="G14" s="48">
        <f>G15+G16</f>
        <v>373543</v>
      </c>
      <c r="H14" s="203">
        <f>G14/F14*100</f>
        <v>98.75192986908614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1" s="1107" customFormat="1" ht="14.25" customHeight="1" x14ac:dyDescent="0.2">
      <c r="A15" s="34"/>
      <c r="B15" s="1088"/>
      <c r="C15" s="1084" t="s">
        <v>27</v>
      </c>
      <c r="D15" s="1063" t="s">
        <v>1257</v>
      </c>
      <c r="E15" s="55">
        <v>382000</v>
      </c>
      <c r="F15" s="1281">
        <v>376764</v>
      </c>
      <c r="G15" s="316">
        <v>372364</v>
      </c>
      <c r="H15" s="1065">
        <f>G15/F15*100</f>
        <v>98.832160185155686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s="1107" customFormat="1" ht="14.25" customHeight="1" x14ac:dyDescent="0.2">
      <c r="A16" s="34"/>
      <c r="B16" s="1088"/>
      <c r="C16" s="1084" t="s">
        <v>28</v>
      </c>
      <c r="D16" s="85" t="s">
        <v>1258</v>
      </c>
      <c r="E16" s="55">
        <v>1500</v>
      </c>
      <c r="F16" s="314">
        <v>1500</v>
      </c>
      <c r="G16" s="316">
        <v>1179</v>
      </c>
      <c r="H16" s="1065">
        <f>G16/F16*100</f>
        <v>78.600000000000009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1" s="1107" customFormat="1" ht="14.25" customHeight="1" x14ac:dyDescent="0.25">
      <c r="A17" s="1345">
        <v>2223</v>
      </c>
      <c r="B17" s="85">
        <v>5166</v>
      </c>
      <c r="C17" s="1084"/>
      <c r="D17" s="1057" t="s">
        <v>609</v>
      </c>
      <c r="E17" s="71">
        <v>80</v>
      </c>
      <c r="F17" s="313">
        <v>40</v>
      </c>
      <c r="G17" s="315">
        <v>40</v>
      </c>
      <c r="H17" s="203">
        <v>0</v>
      </c>
      <c r="I17" s="1142"/>
      <c r="J17" s="1142"/>
      <c r="K17" s="1142"/>
      <c r="L17" s="1142"/>
      <c r="M17" s="1142"/>
      <c r="N17" s="1142"/>
      <c r="O17" s="1142"/>
      <c r="P17" s="1142"/>
      <c r="Q17" s="1142"/>
      <c r="R17" s="1142"/>
      <c r="S17" s="1142"/>
      <c r="T17" s="1142"/>
      <c r="U17" s="1142"/>
    </row>
    <row r="18" spans="1:21" s="1107" customFormat="1" ht="14.25" customHeight="1" x14ac:dyDescent="0.25">
      <c r="A18" s="34">
        <v>2223</v>
      </c>
      <c r="B18" s="1088">
        <v>5192</v>
      </c>
      <c r="C18" s="1069"/>
      <c r="D18" s="1057" t="s">
        <v>1228</v>
      </c>
      <c r="E18" s="48">
        <v>200</v>
      </c>
      <c r="F18" s="168">
        <v>200</v>
      </c>
      <c r="G18" s="446">
        <v>79</v>
      </c>
      <c r="H18" s="203">
        <f t="shared" ref="H18:H26" si="0">G18/F18*100</f>
        <v>39.5</v>
      </c>
      <c r="I18" s="1056"/>
      <c r="J18" s="1056"/>
      <c r="K18" s="1056"/>
      <c r="L18" s="1056"/>
      <c r="M18" s="1056"/>
      <c r="N18" s="1056"/>
      <c r="O18" s="1056"/>
      <c r="P18" s="1056"/>
      <c r="Q18" s="1056"/>
      <c r="R18" s="1056"/>
      <c r="S18" s="1056"/>
      <c r="T18" s="1056"/>
      <c r="U18" s="1056"/>
    </row>
    <row r="19" spans="1:21" s="1107" customFormat="1" ht="14.25" customHeight="1" x14ac:dyDescent="0.25">
      <c r="A19" s="34">
        <v>2223</v>
      </c>
      <c r="B19" s="1088">
        <v>5339</v>
      </c>
      <c r="C19" s="1069"/>
      <c r="D19" s="1057" t="s">
        <v>1237</v>
      </c>
      <c r="E19" s="48">
        <v>750</v>
      </c>
      <c r="F19" s="168">
        <v>822</v>
      </c>
      <c r="G19" s="446">
        <v>822</v>
      </c>
      <c r="H19" s="203">
        <f t="shared" si="0"/>
        <v>100</v>
      </c>
      <c r="I19" s="1056"/>
      <c r="J19" s="1056"/>
      <c r="K19" s="1056"/>
      <c r="L19" s="1056"/>
      <c r="M19" s="1056"/>
      <c r="N19" s="1056"/>
      <c r="O19" s="1056"/>
      <c r="P19" s="1056"/>
      <c r="Q19" s="1056"/>
      <c r="R19" s="1056"/>
      <c r="S19" s="1056"/>
      <c r="T19" s="1056"/>
      <c r="U19" s="1056"/>
    </row>
    <row r="20" spans="1:21" s="1107" customFormat="1" ht="14.25" customHeight="1" x14ac:dyDescent="0.25">
      <c r="A20" s="34">
        <v>2242</v>
      </c>
      <c r="B20" s="1088">
        <v>5193</v>
      </c>
      <c r="C20" s="1084"/>
      <c r="D20" s="1143" t="s">
        <v>730</v>
      </c>
      <c r="E20" s="48">
        <f>E21+E23+E22</f>
        <v>435965</v>
      </c>
      <c r="F20" s="48">
        <f>F21+F23+F22</f>
        <v>651383</v>
      </c>
      <c r="G20" s="48">
        <f>G21+G23+G22</f>
        <v>651383</v>
      </c>
      <c r="H20" s="203">
        <f t="shared" si="0"/>
        <v>100</v>
      </c>
      <c r="I20" s="1056"/>
      <c r="J20" s="1056"/>
      <c r="K20" s="1056"/>
      <c r="L20" s="1056"/>
      <c r="M20" s="1056"/>
      <c r="N20" s="1056"/>
      <c r="O20" s="1056"/>
      <c r="P20" s="1056"/>
      <c r="Q20" s="1056"/>
      <c r="R20" s="1056"/>
      <c r="S20" s="1056"/>
      <c r="T20" s="1056"/>
      <c r="U20" s="1056"/>
    </row>
    <row r="21" spans="1:21" s="1107" customFormat="1" ht="14.25" customHeight="1" x14ac:dyDescent="0.2">
      <c r="A21" s="1348"/>
      <c r="B21" s="1347"/>
      <c r="C21" s="1084" t="s">
        <v>29</v>
      </c>
      <c r="D21" s="85" t="s">
        <v>30</v>
      </c>
      <c r="E21" s="55">
        <v>435015</v>
      </c>
      <c r="F21" s="314">
        <v>435015</v>
      </c>
      <c r="G21" s="316">
        <v>435015</v>
      </c>
      <c r="H21" s="1065">
        <f t="shared" si="0"/>
        <v>100</v>
      </c>
      <c r="I21" s="1142"/>
      <c r="J21" s="1142"/>
      <c r="K21" s="1142"/>
      <c r="L21" s="1142"/>
      <c r="M21" s="1142"/>
      <c r="N21" s="1142"/>
      <c r="O21" s="1142"/>
      <c r="P21" s="1142"/>
      <c r="Q21" s="1142"/>
      <c r="R21" s="1142"/>
      <c r="S21" s="1142"/>
      <c r="T21" s="1142"/>
      <c r="U21" s="1142"/>
    </row>
    <row r="22" spans="1:21" s="1107" customFormat="1" ht="14.25" customHeight="1" x14ac:dyDescent="0.2">
      <c r="A22" s="1348"/>
      <c r="B22" s="1347"/>
      <c r="C22" s="1084" t="s">
        <v>1876</v>
      </c>
      <c r="D22" s="85" t="s">
        <v>1877</v>
      </c>
      <c r="E22" s="55">
        <v>950</v>
      </c>
      <c r="F22" s="314">
        <v>950</v>
      </c>
      <c r="G22" s="316">
        <v>950</v>
      </c>
      <c r="H22" s="1065">
        <f t="shared" si="0"/>
        <v>100</v>
      </c>
      <c r="I22" s="1142"/>
      <c r="J22" s="1142"/>
      <c r="K22" s="1142"/>
      <c r="L22" s="1142"/>
      <c r="M22" s="1142"/>
      <c r="N22" s="1142"/>
      <c r="O22" s="1142"/>
      <c r="P22" s="1142"/>
      <c r="Q22" s="1142"/>
      <c r="R22" s="1142"/>
      <c r="S22" s="1142"/>
      <c r="T22" s="1142"/>
      <c r="U22" s="1142"/>
    </row>
    <row r="23" spans="1:21" s="1107" customFormat="1" ht="14.25" customHeight="1" x14ac:dyDescent="0.2">
      <c r="A23" s="1348"/>
      <c r="B23" s="1347"/>
      <c r="C23" s="1068" t="s">
        <v>849</v>
      </c>
      <c r="D23" s="2642" t="s">
        <v>274</v>
      </c>
      <c r="E23" s="55"/>
      <c r="F23" s="314">
        <v>215418</v>
      </c>
      <c r="G23" s="316">
        <v>215418</v>
      </c>
      <c r="H23" s="1065">
        <f t="shared" si="0"/>
        <v>100</v>
      </c>
      <c r="I23" s="1142"/>
      <c r="J23" s="1142"/>
      <c r="K23" s="1142"/>
      <c r="L23" s="1142"/>
      <c r="M23" s="1142"/>
      <c r="N23" s="1142"/>
      <c r="O23" s="1142"/>
      <c r="P23" s="1142"/>
      <c r="Q23" s="1142"/>
      <c r="R23" s="1142"/>
      <c r="S23" s="1142"/>
      <c r="T23" s="1142"/>
      <c r="U23" s="1142"/>
    </row>
    <row r="24" spans="1:21" s="1107" customFormat="1" ht="14.25" customHeight="1" x14ac:dyDescent="0.25">
      <c r="A24" s="1348"/>
      <c r="B24" s="1347"/>
      <c r="C24" s="1084"/>
      <c r="D24" s="2708"/>
      <c r="E24" s="55"/>
      <c r="F24" s="313"/>
      <c r="G24" s="315"/>
      <c r="H24" s="203"/>
      <c r="I24" s="1142"/>
      <c r="J24" s="1142"/>
      <c r="K24" s="1142"/>
      <c r="L24" s="1142"/>
      <c r="M24" s="1142"/>
      <c r="N24" s="1142"/>
      <c r="O24" s="1142"/>
      <c r="P24" s="1142"/>
      <c r="Q24" s="1142"/>
      <c r="R24" s="1142"/>
      <c r="S24" s="1142"/>
      <c r="T24" s="1142"/>
      <c r="U24" s="1142"/>
    </row>
    <row r="25" spans="1:21" s="1107" customFormat="1" ht="14.25" customHeight="1" x14ac:dyDescent="0.25">
      <c r="A25" s="1345">
        <v>2242</v>
      </c>
      <c r="B25" s="85">
        <v>5213</v>
      </c>
      <c r="C25" s="1084"/>
      <c r="D25" s="1080" t="s">
        <v>328</v>
      </c>
      <c r="E25" s="55"/>
      <c r="F25" s="313">
        <v>50</v>
      </c>
      <c r="G25" s="315">
        <v>50</v>
      </c>
      <c r="H25" s="203">
        <f t="shared" si="0"/>
        <v>100</v>
      </c>
      <c r="I25" s="1142"/>
      <c r="J25" s="1142"/>
      <c r="K25" s="1142"/>
      <c r="L25" s="1142"/>
      <c r="M25" s="1142"/>
      <c r="N25" s="1142"/>
      <c r="O25" s="1142"/>
      <c r="P25" s="1142"/>
      <c r="Q25" s="1142"/>
      <c r="R25" s="1142"/>
      <c r="S25" s="1142"/>
      <c r="T25" s="1142"/>
      <c r="U25" s="1142"/>
    </row>
    <row r="26" spans="1:21" s="1107" customFormat="1" ht="14.25" customHeight="1" x14ac:dyDescent="0.2">
      <c r="A26" s="1348"/>
      <c r="B26" s="1347"/>
      <c r="C26" s="1084" t="s">
        <v>1202</v>
      </c>
      <c r="D26" s="1063" t="s">
        <v>1635</v>
      </c>
      <c r="E26" s="55"/>
      <c r="F26" s="314">
        <v>50</v>
      </c>
      <c r="G26" s="316">
        <v>50</v>
      </c>
      <c r="H26" s="1065">
        <f t="shared" si="0"/>
        <v>100</v>
      </c>
      <c r="I26" s="1142"/>
      <c r="J26" s="1142"/>
      <c r="K26" s="1142"/>
      <c r="L26" s="1142"/>
      <c r="M26" s="1142"/>
      <c r="N26" s="1142"/>
      <c r="O26" s="1142"/>
      <c r="P26" s="1142"/>
      <c r="Q26" s="1142"/>
      <c r="R26" s="1142"/>
      <c r="S26" s="1142"/>
      <c r="T26" s="1142"/>
      <c r="U26" s="1142"/>
    </row>
    <row r="27" spans="1:21" s="1107" customFormat="1" ht="14.25" customHeight="1" x14ac:dyDescent="0.25">
      <c r="A27" s="1345">
        <v>2242</v>
      </c>
      <c r="B27" s="85">
        <v>5222</v>
      </c>
      <c r="C27" s="1084"/>
      <c r="D27" s="1165" t="s">
        <v>327</v>
      </c>
      <c r="E27" s="55"/>
      <c r="F27" s="313">
        <v>20</v>
      </c>
      <c r="G27" s="315">
        <v>20</v>
      </c>
      <c r="H27" s="203">
        <f>G27/F27*100</f>
        <v>100</v>
      </c>
      <c r="I27" s="1142"/>
      <c r="J27" s="1142"/>
      <c r="K27" s="1142"/>
      <c r="L27" s="1142"/>
      <c r="M27" s="1142"/>
      <c r="N27" s="1142"/>
      <c r="O27" s="1142"/>
      <c r="P27" s="1142"/>
      <c r="Q27" s="1142"/>
      <c r="R27" s="1142"/>
      <c r="S27" s="1142"/>
      <c r="T27" s="1142"/>
      <c r="U27" s="1142"/>
    </row>
    <row r="28" spans="1:21" s="1107" customFormat="1" ht="14.25" customHeight="1" x14ac:dyDescent="0.2">
      <c r="A28" s="1345"/>
      <c r="B28" s="85"/>
      <c r="C28" s="1084" t="s">
        <v>1202</v>
      </c>
      <c r="D28" s="1063" t="s">
        <v>1635</v>
      </c>
      <c r="E28" s="55"/>
      <c r="F28" s="314">
        <v>20</v>
      </c>
      <c r="G28" s="316">
        <v>20</v>
      </c>
      <c r="H28" s="1065">
        <f>G28/F28*100</f>
        <v>100</v>
      </c>
      <c r="I28" s="1142"/>
      <c r="J28" s="1142"/>
      <c r="K28" s="1142"/>
      <c r="L28" s="1142"/>
      <c r="M28" s="1142"/>
      <c r="N28" s="1142"/>
      <c r="O28" s="1142"/>
      <c r="P28" s="1142"/>
      <c r="Q28" s="1142"/>
      <c r="R28" s="1142"/>
      <c r="S28" s="1142"/>
      <c r="T28" s="1142"/>
      <c r="U28" s="1142"/>
    </row>
    <row r="29" spans="1:21" s="1107" customFormat="1" ht="14.25" customHeight="1" x14ac:dyDescent="0.25">
      <c r="A29" s="1345">
        <v>2299</v>
      </c>
      <c r="B29" s="85">
        <v>5166</v>
      </c>
      <c r="C29" s="1084"/>
      <c r="D29" s="1057" t="s">
        <v>609</v>
      </c>
      <c r="E29" s="71">
        <v>400</v>
      </c>
      <c r="F29" s="313">
        <v>0</v>
      </c>
      <c r="G29" s="315">
        <v>0</v>
      </c>
      <c r="H29" s="203">
        <v>0</v>
      </c>
      <c r="I29" s="1142"/>
      <c r="J29" s="1142"/>
      <c r="K29" s="1142"/>
      <c r="L29" s="1142"/>
      <c r="M29" s="1142"/>
      <c r="N29" s="1142"/>
      <c r="O29" s="1142"/>
      <c r="P29" s="1142"/>
      <c r="Q29" s="1142"/>
      <c r="R29" s="1142"/>
      <c r="S29" s="1142"/>
      <c r="T29" s="1142"/>
      <c r="U29" s="1142"/>
    </row>
    <row r="30" spans="1:21" s="1107" customFormat="1" ht="14.25" customHeight="1" x14ac:dyDescent="0.25">
      <c r="A30" s="1345">
        <v>2299</v>
      </c>
      <c r="B30" s="31">
        <v>5323</v>
      </c>
      <c r="C30" s="1084"/>
      <c r="D30" s="1363" t="s">
        <v>222</v>
      </c>
      <c r="E30" s="71"/>
      <c r="F30" s="313">
        <v>236</v>
      </c>
      <c r="G30" s="315">
        <v>0</v>
      </c>
      <c r="H30" s="203">
        <v>0</v>
      </c>
      <c r="I30" s="1142"/>
      <c r="J30" s="1142"/>
      <c r="K30" s="1142"/>
      <c r="L30" s="1142"/>
      <c r="M30" s="1142"/>
      <c r="N30" s="1142"/>
      <c r="O30" s="1142"/>
      <c r="P30" s="1142"/>
      <c r="Q30" s="1142"/>
      <c r="R30" s="1142"/>
      <c r="S30" s="1142"/>
      <c r="T30" s="1142"/>
      <c r="U30" s="1142"/>
    </row>
    <row r="31" spans="1:21" s="1107" customFormat="1" ht="14.25" customHeight="1" thickBot="1" x14ac:dyDescent="0.3">
      <c r="A31" s="1442">
        <v>6172</v>
      </c>
      <c r="B31" s="1087">
        <v>5164</v>
      </c>
      <c r="C31" s="1122"/>
      <c r="D31" s="2396" t="s">
        <v>170</v>
      </c>
      <c r="E31" s="71"/>
      <c r="F31" s="313">
        <v>20</v>
      </c>
      <c r="G31" s="315">
        <v>20</v>
      </c>
      <c r="H31" s="203">
        <f t="shared" ref="H31" si="1">G31/F31*100</f>
        <v>100</v>
      </c>
      <c r="I31" s="1142"/>
      <c r="J31" s="1142"/>
      <c r="K31" s="1142"/>
      <c r="L31" s="1142"/>
      <c r="M31" s="1142"/>
      <c r="N31" s="1142"/>
      <c r="O31" s="1142"/>
      <c r="P31" s="1142"/>
      <c r="Q31" s="1142"/>
      <c r="R31" s="1142"/>
      <c r="S31" s="1142"/>
      <c r="T31" s="1142"/>
      <c r="U31" s="1142"/>
    </row>
    <row r="32" spans="1:21" s="360" customFormat="1" ht="30.75" customHeight="1" thickTop="1" thickBot="1" x14ac:dyDescent="0.3">
      <c r="A32" s="637" t="s">
        <v>243</v>
      </c>
      <c r="B32" s="640"/>
      <c r="C32" s="675"/>
      <c r="D32" s="640"/>
      <c r="E32" s="641">
        <f>E13+E14+E17+E18+E19+E20+E29</f>
        <v>821065</v>
      </c>
      <c r="F32" s="641">
        <f>F13+F14+F17+F18+F19+F20+F25+F27+F29+F30+F31</f>
        <v>1031134</v>
      </c>
      <c r="G32" s="641">
        <f>G13+G14+G17+G18+G19+G20+G25+G27+G29+G30+G31</f>
        <v>1026056</v>
      </c>
      <c r="H32" s="642">
        <f>(G32/F32)*100</f>
        <v>99.507532483653918</v>
      </c>
    </row>
    <row r="33" spans="1:21" s="360" customFormat="1" ht="16.5" customHeight="1" thickTop="1" x14ac:dyDescent="0.25">
      <c r="A33" s="358"/>
      <c r="B33" s="359"/>
      <c r="C33" s="142"/>
      <c r="D33" s="359"/>
      <c r="E33" s="17"/>
      <c r="F33" s="17"/>
      <c r="G33" s="17"/>
      <c r="H33" s="194"/>
    </row>
    <row r="34" spans="1:21" s="360" customFormat="1" ht="16.5" customHeight="1" x14ac:dyDescent="0.25">
      <c r="A34" s="358"/>
      <c r="B34" s="359"/>
      <c r="C34" s="142"/>
      <c r="D34" s="359"/>
      <c r="E34" s="17"/>
      <c r="F34" s="17"/>
      <c r="G34" s="17"/>
      <c r="H34" s="194"/>
    </row>
    <row r="35" spans="1:21" s="360" customFormat="1" ht="16.5" customHeight="1" x14ac:dyDescent="0.25">
      <c r="A35" s="358"/>
      <c r="B35" s="359"/>
      <c r="C35" s="142"/>
      <c r="D35" s="359"/>
      <c r="E35" s="17"/>
      <c r="F35" s="17"/>
      <c r="G35" s="17"/>
      <c r="H35" s="194"/>
    </row>
    <row r="36" spans="1:21" ht="15.75" x14ac:dyDescent="0.25">
      <c r="A36" s="33" t="s">
        <v>1248</v>
      </c>
      <c r="B36" s="33"/>
      <c r="C36" s="663"/>
      <c r="E36" s="1285"/>
      <c r="F36" s="1285"/>
      <c r="G36" s="1285"/>
    </row>
    <row r="37" spans="1:21" ht="13.5" thickBot="1" x14ac:dyDescent="0.25">
      <c r="A37" s="694"/>
      <c r="B37" s="694"/>
      <c r="C37" s="663"/>
      <c r="E37" s="1285"/>
      <c r="F37" s="1285"/>
      <c r="G37" s="1285"/>
      <c r="H37" s="664" t="s">
        <v>161</v>
      </c>
    </row>
    <row r="38" spans="1:21" s="107" customFormat="1" ht="20.25" customHeight="1" thickTop="1" thickBot="1" x14ac:dyDescent="0.25">
      <c r="A38" s="631" t="s">
        <v>162</v>
      </c>
      <c r="B38" s="632" t="s">
        <v>163</v>
      </c>
      <c r="C38" s="670" t="s">
        <v>705</v>
      </c>
      <c r="D38" s="634" t="s">
        <v>164</v>
      </c>
      <c r="E38" s="634" t="s">
        <v>165</v>
      </c>
      <c r="F38" s="634" t="s">
        <v>881</v>
      </c>
      <c r="G38" s="634" t="s">
        <v>882</v>
      </c>
      <c r="H38" s="635" t="s">
        <v>883</v>
      </c>
    </row>
    <row r="39" spans="1:21" s="383" customFormat="1" ht="13.5" thickTop="1" thickBot="1" x14ac:dyDescent="0.25">
      <c r="A39" s="566">
        <v>1</v>
      </c>
      <c r="B39" s="567">
        <v>2</v>
      </c>
      <c r="C39" s="567">
        <v>3</v>
      </c>
      <c r="D39" s="567">
        <v>4</v>
      </c>
      <c r="E39" s="567">
        <v>5</v>
      </c>
      <c r="F39" s="541">
        <v>6</v>
      </c>
      <c r="G39" s="541">
        <v>7</v>
      </c>
      <c r="H39" s="636" t="s">
        <v>61</v>
      </c>
      <c r="I39" s="107"/>
    </row>
    <row r="40" spans="1:21" s="383" customFormat="1" ht="15.75" thickTop="1" x14ac:dyDescent="0.25">
      <c r="A40" s="50">
        <v>2119</v>
      </c>
      <c r="B40" s="31">
        <v>6341</v>
      </c>
      <c r="C40" s="1114"/>
      <c r="D40" s="380" t="s">
        <v>248</v>
      </c>
      <c r="E40" s="60">
        <v>5000</v>
      </c>
      <c r="F40" s="370">
        <v>0</v>
      </c>
      <c r="G40" s="370">
        <v>0</v>
      </c>
      <c r="H40" s="203">
        <v>0</v>
      </c>
      <c r="I40" s="107"/>
    </row>
    <row r="41" spans="1:21" s="383" customFormat="1" ht="14.25" x14ac:dyDescent="0.2">
      <c r="A41" s="34"/>
      <c r="B41" s="1440"/>
      <c r="C41" s="1164" t="s">
        <v>1878</v>
      </c>
      <c r="D41" s="166" t="s">
        <v>1879</v>
      </c>
      <c r="E41" s="124">
        <v>5000</v>
      </c>
      <c r="F41" s="2414">
        <v>0</v>
      </c>
      <c r="G41" s="316">
        <v>0</v>
      </c>
      <c r="H41" s="1065">
        <v>0</v>
      </c>
      <c r="I41" s="107"/>
    </row>
    <row r="42" spans="1:21" s="383" customFormat="1" ht="15" x14ac:dyDescent="0.25">
      <c r="A42" s="34">
        <v>2212</v>
      </c>
      <c r="B42" s="1440">
        <v>6341</v>
      </c>
      <c r="C42" s="1164"/>
      <c r="D42" s="380" t="s">
        <v>248</v>
      </c>
      <c r="E42" s="60">
        <v>3000</v>
      </c>
      <c r="F42" s="2415">
        <f>F43+F44</f>
        <v>5889</v>
      </c>
      <c r="G42" s="315">
        <f>G43+G44</f>
        <v>5326</v>
      </c>
      <c r="H42" s="203">
        <f t="shared" ref="H42:H44" si="2">G42/F42*100</f>
        <v>90.439803022584471</v>
      </c>
      <c r="I42" s="107"/>
    </row>
    <row r="43" spans="1:21" s="383" customFormat="1" ht="14.25" x14ac:dyDescent="0.2">
      <c r="A43" s="34"/>
      <c r="B43" s="1440"/>
      <c r="C43" s="1118" t="s">
        <v>352</v>
      </c>
      <c r="D43" s="1098" t="s">
        <v>891</v>
      </c>
      <c r="E43" s="124"/>
      <c r="F43" s="2414">
        <v>3539</v>
      </c>
      <c r="G43" s="316">
        <v>3539</v>
      </c>
      <c r="H43" s="1065">
        <f t="shared" si="2"/>
        <v>100</v>
      </c>
      <c r="I43" s="107"/>
    </row>
    <row r="44" spans="1:21" s="383" customFormat="1" ht="14.25" x14ac:dyDescent="0.2">
      <c r="A44" s="34"/>
      <c r="B44" s="1440"/>
      <c r="C44" s="1164" t="s">
        <v>1880</v>
      </c>
      <c r="D44" s="166" t="s">
        <v>1881</v>
      </c>
      <c r="E44" s="124">
        <v>3000</v>
      </c>
      <c r="F44" s="2414">
        <v>2350</v>
      </c>
      <c r="G44" s="316">
        <v>1787</v>
      </c>
      <c r="H44" s="1065">
        <f t="shared" si="2"/>
        <v>76.042553191489361</v>
      </c>
      <c r="I44" s="107"/>
    </row>
    <row r="45" spans="1:21" s="1056" customFormat="1" ht="13.5" customHeight="1" x14ac:dyDescent="0.25">
      <c r="A45" s="34">
        <v>2212</v>
      </c>
      <c r="B45" s="1440">
        <v>6349</v>
      </c>
      <c r="C45" s="1164"/>
      <c r="D45" s="87" t="s">
        <v>1497</v>
      </c>
      <c r="E45" s="124"/>
      <c r="F45" s="313">
        <v>6000</v>
      </c>
      <c r="G45" s="315">
        <v>6000</v>
      </c>
      <c r="H45" s="203">
        <f t="shared" ref="H45:H50" si="3">G45/F45*100</f>
        <v>100</v>
      </c>
      <c r="I45" s="1107"/>
      <c r="J45" s="1107"/>
      <c r="K45" s="1107"/>
      <c r="L45" s="1107"/>
      <c r="M45" s="1107"/>
      <c r="N45" s="1107"/>
      <c r="O45" s="1107"/>
      <c r="P45" s="1107"/>
      <c r="Q45" s="1107"/>
      <c r="R45" s="1107"/>
      <c r="S45" s="1107"/>
      <c r="T45" s="1107"/>
      <c r="U45" s="1107"/>
    </row>
    <row r="46" spans="1:21" s="1056" customFormat="1" ht="13.5" customHeight="1" x14ac:dyDescent="0.2">
      <c r="A46" s="34"/>
      <c r="B46" s="1440"/>
      <c r="C46" s="1118" t="s">
        <v>22</v>
      </c>
      <c r="D46" s="1098" t="s">
        <v>1203</v>
      </c>
      <c r="E46" s="124"/>
      <c r="F46" s="314">
        <v>6000</v>
      </c>
      <c r="G46" s="316">
        <v>6000</v>
      </c>
      <c r="H46" s="1065">
        <f t="shared" si="3"/>
        <v>100</v>
      </c>
      <c r="I46" s="1107"/>
      <c r="J46" s="1107"/>
      <c r="K46" s="1107"/>
      <c r="L46" s="1107"/>
      <c r="M46" s="1107"/>
      <c r="N46" s="1107"/>
      <c r="O46" s="1107"/>
      <c r="P46" s="1107"/>
      <c r="Q46" s="1107"/>
      <c r="R46" s="1107"/>
      <c r="S46" s="1107"/>
      <c r="T46" s="1107"/>
      <c r="U46" s="1107"/>
    </row>
    <row r="47" spans="1:21" s="1056" customFormat="1" ht="13.5" customHeight="1" x14ac:dyDescent="0.25">
      <c r="A47" s="34">
        <v>2219</v>
      </c>
      <c r="B47" s="1440">
        <v>6341</v>
      </c>
      <c r="C47" s="1118"/>
      <c r="D47" s="380" t="s">
        <v>248</v>
      </c>
      <c r="E47" s="124"/>
      <c r="F47" s="315">
        <f>F48+F49+F50</f>
        <v>6700</v>
      </c>
      <c r="G47" s="1477">
        <f>G48+G49+G50</f>
        <v>6623</v>
      </c>
      <c r="H47" s="203">
        <f t="shared" si="3"/>
        <v>98.850746268656721</v>
      </c>
      <c r="I47" s="1107"/>
      <c r="J47" s="1107"/>
      <c r="K47" s="1107"/>
      <c r="L47" s="1107"/>
      <c r="M47" s="1107"/>
      <c r="N47" s="1107"/>
      <c r="O47" s="1107"/>
      <c r="P47" s="1107"/>
      <c r="Q47" s="1107"/>
      <c r="R47" s="1107"/>
      <c r="S47" s="1107"/>
      <c r="T47" s="1107"/>
      <c r="U47" s="1107"/>
    </row>
    <row r="48" spans="1:21" s="1056" customFormat="1" ht="13.5" customHeight="1" x14ac:dyDescent="0.2">
      <c r="A48" s="34"/>
      <c r="B48" s="1440"/>
      <c r="C48" s="1084" t="s">
        <v>249</v>
      </c>
      <c r="D48" s="1063" t="s">
        <v>318</v>
      </c>
      <c r="E48" s="124"/>
      <c r="F48" s="314">
        <v>500</v>
      </c>
      <c r="G48" s="316">
        <v>500</v>
      </c>
      <c r="H48" s="1065">
        <f t="shared" si="3"/>
        <v>100</v>
      </c>
      <c r="I48" s="1107"/>
      <c r="J48" s="1107"/>
      <c r="K48" s="1107"/>
      <c r="L48" s="1107"/>
      <c r="M48" s="1107"/>
      <c r="N48" s="1107"/>
      <c r="O48" s="1107"/>
      <c r="P48" s="1107"/>
      <c r="Q48" s="1107"/>
      <c r="R48" s="1107"/>
      <c r="S48" s="1107"/>
      <c r="T48" s="1107"/>
      <c r="U48" s="1107"/>
    </row>
    <row r="49" spans="1:21" s="1056" customFormat="1" ht="13.5" customHeight="1" x14ac:dyDescent="0.2">
      <c r="A49" s="34"/>
      <c r="B49" s="1440"/>
      <c r="C49" s="1118" t="s">
        <v>352</v>
      </c>
      <c r="D49" s="1098" t="s">
        <v>891</v>
      </c>
      <c r="E49" s="124"/>
      <c r="F49" s="314">
        <v>1000</v>
      </c>
      <c r="G49" s="316">
        <v>1000</v>
      </c>
      <c r="H49" s="1065">
        <f t="shared" si="3"/>
        <v>100</v>
      </c>
      <c r="I49" s="1107"/>
      <c r="J49" s="1107"/>
      <c r="K49" s="1107"/>
      <c r="L49" s="1107"/>
      <c r="M49" s="1107"/>
      <c r="N49" s="1107"/>
      <c r="O49" s="1107"/>
      <c r="P49" s="1107"/>
      <c r="Q49" s="1107"/>
      <c r="R49" s="1107"/>
      <c r="S49" s="1107"/>
      <c r="T49" s="1107"/>
      <c r="U49" s="1107"/>
    </row>
    <row r="50" spans="1:21" s="1056" customFormat="1" ht="13.5" customHeight="1" thickBot="1" x14ac:dyDescent="0.25">
      <c r="A50" s="34"/>
      <c r="B50" s="1440"/>
      <c r="C50" s="1164" t="s">
        <v>1878</v>
      </c>
      <c r="D50" s="166" t="s">
        <v>1879</v>
      </c>
      <c r="E50" s="124"/>
      <c r="F50" s="314">
        <v>5200</v>
      </c>
      <c r="G50" s="316">
        <v>5123</v>
      </c>
      <c r="H50" s="1065">
        <f t="shared" si="3"/>
        <v>98.519230769230774</v>
      </c>
      <c r="I50" s="1107"/>
      <c r="J50" s="1107"/>
      <c r="K50" s="1107"/>
      <c r="L50" s="1107"/>
      <c r="M50" s="1107"/>
      <c r="N50" s="1107"/>
      <c r="O50" s="1107"/>
      <c r="P50" s="1107"/>
      <c r="Q50" s="1107"/>
      <c r="R50" s="1107"/>
      <c r="S50" s="1107"/>
      <c r="T50" s="1107"/>
      <c r="U50" s="1107"/>
    </row>
    <row r="51" spans="1:21" s="360" customFormat="1" ht="33.75" customHeight="1" thickTop="1" thickBot="1" x14ac:dyDescent="0.3">
      <c r="A51" s="637" t="s">
        <v>244</v>
      </c>
      <c r="B51" s="640"/>
      <c r="C51" s="675"/>
      <c r="D51" s="640"/>
      <c r="E51" s="771">
        <f>E40+E42</f>
        <v>8000</v>
      </c>
      <c r="F51" s="771">
        <f>F40+F42+F45+F47</f>
        <v>18589</v>
      </c>
      <c r="G51" s="771">
        <f>G40+G42+G45+G47</f>
        <v>17949</v>
      </c>
      <c r="H51" s="1146">
        <f>(G51/F51)*100</f>
        <v>96.557103663456871</v>
      </c>
      <c r="J51" s="693">
        <f>E32</f>
        <v>821065</v>
      </c>
      <c r="K51" s="693">
        <f>F32</f>
        <v>1031134</v>
      </c>
      <c r="L51" s="693">
        <f>G32</f>
        <v>1026056</v>
      </c>
      <c r="M51" s="693"/>
    </row>
    <row r="52" spans="1:21" s="360" customFormat="1" ht="17.25" customHeight="1" thickTop="1" x14ac:dyDescent="0.25">
      <c r="A52" s="358"/>
      <c r="B52" s="359"/>
      <c r="C52" s="142"/>
      <c r="D52" s="359"/>
      <c r="E52" s="17"/>
      <c r="F52" s="17"/>
      <c r="G52" s="17"/>
      <c r="H52" s="194"/>
    </row>
    <row r="53" spans="1:21" s="360" customFormat="1" ht="17.25" customHeight="1" x14ac:dyDescent="0.25">
      <c r="A53" s="358"/>
      <c r="B53" s="359"/>
      <c r="C53" s="142"/>
      <c r="D53" s="359"/>
      <c r="E53" s="17"/>
      <c r="F53" s="17"/>
      <c r="G53" s="17"/>
      <c r="H53" s="194"/>
    </row>
    <row r="54" spans="1:21" s="360" customFormat="1" ht="17.25" customHeight="1" x14ac:dyDescent="0.25">
      <c r="A54" s="358"/>
      <c r="B54" s="359"/>
      <c r="C54" s="142"/>
      <c r="D54" s="359"/>
      <c r="E54" s="897"/>
      <c r="F54" s="897"/>
      <c r="G54" s="897"/>
      <c r="H54" s="194"/>
    </row>
    <row r="55" spans="1:21" s="360" customFormat="1" ht="17.25" customHeight="1" x14ac:dyDescent="0.25">
      <c r="A55" s="358"/>
      <c r="B55" s="359"/>
      <c r="C55" s="142"/>
      <c r="D55" s="359"/>
      <c r="E55" s="17"/>
      <c r="F55" s="17"/>
      <c r="G55" s="17"/>
      <c r="H55" s="194"/>
    </row>
    <row r="56" spans="1:21" s="360" customFormat="1" ht="17.25" customHeight="1" x14ac:dyDescent="0.25">
      <c r="A56" s="358"/>
      <c r="B56" s="359"/>
      <c r="C56" s="142"/>
      <c r="D56" s="359"/>
      <c r="E56" s="17"/>
      <c r="F56" s="17"/>
      <c r="G56" s="17"/>
      <c r="H56" s="194"/>
    </row>
    <row r="57" spans="1:21" s="360" customFormat="1" ht="17.25" customHeight="1" x14ac:dyDescent="0.25">
      <c r="A57" s="358"/>
      <c r="B57" s="359"/>
      <c r="C57" s="142"/>
      <c r="D57" s="359"/>
      <c r="E57" s="17"/>
      <c r="F57" s="17"/>
      <c r="G57" s="17"/>
      <c r="H57" s="194"/>
    </row>
    <row r="58" spans="1:21" s="360" customFormat="1" ht="17.25" customHeight="1" x14ac:dyDescent="0.25">
      <c r="A58" s="358"/>
      <c r="B58" s="359"/>
      <c r="C58" s="142"/>
      <c r="D58" s="359"/>
      <c r="E58" s="17"/>
      <c r="F58" s="17"/>
      <c r="G58" s="17"/>
      <c r="H58" s="194"/>
    </row>
    <row r="59" spans="1:21" s="360" customFormat="1" ht="17.25" customHeight="1" x14ac:dyDescent="0.25">
      <c r="A59" s="358"/>
      <c r="B59" s="359"/>
      <c r="C59" s="142"/>
      <c r="D59" s="359"/>
      <c r="E59" s="17"/>
      <c r="F59" s="17"/>
      <c r="G59" s="17"/>
      <c r="H59" s="194"/>
    </row>
    <row r="60" spans="1:21" s="360" customFormat="1" ht="17.25" customHeight="1" x14ac:dyDescent="0.25">
      <c r="A60" s="358"/>
      <c r="B60" s="359"/>
      <c r="C60" s="142"/>
      <c r="D60" s="359"/>
      <c r="E60" s="17"/>
      <c r="F60" s="17"/>
      <c r="G60" s="17"/>
      <c r="H60" s="194"/>
    </row>
    <row r="61" spans="1:21" s="360" customFormat="1" ht="17.25" customHeight="1" x14ac:dyDescent="0.25">
      <c r="A61" s="358"/>
      <c r="B61" s="359"/>
      <c r="C61" s="142"/>
      <c r="D61" s="359"/>
      <c r="E61" s="17"/>
      <c r="F61" s="17"/>
      <c r="G61" s="17"/>
      <c r="H61" s="194"/>
    </row>
    <row r="62" spans="1:21" s="360" customFormat="1" ht="17.25" customHeight="1" x14ac:dyDescent="0.25">
      <c r="A62" s="358"/>
      <c r="B62" s="359"/>
      <c r="C62" s="142"/>
      <c r="D62" s="359"/>
      <c r="E62" s="17"/>
      <c r="F62" s="17"/>
      <c r="G62" s="17"/>
      <c r="H62" s="194"/>
    </row>
    <row r="63" spans="1:21" s="360" customFormat="1" ht="17.25" customHeight="1" x14ac:dyDescent="0.25">
      <c r="A63" s="358"/>
      <c r="B63" s="359"/>
      <c r="C63" s="142"/>
      <c r="D63" s="359"/>
      <c r="E63" s="17"/>
      <c r="F63" s="17"/>
      <c r="G63" s="17"/>
      <c r="H63" s="194"/>
    </row>
    <row r="64" spans="1:21" s="360" customFormat="1" ht="17.25" customHeight="1" x14ac:dyDescent="0.25">
      <c r="A64" s="358"/>
      <c r="B64" s="359"/>
      <c r="C64" s="142"/>
      <c r="D64" s="359"/>
      <c r="E64" s="17"/>
      <c r="F64" s="17"/>
      <c r="G64" s="17"/>
      <c r="H64" s="194"/>
    </row>
    <row r="65" spans="1:21" s="360" customFormat="1" ht="17.25" customHeight="1" x14ac:dyDescent="0.25">
      <c r="A65" s="358"/>
      <c r="B65" s="359"/>
      <c r="C65" s="142"/>
      <c r="D65" s="359"/>
      <c r="E65" s="17"/>
      <c r="F65" s="17"/>
      <c r="G65" s="17"/>
      <c r="H65" s="194"/>
    </row>
    <row r="66" spans="1:21" s="360" customFormat="1" ht="17.25" customHeight="1" x14ac:dyDescent="0.25">
      <c r="A66" s="358"/>
      <c r="B66" s="359"/>
      <c r="C66" s="142"/>
      <c r="D66" s="359"/>
      <c r="E66" s="17"/>
      <c r="F66" s="17"/>
      <c r="G66" s="17"/>
      <c r="H66" s="194"/>
    </row>
    <row r="67" spans="1:21" ht="15.75" x14ac:dyDescent="0.25">
      <c r="A67" s="33" t="s">
        <v>158</v>
      </c>
      <c r="B67" s="665"/>
      <c r="C67" s="772"/>
      <c r="D67" s="719"/>
      <c r="E67" s="678"/>
      <c r="F67" s="773"/>
      <c r="G67" s="678"/>
    </row>
    <row r="68" spans="1:21" ht="15.75" x14ac:dyDescent="0.25">
      <c r="A68" s="33"/>
      <c r="B68" s="665"/>
      <c r="C68" s="772"/>
      <c r="D68" s="719"/>
      <c r="E68" s="678"/>
      <c r="F68" s="773"/>
      <c r="G68" s="678"/>
    </row>
    <row r="69" spans="1:21" ht="15" x14ac:dyDescent="0.25">
      <c r="A69" s="2709" t="s">
        <v>1495</v>
      </c>
      <c r="B69" s="2649"/>
      <c r="C69" s="2649"/>
      <c r="D69" s="2649"/>
      <c r="E69" s="678" t="s">
        <v>1496</v>
      </c>
      <c r="F69" s="773"/>
      <c r="G69" s="678"/>
    </row>
    <row r="70" spans="1:21" ht="15" x14ac:dyDescent="0.25">
      <c r="A70" s="2649"/>
      <c r="B70" s="2649"/>
      <c r="C70" s="2649"/>
      <c r="D70" s="2649"/>
      <c r="E70" s="678"/>
      <c r="F70" s="773"/>
      <c r="G70" s="678"/>
    </row>
    <row r="71" spans="1:21" ht="15.75" thickBot="1" x14ac:dyDescent="0.3">
      <c r="A71" s="93"/>
      <c r="C71" s="772"/>
      <c r="D71" s="719"/>
      <c r="E71" s="678"/>
      <c r="F71" s="773"/>
      <c r="G71" s="678"/>
      <c r="H71" s="664" t="s">
        <v>1227</v>
      </c>
    </row>
    <row r="72" spans="1:21" s="107" customFormat="1" ht="20.25" customHeight="1" thickTop="1" thickBot="1" x14ac:dyDescent="0.25">
      <c r="A72" s="631" t="s">
        <v>162</v>
      </c>
      <c r="B72" s="632" t="s">
        <v>163</v>
      </c>
      <c r="C72" s="670" t="s">
        <v>705</v>
      </c>
      <c r="D72" s="774" t="s">
        <v>164</v>
      </c>
      <c r="E72" s="774" t="s">
        <v>165</v>
      </c>
      <c r="F72" s="774" t="s">
        <v>881</v>
      </c>
      <c r="G72" s="774" t="s">
        <v>882</v>
      </c>
      <c r="H72" s="635" t="s">
        <v>883</v>
      </c>
    </row>
    <row r="73" spans="1:21" s="383" customFormat="1" ht="13.5" thickTop="1" thickBot="1" x14ac:dyDescent="0.25">
      <c r="A73" s="566">
        <v>1</v>
      </c>
      <c r="B73" s="567">
        <v>2</v>
      </c>
      <c r="C73" s="567">
        <v>3</v>
      </c>
      <c r="D73" s="567">
        <v>4</v>
      </c>
      <c r="E73" s="567">
        <v>5</v>
      </c>
      <c r="F73" s="541">
        <v>6</v>
      </c>
      <c r="G73" s="541">
        <v>7</v>
      </c>
      <c r="H73" s="636" t="s">
        <v>61</v>
      </c>
      <c r="I73" s="107"/>
    </row>
    <row r="74" spans="1:21" s="1142" customFormat="1" ht="15.75" thickTop="1" x14ac:dyDescent="0.25">
      <c r="A74" s="1159">
        <v>2299</v>
      </c>
      <c r="B74" s="1060">
        <v>5331</v>
      </c>
      <c r="C74" s="1085"/>
      <c r="D74" s="1061" t="s">
        <v>914</v>
      </c>
      <c r="E74" s="1072">
        <f>E75+E76+E77</f>
        <v>13112</v>
      </c>
      <c r="F74" s="1072">
        <f>F75+F76+F77+F78</f>
        <v>13945</v>
      </c>
      <c r="G74" s="1072">
        <f>G75+G76+G77+G78</f>
        <v>13945</v>
      </c>
      <c r="H74" s="1109">
        <f>(G74/F74)*100</f>
        <v>100</v>
      </c>
      <c r="I74" s="1145"/>
      <c r="J74" s="1056"/>
      <c r="K74" s="1056"/>
      <c r="L74" s="1056"/>
      <c r="M74" s="1056"/>
      <c r="N74" s="1056"/>
      <c r="O74" s="1056"/>
      <c r="P74" s="1056"/>
      <c r="Q74" s="1056"/>
      <c r="R74" s="1056"/>
      <c r="S74" s="1056"/>
      <c r="T74" s="1056"/>
      <c r="U74" s="1056"/>
    </row>
    <row r="75" spans="1:21" s="1142" customFormat="1" ht="14.25" x14ac:dyDescent="0.2">
      <c r="A75" s="1160"/>
      <c r="B75" s="19"/>
      <c r="C75" s="1069" t="s">
        <v>575</v>
      </c>
      <c r="D75" s="117" t="s">
        <v>1182</v>
      </c>
      <c r="E75" s="55">
        <v>147</v>
      </c>
      <c r="F75" s="314">
        <v>160</v>
      </c>
      <c r="G75" s="451">
        <v>160</v>
      </c>
      <c r="H75" s="1074">
        <f>G75/F75*100</f>
        <v>100</v>
      </c>
      <c r="I75" s="1145"/>
      <c r="J75" s="1056"/>
      <c r="K75" s="1056"/>
      <c r="L75" s="1056"/>
      <c r="M75" s="1056"/>
      <c r="N75" s="1056"/>
      <c r="O75" s="1056"/>
      <c r="P75" s="1056"/>
      <c r="Q75" s="1056"/>
      <c r="R75" s="1056"/>
      <c r="S75" s="1056"/>
      <c r="T75" s="1056"/>
      <c r="U75" s="1056"/>
    </row>
    <row r="76" spans="1:21" s="1142" customFormat="1" ht="14.25" x14ac:dyDescent="0.2">
      <c r="A76" s="50"/>
      <c r="B76" s="19"/>
      <c r="C76" s="1069" t="s">
        <v>570</v>
      </c>
      <c r="D76" s="31" t="s">
        <v>1422</v>
      </c>
      <c r="E76" s="1120">
        <v>7899</v>
      </c>
      <c r="F76" s="448">
        <v>8489</v>
      </c>
      <c r="G76" s="451">
        <v>8489</v>
      </c>
      <c r="H76" s="1445">
        <f>G76/F76*100</f>
        <v>100</v>
      </c>
      <c r="I76" s="1145"/>
      <c r="J76" s="1056"/>
      <c r="K76" s="1056"/>
      <c r="L76" s="1056"/>
      <c r="M76" s="1056"/>
      <c r="N76" s="1056"/>
      <c r="O76" s="1056"/>
      <c r="P76" s="1056"/>
      <c r="Q76" s="1056"/>
      <c r="R76" s="1056"/>
      <c r="S76" s="1056"/>
      <c r="T76" s="1056"/>
      <c r="U76" s="1056"/>
    </row>
    <row r="77" spans="1:21" s="1142" customFormat="1" ht="14.25" x14ac:dyDescent="0.2">
      <c r="A77" s="50"/>
      <c r="B77" s="19"/>
      <c r="C77" s="1068" t="s">
        <v>665</v>
      </c>
      <c r="D77" s="31" t="s">
        <v>1494</v>
      </c>
      <c r="E77" s="1120">
        <v>5066</v>
      </c>
      <c r="F77" s="448">
        <v>5066</v>
      </c>
      <c r="G77" s="451">
        <v>5066</v>
      </c>
      <c r="H77" s="1445">
        <f>G77/F77*100</f>
        <v>100</v>
      </c>
      <c r="I77" s="1145"/>
      <c r="J77" s="1056"/>
      <c r="K77" s="1056"/>
      <c r="L77" s="1056"/>
      <c r="M77" s="1056"/>
      <c r="N77" s="1056"/>
      <c r="O77" s="1056"/>
      <c r="P77" s="1056"/>
      <c r="Q77" s="1056"/>
      <c r="R77" s="1056"/>
      <c r="S77" s="1056"/>
      <c r="T77" s="1056"/>
      <c r="U77" s="1056"/>
    </row>
    <row r="78" spans="1:21" s="1142" customFormat="1" ht="15" thickBot="1" x14ac:dyDescent="0.25">
      <c r="A78" s="50"/>
      <c r="B78" s="19"/>
      <c r="C78" s="1068" t="s">
        <v>1882</v>
      </c>
      <c r="D78" s="31" t="s">
        <v>1883</v>
      </c>
      <c r="E78" s="1120"/>
      <c r="F78" s="448">
        <v>230</v>
      </c>
      <c r="G78" s="451">
        <v>230</v>
      </c>
      <c r="H78" s="1445">
        <f>G78/F78*100</f>
        <v>100</v>
      </c>
      <c r="I78" s="1145"/>
      <c r="J78" s="1056"/>
      <c r="K78" s="1056"/>
      <c r="L78" s="1056"/>
      <c r="M78" s="1056"/>
      <c r="N78" s="1056"/>
      <c r="O78" s="1056"/>
      <c r="P78" s="1056"/>
      <c r="Q78" s="1056"/>
      <c r="R78" s="1056"/>
      <c r="S78" s="1056"/>
      <c r="T78" s="1056"/>
      <c r="U78" s="1056"/>
    </row>
    <row r="79" spans="1:21" s="360" customFormat="1" ht="19.5" customHeight="1" thickTop="1" thickBot="1" x14ac:dyDescent="0.3">
      <c r="A79" s="637" t="s">
        <v>1105</v>
      </c>
      <c r="B79" s="751"/>
      <c r="C79" s="1163"/>
      <c r="D79" s="751"/>
      <c r="E79" s="776">
        <f>E74</f>
        <v>13112</v>
      </c>
      <c r="F79" s="776">
        <f>F74</f>
        <v>13945</v>
      </c>
      <c r="G79" s="776">
        <f>G74</f>
        <v>13945</v>
      </c>
      <c r="H79" s="777">
        <f>(G79/F79)*100</f>
        <v>100</v>
      </c>
    </row>
    <row r="80" spans="1:21" s="1142" customFormat="1" ht="14.25" customHeight="1" thickTop="1" x14ac:dyDescent="0.25">
      <c r="A80" s="50">
        <v>2299</v>
      </c>
      <c r="B80" s="19">
        <v>6351</v>
      </c>
      <c r="C80" s="1069"/>
      <c r="D80" s="1157" t="s">
        <v>620</v>
      </c>
      <c r="E80" s="71"/>
      <c r="F80" s="71">
        <f>F81</f>
        <v>93</v>
      </c>
      <c r="G80" s="71">
        <f>G81</f>
        <v>93</v>
      </c>
      <c r="H80" s="255">
        <f>G80/F80*100</f>
        <v>100</v>
      </c>
      <c r="I80" s="1145"/>
      <c r="J80" s="1056"/>
      <c r="K80" s="1056"/>
      <c r="L80" s="1056"/>
      <c r="M80" s="1056"/>
      <c r="N80" s="1056"/>
      <c r="O80" s="1056"/>
      <c r="P80" s="1056"/>
      <c r="Q80" s="1056"/>
      <c r="R80" s="1056"/>
      <c r="S80" s="1056"/>
      <c r="T80" s="1056"/>
      <c r="U80" s="1056"/>
    </row>
    <row r="81" spans="1:21" s="1142" customFormat="1" ht="14.25" customHeight="1" thickBot="1" x14ac:dyDescent="0.25">
      <c r="A81" s="50"/>
      <c r="B81" s="19"/>
      <c r="C81" s="1069" t="s">
        <v>1125</v>
      </c>
      <c r="D81" s="1056" t="s">
        <v>1133</v>
      </c>
      <c r="E81" s="55"/>
      <c r="F81" s="1281">
        <v>93</v>
      </c>
      <c r="G81" s="55">
        <v>93</v>
      </c>
      <c r="H81" s="237">
        <f>G81/F81*100</f>
        <v>100</v>
      </c>
      <c r="I81" s="1145"/>
      <c r="J81" s="1056"/>
      <c r="K81" s="1056"/>
      <c r="L81" s="1056"/>
      <c r="M81" s="1056"/>
      <c r="N81" s="1056"/>
      <c r="O81" s="1056"/>
      <c r="P81" s="1056"/>
      <c r="Q81" s="1056"/>
      <c r="R81" s="1056"/>
      <c r="S81" s="1056"/>
      <c r="T81" s="1056"/>
      <c r="U81" s="1056"/>
    </row>
    <row r="82" spans="1:21" ht="14.25" customHeight="1" thickTop="1" thickBot="1" x14ac:dyDescent="0.3">
      <c r="A82" s="708" t="s">
        <v>1106</v>
      </c>
      <c r="B82" s="709"/>
      <c r="C82" s="710"/>
      <c r="D82" s="711"/>
      <c r="E82" s="712">
        <f>E80</f>
        <v>0</v>
      </c>
      <c r="F82" s="712">
        <f>F80</f>
        <v>93</v>
      </c>
      <c r="G82" s="712">
        <f>G80</f>
        <v>93</v>
      </c>
      <c r="H82" s="767">
        <f>(G82/F82)*100</f>
        <v>100</v>
      </c>
    </row>
    <row r="83" spans="1:21" ht="16.5" thickTop="1" x14ac:dyDescent="0.25">
      <c r="A83" s="33"/>
      <c r="B83" s="665"/>
      <c r="C83" s="772"/>
      <c r="D83" s="719"/>
      <c r="E83" s="678"/>
      <c r="F83" s="773"/>
      <c r="G83" s="678"/>
    </row>
    <row r="84" spans="1:21" s="367" customFormat="1" ht="23.25" customHeight="1" x14ac:dyDescent="0.25">
      <c r="A84" s="2710" t="s">
        <v>1500</v>
      </c>
      <c r="B84" s="2711"/>
      <c r="C84" s="2711"/>
      <c r="D84" s="2711"/>
      <c r="E84" s="1775">
        <f>E79</f>
        <v>13112</v>
      </c>
      <c r="F84" s="1775">
        <f>F79+F82</f>
        <v>14038</v>
      </c>
      <c r="G84" s="1775">
        <f>G79+G82</f>
        <v>14038</v>
      </c>
      <c r="H84" s="1776">
        <f>(G84/F84)*100</f>
        <v>100</v>
      </c>
    </row>
    <row r="85" spans="1:21" ht="15.75" thickBot="1" x14ac:dyDescent="0.3">
      <c r="A85" s="2712"/>
      <c r="B85" s="2712"/>
      <c r="C85" s="2712"/>
      <c r="D85" s="2712"/>
      <c r="E85" s="1777"/>
      <c r="F85" s="1778"/>
      <c r="G85" s="1777"/>
      <c r="H85" s="1779"/>
    </row>
    <row r="86" spans="1:21" ht="16.5" thickTop="1" x14ac:dyDescent="0.25">
      <c r="A86" s="33"/>
      <c r="B86" s="665"/>
      <c r="C86" s="772"/>
      <c r="D86" s="719"/>
      <c r="E86" s="678"/>
      <c r="F86" s="773"/>
      <c r="G86" s="678"/>
    </row>
    <row r="87" spans="1:21" ht="15.75" x14ac:dyDescent="0.25">
      <c r="A87" s="33"/>
      <c r="B87" s="665"/>
      <c r="C87" s="772"/>
      <c r="D87" s="719"/>
      <c r="E87" s="678"/>
      <c r="F87" s="773"/>
      <c r="G87" s="678"/>
    </row>
    <row r="88" spans="1:21" ht="15.75" x14ac:dyDescent="0.25">
      <c r="A88" s="33"/>
      <c r="B88" s="665"/>
      <c r="C88" s="772"/>
      <c r="D88" s="719"/>
      <c r="E88" s="678"/>
      <c r="F88" s="773"/>
      <c r="G88" s="678"/>
    </row>
    <row r="89" spans="1:21" ht="15.75" x14ac:dyDescent="0.25">
      <c r="A89" s="98" t="s">
        <v>157</v>
      </c>
      <c r="B89" s="665"/>
      <c r="C89" s="772"/>
      <c r="D89" s="719"/>
      <c r="E89" s="678" t="s">
        <v>1421</v>
      </c>
      <c r="F89" s="773"/>
      <c r="G89" s="678"/>
    </row>
    <row r="90" spans="1:21" ht="15.75" thickBot="1" x14ac:dyDescent="0.3">
      <c r="A90" s="93"/>
      <c r="C90" s="772"/>
      <c r="D90" s="719"/>
      <c r="E90" s="678"/>
      <c r="F90" s="773"/>
      <c r="G90" s="678"/>
      <c r="H90" s="664" t="s">
        <v>1227</v>
      </c>
    </row>
    <row r="91" spans="1:21" s="107" customFormat="1" ht="20.25" customHeight="1" thickTop="1" thickBot="1" x14ac:dyDescent="0.25">
      <c r="A91" s="631" t="s">
        <v>162</v>
      </c>
      <c r="B91" s="632" t="s">
        <v>163</v>
      </c>
      <c r="C91" s="670" t="s">
        <v>705</v>
      </c>
      <c r="D91" s="774" t="s">
        <v>164</v>
      </c>
      <c r="E91" s="774" t="s">
        <v>165</v>
      </c>
      <c r="F91" s="774" t="s">
        <v>881</v>
      </c>
      <c r="G91" s="774" t="s">
        <v>882</v>
      </c>
      <c r="H91" s="635" t="s">
        <v>883</v>
      </c>
    </row>
    <row r="92" spans="1:21" s="383" customFormat="1" ht="13.5" thickTop="1" thickBot="1" x14ac:dyDescent="0.25">
      <c r="A92" s="566">
        <v>1</v>
      </c>
      <c r="B92" s="567">
        <v>2</v>
      </c>
      <c r="C92" s="567">
        <v>3</v>
      </c>
      <c r="D92" s="567">
        <v>4</v>
      </c>
      <c r="E92" s="567">
        <v>5</v>
      </c>
      <c r="F92" s="541">
        <v>6</v>
      </c>
      <c r="G92" s="541">
        <v>7</v>
      </c>
      <c r="H92" s="636" t="s">
        <v>61</v>
      </c>
      <c r="I92" s="107"/>
    </row>
    <row r="93" spans="1:21" s="1142" customFormat="1" ht="15.75" thickTop="1" x14ac:dyDescent="0.25">
      <c r="A93" s="1159">
        <v>2212</v>
      </c>
      <c r="B93" s="1060">
        <v>5331</v>
      </c>
      <c r="C93" s="1085"/>
      <c r="D93" s="1061" t="s">
        <v>914</v>
      </c>
      <c r="E93" s="1072">
        <f>E94+E95+E96</f>
        <v>478575</v>
      </c>
      <c r="F93" s="1072">
        <f>F94+F95+F96</f>
        <v>481008</v>
      </c>
      <c r="G93" s="1072">
        <f>G94+G95+G96</f>
        <v>481008</v>
      </c>
      <c r="H93" s="1109">
        <f>(G93/F93)*100</f>
        <v>100</v>
      </c>
      <c r="I93" s="1145"/>
      <c r="J93" s="1056"/>
      <c r="K93" s="1056"/>
      <c r="L93" s="1056"/>
      <c r="M93" s="1056"/>
      <c r="N93" s="1056"/>
      <c r="O93" s="1056"/>
      <c r="P93" s="1056"/>
      <c r="Q93" s="1056"/>
      <c r="R93" s="1056"/>
      <c r="S93" s="1056"/>
      <c r="T93" s="1056"/>
      <c r="U93" s="1056"/>
    </row>
    <row r="94" spans="1:21" s="1142" customFormat="1" ht="14.25" x14ac:dyDescent="0.2">
      <c r="A94" s="1160"/>
      <c r="B94" s="19"/>
      <c r="C94" s="1069" t="s">
        <v>575</v>
      </c>
      <c r="D94" s="117" t="s">
        <v>1182</v>
      </c>
      <c r="E94" s="55">
        <v>121000</v>
      </c>
      <c r="F94" s="314">
        <v>122250</v>
      </c>
      <c r="G94" s="451">
        <v>122250</v>
      </c>
      <c r="H94" s="1074">
        <f>G94/F94*100</f>
        <v>100</v>
      </c>
      <c r="I94" s="1145"/>
      <c r="J94" s="1056"/>
      <c r="K94" s="1056"/>
      <c r="L94" s="1056"/>
      <c r="M94" s="1056"/>
      <c r="N94" s="1056"/>
      <c r="O94" s="1056"/>
      <c r="P94" s="1056"/>
      <c r="Q94" s="1056"/>
      <c r="R94" s="1056"/>
      <c r="S94" s="1056"/>
      <c r="T94" s="1056"/>
      <c r="U94" s="1056"/>
    </row>
    <row r="95" spans="1:21" s="1142" customFormat="1" ht="14.25" x14ac:dyDescent="0.2">
      <c r="A95" s="50"/>
      <c r="B95" s="19"/>
      <c r="C95" s="1069" t="s">
        <v>570</v>
      </c>
      <c r="D95" s="31" t="s">
        <v>1422</v>
      </c>
      <c r="E95" s="1120">
        <v>357575</v>
      </c>
      <c r="F95" s="448">
        <v>357575</v>
      </c>
      <c r="G95" s="451">
        <v>357575</v>
      </c>
      <c r="H95" s="1445">
        <f>G95/F95*100</f>
        <v>100</v>
      </c>
      <c r="I95" s="1145"/>
      <c r="J95" s="1056"/>
      <c r="K95" s="1056"/>
      <c r="L95" s="1056"/>
      <c r="M95" s="1056"/>
      <c r="N95" s="1056"/>
      <c r="O95" s="1056"/>
      <c r="P95" s="1056"/>
      <c r="Q95" s="1056"/>
      <c r="R95" s="1056"/>
      <c r="S95" s="1056"/>
      <c r="T95" s="1056"/>
      <c r="U95" s="1056"/>
    </row>
    <row r="96" spans="1:21" s="1142" customFormat="1" ht="15" thickBot="1" x14ac:dyDescent="0.25">
      <c r="A96" s="50"/>
      <c r="B96" s="19"/>
      <c r="C96" s="1069" t="s">
        <v>1125</v>
      </c>
      <c r="D96" s="1056" t="s">
        <v>1133</v>
      </c>
      <c r="E96" s="1120"/>
      <c r="F96" s="448">
        <v>1183</v>
      </c>
      <c r="G96" s="451">
        <v>1183</v>
      </c>
      <c r="H96" s="237">
        <f>G96/F96*100</f>
        <v>100</v>
      </c>
      <c r="I96" s="1145"/>
      <c r="J96" s="1056"/>
      <c r="K96" s="1056"/>
      <c r="L96" s="1056"/>
      <c r="M96" s="1056"/>
      <c r="N96" s="1056"/>
      <c r="O96" s="1056"/>
      <c r="P96" s="1056"/>
      <c r="Q96" s="1056"/>
      <c r="R96" s="1056"/>
      <c r="S96" s="1056"/>
      <c r="T96" s="1056"/>
      <c r="U96" s="1056"/>
    </row>
    <row r="97" spans="1:21" s="360" customFormat="1" ht="19.5" customHeight="1" thickTop="1" thickBot="1" x14ac:dyDescent="0.3">
      <c r="A97" s="637" t="s">
        <v>1105</v>
      </c>
      <c r="B97" s="751"/>
      <c r="C97" s="1163"/>
      <c r="D97" s="751"/>
      <c r="E97" s="776">
        <f>E93</f>
        <v>478575</v>
      </c>
      <c r="F97" s="776">
        <f>F93</f>
        <v>481008</v>
      </c>
      <c r="G97" s="776">
        <f>G93</f>
        <v>481008</v>
      </c>
      <c r="H97" s="777">
        <f>(G97/F97)*100</f>
        <v>100</v>
      </c>
    </row>
    <row r="98" spans="1:21" s="1142" customFormat="1" ht="15.75" thickTop="1" x14ac:dyDescent="0.25">
      <c r="A98" s="50">
        <v>2212</v>
      </c>
      <c r="B98" s="19">
        <v>6351</v>
      </c>
      <c r="C98" s="1069"/>
      <c r="D98" s="1157" t="s">
        <v>620</v>
      </c>
      <c r="E98" s="71">
        <f>E99</f>
        <v>92657</v>
      </c>
      <c r="F98" s="71">
        <f>F99+F100</f>
        <v>46161</v>
      </c>
      <c r="G98" s="71">
        <f>G99+G100</f>
        <v>46161</v>
      </c>
      <c r="H98" s="255">
        <f>G98/F98*100</f>
        <v>100</v>
      </c>
      <c r="I98" s="1145"/>
      <c r="J98" s="1056"/>
      <c r="K98" s="1056"/>
      <c r="L98" s="1056"/>
      <c r="M98" s="1056"/>
      <c r="N98" s="1056"/>
      <c r="O98" s="1056"/>
      <c r="P98" s="1056"/>
      <c r="Q98" s="1056"/>
      <c r="R98" s="1056"/>
      <c r="S98" s="1056"/>
      <c r="T98" s="1056"/>
      <c r="U98" s="1056"/>
    </row>
    <row r="99" spans="1:21" s="1142" customFormat="1" ht="14.25" x14ac:dyDescent="0.2">
      <c r="A99" s="50"/>
      <c r="B99" s="19"/>
      <c r="C99" s="1069" t="s">
        <v>183</v>
      </c>
      <c r="D99" s="85" t="s">
        <v>1884</v>
      </c>
      <c r="E99" s="55">
        <v>92657</v>
      </c>
      <c r="F99" s="1281">
        <v>38911</v>
      </c>
      <c r="G99" s="55">
        <v>38911</v>
      </c>
      <c r="H99" s="237">
        <f>G99/F99*100</f>
        <v>100</v>
      </c>
      <c r="I99" s="1145"/>
      <c r="J99" s="1056"/>
      <c r="K99" s="1056"/>
      <c r="L99" s="1056"/>
      <c r="M99" s="1056"/>
      <c r="N99" s="1056"/>
      <c r="O99" s="1056"/>
      <c r="P99" s="1056"/>
      <c r="Q99" s="1056"/>
      <c r="R99" s="1056"/>
      <c r="S99" s="1056"/>
      <c r="T99" s="1056"/>
      <c r="U99" s="1056"/>
    </row>
    <row r="100" spans="1:21" s="1142" customFormat="1" ht="15" x14ac:dyDescent="0.25">
      <c r="A100" s="50"/>
      <c r="B100" s="19"/>
      <c r="C100" s="1164" t="s">
        <v>22</v>
      </c>
      <c r="D100" s="166" t="s">
        <v>1203</v>
      </c>
      <c r="E100" s="71"/>
      <c r="F100" s="1281">
        <v>7250</v>
      </c>
      <c r="G100" s="55">
        <v>7250</v>
      </c>
      <c r="H100" s="237">
        <f>G100/F100*100</f>
        <v>100</v>
      </c>
      <c r="I100" s="1145"/>
      <c r="J100" s="1056"/>
      <c r="K100" s="1056"/>
      <c r="L100" s="1056"/>
      <c r="M100" s="1056"/>
      <c r="N100" s="1056"/>
      <c r="O100" s="1056"/>
      <c r="P100" s="1056"/>
      <c r="Q100" s="1056"/>
      <c r="R100" s="1056"/>
      <c r="S100" s="1056"/>
      <c r="T100" s="1056"/>
      <c r="U100" s="1056"/>
    </row>
    <row r="101" spans="1:21" s="1142" customFormat="1" ht="15" x14ac:dyDescent="0.25">
      <c r="A101" s="50">
        <v>2212</v>
      </c>
      <c r="B101" s="19">
        <v>6356</v>
      </c>
      <c r="C101" s="1164"/>
      <c r="D101" s="1157" t="s">
        <v>2075</v>
      </c>
      <c r="E101" s="71"/>
      <c r="F101" s="71">
        <f>F102</f>
        <v>166060</v>
      </c>
      <c r="G101" s="71">
        <f>G102</f>
        <v>166060</v>
      </c>
      <c r="H101" s="237"/>
      <c r="I101" s="1145"/>
      <c r="J101" s="1056"/>
      <c r="K101" s="1056"/>
      <c r="L101" s="1056"/>
      <c r="M101" s="1056"/>
      <c r="N101" s="1056"/>
      <c r="O101" s="1056"/>
      <c r="P101" s="1056"/>
      <c r="Q101" s="1056"/>
      <c r="R101" s="1056"/>
      <c r="S101" s="1056"/>
      <c r="T101" s="1056"/>
      <c r="U101" s="1056"/>
    </row>
    <row r="102" spans="1:21" s="1142" customFormat="1" ht="15" thickBot="1" x14ac:dyDescent="0.25">
      <c r="A102" s="50"/>
      <c r="B102" s="19"/>
      <c r="C102" s="1069" t="s">
        <v>1885</v>
      </c>
      <c r="D102" s="1056" t="s">
        <v>1886</v>
      </c>
      <c r="E102" s="55"/>
      <c r="F102" s="1281">
        <v>166060</v>
      </c>
      <c r="G102" s="55">
        <v>166060</v>
      </c>
      <c r="H102" s="237">
        <f>G102/F102*100</f>
        <v>100</v>
      </c>
      <c r="I102" s="1145"/>
      <c r="J102" s="1056"/>
      <c r="K102" s="1056"/>
      <c r="L102" s="1056"/>
      <c r="M102" s="1056"/>
      <c r="N102" s="1056"/>
      <c r="O102" s="1056"/>
      <c r="P102" s="1056"/>
      <c r="Q102" s="1056"/>
      <c r="R102" s="1056"/>
      <c r="S102" s="1056"/>
      <c r="T102" s="1056"/>
      <c r="U102" s="1056"/>
    </row>
    <row r="103" spans="1:21" ht="20.25" customHeight="1" thickTop="1" thickBot="1" x14ac:dyDescent="0.3">
      <c r="A103" s="708" t="s">
        <v>1106</v>
      </c>
      <c r="B103" s="709"/>
      <c r="C103" s="710"/>
      <c r="D103" s="711"/>
      <c r="E103" s="712">
        <f>E98</f>
        <v>92657</v>
      </c>
      <c r="F103" s="712">
        <f>F98+F101</f>
        <v>212221</v>
      </c>
      <c r="G103" s="712">
        <f>G98+G101</f>
        <v>212221</v>
      </c>
      <c r="H103" s="767">
        <f>(G103/F103)*100</f>
        <v>100</v>
      </c>
    </row>
    <row r="104" spans="1:21" ht="20.25" customHeight="1" thickTop="1" x14ac:dyDescent="0.25">
      <c r="A104" s="732"/>
      <c r="B104" s="1151"/>
      <c r="C104" s="1152"/>
      <c r="D104" s="1153"/>
      <c r="E104" s="1154"/>
      <c r="F104" s="1154"/>
      <c r="G104" s="1154"/>
      <c r="H104" s="1155"/>
    </row>
    <row r="105" spans="1:21" s="367" customFormat="1" ht="23.25" customHeight="1" thickBot="1" x14ac:dyDescent="0.3">
      <c r="A105" s="724" t="s">
        <v>915</v>
      </c>
      <c r="B105" s="1147"/>
      <c r="C105" s="1148"/>
      <c r="D105" s="1149"/>
      <c r="E105" s="734">
        <f>E97+E103</f>
        <v>571232</v>
      </c>
      <c r="F105" s="734">
        <f>F97+F103</f>
        <v>693229</v>
      </c>
      <c r="G105" s="734">
        <f>G97+G103</f>
        <v>693229</v>
      </c>
      <c r="H105" s="1150">
        <f>(G105/F105)*100</f>
        <v>100</v>
      </c>
    </row>
    <row r="106" spans="1:21" ht="12.75" customHeight="1" thickTop="1" x14ac:dyDescent="0.25">
      <c r="A106" s="778"/>
      <c r="B106" s="779"/>
      <c r="C106" s="780"/>
      <c r="D106" s="781"/>
      <c r="E106" s="782"/>
      <c r="F106" s="782"/>
      <c r="G106" s="782"/>
      <c r="H106" s="783"/>
    </row>
    <row r="111" spans="1:21" s="665" customFormat="1" ht="16.5" x14ac:dyDescent="0.25">
      <c r="A111" s="361" t="s">
        <v>1015</v>
      </c>
      <c r="B111" s="362"/>
      <c r="C111" s="363"/>
      <c r="D111" s="364"/>
      <c r="E111" s="784">
        <f>E112+E113+E114+E115</f>
        <v>829065</v>
      </c>
      <c r="F111" s="784">
        <f>F112+F113+F114+F115</f>
        <v>1049723</v>
      </c>
      <c r="G111" s="784">
        <f>G112+G113+G114+G115</f>
        <v>1044005</v>
      </c>
      <c r="H111" s="785">
        <f>(G111/F111)*100</f>
        <v>99.455284870389619</v>
      </c>
    </row>
    <row r="112" spans="1:21" ht="15" x14ac:dyDescent="0.2">
      <c r="A112" s="555" t="s">
        <v>263</v>
      </c>
      <c r="B112" s="585"/>
      <c r="C112" s="586"/>
      <c r="D112" s="587"/>
      <c r="E112" s="588">
        <f>E32</f>
        <v>821065</v>
      </c>
      <c r="F112" s="588">
        <f>F32-F114</f>
        <v>815716</v>
      </c>
      <c r="G112" s="588">
        <f>G32-G114</f>
        <v>810638</v>
      </c>
      <c r="H112" s="786">
        <f>(G112/F112)*100</f>
        <v>99.377479416855863</v>
      </c>
    </row>
    <row r="113" spans="1:14" ht="15" x14ac:dyDescent="0.2">
      <c r="A113" s="555" t="s">
        <v>264</v>
      </c>
      <c r="B113" s="590"/>
      <c r="C113" s="586"/>
      <c r="D113" s="591"/>
      <c r="E113" s="588">
        <f>E51</f>
        <v>8000</v>
      </c>
      <c r="F113" s="588">
        <f>F51</f>
        <v>18589</v>
      </c>
      <c r="G113" s="588">
        <f>G51</f>
        <v>17949</v>
      </c>
      <c r="H113" s="786">
        <f>(G113/F113)*100</f>
        <v>96.557103663456871</v>
      </c>
      <c r="J113" s="493"/>
      <c r="K113" s="493"/>
      <c r="L113" s="493"/>
    </row>
    <row r="114" spans="1:14" ht="15" x14ac:dyDescent="0.2">
      <c r="A114" s="555" t="s">
        <v>208</v>
      </c>
      <c r="B114" s="590"/>
      <c r="C114" s="586"/>
      <c r="D114" s="591"/>
      <c r="E114" s="588">
        <f>E23</f>
        <v>0</v>
      </c>
      <c r="F114" s="588">
        <f>F23</f>
        <v>215418</v>
      </c>
      <c r="G114" s="588">
        <f>G23</f>
        <v>215418</v>
      </c>
      <c r="H114" s="786">
        <f>(G114/F114)*100</f>
        <v>100</v>
      </c>
    </row>
    <row r="115" spans="1:14" ht="15" x14ac:dyDescent="0.2">
      <c r="A115" s="555" t="s">
        <v>1147</v>
      </c>
      <c r="B115" s="590"/>
      <c r="C115" s="586"/>
      <c r="D115" s="591"/>
      <c r="E115" s="588">
        <v>0</v>
      </c>
      <c r="F115" s="588">
        <v>0</v>
      </c>
      <c r="G115" s="588">
        <v>0</v>
      </c>
      <c r="H115" s="786">
        <v>0</v>
      </c>
      <c r="L115" s="493">
        <f>F114+F120</f>
        <v>215418</v>
      </c>
      <c r="M115" s="493">
        <f>G114+G120</f>
        <v>215418</v>
      </c>
      <c r="N115" s="381" t="s">
        <v>1498</v>
      </c>
    </row>
    <row r="116" spans="1:14" s="665" customFormat="1" ht="15" x14ac:dyDescent="0.2">
      <c r="A116" s="555"/>
      <c r="B116" s="590"/>
      <c r="C116" s="586"/>
      <c r="D116" s="591"/>
      <c r="E116" s="588"/>
      <c r="F116" s="588"/>
      <c r="G116" s="588"/>
      <c r="H116" s="787"/>
      <c r="L116" s="1780">
        <f>F115+F121</f>
        <v>166060</v>
      </c>
      <c r="M116" s="1780">
        <f>G115+G121</f>
        <v>166060</v>
      </c>
      <c r="N116" s="381" t="s">
        <v>1499</v>
      </c>
    </row>
    <row r="117" spans="1:14" s="665" customFormat="1" ht="16.5" x14ac:dyDescent="0.25">
      <c r="A117" s="741" t="s">
        <v>265</v>
      </c>
      <c r="B117" s="590"/>
      <c r="C117" s="586"/>
      <c r="D117" s="591"/>
      <c r="E117" s="784">
        <f>E118+E119+E120+E121</f>
        <v>584344</v>
      </c>
      <c r="F117" s="784">
        <f>F118+F119+F120+F121</f>
        <v>707267</v>
      </c>
      <c r="G117" s="784">
        <f>G118+G119+G120+G121</f>
        <v>707267</v>
      </c>
      <c r="H117" s="785">
        <f>(G117/F117)*100</f>
        <v>100</v>
      </c>
      <c r="L117" s="667">
        <f>L115+L116</f>
        <v>381478</v>
      </c>
      <c r="M117" s="667">
        <f>M115+M116</f>
        <v>381478</v>
      </c>
      <c r="N117" s="381" t="s">
        <v>901</v>
      </c>
    </row>
    <row r="118" spans="1:14" ht="15" x14ac:dyDescent="0.2">
      <c r="A118" s="555" t="s">
        <v>1148</v>
      </c>
      <c r="B118" s="590"/>
      <c r="C118" s="586"/>
      <c r="D118" s="591"/>
      <c r="E118" s="588">
        <f>E97+E79</f>
        <v>491687</v>
      </c>
      <c r="F118" s="588">
        <f>F97+F79-F120</f>
        <v>494953</v>
      </c>
      <c r="G118" s="588">
        <f>G97+G79-G120</f>
        <v>494953</v>
      </c>
      <c r="H118" s="786">
        <f>(G118/F118)*100</f>
        <v>100</v>
      </c>
    </row>
    <row r="119" spans="1:14" ht="15" x14ac:dyDescent="0.2">
      <c r="A119" s="1439" t="s">
        <v>1149</v>
      </c>
      <c r="B119" s="590"/>
      <c r="C119" s="586"/>
      <c r="D119" s="591"/>
      <c r="E119" s="588">
        <f>E103+E82</f>
        <v>92657</v>
      </c>
      <c r="F119" s="588">
        <f>F103+F82-F121</f>
        <v>46254</v>
      </c>
      <c r="G119" s="588">
        <f>G103+G82-G121</f>
        <v>46254</v>
      </c>
      <c r="H119" s="786">
        <f>(G119/F119)*100</f>
        <v>100</v>
      </c>
    </row>
    <row r="120" spans="1:14" ht="15" x14ac:dyDescent="0.2">
      <c r="A120" s="1439" t="s">
        <v>208</v>
      </c>
      <c r="B120" s="742"/>
      <c r="C120" s="663"/>
      <c r="E120" s="588">
        <v>0</v>
      </c>
      <c r="F120" s="588">
        <v>0</v>
      </c>
      <c r="G120" s="588">
        <v>0</v>
      </c>
      <c r="H120" s="786">
        <v>0</v>
      </c>
    </row>
    <row r="121" spans="1:14" ht="15" x14ac:dyDescent="0.2">
      <c r="A121" s="555" t="s">
        <v>1147</v>
      </c>
      <c r="B121" s="742"/>
      <c r="C121" s="663"/>
      <c r="E121" s="588">
        <v>0</v>
      </c>
      <c r="F121" s="588">
        <f>F102</f>
        <v>166060</v>
      </c>
      <c r="G121" s="588">
        <f>G102</f>
        <v>166060</v>
      </c>
      <c r="H121" s="786">
        <f>(G121/F121)*100</f>
        <v>100</v>
      </c>
    </row>
    <row r="124" spans="1:14" s="58" customFormat="1" ht="47.25" customHeight="1" thickBot="1" x14ac:dyDescent="0.4">
      <c r="A124" s="2640" t="s">
        <v>407</v>
      </c>
      <c r="B124" s="2641"/>
      <c r="C124" s="2641"/>
      <c r="D124" s="2641"/>
      <c r="E124" s="788">
        <f>SUM(E111,E117)</f>
        <v>1413409</v>
      </c>
      <c r="F124" s="788">
        <f>SUM(F111,F117)</f>
        <v>1756990</v>
      </c>
      <c r="G124" s="788">
        <f>SUM(G111,G117)</f>
        <v>1751272</v>
      </c>
      <c r="H124" s="1323">
        <f>(G124/F124)*100</f>
        <v>99.674557054963316</v>
      </c>
    </row>
    <row r="125" spans="1:14" ht="13.5" thickTop="1" x14ac:dyDescent="0.2"/>
    <row r="126" spans="1:14" x14ac:dyDescent="0.2">
      <c r="E126" s="1441"/>
      <c r="F126" s="1441"/>
      <c r="G126" s="1441"/>
    </row>
  </sheetData>
  <mergeCells count="4">
    <mergeCell ref="A124:D124"/>
    <mergeCell ref="D23:D24"/>
    <mergeCell ref="A69:D70"/>
    <mergeCell ref="A84:D85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106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 enableFormatConditionsCalculation="0">
    <tabColor rgb="FF00B050"/>
  </sheetPr>
  <dimension ref="A1:V322"/>
  <sheetViews>
    <sheetView showGridLines="0" view="pageBreakPreview" topLeftCell="A63" zoomScaleNormal="100" zoomScaleSheetLayoutView="100" workbookViewId="0">
      <selection activeCell="I10" sqref="I10"/>
    </sheetView>
  </sheetViews>
  <sheetFormatPr defaultRowHeight="14.25" x14ac:dyDescent="0.2"/>
  <cols>
    <col min="1" max="1" width="41.5703125" style="2202" customWidth="1"/>
    <col min="2" max="2" width="5.140625" style="2200" customWidth="1"/>
    <col min="3" max="3" width="14.7109375" style="2201" customWidth="1"/>
    <col min="4" max="5" width="16" style="2201" customWidth="1"/>
    <col min="6" max="6" width="9" style="2201" customWidth="1"/>
    <col min="7" max="7" width="17.140625" style="2313" customWidth="1"/>
    <col min="8" max="8" width="20.140625" style="2313" customWidth="1"/>
    <col min="9" max="9" width="19.5703125" style="2313" customWidth="1"/>
    <col min="10" max="10" width="2.85546875" style="2313" customWidth="1"/>
    <col min="11" max="11" width="19.7109375" style="2313" customWidth="1"/>
    <col min="12" max="13" width="19.7109375" style="2198" customWidth="1"/>
    <col min="14" max="14" width="11.140625" style="2198" customWidth="1"/>
    <col min="15" max="15" width="11.5703125" style="2198" customWidth="1"/>
    <col min="16" max="16" width="9.140625" style="2198" customWidth="1"/>
    <col min="17" max="17" width="11.7109375" style="2198" bestFit="1" customWidth="1"/>
    <col min="18" max="18" width="9.85546875" style="2198" bestFit="1" customWidth="1"/>
    <col min="19" max="19" width="12.5703125" style="2198" customWidth="1"/>
    <col min="20" max="20" width="12.85546875" style="2198" customWidth="1"/>
    <col min="21" max="21" width="11.7109375" style="2198" customWidth="1"/>
    <col min="22" max="16384" width="9.140625" style="2198"/>
  </cols>
  <sheetData>
    <row r="1" spans="1:11" ht="23.25" x14ac:dyDescent="0.35">
      <c r="A1" s="2621" t="s">
        <v>2049</v>
      </c>
      <c r="B1" s="2622"/>
      <c r="C1" s="2622"/>
      <c r="D1" s="2622"/>
      <c r="E1" s="2622"/>
      <c r="F1" s="2622"/>
      <c r="G1" s="2326"/>
      <c r="H1" s="2326"/>
      <c r="I1" s="2326"/>
      <c r="J1" s="2326"/>
      <c r="K1" s="2326"/>
    </row>
    <row r="2" spans="1:11" ht="23.25" x14ac:dyDescent="0.35">
      <c r="A2" s="2623"/>
      <c r="B2" s="2624"/>
      <c r="C2" s="2624"/>
      <c r="D2" s="2624"/>
      <c r="E2" s="2624"/>
      <c r="F2" s="2624"/>
      <c r="G2" s="2327"/>
      <c r="H2" s="2327"/>
      <c r="I2" s="2327"/>
      <c r="J2" s="2327"/>
      <c r="K2" s="2327"/>
    </row>
    <row r="3" spans="1:11" ht="15" x14ac:dyDescent="0.25">
      <c r="A3" s="2199" t="s">
        <v>630</v>
      </c>
    </row>
    <row r="4" spans="1:11" ht="15" thickBot="1" x14ac:dyDescent="0.25">
      <c r="F4" s="2203" t="s">
        <v>161</v>
      </c>
      <c r="G4" s="2328"/>
      <c r="H4" s="2328"/>
      <c r="I4" s="2328"/>
      <c r="J4" s="2328"/>
      <c r="K4" s="2328"/>
    </row>
    <row r="5" spans="1:11" s="2208" customFormat="1" ht="27" thickTop="1" thickBot="1" x14ac:dyDescent="0.25">
      <c r="A5" s="2204" t="s">
        <v>631</v>
      </c>
      <c r="B5" s="2205" t="s">
        <v>634</v>
      </c>
      <c r="C5" s="2206" t="s">
        <v>632</v>
      </c>
      <c r="D5" s="2206" t="s">
        <v>633</v>
      </c>
      <c r="E5" s="2206" t="s">
        <v>882</v>
      </c>
      <c r="F5" s="2207" t="s">
        <v>883</v>
      </c>
      <c r="G5" s="2329"/>
      <c r="H5" s="2330"/>
      <c r="I5" s="2330"/>
      <c r="J5" s="2331"/>
      <c r="K5" s="2331"/>
    </row>
    <row r="6" spans="1:11" s="2213" customFormat="1" ht="12.75" thickTop="1" thickBot="1" x14ac:dyDescent="0.25">
      <c r="A6" s="2209">
        <v>1</v>
      </c>
      <c r="B6" s="2210">
        <v>2</v>
      </c>
      <c r="C6" s="2211">
        <v>3</v>
      </c>
      <c r="D6" s="2211">
        <v>4</v>
      </c>
      <c r="E6" s="2211">
        <v>5</v>
      </c>
      <c r="F6" s="2212" t="s">
        <v>424</v>
      </c>
      <c r="G6" s="2332"/>
      <c r="H6" s="2332"/>
      <c r="I6" s="2332"/>
      <c r="J6" s="2332"/>
      <c r="K6" s="2332"/>
    </row>
    <row r="7" spans="1:11" s="2199" customFormat="1" ht="15.75" thickTop="1" x14ac:dyDescent="0.25">
      <c r="A7" s="2214" t="s">
        <v>635</v>
      </c>
      <c r="B7" s="2215">
        <v>1</v>
      </c>
      <c r="C7" s="2517">
        <f>SUM(C8:C12)</f>
        <v>21852</v>
      </c>
      <c r="D7" s="2517">
        <f>SUM(D8:D12)</f>
        <v>23222</v>
      </c>
      <c r="E7" s="2517">
        <f>SUM(E8:E12)</f>
        <v>20597</v>
      </c>
      <c r="F7" s="2518">
        <f>E7/D7*100</f>
        <v>88.696064077168202</v>
      </c>
      <c r="G7" s="2560">
        <f>SUM(G8:G12)</f>
        <v>21852000</v>
      </c>
      <c r="H7" s="2560">
        <f>SUM(H8:H12)</f>
        <v>23222000</v>
      </c>
      <c r="I7" s="2560">
        <f>SUM(I8:I12)</f>
        <v>20597217.800000001</v>
      </c>
      <c r="J7" s="2216"/>
      <c r="K7" s="2216"/>
    </row>
    <row r="8" spans="1:11" x14ac:dyDescent="0.2">
      <c r="A8" s="2217" t="s">
        <v>636</v>
      </c>
      <c r="B8" s="2218"/>
      <c r="C8" s="2219">
        <f>'01 '!E53</f>
        <v>21624</v>
      </c>
      <c r="D8" s="2219">
        <f>'01 '!F53</f>
        <v>22960</v>
      </c>
      <c r="E8" s="2219">
        <f>'01 '!G53</f>
        <v>20358</v>
      </c>
      <c r="F8" s="2220">
        <f>E8/D8*100</f>
        <v>88.667247386759584</v>
      </c>
      <c r="G8" s="2394">
        <v>21624000</v>
      </c>
      <c r="H8" s="2394">
        <v>22960000</v>
      </c>
      <c r="I8" s="2394">
        <v>20358217.800000001</v>
      </c>
      <c r="J8" s="2221"/>
      <c r="K8" s="2221"/>
    </row>
    <row r="9" spans="1:11" x14ac:dyDescent="0.2">
      <c r="A9" s="2217" t="s">
        <v>637</v>
      </c>
      <c r="B9" s="2222"/>
      <c r="C9" s="2219">
        <f>'01 '!E54</f>
        <v>0</v>
      </c>
      <c r="D9" s="2219">
        <f>'01 '!F54</f>
        <v>0</v>
      </c>
      <c r="E9" s="2219">
        <f>'01 '!G54</f>
        <v>0</v>
      </c>
      <c r="F9" s="2220">
        <v>0</v>
      </c>
      <c r="G9" s="2394">
        <v>0</v>
      </c>
      <c r="H9" s="2394">
        <v>0</v>
      </c>
      <c r="I9" s="2394">
        <v>0</v>
      </c>
      <c r="J9" s="2221"/>
      <c r="K9" s="2221"/>
    </row>
    <row r="10" spans="1:11" x14ac:dyDescent="0.2">
      <c r="A10" s="2223" t="s">
        <v>643</v>
      </c>
      <c r="B10" s="2218"/>
      <c r="C10" s="2219">
        <f>'01 '!E55</f>
        <v>0</v>
      </c>
      <c r="D10" s="2219">
        <f>'01 '!F55</f>
        <v>0</v>
      </c>
      <c r="E10" s="2219">
        <f>'01 '!G55</f>
        <v>0</v>
      </c>
      <c r="F10" s="2220">
        <v>0</v>
      </c>
      <c r="G10" s="2394">
        <v>0</v>
      </c>
      <c r="H10" s="2394">
        <v>0</v>
      </c>
      <c r="I10" s="2394">
        <v>0</v>
      </c>
      <c r="J10" s="2221"/>
      <c r="K10" s="2221"/>
    </row>
    <row r="11" spans="1:11" x14ac:dyDescent="0.2">
      <c r="A11" s="2223" t="s">
        <v>644</v>
      </c>
      <c r="B11" s="2218"/>
      <c r="C11" s="2219">
        <f>'01 '!E56</f>
        <v>0</v>
      </c>
      <c r="D11" s="2219">
        <f>'01 '!F56</f>
        <v>0</v>
      </c>
      <c r="E11" s="2219">
        <f>'01 '!G56</f>
        <v>0</v>
      </c>
      <c r="F11" s="2220">
        <v>0</v>
      </c>
      <c r="G11" s="2394">
        <v>0</v>
      </c>
      <c r="H11" s="2394">
        <v>0</v>
      </c>
      <c r="I11" s="2394">
        <v>0</v>
      </c>
      <c r="J11" s="2221"/>
      <c r="K11" s="2221"/>
    </row>
    <row r="12" spans="1:11" x14ac:dyDescent="0.2">
      <c r="A12" s="2224" t="s">
        <v>1179</v>
      </c>
      <c r="B12" s="2225"/>
      <c r="C12" s="2226">
        <f>SUM('01 '!E57)</f>
        <v>228</v>
      </c>
      <c r="D12" s="2226">
        <f>SUM('01 '!F57)</f>
        <v>262</v>
      </c>
      <c r="E12" s="2226">
        <f>SUM('01 '!G57)</f>
        <v>239</v>
      </c>
      <c r="F12" s="2227">
        <f t="shared" ref="F12:F44" si="0">E12/D12*100</f>
        <v>91.221374045801525</v>
      </c>
      <c r="G12" s="2561">
        <v>228000</v>
      </c>
      <c r="H12" s="2559">
        <v>262000</v>
      </c>
      <c r="I12" s="2559">
        <v>239000</v>
      </c>
      <c r="J12" s="2221"/>
      <c r="K12" s="2221"/>
    </row>
    <row r="13" spans="1:11" s="2233" customFormat="1" ht="14.25" customHeight="1" x14ac:dyDescent="0.25">
      <c r="A13" s="2616" t="s">
        <v>1858</v>
      </c>
      <c r="B13" s="2230">
        <v>2</v>
      </c>
      <c r="C13" s="2231">
        <f>SUM(C16:C19)</f>
        <v>26975</v>
      </c>
      <c r="D13" s="2231">
        <f>SUM(D16:D19)</f>
        <v>34467</v>
      </c>
      <c r="E13" s="2231">
        <f>SUM(E16:E19)</f>
        <v>32904</v>
      </c>
      <c r="F13" s="2232">
        <f t="shared" si="0"/>
        <v>95.465227609017319</v>
      </c>
      <c r="G13" s="2560">
        <f>SUM(G16:G19)</f>
        <v>26975000</v>
      </c>
      <c r="H13" s="2560">
        <f>SUM(H16:H19)</f>
        <v>34466511</v>
      </c>
      <c r="I13" s="2560">
        <f>SUM(I16:I19)</f>
        <v>32904190.890000001</v>
      </c>
      <c r="J13" s="2216"/>
      <c r="K13" s="2216"/>
    </row>
    <row r="14" spans="1:11" s="2233" customFormat="1" ht="13.5" customHeight="1" x14ac:dyDescent="0.25">
      <c r="A14" s="2617"/>
      <c r="B14" s="2235"/>
      <c r="C14" s="2241"/>
      <c r="D14" s="2241"/>
      <c r="E14" s="2241"/>
      <c r="F14" s="2236"/>
      <c r="G14" s="2560"/>
      <c r="H14" s="2560"/>
      <c r="I14" s="2560"/>
      <c r="J14" s="2216"/>
      <c r="K14" s="2216"/>
    </row>
    <row r="15" spans="1:11" s="2233" customFormat="1" ht="14.25" customHeight="1" x14ac:dyDescent="0.25">
      <c r="A15" s="2618"/>
      <c r="B15" s="2235"/>
      <c r="C15" s="2241"/>
      <c r="D15" s="2241"/>
      <c r="E15" s="2241"/>
      <c r="F15" s="2236"/>
      <c r="G15" s="2560"/>
      <c r="H15" s="2560"/>
      <c r="I15" s="2560"/>
      <c r="J15" s="2216"/>
      <c r="K15" s="2216"/>
    </row>
    <row r="16" spans="1:11" x14ac:dyDescent="0.2">
      <c r="A16" s="2217" t="s">
        <v>636</v>
      </c>
      <c r="B16" s="2218"/>
      <c r="C16" s="2219">
        <f>'02'!E165</f>
        <v>24975</v>
      </c>
      <c r="D16" s="2219">
        <f>'02'!F165</f>
        <v>22346</v>
      </c>
      <c r="E16" s="2219">
        <f>'02'!G165</f>
        <v>20795</v>
      </c>
      <c r="F16" s="2220">
        <f t="shared" si="0"/>
        <v>93.059160476147866</v>
      </c>
      <c r="G16" s="2394">
        <v>24975000</v>
      </c>
      <c r="H16" s="2394">
        <v>22346000</v>
      </c>
      <c r="I16" s="2394">
        <v>20795416.390000001</v>
      </c>
      <c r="J16" s="2221"/>
      <c r="K16" s="2221"/>
    </row>
    <row r="17" spans="1:12" x14ac:dyDescent="0.2">
      <c r="A17" s="2217" t="s">
        <v>637</v>
      </c>
      <c r="B17" s="2218"/>
      <c r="C17" s="2219">
        <f>'02'!E166</f>
        <v>2000</v>
      </c>
      <c r="D17" s="2219">
        <f>'02'!F166</f>
        <v>5192</v>
      </c>
      <c r="E17" s="2219">
        <f>'02'!G166</f>
        <v>5180</v>
      </c>
      <c r="F17" s="2220">
        <f t="shared" si="0"/>
        <v>99.768875192604</v>
      </c>
      <c r="G17" s="2394">
        <v>2000000</v>
      </c>
      <c r="H17" s="2394">
        <v>5192000</v>
      </c>
      <c r="I17" s="2394">
        <v>5180263.5</v>
      </c>
      <c r="J17" s="2221"/>
      <c r="K17" s="2221"/>
    </row>
    <row r="18" spans="1:12" x14ac:dyDescent="0.2">
      <c r="A18" s="2223" t="s">
        <v>643</v>
      </c>
      <c r="B18" s="2218"/>
      <c r="C18" s="2219">
        <f>'02'!E167</f>
        <v>0</v>
      </c>
      <c r="D18" s="2219">
        <f>'02'!F167</f>
        <v>6929</v>
      </c>
      <c r="E18" s="2219">
        <f>'02'!G167</f>
        <v>6929</v>
      </c>
      <c r="F18" s="2220">
        <f t="shared" si="0"/>
        <v>100</v>
      </c>
      <c r="G18" s="2563">
        <v>0</v>
      </c>
      <c r="H18" s="2394">
        <v>6928511</v>
      </c>
      <c r="I18" s="2394">
        <v>6928511</v>
      </c>
      <c r="J18" s="2221"/>
      <c r="K18" s="2221"/>
    </row>
    <row r="19" spans="1:12" x14ac:dyDescent="0.2">
      <c r="A19" s="2234" t="s">
        <v>644</v>
      </c>
      <c r="B19" s="2225"/>
      <c r="C19" s="2226">
        <f>'02'!E168</f>
        <v>0</v>
      </c>
      <c r="D19" s="2226">
        <f>'02'!F168</f>
        <v>0</v>
      </c>
      <c r="E19" s="2226">
        <f>'02'!G168</f>
        <v>0</v>
      </c>
      <c r="F19" s="2220">
        <v>0</v>
      </c>
      <c r="G19" s="2561">
        <v>0</v>
      </c>
      <c r="H19" s="2559">
        <v>0</v>
      </c>
      <c r="I19" s="2559">
        <v>0</v>
      </c>
      <c r="J19" s="2221"/>
      <c r="K19" s="2221"/>
    </row>
    <row r="20" spans="1:12" s="2233" customFormat="1" ht="15" x14ac:dyDescent="0.25">
      <c r="A20" s="2229" t="s">
        <v>1157</v>
      </c>
      <c r="B20" s="2230">
        <v>3</v>
      </c>
      <c r="C20" s="2231">
        <f>SUM(C21:C25)</f>
        <v>300811</v>
      </c>
      <c r="D20" s="2231">
        <f>SUM(D21:D25)</f>
        <v>314541</v>
      </c>
      <c r="E20" s="2231">
        <f>SUM(E21:E25)</f>
        <v>309129</v>
      </c>
      <c r="F20" s="2232">
        <f>E20/D20*100</f>
        <v>98.279397598405296</v>
      </c>
      <c r="G20" s="2560">
        <f>SUM(G21:G25)</f>
        <v>300811000</v>
      </c>
      <c r="H20" s="2560">
        <f>SUM(H21:H25)</f>
        <v>314540903.92999995</v>
      </c>
      <c r="I20" s="2560">
        <f>SUM(I21:I25)</f>
        <v>309128469.22999996</v>
      </c>
      <c r="J20" s="2560"/>
      <c r="K20" s="2560"/>
    </row>
    <row r="21" spans="1:12" s="2233" customFormat="1" x14ac:dyDescent="0.2">
      <c r="A21" s="2217" t="s">
        <v>636</v>
      </c>
      <c r="B21" s="2235"/>
      <c r="C21" s="2219">
        <f>SUM('03'!E157)</f>
        <v>294651</v>
      </c>
      <c r="D21" s="2219">
        <f>SUM('03'!F157)</f>
        <v>305002</v>
      </c>
      <c r="E21" s="2219">
        <f>SUM('03'!G157)</f>
        <v>300764</v>
      </c>
      <c r="F21" s="2220">
        <f t="shared" si="0"/>
        <v>98.610500914748101</v>
      </c>
      <c r="G21" s="2394">
        <v>294651000</v>
      </c>
      <c r="H21" s="2394">
        <v>305002651.58999997</v>
      </c>
      <c r="I21" s="2394">
        <v>300764051.89999998</v>
      </c>
      <c r="J21" s="2394"/>
      <c r="K21" s="2394"/>
      <c r="L21" s="2335"/>
    </row>
    <row r="22" spans="1:12" s="2233" customFormat="1" x14ac:dyDescent="0.2">
      <c r="A22" s="2217" t="s">
        <v>637</v>
      </c>
      <c r="B22" s="2235"/>
      <c r="C22" s="2219">
        <f>'03'!E158</f>
        <v>0</v>
      </c>
      <c r="D22" s="2219">
        <f>'03'!F158</f>
        <v>1767</v>
      </c>
      <c r="E22" s="2219">
        <f>'03'!G158</f>
        <v>1666</v>
      </c>
      <c r="F22" s="2220">
        <f t="shared" si="0"/>
        <v>94.284097340124504</v>
      </c>
      <c r="G22" s="2394">
        <v>0</v>
      </c>
      <c r="H22" s="2394">
        <v>1766535</v>
      </c>
      <c r="I22" s="2394">
        <v>1666164.14</v>
      </c>
      <c r="J22" s="2394"/>
      <c r="K22" s="2394"/>
      <c r="L22" s="2394"/>
    </row>
    <row r="23" spans="1:12" x14ac:dyDescent="0.2">
      <c r="A23" s="2223" t="s">
        <v>643</v>
      </c>
      <c r="B23" s="2218"/>
      <c r="C23" s="2219">
        <f>'03'!E159</f>
        <v>0</v>
      </c>
      <c r="D23" s="2219">
        <f>'03'!F159</f>
        <v>1112</v>
      </c>
      <c r="E23" s="2219">
        <f>'03'!G159</f>
        <v>863</v>
      </c>
      <c r="F23" s="2220">
        <f t="shared" si="0"/>
        <v>77.607913669064743</v>
      </c>
      <c r="G23" s="2394">
        <v>0</v>
      </c>
      <c r="H23" s="2394">
        <v>1111717.3400000001</v>
      </c>
      <c r="I23" s="2394">
        <v>862753.19</v>
      </c>
      <c r="J23" s="2394"/>
      <c r="K23" s="2394"/>
      <c r="L23" s="2394"/>
    </row>
    <row r="24" spans="1:12" x14ac:dyDescent="0.2">
      <c r="A24" s="2223" t="s">
        <v>644</v>
      </c>
      <c r="B24" s="2218"/>
      <c r="C24" s="2219">
        <f>'03'!E160</f>
        <v>0</v>
      </c>
      <c r="D24" s="2219">
        <v>0</v>
      </c>
      <c r="E24" s="2219">
        <v>0</v>
      </c>
      <c r="F24" s="2220">
        <v>0</v>
      </c>
      <c r="G24" s="2394">
        <v>0</v>
      </c>
      <c r="H24" s="2394">
        <v>0</v>
      </c>
      <c r="I24" s="2394">
        <v>0</v>
      </c>
      <c r="J24" s="2394"/>
      <c r="K24" s="2394"/>
      <c r="L24" s="2328"/>
    </row>
    <row r="25" spans="1:12" x14ac:dyDescent="0.2">
      <c r="A25" s="2224" t="s">
        <v>1179</v>
      </c>
      <c r="B25" s="2225"/>
      <c r="C25" s="2226">
        <f>SUM('03'!E161)</f>
        <v>6160</v>
      </c>
      <c r="D25" s="2226">
        <f>SUM('03'!F161)</f>
        <v>6660</v>
      </c>
      <c r="E25" s="2226">
        <f>SUM('03'!G161)</f>
        <v>5836</v>
      </c>
      <c r="F25" s="2227">
        <f t="shared" si="0"/>
        <v>87.627627627627618</v>
      </c>
      <c r="G25" s="2561">
        <v>6160000</v>
      </c>
      <c r="H25" s="2559">
        <v>6660000</v>
      </c>
      <c r="I25" s="2559">
        <v>5835500</v>
      </c>
      <c r="J25" s="2394"/>
      <c r="K25" s="2394"/>
    </row>
    <row r="26" spans="1:12" s="2233" customFormat="1" ht="15" x14ac:dyDescent="0.25">
      <c r="A26" s="2229" t="s">
        <v>1158</v>
      </c>
      <c r="B26" s="2230">
        <v>4</v>
      </c>
      <c r="C26" s="2231">
        <f>SUM(C27:C30)</f>
        <v>34975</v>
      </c>
      <c r="D26" s="2231">
        <f>SUM(D27:D30)</f>
        <v>35302</v>
      </c>
      <c r="E26" s="2231">
        <f>SUM(E27:E30)</f>
        <v>33948</v>
      </c>
      <c r="F26" s="2236">
        <f t="shared" si="0"/>
        <v>96.164523256472719</v>
      </c>
      <c r="G26" s="2560">
        <f>SUM(G27:G30)</f>
        <v>34975000</v>
      </c>
      <c r="H26" s="2560">
        <f>SUM(H27:H30)</f>
        <v>35302144</v>
      </c>
      <c r="I26" s="2560">
        <f>SUM(I27:I30)</f>
        <v>33948376</v>
      </c>
      <c r="J26" s="2216"/>
      <c r="K26" s="2216"/>
    </row>
    <row r="27" spans="1:12" s="2233" customFormat="1" x14ac:dyDescent="0.2">
      <c r="A27" s="2217" t="s">
        <v>636</v>
      </c>
      <c r="B27" s="2235"/>
      <c r="C27" s="2219">
        <f>'04'!E39</f>
        <v>34203</v>
      </c>
      <c r="D27" s="2219">
        <f>'04'!F39</f>
        <v>33648</v>
      </c>
      <c r="E27" s="2219">
        <f>'04'!G39</f>
        <v>32884</v>
      </c>
      <c r="F27" s="2220">
        <f t="shared" si="0"/>
        <v>97.729434141702328</v>
      </c>
      <c r="G27" s="2394">
        <v>34203000</v>
      </c>
      <c r="H27" s="2394">
        <v>33647794</v>
      </c>
      <c r="I27" s="2394">
        <v>32884076</v>
      </c>
      <c r="J27" s="2221"/>
      <c r="K27" s="2221"/>
    </row>
    <row r="28" spans="1:12" s="2233" customFormat="1" x14ac:dyDescent="0.2">
      <c r="A28" s="2217" t="s">
        <v>637</v>
      </c>
      <c r="B28" s="2235"/>
      <c r="C28" s="2219">
        <f>'04'!E40</f>
        <v>772</v>
      </c>
      <c r="D28" s="2219">
        <f>'04'!F40</f>
        <v>1473</v>
      </c>
      <c r="E28" s="2219">
        <f>'04'!G40</f>
        <v>883</v>
      </c>
      <c r="F28" s="2220">
        <f t="shared" si="0"/>
        <v>59.945689069925322</v>
      </c>
      <c r="G28" s="2394">
        <v>772000</v>
      </c>
      <c r="H28" s="2394">
        <v>1473450</v>
      </c>
      <c r="I28" s="2394">
        <v>883400</v>
      </c>
      <c r="J28" s="2221"/>
      <c r="K28" s="2221"/>
    </row>
    <row r="29" spans="1:12" x14ac:dyDescent="0.2">
      <c r="A29" s="2223" t="s">
        <v>643</v>
      </c>
      <c r="B29" s="2218"/>
      <c r="C29" s="2219">
        <f>'04'!E41</f>
        <v>0</v>
      </c>
      <c r="D29" s="2219">
        <f>'04'!F41</f>
        <v>0</v>
      </c>
      <c r="E29" s="2219">
        <f>'04'!G41</f>
        <v>0</v>
      </c>
      <c r="F29" s="2220">
        <v>0</v>
      </c>
      <c r="G29" s="2394">
        <v>0</v>
      </c>
      <c r="H29" s="2394">
        <v>0</v>
      </c>
      <c r="I29" s="2394">
        <v>0</v>
      </c>
      <c r="J29" s="2221"/>
      <c r="K29" s="2221"/>
    </row>
    <row r="30" spans="1:12" x14ac:dyDescent="0.2">
      <c r="A30" s="2237" t="s">
        <v>644</v>
      </c>
      <c r="B30" s="2225"/>
      <c r="C30" s="2226">
        <f>'04'!E42</f>
        <v>0</v>
      </c>
      <c r="D30" s="2226">
        <f>'04'!F42</f>
        <v>181</v>
      </c>
      <c r="E30" s="2226">
        <f>'04'!G42</f>
        <v>181</v>
      </c>
      <c r="F30" s="2227">
        <f t="shared" si="0"/>
        <v>100</v>
      </c>
      <c r="G30" s="2561">
        <v>0</v>
      </c>
      <c r="H30" s="2559">
        <v>180900</v>
      </c>
      <c r="I30" s="2559">
        <v>180900</v>
      </c>
      <c r="J30" s="2221"/>
      <c r="K30" s="2221"/>
    </row>
    <row r="31" spans="1:12" s="2233" customFormat="1" ht="15" x14ac:dyDescent="0.25">
      <c r="A31" s="2238" t="s">
        <v>224</v>
      </c>
      <c r="B31" s="2230">
        <v>5</v>
      </c>
      <c r="C31" s="2231">
        <f>SUM(C32:C35)</f>
        <v>75</v>
      </c>
      <c r="D31" s="2231">
        <f>SUM(D32:D35)</f>
        <v>70</v>
      </c>
      <c r="E31" s="2231">
        <f>SUM(E32:E35)</f>
        <v>46</v>
      </c>
      <c r="F31" s="2236">
        <f t="shared" si="0"/>
        <v>65.714285714285708</v>
      </c>
      <c r="G31" s="2560">
        <f>SUM(G32:G35)</f>
        <v>75000</v>
      </c>
      <c r="H31" s="2560">
        <f>SUM(H32:H35)</f>
        <v>70000</v>
      </c>
      <c r="I31" s="2560">
        <f>SUM(I32:I35)</f>
        <v>46066</v>
      </c>
      <c r="J31" s="2216"/>
      <c r="K31" s="2216"/>
    </row>
    <row r="32" spans="1:12" s="2233" customFormat="1" x14ac:dyDescent="0.2">
      <c r="A32" s="2239" t="s">
        <v>636</v>
      </c>
      <c r="B32" s="2235"/>
      <c r="C32" s="2219">
        <f>'05'!E16</f>
        <v>75</v>
      </c>
      <c r="D32" s="2219">
        <f>'05'!F16</f>
        <v>70</v>
      </c>
      <c r="E32" s="2219">
        <f>'05'!G16</f>
        <v>46</v>
      </c>
      <c r="F32" s="2220">
        <f t="shared" si="0"/>
        <v>65.714285714285708</v>
      </c>
      <c r="G32" s="2394">
        <v>75000</v>
      </c>
      <c r="H32" s="2394">
        <v>70000</v>
      </c>
      <c r="I32" s="2394">
        <v>46066</v>
      </c>
      <c r="J32" s="2221"/>
      <c r="K32" s="2221"/>
    </row>
    <row r="33" spans="1:20" s="2233" customFormat="1" x14ac:dyDescent="0.2">
      <c r="A33" s="2239" t="s">
        <v>637</v>
      </c>
      <c r="B33" s="2235"/>
      <c r="C33" s="2219">
        <f>'05'!E17</f>
        <v>0</v>
      </c>
      <c r="D33" s="2219">
        <f>'05'!F17</f>
        <v>0</v>
      </c>
      <c r="E33" s="2219">
        <f>'05'!G17</f>
        <v>0</v>
      </c>
      <c r="F33" s="2220">
        <v>0</v>
      </c>
      <c r="G33" s="2394">
        <v>0</v>
      </c>
      <c r="H33" s="2394">
        <v>0</v>
      </c>
      <c r="I33" s="2394">
        <v>0</v>
      </c>
      <c r="J33" s="2221"/>
      <c r="K33" s="2221"/>
    </row>
    <row r="34" spans="1:20" s="2233" customFormat="1" x14ac:dyDescent="0.2">
      <c r="A34" s="2223" t="s">
        <v>643</v>
      </c>
      <c r="B34" s="2235"/>
      <c r="C34" s="2219">
        <f>'05'!E18</f>
        <v>0</v>
      </c>
      <c r="D34" s="2219">
        <f>'05'!F18</f>
        <v>0</v>
      </c>
      <c r="E34" s="2219">
        <f>'05'!G18</f>
        <v>0</v>
      </c>
      <c r="F34" s="2220">
        <v>0</v>
      </c>
      <c r="G34" s="2394">
        <v>0</v>
      </c>
      <c r="H34" s="2394">
        <v>0</v>
      </c>
      <c r="I34" s="2394">
        <v>0</v>
      </c>
      <c r="J34" s="2221"/>
      <c r="K34" s="2221"/>
    </row>
    <row r="35" spans="1:20" s="2233" customFormat="1" x14ac:dyDescent="0.2">
      <c r="A35" s="2234" t="s">
        <v>644</v>
      </c>
      <c r="B35" s="2240"/>
      <c r="C35" s="2226">
        <f>'05'!E19</f>
        <v>0</v>
      </c>
      <c r="D35" s="2226">
        <f>'05'!F19</f>
        <v>0</v>
      </c>
      <c r="E35" s="2226">
        <f>'05'!G19</f>
        <v>0</v>
      </c>
      <c r="F35" s="2227">
        <v>0</v>
      </c>
      <c r="G35" s="2561">
        <v>0</v>
      </c>
      <c r="H35" s="2559">
        <v>0</v>
      </c>
      <c r="I35" s="2559">
        <v>0</v>
      </c>
      <c r="J35" s="2221"/>
      <c r="K35" s="2221"/>
    </row>
    <row r="36" spans="1:20" s="2233" customFormat="1" ht="15" x14ac:dyDescent="0.25">
      <c r="A36" s="2229" t="s">
        <v>1828</v>
      </c>
      <c r="B36" s="2235">
        <v>6</v>
      </c>
      <c r="C36" s="2241">
        <f>SUM(C37:C40)</f>
        <v>28013</v>
      </c>
      <c r="D36" s="2241">
        <f>SUM(D37:D40)</f>
        <v>27297</v>
      </c>
      <c r="E36" s="2241">
        <f>SUM(E37:E40)</f>
        <v>24862</v>
      </c>
      <c r="F36" s="2236">
        <f t="shared" si="0"/>
        <v>91.07960581748911</v>
      </c>
      <c r="G36" s="2560">
        <f>SUM(G37:G40)</f>
        <v>28013000</v>
      </c>
      <c r="H36" s="2560">
        <f>SUM(H37:H40)</f>
        <v>27297000</v>
      </c>
      <c r="I36" s="2560">
        <f>SUM(I37:I40)</f>
        <v>24862340.920000002</v>
      </c>
      <c r="J36" s="2216"/>
      <c r="K36" s="2216"/>
    </row>
    <row r="37" spans="1:20" s="2233" customFormat="1" x14ac:dyDescent="0.2">
      <c r="A37" s="2217" t="s">
        <v>636</v>
      </c>
      <c r="B37" s="2235"/>
      <c r="C37" s="2219">
        <f>'06'!E37</f>
        <v>28013</v>
      </c>
      <c r="D37" s="2219">
        <f>'06'!F37</f>
        <v>26010</v>
      </c>
      <c r="E37" s="2219">
        <f>'06'!G37</f>
        <v>24775</v>
      </c>
      <c r="F37" s="2220">
        <f t="shared" si="0"/>
        <v>95.25182622068435</v>
      </c>
      <c r="G37" s="2394">
        <v>28013000</v>
      </c>
      <c r="H37" s="2394">
        <v>26009880</v>
      </c>
      <c r="I37" s="2394">
        <v>24775220.920000002</v>
      </c>
      <c r="J37" s="2221"/>
      <c r="K37" s="2221"/>
    </row>
    <row r="38" spans="1:20" s="2233" customFormat="1" x14ac:dyDescent="0.2">
      <c r="A38" s="2217" t="s">
        <v>637</v>
      </c>
      <c r="B38" s="2235"/>
      <c r="C38" s="2219">
        <f>'06'!E38</f>
        <v>0</v>
      </c>
      <c r="D38" s="2219">
        <f>'06'!F38</f>
        <v>1287</v>
      </c>
      <c r="E38" s="2219">
        <f>'06'!G38</f>
        <v>87</v>
      </c>
      <c r="F38" s="2220">
        <f t="shared" si="0"/>
        <v>6.7599067599067597</v>
      </c>
      <c r="G38" s="2394">
        <v>0</v>
      </c>
      <c r="H38" s="2394">
        <v>1287120</v>
      </c>
      <c r="I38" s="2394">
        <v>87120</v>
      </c>
      <c r="J38" s="2221"/>
      <c r="K38" s="2221"/>
    </row>
    <row r="39" spans="1:20" x14ac:dyDescent="0.2">
      <c r="A39" s="2223" t="s">
        <v>643</v>
      </c>
      <c r="B39" s="2218"/>
      <c r="C39" s="2219">
        <f>'06'!E39</f>
        <v>0</v>
      </c>
      <c r="D39" s="2219">
        <f>'06'!F39</f>
        <v>0</v>
      </c>
      <c r="E39" s="2219">
        <f>'06'!G39</f>
        <v>0</v>
      </c>
      <c r="F39" s="2220">
        <v>0</v>
      </c>
      <c r="G39" s="2394">
        <v>0</v>
      </c>
      <c r="H39" s="2394">
        <v>0</v>
      </c>
      <c r="I39" s="2394">
        <v>0</v>
      </c>
      <c r="J39" s="2221"/>
      <c r="K39" s="2221"/>
    </row>
    <row r="40" spans="1:20" x14ac:dyDescent="0.2">
      <c r="A40" s="2234" t="s">
        <v>644</v>
      </c>
      <c r="B40" s="2225"/>
      <c r="C40" s="2226">
        <f>'06'!E40</f>
        <v>0</v>
      </c>
      <c r="D40" s="2226">
        <f>'06'!F40</f>
        <v>0</v>
      </c>
      <c r="E40" s="2226">
        <f>'06'!G40</f>
        <v>0</v>
      </c>
      <c r="F40" s="2227">
        <v>0</v>
      </c>
      <c r="G40" s="2561">
        <v>0</v>
      </c>
      <c r="H40" s="2559">
        <v>0</v>
      </c>
      <c r="I40" s="2559">
        <v>0</v>
      </c>
      <c r="J40" s="2221"/>
      <c r="K40" s="2221"/>
    </row>
    <row r="41" spans="1:20" s="2233" customFormat="1" ht="15" x14ac:dyDescent="0.25">
      <c r="A41" s="2229" t="s">
        <v>225</v>
      </c>
      <c r="B41" s="2230">
        <v>7</v>
      </c>
      <c r="C41" s="2231">
        <f>SUM(C42:C46)</f>
        <v>136490</v>
      </c>
      <c r="D41" s="2231">
        <f>SUM(D42:D46)</f>
        <v>367332</v>
      </c>
      <c r="E41" s="2231">
        <f>SUM(E42:E46)</f>
        <v>45002</v>
      </c>
      <c r="F41" s="2236">
        <f t="shared" si="0"/>
        <v>12.251042653512354</v>
      </c>
      <c r="G41" s="2560">
        <f>SUM(G42:G46)</f>
        <v>136490000</v>
      </c>
      <c r="H41" s="2560">
        <f>SUM(H42:H46)</f>
        <v>367332580.37</v>
      </c>
      <c r="I41" s="2560">
        <f>SUM(I42:I46)</f>
        <v>45002371.899999999</v>
      </c>
      <c r="J41" s="2216"/>
      <c r="K41" s="2216"/>
    </row>
    <row r="42" spans="1:20" s="2233" customFormat="1" x14ac:dyDescent="0.2">
      <c r="A42" s="2217" t="s">
        <v>636</v>
      </c>
      <c r="B42" s="2235"/>
      <c r="C42" s="2219">
        <f>'07'!E46</f>
        <v>136490</v>
      </c>
      <c r="D42" s="2219">
        <f>'07'!F46</f>
        <v>364997</v>
      </c>
      <c r="E42" s="2219">
        <f>'07'!G46</f>
        <v>45002</v>
      </c>
      <c r="F42" s="2220">
        <f t="shared" si="0"/>
        <v>12.329416406162244</v>
      </c>
      <c r="G42" s="2394">
        <v>136490000</v>
      </c>
      <c r="H42" s="2394">
        <v>364997900.37</v>
      </c>
      <c r="I42" s="2394">
        <v>45002371.899999999</v>
      </c>
      <c r="J42" s="2221"/>
      <c r="K42" s="2221"/>
    </row>
    <row r="43" spans="1:20" s="2233" customFormat="1" x14ac:dyDescent="0.2">
      <c r="A43" s="2217" t="s">
        <v>637</v>
      </c>
      <c r="B43" s="2235"/>
      <c r="C43" s="2219">
        <f>'07'!E47</f>
        <v>0</v>
      </c>
      <c r="D43" s="2219">
        <f>'07'!F47</f>
        <v>0</v>
      </c>
      <c r="E43" s="2219">
        <f>'07'!G47</f>
        <v>0</v>
      </c>
      <c r="F43" s="2220">
        <v>0</v>
      </c>
      <c r="G43" s="2394">
        <v>0</v>
      </c>
      <c r="H43" s="2394">
        <v>0</v>
      </c>
      <c r="I43" s="2394">
        <v>0</v>
      </c>
      <c r="J43" s="2221"/>
      <c r="K43" s="2221"/>
    </row>
    <row r="44" spans="1:20" x14ac:dyDescent="0.2">
      <c r="A44" s="2223" t="s">
        <v>643</v>
      </c>
      <c r="B44" s="2218"/>
      <c r="C44" s="2219">
        <f>'07'!E48</f>
        <v>0</v>
      </c>
      <c r="D44" s="2219">
        <f>'07'!F48</f>
        <v>2335</v>
      </c>
      <c r="E44" s="2219">
        <f>'07'!G48</f>
        <v>0</v>
      </c>
      <c r="F44" s="2220">
        <f t="shared" si="0"/>
        <v>0</v>
      </c>
      <c r="G44" s="2394">
        <v>0</v>
      </c>
      <c r="H44" s="2394">
        <v>2334680</v>
      </c>
      <c r="I44" s="2394">
        <v>0</v>
      </c>
      <c r="J44" s="2221"/>
      <c r="K44" s="2221"/>
    </row>
    <row r="45" spans="1:20" x14ac:dyDescent="0.2">
      <c r="A45" s="2223" t="s">
        <v>644</v>
      </c>
      <c r="B45" s="2218"/>
      <c r="C45" s="2219">
        <f>'07'!E49</f>
        <v>0</v>
      </c>
      <c r="D45" s="2219">
        <f>'07'!F49</f>
        <v>0</v>
      </c>
      <c r="E45" s="2219">
        <f>'07'!G49</f>
        <v>0</v>
      </c>
      <c r="F45" s="2220">
        <v>0</v>
      </c>
      <c r="G45" s="2563">
        <v>0</v>
      </c>
      <c r="H45" s="2394">
        <v>0</v>
      </c>
      <c r="I45" s="2394">
        <v>0</v>
      </c>
      <c r="J45" s="2221"/>
      <c r="K45" s="2221"/>
      <c r="R45" s="2203"/>
    </row>
    <row r="46" spans="1:20" x14ac:dyDescent="0.2">
      <c r="A46" s="2224" t="s">
        <v>1179</v>
      </c>
      <c r="B46" s="2225"/>
      <c r="C46" s="2226">
        <v>0</v>
      </c>
      <c r="D46" s="2226">
        <v>0</v>
      </c>
      <c r="E46" s="2226">
        <v>0</v>
      </c>
      <c r="F46" s="2227">
        <v>0</v>
      </c>
      <c r="G46" s="2561">
        <v>0</v>
      </c>
      <c r="H46" s="2559">
        <v>0</v>
      </c>
      <c r="I46" s="2559">
        <v>0</v>
      </c>
      <c r="J46" s="2221"/>
      <c r="K46" s="2221"/>
      <c r="R46" s="2203"/>
      <c r="S46" s="2203"/>
      <c r="T46" s="2203"/>
    </row>
    <row r="47" spans="1:20" s="2233" customFormat="1" ht="15" x14ac:dyDescent="0.25">
      <c r="A47" s="2229" t="s">
        <v>226</v>
      </c>
      <c r="B47" s="2230">
        <v>8</v>
      </c>
      <c r="C47" s="2231">
        <f>SUM(C48:C51)</f>
        <v>27150</v>
      </c>
      <c r="D47" s="2231">
        <f>SUM(D48:D51)</f>
        <v>26938</v>
      </c>
      <c r="E47" s="2231">
        <f>SUM(E48:E51)</f>
        <v>25578</v>
      </c>
      <c r="F47" s="2236">
        <f>E47/D47*100</f>
        <v>94.951369812161261</v>
      </c>
      <c r="G47" s="2560">
        <f>SUM(G48:G51)</f>
        <v>27150000</v>
      </c>
      <c r="H47" s="2560">
        <f>SUM(H48:H51)</f>
        <v>26937600</v>
      </c>
      <c r="I47" s="2560">
        <f>SUM(I48:I51)</f>
        <v>25577977.189999998</v>
      </c>
      <c r="J47" s="2216"/>
      <c r="K47" s="2216"/>
      <c r="Q47" s="2198" t="s">
        <v>642</v>
      </c>
      <c r="R47" s="2203">
        <f t="shared" ref="R47:T48" si="1">C53+C48+C42+C37+C32+C27+C21+C16+C8</f>
        <v>584911</v>
      </c>
      <c r="S47" s="2203">
        <f t="shared" si="1"/>
        <v>812417</v>
      </c>
      <c r="T47" s="2203">
        <f t="shared" si="1"/>
        <v>480030</v>
      </c>
    </row>
    <row r="48" spans="1:20" s="2233" customFormat="1" x14ac:dyDescent="0.2">
      <c r="A48" s="2217" t="s">
        <v>636</v>
      </c>
      <c r="B48" s="2235"/>
      <c r="C48" s="2219">
        <f>'08'!E93</f>
        <v>25523</v>
      </c>
      <c r="D48" s="2219">
        <f>'08'!F93</f>
        <v>17375</v>
      </c>
      <c r="E48" s="2219">
        <f>'08'!G93</f>
        <v>16111</v>
      </c>
      <c r="F48" s="2220">
        <f>E48/D48*100</f>
        <v>92.725179856115105</v>
      </c>
      <c r="G48" s="2394">
        <v>25523000</v>
      </c>
      <c r="H48" s="2394">
        <v>17374647</v>
      </c>
      <c r="I48" s="2394">
        <v>16111172.189999999</v>
      </c>
      <c r="J48" s="2221"/>
      <c r="K48" s="2221"/>
      <c r="Q48" s="2198" t="s">
        <v>677</v>
      </c>
      <c r="R48" s="2203">
        <f t="shared" si="1"/>
        <v>4899</v>
      </c>
      <c r="S48" s="2203">
        <f t="shared" si="1"/>
        <v>29635</v>
      </c>
      <c r="T48" s="2203">
        <f t="shared" si="1"/>
        <v>27633</v>
      </c>
    </row>
    <row r="49" spans="1:20" s="2233" customFormat="1" x14ac:dyDescent="0.2">
      <c r="A49" s="2217" t="s">
        <v>637</v>
      </c>
      <c r="B49" s="2235"/>
      <c r="C49" s="2219">
        <f>'08'!E94</f>
        <v>1627</v>
      </c>
      <c r="D49" s="2219">
        <f>'08'!F94</f>
        <v>9563</v>
      </c>
      <c r="E49" s="2219">
        <f>'08'!G94</f>
        <v>9467</v>
      </c>
      <c r="F49" s="2220">
        <f>E49/D49*100</f>
        <v>98.996130921259024</v>
      </c>
      <c r="G49" s="2394">
        <v>1627000</v>
      </c>
      <c r="H49" s="2394">
        <v>9562953</v>
      </c>
      <c r="I49" s="2394">
        <v>9466805</v>
      </c>
      <c r="J49" s="2221"/>
      <c r="K49" s="2221"/>
      <c r="Q49" s="2198" t="s">
        <v>678</v>
      </c>
      <c r="R49" s="2203">
        <f>C55+C50+C45+C39+C34+C29+C23+C18+C10</f>
        <v>0</v>
      </c>
      <c r="S49" s="2203">
        <f>D55+D50+D44+D39+D34+D29+D23+D18+D10</f>
        <v>12773</v>
      </c>
      <c r="T49" s="2203">
        <f>E55+E50+E44+E39+E34+E29+E23+E18+E10</f>
        <v>10188</v>
      </c>
    </row>
    <row r="50" spans="1:20" x14ac:dyDescent="0.2">
      <c r="A50" s="2223" t="s">
        <v>643</v>
      </c>
      <c r="B50" s="2218"/>
      <c r="C50" s="2219">
        <f>'08'!E95</f>
        <v>0</v>
      </c>
      <c r="D50" s="2219">
        <f>'08'!F95</f>
        <v>0</v>
      </c>
      <c r="E50" s="2219">
        <f>'08'!G95</f>
        <v>0</v>
      </c>
      <c r="F50" s="2220">
        <v>0</v>
      </c>
      <c r="G50" s="2563">
        <v>0</v>
      </c>
      <c r="H50" s="2394">
        <v>0</v>
      </c>
      <c r="I50" s="2394">
        <v>0</v>
      </c>
      <c r="J50" s="2221"/>
      <c r="K50" s="2221"/>
      <c r="Q50" s="2198" t="s">
        <v>1414</v>
      </c>
      <c r="R50" s="2203">
        <f>C56+C51+C46+C40+C35+C30+C24+C19+C11</f>
        <v>0</v>
      </c>
      <c r="S50" s="2203">
        <f>D56+D51+D45+D40+D35+D30+D24+D19+D11</f>
        <v>11777</v>
      </c>
      <c r="T50" s="2203">
        <f>E56+E51+E45+E40+E35+E30+E24+E19+E11</f>
        <v>11777</v>
      </c>
    </row>
    <row r="51" spans="1:20" x14ac:dyDescent="0.2">
      <c r="A51" s="2234" t="s">
        <v>644</v>
      </c>
      <c r="B51" s="2225"/>
      <c r="C51" s="2226">
        <f>'08'!E96</f>
        <v>0</v>
      </c>
      <c r="D51" s="2226">
        <f>'08'!F96</f>
        <v>0</v>
      </c>
      <c r="E51" s="2226">
        <f>'08'!G96</f>
        <v>0</v>
      </c>
      <c r="F51" s="2220">
        <v>0</v>
      </c>
      <c r="G51" s="2561">
        <v>0</v>
      </c>
      <c r="H51" s="2559">
        <v>0</v>
      </c>
      <c r="I51" s="2559">
        <v>0</v>
      </c>
      <c r="J51" s="2221"/>
      <c r="K51" s="2221"/>
      <c r="Q51" s="2198" t="s">
        <v>902</v>
      </c>
      <c r="R51" s="2203">
        <f>C46+C25+C12</f>
        <v>6388</v>
      </c>
      <c r="S51" s="2203">
        <f>D46+D25+D12</f>
        <v>6922</v>
      </c>
      <c r="T51" s="2203">
        <f>E46+E25+E12</f>
        <v>6075</v>
      </c>
    </row>
    <row r="52" spans="1:20" ht="32.25" customHeight="1" x14ac:dyDescent="0.25">
      <c r="A52" s="2511" t="s">
        <v>862</v>
      </c>
      <c r="B52" s="2230">
        <v>9</v>
      </c>
      <c r="C52" s="2231">
        <f>SUM(C53:C56)</f>
        <v>19857</v>
      </c>
      <c r="D52" s="2231">
        <f>SUM(D53:D56)</f>
        <v>44355</v>
      </c>
      <c r="E52" s="2231">
        <f>SUM(E53:E56)</f>
        <v>43637</v>
      </c>
      <c r="F52" s="2232">
        <f>E52/D52*100</f>
        <v>98.38124225002818</v>
      </c>
      <c r="G52" s="2560">
        <f>SUM(G53:G56)</f>
        <v>19857000</v>
      </c>
      <c r="H52" s="2560">
        <f>SUM(H53:H56)</f>
        <v>44354627.659999996</v>
      </c>
      <c r="I52" s="2560">
        <f>SUM(I53:I56)</f>
        <v>43636620.659999996</v>
      </c>
      <c r="J52" s="2216"/>
      <c r="K52" s="2216">
        <f>G52+G47+G41+G36+G31+G26+G20+G13+G7</f>
        <v>596198000</v>
      </c>
      <c r="L52" s="2216">
        <f>H52+H47+H41+H36+H31+H26+H20+H13+H7</f>
        <v>873523366.95999992</v>
      </c>
      <c r="M52" s="2216">
        <f>I52+I47+I41+I36+I31+I26+I20+I13+I7</f>
        <v>535703630.58999997</v>
      </c>
      <c r="N52" s="2250" t="s">
        <v>901</v>
      </c>
      <c r="Q52" s="2233" t="s">
        <v>676</v>
      </c>
      <c r="R52" s="2268">
        <f>R47+R48+R49+R50+R51</f>
        <v>596198</v>
      </c>
      <c r="S52" s="2268">
        <f>S47+S48+S49+S50+S51</f>
        <v>873524</v>
      </c>
      <c r="T52" s="2268">
        <f>T47+T48+T49+T50+T51</f>
        <v>535703</v>
      </c>
    </row>
    <row r="53" spans="1:20" ht="15" customHeight="1" x14ac:dyDescent="0.2">
      <c r="A53" s="2217" t="s">
        <v>636</v>
      </c>
      <c r="B53" s="2235"/>
      <c r="C53" s="2219">
        <f>'09'!E122</f>
        <v>19357</v>
      </c>
      <c r="D53" s="2219">
        <f>'09'!F122</f>
        <v>20009</v>
      </c>
      <c r="E53" s="2219">
        <f>'09'!G122</f>
        <v>19295</v>
      </c>
      <c r="F53" s="2220">
        <f>E53/D53*100</f>
        <v>96.431605777400165</v>
      </c>
      <c r="G53" s="2394">
        <v>19357000</v>
      </c>
      <c r="H53" s="2394">
        <v>20008000</v>
      </c>
      <c r="I53" s="2394">
        <v>19294812.780000001</v>
      </c>
      <c r="J53" s="2221"/>
      <c r="K53" s="2221">
        <f t="shared" ref="K53:M54" si="2">SUM(G8,G16,G21,G27,G32,G37,G42,G48,G53)</f>
        <v>584911000</v>
      </c>
      <c r="L53" s="2221">
        <f t="shared" si="2"/>
        <v>812416872.96000004</v>
      </c>
      <c r="M53" s="2221">
        <f>SUM(I8,I16,I21,I27,I32,I37,I42,I48,I53)</f>
        <v>480031405.88</v>
      </c>
      <c r="N53" s="2242" t="s">
        <v>642</v>
      </c>
      <c r="Q53" s="2198" t="s">
        <v>1439</v>
      </c>
      <c r="R53" s="2203">
        <f>C53+C48+C42+C37+C32+C27+C21+C16+C8+C10+C18+C23+C29+C34+C39+C44+C50+C55</f>
        <v>584911</v>
      </c>
      <c r="S53" s="2203">
        <f>D53+D48+D42+D37+D32+D27+D21+D16+D8+D10+D18+D23+D29+D34+D39+D44+D50+D55</f>
        <v>825190</v>
      </c>
      <c r="T53" s="2203">
        <f>T47+T49</f>
        <v>490218</v>
      </c>
    </row>
    <row r="54" spans="1:20" ht="15" customHeight="1" x14ac:dyDescent="0.2">
      <c r="A54" s="2217" t="s">
        <v>637</v>
      </c>
      <c r="B54" s="2235"/>
      <c r="C54" s="2219">
        <f>'09'!E123</f>
        <v>500</v>
      </c>
      <c r="D54" s="2219">
        <f>'09'!F123</f>
        <v>10353</v>
      </c>
      <c r="E54" s="2219">
        <f>'09'!G123</f>
        <v>10350</v>
      </c>
      <c r="F54" s="2220">
        <f>E54/D54*100</f>
        <v>99.971022891915382</v>
      </c>
      <c r="G54" s="2394">
        <v>500000</v>
      </c>
      <c r="H54" s="2394">
        <v>10353000</v>
      </c>
      <c r="I54" s="2394">
        <v>10350000</v>
      </c>
      <c r="J54" s="2221"/>
      <c r="K54" s="2221">
        <f t="shared" si="2"/>
        <v>4899000</v>
      </c>
      <c r="L54" s="2221">
        <f t="shared" si="2"/>
        <v>29635058</v>
      </c>
      <c r="M54" s="2221">
        <f t="shared" si="2"/>
        <v>27633752.640000001</v>
      </c>
      <c r="N54" s="2243" t="s">
        <v>588</v>
      </c>
      <c r="Q54" s="2198" t="s">
        <v>1440</v>
      </c>
      <c r="R54" s="2203">
        <f>R48+R50</f>
        <v>4899</v>
      </c>
      <c r="S54" s="2203">
        <f>S48+S50</f>
        <v>41412</v>
      </c>
      <c r="T54" s="2203">
        <f>T48+T50</f>
        <v>39410</v>
      </c>
    </row>
    <row r="55" spans="1:20" x14ac:dyDescent="0.2">
      <c r="A55" s="2223" t="s">
        <v>643</v>
      </c>
      <c r="B55" s="2218"/>
      <c r="C55" s="2219">
        <f>'09'!E124</f>
        <v>0</v>
      </c>
      <c r="D55" s="2219">
        <f>'09'!F124</f>
        <v>2397</v>
      </c>
      <c r="E55" s="2219">
        <f>'09'!G124</f>
        <v>2396</v>
      </c>
      <c r="F55" s="2220">
        <f>E55/D55*100</f>
        <v>99.958281184814339</v>
      </c>
      <c r="G55" s="2394">
        <v>0</v>
      </c>
      <c r="H55" s="2394">
        <v>2397207.77</v>
      </c>
      <c r="I55" s="2394">
        <v>2396259.59</v>
      </c>
      <c r="J55" s="2221"/>
      <c r="K55" s="2221">
        <f t="shared" ref="K55:K56" si="3">SUM(G10,G18,G23,G29,G34,G39,G44,G50,G55)</f>
        <v>0</v>
      </c>
      <c r="L55" s="2221">
        <f>SUM(H10,H18,H23,H29,H34,H39,H44,H50,H55)</f>
        <v>12772116.109999999</v>
      </c>
      <c r="M55" s="2221">
        <f>SUM(I10,I18,I23,I29,I34,I39,I44,I50,I55)</f>
        <v>10187523.779999999</v>
      </c>
      <c r="N55" s="2243" t="s">
        <v>678</v>
      </c>
      <c r="Q55" s="2198" t="s">
        <v>902</v>
      </c>
      <c r="R55" s="2203">
        <f>C46+C25+C12</f>
        <v>6388</v>
      </c>
      <c r="S55" s="2203">
        <f>D46+D25+D12</f>
        <v>6922</v>
      </c>
      <c r="T55" s="2203">
        <f>E46+E25+E12</f>
        <v>6075</v>
      </c>
    </row>
    <row r="56" spans="1:20" ht="15" thickBot="1" x14ac:dyDescent="0.25">
      <c r="A56" s="2244" t="s">
        <v>644</v>
      </c>
      <c r="B56" s="2245"/>
      <c r="C56" s="2246">
        <f>'09'!E125</f>
        <v>0</v>
      </c>
      <c r="D56" s="2246">
        <f>'09'!F125</f>
        <v>11596</v>
      </c>
      <c r="E56" s="2246">
        <f>'09'!G125</f>
        <v>11596</v>
      </c>
      <c r="F56" s="2247">
        <f>E56/D56*100</f>
        <v>100</v>
      </c>
      <c r="G56" s="2561">
        <v>0</v>
      </c>
      <c r="H56" s="2559">
        <v>11596419.890000001</v>
      </c>
      <c r="I56" s="2559">
        <v>11595548.289999999</v>
      </c>
      <c r="J56" s="2221"/>
      <c r="K56" s="2221">
        <f t="shared" si="3"/>
        <v>0</v>
      </c>
      <c r="L56" s="2221">
        <f>SUM(H11,H19,H24,H30,H35,H40,H45,H51,H56)</f>
        <v>11777319.890000001</v>
      </c>
      <c r="M56" s="2221">
        <f>SUM(I11,I19,I24,I30,I35,I40,I45,I51,I56)</f>
        <v>11776448.289999999</v>
      </c>
      <c r="N56" s="2243" t="s">
        <v>1414</v>
      </c>
      <c r="Q56" s="2233" t="s">
        <v>676</v>
      </c>
      <c r="R56" s="2268">
        <f>R53+R54+R55</f>
        <v>596198</v>
      </c>
      <c r="S56" s="2268">
        <f>S53+S54+S55</f>
        <v>873524</v>
      </c>
      <c r="T56" s="2268">
        <f>T53+T54+T55</f>
        <v>535703</v>
      </c>
    </row>
    <row r="57" spans="1:20" ht="15.75" thickTop="1" thickBot="1" x14ac:dyDescent="0.25">
      <c r="F57" s="2203" t="s">
        <v>161</v>
      </c>
      <c r="G57" s="2328"/>
      <c r="H57" s="2328"/>
      <c r="I57" s="2328"/>
      <c r="J57" s="2328"/>
      <c r="K57" s="2502">
        <f>G25+G12</f>
        <v>6388000</v>
      </c>
      <c r="L57" s="2502">
        <f>H25+H12</f>
        <v>6922000</v>
      </c>
      <c r="M57" s="2502">
        <f>I25+I12</f>
        <v>6074500</v>
      </c>
      <c r="N57" s="2243" t="s">
        <v>902</v>
      </c>
    </row>
    <row r="58" spans="1:20" s="2208" customFormat="1" ht="27" thickTop="1" thickBot="1" x14ac:dyDescent="0.25">
      <c r="A58" s="2204" t="s">
        <v>631</v>
      </c>
      <c r="B58" s="2205" t="s">
        <v>634</v>
      </c>
      <c r="C58" s="2206" t="s">
        <v>632</v>
      </c>
      <c r="D58" s="2206" t="s">
        <v>633</v>
      </c>
      <c r="E58" s="2206" t="s">
        <v>882</v>
      </c>
      <c r="F58" s="2207" t="s">
        <v>883</v>
      </c>
      <c r="G58" s="2331"/>
      <c r="H58" s="2331"/>
      <c r="I58" s="2331"/>
      <c r="J58" s="2331"/>
      <c r="K58" s="2331"/>
      <c r="L58" s="2503"/>
    </row>
    <row r="59" spans="1:20" s="2213" customFormat="1" ht="12.75" thickTop="1" thickBot="1" x14ac:dyDescent="0.25">
      <c r="A59" s="2251">
        <v>1</v>
      </c>
      <c r="B59" s="2252">
        <v>2</v>
      </c>
      <c r="C59" s="2253">
        <v>3</v>
      </c>
      <c r="D59" s="2253">
        <v>4</v>
      </c>
      <c r="E59" s="2253">
        <v>5</v>
      </c>
      <c r="F59" s="2254" t="s">
        <v>424</v>
      </c>
      <c r="G59" s="2332"/>
      <c r="H59" s="2332"/>
      <c r="I59" s="2332"/>
      <c r="J59" s="2332"/>
      <c r="K59" s="2332"/>
    </row>
    <row r="60" spans="1:20" ht="15.75" customHeight="1" thickTop="1" x14ac:dyDescent="0.25">
      <c r="A60" s="2255" t="s">
        <v>362</v>
      </c>
      <c r="B60" s="2256">
        <v>10</v>
      </c>
      <c r="C60" s="2241">
        <f>SUM(C61,C67,C72,C77)</f>
        <v>467558</v>
      </c>
      <c r="D60" s="2241">
        <f>SUM(D61,D67,D72,D77)</f>
        <v>5796709</v>
      </c>
      <c r="E60" s="2241">
        <f>SUM(E61,E67,E72,E77)</f>
        <v>5796105</v>
      </c>
      <c r="F60" s="2236">
        <f>E60/D60*100</f>
        <v>99.989580294611997</v>
      </c>
      <c r="G60" s="2564">
        <f>SUM(G61,G67,G72,G77)</f>
        <v>467558000</v>
      </c>
      <c r="H60" s="2564">
        <f>SUM(H61,H67,H72,H77)</f>
        <v>5796708876.4300003</v>
      </c>
      <c r="I60" s="2564">
        <f>SUM(I61,I67,I72,I77)</f>
        <v>5796104842.96</v>
      </c>
      <c r="J60" s="2257"/>
      <c r="K60" s="2257"/>
    </row>
    <row r="61" spans="1:20" x14ac:dyDescent="0.2">
      <c r="A61" s="2258" t="s">
        <v>645</v>
      </c>
      <c r="B61" s="2256"/>
      <c r="C61" s="2259">
        <f>SUM(C62:C65)</f>
        <v>68824</v>
      </c>
      <c r="D61" s="2259">
        <f>SUM(D62:D65)</f>
        <v>92527</v>
      </c>
      <c r="E61" s="2259">
        <f>SUM(E62:E66)</f>
        <v>92044</v>
      </c>
      <c r="F61" s="2220">
        <f>E61/D61*100</f>
        <v>99.477990208263535</v>
      </c>
      <c r="G61" s="2560">
        <f>SUM(G62:G65)</f>
        <v>68824000</v>
      </c>
      <c r="H61" s="2560">
        <f>SUM(H62:H65)</f>
        <v>92526396.930000007</v>
      </c>
      <c r="I61" s="2560">
        <f>SUM(I62:I66)</f>
        <v>92043614.5</v>
      </c>
      <c r="J61" s="2216"/>
      <c r="K61" s="2216"/>
    </row>
    <row r="62" spans="1:20" x14ac:dyDescent="0.2">
      <c r="A62" s="2217" t="s">
        <v>636</v>
      </c>
      <c r="B62" s="2260"/>
      <c r="C62" s="2219">
        <f>'10'!E300</f>
        <v>59824</v>
      </c>
      <c r="D62" s="2219">
        <f>'10'!F300</f>
        <v>84464</v>
      </c>
      <c r="E62" s="2219">
        <f>'10'!G300</f>
        <v>84019</v>
      </c>
      <c r="F62" s="2220">
        <f>E62/D62*100</f>
        <v>99.473148323546127</v>
      </c>
      <c r="G62" s="2565">
        <v>59824000</v>
      </c>
      <c r="H62" s="2565">
        <v>84463396.930000007</v>
      </c>
      <c r="I62" s="2565">
        <v>84018729.680000007</v>
      </c>
      <c r="J62" s="2261"/>
      <c r="K62" s="2261"/>
    </row>
    <row r="63" spans="1:20" x14ac:dyDescent="0.2">
      <c r="A63" s="2217" t="s">
        <v>637</v>
      </c>
      <c r="B63" s="2262"/>
      <c r="C63" s="2219">
        <f>'10'!E301</f>
        <v>9000</v>
      </c>
      <c r="D63" s="2219">
        <f>'10'!F301</f>
        <v>7920</v>
      </c>
      <c r="E63" s="2219">
        <f>'10'!G301</f>
        <v>7820</v>
      </c>
      <c r="F63" s="2220">
        <f>E63/D63*100</f>
        <v>98.73737373737373</v>
      </c>
      <c r="G63" s="2565">
        <v>9000000</v>
      </c>
      <c r="H63" s="2565">
        <v>7920000</v>
      </c>
      <c r="I63" s="2565">
        <v>7820000</v>
      </c>
      <c r="J63" s="2261"/>
      <c r="K63" s="2261"/>
    </row>
    <row r="64" spans="1:20" x14ac:dyDescent="0.2">
      <c r="A64" s="2223" t="s">
        <v>643</v>
      </c>
      <c r="B64" s="2260"/>
      <c r="C64" s="2219">
        <f>'10'!E302</f>
        <v>0</v>
      </c>
      <c r="D64" s="2219">
        <f>'10'!F302</f>
        <v>143</v>
      </c>
      <c r="E64" s="2219">
        <f>'10'!G302</f>
        <v>143</v>
      </c>
      <c r="F64" s="2220">
        <v>0</v>
      </c>
      <c r="G64" s="2565">
        <v>0</v>
      </c>
      <c r="H64" s="2565">
        <v>143000</v>
      </c>
      <c r="I64" s="2565">
        <v>143000</v>
      </c>
      <c r="J64" s="2261"/>
      <c r="K64" s="2261"/>
    </row>
    <row r="65" spans="1:12" x14ac:dyDescent="0.2">
      <c r="A65" s="2263" t="s">
        <v>644</v>
      </c>
      <c r="B65" s="2262"/>
      <c r="C65" s="2219">
        <f>'10'!E303</f>
        <v>0</v>
      </c>
      <c r="D65" s="2219">
        <f>'10'!F303</f>
        <v>0</v>
      </c>
      <c r="E65" s="2219">
        <f>'10'!G303</f>
        <v>0</v>
      </c>
      <c r="F65" s="2220">
        <v>0</v>
      </c>
      <c r="G65" s="2565">
        <v>0</v>
      </c>
      <c r="H65" s="2565">
        <v>0</v>
      </c>
      <c r="I65" s="2565">
        <v>0</v>
      </c>
      <c r="J65" s="2261"/>
      <c r="K65" s="2261"/>
    </row>
    <row r="66" spans="1:12" x14ac:dyDescent="0.2">
      <c r="A66" s="2217" t="s">
        <v>1179</v>
      </c>
      <c r="B66" s="2262"/>
      <c r="C66" s="2219">
        <v>0</v>
      </c>
      <c r="D66" s="2219">
        <v>0</v>
      </c>
      <c r="E66" s="2219">
        <f>'10'!G304</f>
        <v>62</v>
      </c>
      <c r="F66" s="2220">
        <v>0</v>
      </c>
      <c r="G66" s="2565">
        <v>0</v>
      </c>
      <c r="H66" s="2565">
        <v>0</v>
      </c>
      <c r="I66" s="2565">
        <v>61884.82</v>
      </c>
      <c r="J66" s="2261"/>
      <c r="K66" s="2261"/>
    </row>
    <row r="67" spans="1:12" x14ac:dyDescent="0.2">
      <c r="A67" s="2264" t="s">
        <v>646</v>
      </c>
      <c r="B67" s="2262"/>
      <c r="C67" s="2259">
        <f>SUM(C68:C71)</f>
        <v>397234</v>
      </c>
      <c r="D67" s="2259">
        <f>SUM(D68:D71)</f>
        <v>2377540</v>
      </c>
      <c r="E67" s="2259">
        <f>SUM(E68:E71)</f>
        <v>2377486</v>
      </c>
      <c r="F67" s="2220">
        <f t="shared" ref="F67:F73" si="4">E67/D67*100</f>
        <v>99.997728744837104</v>
      </c>
      <c r="G67" s="2560">
        <f>SUM(G68:G71)</f>
        <v>397234000</v>
      </c>
      <c r="H67" s="2560">
        <f>SUM(H68:H71)</f>
        <v>2377540088.4900002</v>
      </c>
      <c r="I67" s="2560">
        <f>SUM(I68:I71)</f>
        <v>2377486422.4499998</v>
      </c>
      <c r="J67" s="2216"/>
      <c r="K67" s="2216"/>
    </row>
    <row r="68" spans="1:12" x14ac:dyDescent="0.2">
      <c r="A68" s="2217" t="s">
        <v>636</v>
      </c>
      <c r="B68" s="2262"/>
      <c r="C68" s="2219">
        <f>'10'!E306</f>
        <v>397234</v>
      </c>
      <c r="D68" s="2219">
        <f>'10'!F306</f>
        <v>399751</v>
      </c>
      <c r="E68" s="2219">
        <f>'10'!G306</f>
        <v>399743</v>
      </c>
      <c r="F68" s="2220">
        <f t="shared" si="4"/>
        <v>99.997998754224511</v>
      </c>
      <c r="G68" s="2565">
        <v>397234000</v>
      </c>
      <c r="H68" s="2565">
        <v>399751122</v>
      </c>
      <c r="I68" s="2565">
        <v>399743122</v>
      </c>
      <c r="J68" s="2261"/>
      <c r="K68" s="2261"/>
    </row>
    <row r="69" spans="1:12" x14ac:dyDescent="0.2">
      <c r="A69" s="2217" t="s">
        <v>637</v>
      </c>
      <c r="B69" s="2262"/>
      <c r="C69" s="2219">
        <f>'10'!E307</f>
        <v>0</v>
      </c>
      <c r="D69" s="2219">
        <f>'10'!F307</f>
        <v>17069</v>
      </c>
      <c r="E69" s="2219">
        <f>'10'!G307</f>
        <v>17023</v>
      </c>
      <c r="F69" s="2220">
        <f t="shared" si="4"/>
        <v>99.730505594938194</v>
      </c>
      <c r="G69" s="2565">
        <v>0</v>
      </c>
      <c r="H69" s="2565">
        <v>17068531.57</v>
      </c>
      <c r="I69" s="2565">
        <v>17022865.530000001</v>
      </c>
      <c r="J69" s="2261"/>
      <c r="K69" s="2261"/>
    </row>
    <row r="70" spans="1:12" x14ac:dyDescent="0.2">
      <c r="A70" s="2263" t="s">
        <v>643</v>
      </c>
      <c r="B70" s="2262"/>
      <c r="C70" s="2219">
        <f>'10'!E308</f>
        <v>0</v>
      </c>
      <c r="D70" s="2219">
        <f>'10'!F308</f>
        <v>1960720</v>
      </c>
      <c r="E70" s="2219">
        <f>'10'!G308</f>
        <v>1960720</v>
      </c>
      <c r="F70" s="2220">
        <f t="shared" si="4"/>
        <v>100</v>
      </c>
      <c r="G70" s="2565">
        <v>0</v>
      </c>
      <c r="H70" s="2565">
        <v>1960720434.9200001</v>
      </c>
      <c r="I70" s="2565">
        <v>1960720434.9200001</v>
      </c>
      <c r="J70" s="2261"/>
      <c r="K70" s="2261"/>
      <c r="L70" s="2589">
        <f>SUM(D8,D12,D16,D18,D21,D23,D25,D27,D32,D37,D42,D44,D48,D53,D55,D62,D64,D72,D77,D84,D86,D96,D98,D107,D121,D123,D130,D133,D138)</f>
        <v>5456432</v>
      </c>
    </row>
    <row r="71" spans="1:12" x14ac:dyDescent="0.2">
      <c r="A71" s="2263" t="s">
        <v>644</v>
      </c>
      <c r="B71" s="2262"/>
      <c r="C71" s="2219">
        <f>'10'!E309</f>
        <v>0</v>
      </c>
      <c r="D71" s="2219">
        <f>'10'!F309</f>
        <v>0</v>
      </c>
      <c r="E71" s="2219">
        <f>'10'!G309</f>
        <v>0</v>
      </c>
      <c r="F71" s="2220">
        <v>0</v>
      </c>
      <c r="G71" s="2565">
        <v>0</v>
      </c>
      <c r="H71" s="2565">
        <v>0</v>
      </c>
      <c r="I71" s="2565">
        <v>0</v>
      </c>
      <c r="J71" s="2261"/>
      <c r="K71" s="2261"/>
      <c r="L71" s="2589">
        <f>SUM(D68,D70,D90,D92,D101,D103,D112,D114,D126,D128)</f>
        <v>3493298</v>
      </c>
    </row>
    <row r="72" spans="1:12" x14ac:dyDescent="0.2">
      <c r="A72" s="2264" t="s">
        <v>647</v>
      </c>
      <c r="B72" s="2262"/>
      <c r="C72" s="2259">
        <f>SUM(C73:C76)</f>
        <v>1500</v>
      </c>
      <c r="D72" s="2259">
        <f>SUM(D73:D76)</f>
        <v>238439</v>
      </c>
      <c r="E72" s="2259">
        <f>SUM(E73:E76)</f>
        <v>238372</v>
      </c>
      <c r="F72" s="2220">
        <f t="shared" si="4"/>
        <v>99.9719005699571</v>
      </c>
      <c r="G72" s="2560">
        <f>SUM(G73:G76)</f>
        <v>1500000</v>
      </c>
      <c r="H72" s="2560">
        <f>SUM(H73:H76)</f>
        <v>238439246</v>
      </c>
      <c r="I72" s="2560">
        <f>SUM(I73:I76)</f>
        <v>238371661</v>
      </c>
      <c r="J72" s="2216"/>
      <c r="K72" s="2216"/>
      <c r="L72" s="2203">
        <f>SUM(D17,D22,D28,D30,D38,D49,D54,D56,D63,D85,D97,D108,D122,D124,D134,D139)</f>
        <v>273495</v>
      </c>
    </row>
    <row r="73" spans="1:12" x14ac:dyDescent="0.2">
      <c r="A73" s="2217" t="s">
        <v>636</v>
      </c>
      <c r="B73" s="2262"/>
      <c r="C73" s="2219">
        <f>'10'!E312</f>
        <v>1500</v>
      </c>
      <c r="D73" s="2219">
        <f>'10'!F312</f>
        <v>1146</v>
      </c>
      <c r="E73" s="2219">
        <f>'10'!G312</f>
        <v>1122</v>
      </c>
      <c r="F73" s="2220">
        <f t="shared" si="4"/>
        <v>97.905759162303667</v>
      </c>
      <c r="G73" s="2565">
        <v>1500000</v>
      </c>
      <c r="H73" s="2565">
        <v>1146350</v>
      </c>
      <c r="I73" s="2565">
        <v>1121850</v>
      </c>
      <c r="J73" s="2261"/>
      <c r="K73" s="2261"/>
    </row>
    <row r="74" spans="1:12" x14ac:dyDescent="0.2">
      <c r="A74" s="2217" t="s">
        <v>637</v>
      </c>
      <c r="B74" s="2262"/>
      <c r="C74" s="2219">
        <f>'10'!E313</f>
        <v>0</v>
      </c>
      <c r="D74" s="2219">
        <f>'10'!F313</f>
        <v>0</v>
      </c>
      <c r="E74" s="2219">
        <f>'10'!G313</f>
        <v>0</v>
      </c>
      <c r="F74" s="2220">
        <v>0</v>
      </c>
      <c r="G74" s="2565">
        <v>0</v>
      </c>
      <c r="H74" s="2565">
        <v>0</v>
      </c>
      <c r="I74" s="2565">
        <v>0</v>
      </c>
      <c r="J74" s="2261"/>
      <c r="K74" s="2261"/>
    </row>
    <row r="75" spans="1:12" x14ac:dyDescent="0.2">
      <c r="A75" s="2263" t="s">
        <v>643</v>
      </c>
      <c r="B75" s="2262"/>
      <c r="C75" s="2219">
        <f>'10'!E314</f>
        <v>0</v>
      </c>
      <c r="D75" s="2219">
        <f>'10'!F314</f>
        <v>237293</v>
      </c>
      <c r="E75" s="2219">
        <f>'10'!G314</f>
        <v>237250</v>
      </c>
      <c r="F75" s="2220">
        <f>E75/D75*100</f>
        <v>99.981878942910242</v>
      </c>
      <c r="G75" s="2565">
        <v>0</v>
      </c>
      <c r="H75" s="2565">
        <v>237292896</v>
      </c>
      <c r="I75" s="2565">
        <v>237249811</v>
      </c>
      <c r="J75" s="2261"/>
      <c r="K75" s="2261"/>
    </row>
    <row r="76" spans="1:12" x14ac:dyDescent="0.2">
      <c r="A76" s="2263" t="s">
        <v>644</v>
      </c>
      <c r="B76" s="2262"/>
      <c r="C76" s="2219">
        <f>'10'!E315</f>
        <v>0</v>
      </c>
      <c r="D76" s="2219">
        <f>'10'!F315</f>
        <v>0</v>
      </c>
      <c r="E76" s="2219">
        <f>'10'!G315</f>
        <v>0</v>
      </c>
      <c r="F76" s="2220">
        <v>0</v>
      </c>
      <c r="G76" s="2565">
        <v>0</v>
      </c>
      <c r="H76" s="2565">
        <v>0</v>
      </c>
      <c r="I76" s="2565">
        <v>0</v>
      </c>
      <c r="J76" s="2261"/>
      <c r="K76" s="2261"/>
    </row>
    <row r="77" spans="1:12" x14ac:dyDescent="0.2">
      <c r="A77" s="2265" t="s">
        <v>648</v>
      </c>
      <c r="B77" s="2260"/>
      <c r="C77" s="2259">
        <f>SUM(C78:C81)</f>
        <v>0</v>
      </c>
      <c r="D77" s="2259">
        <f>SUM(D78:D81)</f>
        <v>3088203</v>
      </c>
      <c r="E77" s="2259">
        <f>SUM(E78:E81)</f>
        <v>3088203</v>
      </c>
      <c r="F77" s="2220">
        <f>E77/D77*100</f>
        <v>100</v>
      </c>
      <c r="G77" s="2560">
        <f>SUM(G78:G81)</f>
        <v>0</v>
      </c>
      <c r="H77" s="2560">
        <f>SUM(H78:H81)</f>
        <v>3088203145.0100002</v>
      </c>
      <c r="I77" s="2560">
        <f>SUM(I78:I81)</f>
        <v>3088203145.0100002</v>
      </c>
      <c r="J77" s="2216"/>
      <c r="K77" s="2216"/>
    </row>
    <row r="78" spans="1:12" x14ac:dyDescent="0.2">
      <c r="A78" s="2217" t="s">
        <v>636</v>
      </c>
      <c r="B78" s="2260"/>
      <c r="C78" s="2219">
        <f>'10'!E318</f>
        <v>0</v>
      </c>
      <c r="D78" s="2219">
        <f>'10'!F318</f>
        <v>0</v>
      </c>
      <c r="E78" s="2219">
        <f>'10'!G318</f>
        <v>0</v>
      </c>
      <c r="F78" s="2220">
        <v>0</v>
      </c>
      <c r="G78" s="2394">
        <v>0</v>
      </c>
      <c r="H78" s="2394">
        <v>0</v>
      </c>
      <c r="I78" s="2394">
        <v>0</v>
      </c>
      <c r="J78" s="2221"/>
      <c r="K78" s="2221"/>
    </row>
    <row r="79" spans="1:12" x14ac:dyDescent="0.2">
      <c r="A79" s="2217" t="s">
        <v>637</v>
      </c>
      <c r="B79" s="2260"/>
      <c r="C79" s="2219">
        <f>'10'!E319</f>
        <v>0</v>
      </c>
      <c r="D79" s="2219">
        <f>'10'!F319</f>
        <v>0</v>
      </c>
      <c r="E79" s="2219">
        <f>'10'!G319</f>
        <v>0</v>
      </c>
      <c r="F79" s="2220">
        <v>0</v>
      </c>
      <c r="G79" s="2394">
        <v>0</v>
      </c>
      <c r="H79" s="2394">
        <v>0</v>
      </c>
      <c r="I79" s="2394">
        <v>0</v>
      </c>
      <c r="J79" s="2221"/>
      <c r="K79" s="2221"/>
    </row>
    <row r="80" spans="1:12" x14ac:dyDescent="0.2">
      <c r="A80" s="2223" t="s">
        <v>643</v>
      </c>
      <c r="B80" s="2260"/>
      <c r="C80" s="2219">
        <f>'10'!E320</f>
        <v>0</v>
      </c>
      <c r="D80" s="2219">
        <f>'10'!F320</f>
        <v>3088203</v>
      </c>
      <c r="E80" s="2219">
        <f>'10'!G320</f>
        <v>3088203</v>
      </c>
      <c r="F80" s="2220">
        <f>E80/D80*100</f>
        <v>100</v>
      </c>
      <c r="G80" s="2394">
        <v>0</v>
      </c>
      <c r="H80" s="2394">
        <v>3088203145.0100002</v>
      </c>
      <c r="I80" s="2394">
        <v>3088203145.0100002</v>
      </c>
      <c r="J80" s="2221"/>
      <c r="K80" s="2221">
        <f>H70+H75+H80</f>
        <v>5286216475.9300003</v>
      </c>
    </row>
    <row r="81" spans="1:11" x14ac:dyDescent="0.2">
      <c r="A81" s="2263" t="s">
        <v>644</v>
      </c>
      <c r="B81" s="2260"/>
      <c r="C81" s="2219">
        <f>'10'!E321</f>
        <v>0</v>
      </c>
      <c r="D81" s="2219">
        <f>'10'!F321</f>
        <v>0</v>
      </c>
      <c r="E81" s="2219">
        <f>'10'!G321</f>
        <v>0</v>
      </c>
      <c r="F81" s="2220">
        <v>0</v>
      </c>
      <c r="G81" s="2561">
        <v>0</v>
      </c>
      <c r="H81" s="2559">
        <v>0</v>
      </c>
      <c r="I81" s="2559">
        <v>0</v>
      </c>
      <c r="J81" s="2221"/>
      <c r="K81" s="2221"/>
    </row>
    <row r="82" spans="1:11" ht="15" x14ac:dyDescent="0.25">
      <c r="A82" s="2229" t="s">
        <v>363</v>
      </c>
      <c r="B82" s="2266">
        <v>11</v>
      </c>
      <c r="C82" s="2231">
        <f>C83+C89</f>
        <v>246781</v>
      </c>
      <c r="D82" s="2231">
        <f>D83+D89</f>
        <v>300394</v>
      </c>
      <c r="E82" s="2231">
        <f>E83+E89</f>
        <v>301025</v>
      </c>
      <c r="F82" s="2232">
        <f>E82/D82*100</f>
        <v>100.210057457872</v>
      </c>
      <c r="G82" s="2564">
        <f>SUM(G83,G89)</f>
        <v>246781000</v>
      </c>
      <c r="H82" s="2564">
        <f>SUM(H83,H89)</f>
        <v>300393704.51999998</v>
      </c>
      <c r="I82" s="2564">
        <f>SUM(I83,I89)</f>
        <v>301024913.14000005</v>
      </c>
      <c r="J82" s="2257"/>
      <c r="K82" s="2257"/>
    </row>
    <row r="83" spans="1:11" x14ac:dyDescent="0.2">
      <c r="A83" s="2258" t="s">
        <v>645</v>
      </c>
      <c r="B83" s="2218"/>
      <c r="C83" s="2259">
        <f>SUM(C84:C87)</f>
        <v>11781</v>
      </c>
      <c r="D83" s="2259">
        <f>SUM(D84:D87)</f>
        <v>26759</v>
      </c>
      <c r="E83" s="2259">
        <f>SUM(E84:E88)</f>
        <v>27433</v>
      </c>
      <c r="F83" s="2267">
        <f>E83/D83*100</f>
        <v>102.51877872865205</v>
      </c>
      <c r="G83" s="2560">
        <f>SUM(G84:G87)</f>
        <v>11781000</v>
      </c>
      <c r="H83" s="2560">
        <f>SUM(H84:H87)</f>
        <v>26758212.09</v>
      </c>
      <c r="I83" s="2560">
        <f>SUM(I84:I88)</f>
        <v>27433081.41</v>
      </c>
      <c r="J83" s="2216"/>
      <c r="K83" s="2216"/>
    </row>
    <row r="84" spans="1:11" x14ac:dyDescent="0.2">
      <c r="A84" s="2217" t="s">
        <v>636</v>
      </c>
      <c r="B84" s="2218"/>
      <c r="C84" s="2219">
        <f>'11'!E645</f>
        <v>11781</v>
      </c>
      <c r="D84" s="2219">
        <f>'11'!F645</f>
        <v>17367</v>
      </c>
      <c r="E84" s="2219">
        <f>'11'!G645</f>
        <v>17326</v>
      </c>
      <c r="F84" s="2267">
        <f>E84/D84*100</f>
        <v>99.76392007830944</v>
      </c>
      <c r="G84" s="2394">
        <v>11781000</v>
      </c>
      <c r="H84" s="2394">
        <v>17365694.199999999</v>
      </c>
      <c r="I84" s="2394">
        <v>17326607.18</v>
      </c>
      <c r="J84" s="2221"/>
      <c r="K84" s="2221"/>
    </row>
    <row r="85" spans="1:11" x14ac:dyDescent="0.2">
      <c r="A85" s="2217" t="s">
        <v>637</v>
      </c>
      <c r="B85" s="2218"/>
      <c r="C85" s="2219">
        <f>'11'!E646</f>
        <v>0</v>
      </c>
      <c r="D85" s="2219">
        <f>'11'!F646</f>
        <v>700</v>
      </c>
      <c r="E85" s="2219">
        <f>'11'!G646</f>
        <v>700</v>
      </c>
      <c r="F85" s="2267">
        <v>0</v>
      </c>
      <c r="G85" s="2394">
        <v>0</v>
      </c>
      <c r="H85" s="2394">
        <v>700000</v>
      </c>
      <c r="I85" s="2394">
        <v>700000</v>
      </c>
      <c r="J85" s="2221"/>
      <c r="K85" s="2221"/>
    </row>
    <row r="86" spans="1:11" x14ac:dyDescent="0.2">
      <c r="A86" s="2223" t="s">
        <v>643</v>
      </c>
      <c r="B86" s="2218"/>
      <c r="C86" s="2219">
        <f>'11'!E647</f>
        <v>0</v>
      </c>
      <c r="D86" s="2219">
        <f>'11'!F647</f>
        <v>8692</v>
      </c>
      <c r="E86" s="2219">
        <f>'11'!G647</f>
        <v>8433</v>
      </c>
      <c r="F86" s="2267">
        <f>E86/D86*100</f>
        <v>97.020248504371835</v>
      </c>
      <c r="G86" s="2394">
        <v>0</v>
      </c>
      <c r="H86" s="2394">
        <v>8692517.8900000006</v>
      </c>
      <c r="I86" s="2394">
        <v>8432736</v>
      </c>
      <c r="J86" s="2221"/>
      <c r="K86" s="2221"/>
    </row>
    <row r="87" spans="1:11" x14ac:dyDescent="0.2">
      <c r="A87" s="2263" t="s">
        <v>644</v>
      </c>
      <c r="B87" s="2218"/>
      <c r="C87" s="2219">
        <f>'11'!E648</f>
        <v>0</v>
      </c>
      <c r="D87" s="2219">
        <f>'11'!F648</f>
        <v>0</v>
      </c>
      <c r="E87" s="2219">
        <f>'11'!G648</f>
        <v>0</v>
      </c>
      <c r="F87" s="2267">
        <v>0</v>
      </c>
      <c r="G87" s="2394">
        <v>0</v>
      </c>
      <c r="H87" s="2394">
        <v>0</v>
      </c>
      <c r="I87" s="2394">
        <v>0</v>
      </c>
      <c r="J87" s="2221"/>
      <c r="K87" s="2221"/>
    </row>
    <row r="88" spans="1:11" x14ac:dyDescent="0.2">
      <c r="A88" s="2217" t="s">
        <v>1179</v>
      </c>
      <c r="B88" s="2218"/>
      <c r="C88" s="2219">
        <v>0</v>
      </c>
      <c r="D88" s="2219">
        <v>0</v>
      </c>
      <c r="E88" s="2219">
        <f>'11'!G649</f>
        <v>974</v>
      </c>
      <c r="F88" s="2267"/>
      <c r="G88" s="2394">
        <v>0</v>
      </c>
      <c r="H88" s="2394">
        <v>0</v>
      </c>
      <c r="I88" s="2394">
        <v>973738.23</v>
      </c>
      <c r="J88" s="2221"/>
      <c r="K88" s="2221"/>
    </row>
    <row r="89" spans="1:11" x14ac:dyDescent="0.2">
      <c r="A89" s="2264" t="s">
        <v>646</v>
      </c>
      <c r="B89" s="2218"/>
      <c r="C89" s="2259">
        <f>SUM(C90:C93)</f>
        <v>235000</v>
      </c>
      <c r="D89" s="2259">
        <f>SUM(D90:D93)</f>
        <v>273635</v>
      </c>
      <c r="E89" s="2259">
        <f>SUM(E90:E93)</f>
        <v>273592</v>
      </c>
      <c r="F89" s="2267">
        <f>E89/D89*100</f>
        <v>99.984285635974928</v>
      </c>
      <c r="G89" s="2560">
        <f>SUM(G90:G93)</f>
        <v>235000000</v>
      </c>
      <c r="H89" s="2560">
        <f>SUM(H90:H93)</f>
        <v>273635492.43000001</v>
      </c>
      <c r="I89" s="2560">
        <f>SUM(I90:I93)</f>
        <v>273591831.73000002</v>
      </c>
      <c r="J89" s="2216"/>
      <c r="K89" s="2216"/>
    </row>
    <row r="90" spans="1:11" x14ac:dyDescent="0.2">
      <c r="A90" s="2217" t="s">
        <v>636</v>
      </c>
      <c r="B90" s="2218"/>
      <c r="C90" s="2219">
        <f>'11'!E652</f>
        <v>235000</v>
      </c>
      <c r="D90" s="2219">
        <f>'11'!F652</f>
        <v>159466</v>
      </c>
      <c r="E90" s="2219">
        <f>'11'!G652</f>
        <v>159423</v>
      </c>
      <c r="F90" s="2267">
        <f>E90/D90*100</f>
        <v>99.973035004326931</v>
      </c>
      <c r="G90" s="2394">
        <v>235000000</v>
      </c>
      <c r="H90" s="2394">
        <v>159466951</v>
      </c>
      <c r="I90" s="2394">
        <v>159423290.30000001</v>
      </c>
      <c r="J90" s="2221"/>
      <c r="K90" s="2221"/>
    </row>
    <row r="91" spans="1:11" x14ac:dyDescent="0.2">
      <c r="A91" s="2217" t="s">
        <v>637</v>
      </c>
      <c r="B91" s="2218"/>
      <c r="C91" s="2219">
        <f>'11'!E653</f>
        <v>0</v>
      </c>
      <c r="D91" s="2219">
        <f>'11'!F653</f>
        <v>2763</v>
      </c>
      <c r="E91" s="2219">
        <f>'11'!G653</f>
        <v>2763</v>
      </c>
      <c r="F91" s="2267">
        <f>E91/D91*100</f>
        <v>100</v>
      </c>
      <c r="G91" s="2394">
        <v>0</v>
      </c>
      <c r="H91" s="2394">
        <v>2762950</v>
      </c>
      <c r="I91" s="2394">
        <v>2762950</v>
      </c>
      <c r="J91" s="2221"/>
      <c r="K91" s="2221"/>
    </row>
    <row r="92" spans="1:11" x14ac:dyDescent="0.2">
      <c r="A92" s="2263" t="s">
        <v>643</v>
      </c>
      <c r="B92" s="2218"/>
      <c r="C92" s="2219">
        <f>'11'!E654</f>
        <v>0</v>
      </c>
      <c r="D92" s="2219">
        <f>'11'!F654</f>
        <v>111406</v>
      </c>
      <c r="E92" s="2219">
        <f>'11'!G654</f>
        <v>111406</v>
      </c>
      <c r="F92" s="2267">
        <f>E92/D92*100</f>
        <v>100</v>
      </c>
      <c r="G92" s="2394">
        <v>0</v>
      </c>
      <c r="H92" s="2394">
        <v>111405591.43000001</v>
      </c>
      <c r="I92" s="2394">
        <v>111405591.43000001</v>
      </c>
      <c r="J92" s="2221"/>
      <c r="K92" s="2221"/>
    </row>
    <row r="93" spans="1:11" x14ac:dyDescent="0.2">
      <c r="A93" s="2263" t="s">
        <v>644</v>
      </c>
      <c r="B93" s="2218"/>
      <c r="C93" s="2219">
        <f>'11'!E655</f>
        <v>0</v>
      </c>
      <c r="D93" s="2219">
        <f>'11'!F655</f>
        <v>0</v>
      </c>
      <c r="E93" s="2219">
        <f>'11'!G655</f>
        <v>0</v>
      </c>
      <c r="F93" s="2267">
        <v>0</v>
      </c>
      <c r="G93" s="2561">
        <v>0</v>
      </c>
      <c r="H93" s="2559">
        <v>0</v>
      </c>
      <c r="I93" s="2559">
        <v>0</v>
      </c>
      <c r="J93" s="2221"/>
      <c r="K93" s="2221"/>
    </row>
    <row r="94" spans="1:11" ht="15" customHeight="1" x14ac:dyDescent="0.25">
      <c r="A94" s="2278" t="s">
        <v>1829</v>
      </c>
      <c r="B94" s="2266">
        <v>12</v>
      </c>
      <c r="C94" s="2231">
        <f>C95+C100</f>
        <v>1413409</v>
      </c>
      <c r="D94" s="2231">
        <f>D95+D100</f>
        <v>1756990</v>
      </c>
      <c r="E94" s="2231">
        <f>E95+E100</f>
        <v>1751272</v>
      </c>
      <c r="F94" s="2232">
        <f>E94/D94*100</f>
        <v>99.674557054963316</v>
      </c>
      <c r="G94" s="2564">
        <f>SUM(G95,G100)</f>
        <v>1413409000</v>
      </c>
      <c r="H94" s="2564">
        <f>SUM(H95,H100)</f>
        <v>1756989891.9200001</v>
      </c>
      <c r="I94" s="2564">
        <f>SUM(I95,I100)</f>
        <v>1751271931.25</v>
      </c>
      <c r="J94" s="2257"/>
      <c r="K94" s="2257"/>
    </row>
    <row r="95" spans="1:11" ht="15" customHeight="1" x14ac:dyDescent="0.2">
      <c r="A95" s="2258" t="s">
        <v>645</v>
      </c>
      <c r="B95" s="2256"/>
      <c r="C95" s="2259">
        <f>SUM(C96:C99)</f>
        <v>829065</v>
      </c>
      <c r="D95" s="2259">
        <f>SUM(D96:D99)</f>
        <v>1049723</v>
      </c>
      <c r="E95" s="2259">
        <f>SUM(E96:E99)</f>
        <v>1044005</v>
      </c>
      <c r="F95" s="2267">
        <f t="shared" ref="F95:F104" si="5">E95/D95*100</f>
        <v>99.455284870389619</v>
      </c>
      <c r="G95" s="2560">
        <f>SUM(G96:G99)</f>
        <v>829065000</v>
      </c>
      <c r="H95" s="2560">
        <f>SUM(H96:H99)</f>
        <v>1049722700</v>
      </c>
      <c r="I95" s="2560">
        <f>SUM(I96:I99)</f>
        <v>1044004739.33</v>
      </c>
      <c r="J95" s="2216"/>
      <c r="K95" s="2216"/>
    </row>
    <row r="96" spans="1:11" ht="15" customHeight="1" x14ac:dyDescent="0.2">
      <c r="A96" s="2217" t="s">
        <v>636</v>
      </c>
      <c r="B96" s="2256"/>
      <c r="C96" s="2219">
        <f>'12'!E112</f>
        <v>821065</v>
      </c>
      <c r="D96" s="2219">
        <f>'12'!F112</f>
        <v>815716</v>
      </c>
      <c r="E96" s="2219">
        <f>'12'!G112</f>
        <v>810638</v>
      </c>
      <c r="F96" s="2220">
        <f t="shared" si="5"/>
        <v>99.377479416855863</v>
      </c>
      <c r="G96" s="2394">
        <v>821065000</v>
      </c>
      <c r="H96" s="2394">
        <v>815715410</v>
      </c>
      <c r="I96" s="2394">
        <v>810637114</v>
      </c>
      <c r="J96" s="2221"/>
      <c r="K96" s="2221"/>
    </row>
    <row r="97" spans="1:20" ht="15" customHeight="1" x14ac:dyDescent="0.2">
      <c r="A97" s="2217" t="s">
        <v>637</v>
      </c>
      <c r="B97" s="2256"/>
      <c r="C97" s="2219">
        <f>'12'!E113</f>
        <v>8000</v>
      </c>
      <c r="D97" s="2219">
        <f>'12'!F113</f>
        <v>18589</v>
      </c>
      <c r="E97" s="2219">
        <f>'12'!G113</f>
        <v>17949</v>
      </c>
      <c r="F97" s="2220">
        <f t="shared" si="5"/>
        <v>96.557103663456871</v>
      </c>
      <c r="G97" s="2394">
        <v>8000000</v>
      </c>
      <c r="H97" s="2394">
        <v>18589045</v>
      </c>
      <c r="I97" s="2394">
        <v>17949380.329999998</v>
      </c>
      <c r="J97" s="2221"/>
      <c r="K97" s="2221"/>
    </row>
    <row r="98" spans="1:20" ht="15" customHeight="1" x14ac:dyDescent="0.2">
      <c r="A98" s="2223" t="s">
        <v>643</v>
      </c>
      <c r="B98" s="2256"/>
      <c r="C98" s="2219">
        <f>'12'!E114</f>
        <v>0</v>
      </c>
      <c r="D98" s="2219">
        <f>'12'!F114</f>
        <v>215418</v>
      </c>
      <c r="E98" s="2219">
        <f>'12'!G114</f>
        <v>215418</v>
      </c>
      <c r="F98" s="2220">
        <f t="shared" si="5"/>
        <v>100</v>
      </c>
      <c r="G98" s="2394">
        <v>0</v>
      </c>
      <c r="H98" s="2394">
        <v>215418245</v>
      </c>
      <c r="I98" s="2394">
        <v>215418245</v>
      </c>
      <c r="J98" s="2221"/>
      <c r="K98" s="2221"/>
    </row>
    <row r="99" spans="1:20" ht="15" customHeight="1" x14ac:dyDescent="0.2">
      <c r="A99" s="2263" t="s">
        <v>644</v>
      </c>
      <c r="B99" s="2256"/>
      <c r="C99" s="2219">
        <f>'12'!E115</f>
        <v>0</v>
      </c>
      <c r="D99" s="2219">
        <f>'12'!F115</f>
        <v>0</v>
      </c>
      <c r="E99" s="2219">
        <f>'12'!G115</f>
        <v>0</v>
      </c>
      <c r="F99" s="2220">
        <v>0</v>
      </c>
      <c r="G99" s="2394">
        <v>0</v>
      </c>
      <c r="H99" s="2394">
        <v>0</v>
      </c>
      <c r="I99" s="2394">
        <v>0</v>
      </c>
      <c r="J99" s="2221"/>
      <c r="K99" s="2221"/>
    </row>
    <row r="100" spans="1:20" ht="15" customHeight="1" x14ac:dyDescent="0.2">
      <c r="A100" s="2264" t="s">
        <v>646</v>
      </c>
      <c r="B100" s="2256"/>
      <c r="C100" s="2259">
        <f>SUM(C101:C104)</f>
        <v>584344</v>
      </c>
      <c r="D100" s="2259">
        <f>SUM(D101:D104)</f>
        <v>707267</v>
      </c>
      <c r="E100" s="2259">
        <f>SUM(E101:E104)</f>
        <v>707267</v>
      </c>
      <c r="F100" s="2267">
        <f t="shared" si="5"/>
        <v>100</v>
      </c>
      <c r="G100" s="2560">
        <f>SUM(G101:G104)</f>
        <v>584344000</v>
      </c>
      <c r="H100" s="2560">
        <f>SUM(H101:H104)</f>
        <v>707267191.91999996</v>
      </c>
      <c r="I100" s="2560">
        <f>SUM(I101:I104)</f>
        <v>707267191.91999996</v>
      </c>
      <c r="J100" s="2216"/>
      <c r="K100" s="2216"/>
    </row>
    <row r="101" spans="1:20" ht="15" customHeight="1" x14ac:dyDescent="0.2">
      <c r="A101" s="2217" t="s">
        <v>636</v>
      </c>
      <c r="B101" s="2256"/>
      <c r="C101" s="2219">
        <f>'12'!E118</f>
        <v>491687</v>
      </c>
      <c r="D101" s="2219">
        <f>'12'!F118</f>
        <v>494953</v>
      </c>
      <c r="E101" s="2219">
        <f>'12'!G118</f>
        <v>494953</v>
      </c>
      <c r="F101" s="2220">
        <f t="shared" si="5"/>
        <v>100</v>
      </c>
      <c r="G101" s="2394">
        <v>491687000</v>
      </c>
      <c r="H101" s="2394">
        <v>494952762</v>
      </c>
      <c r="I101" s="2394">
        <v>494952762</v>
      </c>
      <c r="J101" s="2221"/>
      <c r="K101" s="2221"/>
    </row>
    <row r="102" spans="1:20" ht="15" customHeight="1" x14ac:dyDescent="0.2">
      <c r="A102" s="2217" t="s">
        <v>637</v>
      </c>
      <c r="B102" s="2256"/>
      <c r="C102" s="2219">
        <f>'12'!E119</f>
        <v>92657</v>
      </c>
      <c r="D102" s="2219">
        <f>'12'!F119</f>
        <v>46254</v>
      </c>
      <c r="E102" s="2219">
        <f>'12'!G119</f>
        <v>46254</v>
      </c>
      <c r="F102" s="2220">
        <f t="shared" si="5"/>
        <v>100</v>
      </c>
      <c r="G102" s="2394">
        <v>92657000</v>
      </c>
      <c r="H102" s="2394">
        <v>46254510</v>
      </c>
      <c r="I102" s="2394">
        <v>46254510</v>
      </c>
      <c r="J102" s="2221"/>
      <c r="K102" s="2221"/>
    </row>
    <row r="103" spans="1:20" ht="15" customHeight="1" x14ac:dyDescent="0.2">
      <c r="A103" s="2263" t="s">
        <v>643</v>
      </c>
      <c r="B103" s="2256"/>
      <c r="C103" s="2219">
        <f>'12'!E120</f>
        <v>0</v>
      </c>
      <c r="D103" s="2219">
        <f>'12'!F120</f>
        <v>0</v>
      </c>
      <c r="E103" s="2219">
        <f>'12'!G120</f>
        <v>0</v>
      </c>
      <c r="F103" s="2220">
        <v>0</v>
      </c>
      <c r="G103" s="2394">
        <v>0</v>
      </c>
      <c r="H103" s="2394">
        <v>0</v>
      </c>
      <c r="I103" s="2394">
        <v>0</v>
      </c>
      <c r="J103" s="2221"/>
      <c r="K103" s="2221"/>
    </row>
    <row r="104" spans="1:20" ht="15" customHeight="1" thickBot="1" x14ac:dyDescent="0.25">
      <c r="A104" s="2269" t="s">
        <v>644</v>
      </c>
      <c r="B104" s="2360"/>
      <c r="C104" s="2246">
        <f>'12'!E121</f>
        <v>0</v>
      </c>
      <c r="D104" s="2246">
        <f>'12'!F121</f>
        <v>166060</v>
      </c>
      <c r="E104" s="2246">
        <f>'12'!G121</f>
        <v>166060</v>
      </c>
      <c r="F104" s="2247">
        <f t="shared" si="5"/>
        <v>100</v>
      </c>
      <c r="G104" s="2561">
        <v>0</v>
      </c>
      <c r="H104" s="2559">
        <v>166059919.91999999</v>
      </c>
      <c r="I104" s="2559">
        <v>166059919.91999999</v>
      </c>
      <c r="J104" s="2221"/>
      <c r="K104" s="2221"/>
    </row>
    <row r="105" spans="1:20" ht="15" customHeight="1" thickTop="1" x14ac:dyDescent="0.25">
      <c r="A105" s="2511" t="s">
        <v>364</v>
      </c>
      <c r="B105" s="2266">
        <v>13</v>
      </c>
      <c r="C105" s="2231">
        <f>C106+C111</f>
        <v>185121</v>
      </c>
      <c r="D105" s="2231">
        <f>D106+D111</f>
        <v>198521</v>
      </c>
      <c r="E105" s="2231">
        <f>E106+E111</f>
        <v>198484</v>
      </c>
      <c r="F105" s="2232">
        <f>E105/D105*100</f>
        <v>99.981362173271336</v>
      </c>
      <c r="G105" s="2564">
        <f>SUM(G106,G111)</f>
        <v>185121000</v>
      </c>
      <c r="H105" s="2564">
        <f>SUM(H106,H111)</f>
        <v>198521279.47</v>
      </c>
      <c r="I105" s="2564">
        <f>SUM(I106,I111)</f>
        <v>198484146.81</v>
      </c>
      <c r="J105" s="2257"/>
      <c r="K105" s="2257"/>
      <c r="Q105" s="2198" t="s">
        <v>642</v>
      </c>
      <c r="R105" s="2203">
        <f>C112+C107+C101+C96+C90+C84+C78+C73+C68+C62</f>
        <v>2203212</v>
      </c>
      <c r="S105" s="2203">
        <f t="shared" ref="R105:T108" si="6">D112+D107+D101+D96+D90+D84+D78+D73+D68+D62</f>
        <v>2168965</v>
      </c>
      <c r="T105" s="2203">
        <f>E112+E107+E101+E96+E90+E84+E78+E73+E68+E62</f>
        <v>2163289</v>
      </c>
    </row>
    <row r="106" spans="1:20" x14ac:dyDescent="0.2">
      <c r="A106" s="2258" t="s">
        <v>645</v>
      </c>
      <c r="B106" s="2218"/>
      <c r="C106" s="2259">
        <f>SUM(C107:C110)</f>
        <v>61155</v>
      </c>
      <c r="D106" s="2259">
        <f>SUM(D107:D110)</f>
        <v>71181</v>
      </c>
      <c r="E106" s="2259">
        <f>SUM(E107:E110)</f>
        <v>71155</v>
      </c>
      <c r="F106" s="2267">
        <f>E106/D106*100</f>
        <v>99.963473398800247</v>
      </c>
      <c r="G106" s="2560">
        <f>SUM(G107:G110)</f>
        <v>61155000</v>
      </c>
      <c r="H106" s="2560">
        <f>SUM(H107:H110)</f>
        <v>71181314.469999999</v>
      </c>
      <c r="I106" s="2560">
        <f>SUM(I107:I110)</f>
        <v>71154993.469999999</v>
      </c>
      <c r="J106" s="2216"/>
      <c r="K106" s="2216"/>
      <c r="Q106" s="2198" t="s">
        <v>677</v>
      </c>
      <c r="R106" s="2203">
        <f t="shared" si="6"/>
        <v>109657</v>
      </c>
      <c r="S106" s="2203">
        <f t="shared" si="6"/>
        <v>95095</v>
      </c>
      <c r="T106" s="2203">
        <f t="shared" si="6"/>
        <v>94309</v>
      </c>
    </row>
    <row r="107" spans="1:20" x14ac:dyDescent="0.2">
      <c r="A107" s="2217" t="s">
        <v>636</v>
      </c>
      <c r="B107" s="2218"/>
      <c r="C107" s="2219">
        <f>'13 '!E288</f>
        <v>61155</v>
      </c>
      <c r="D107" s="2219">
        <f>'13 '!F288</f>
        <v>69581</v>
      </c>
      <c r="E107" s="2219">
        <f>'13 '!G288</f>
        <v>69555</v>
      </c>
      <c r="F107" s="2220">
        <f t="shared" ref="F107:F114" si="7">E107/D107*100</f>
        <v>99.962633477529778</v>
      </c>
      <c r="G107" s="2394">
        <v>61155000</v>
      </c>
      <c r="H107" s="2394">
        <v>69581314.469999999</v>
      </c>
      <c r="I107" s="2394">
        <v>69554993.469999999</v>
      </c>
      <c r="J107" s="2221"/>
      <c r="K107" s="2221"/>
      <c r="L107" s="2221"/>
      <c r="M107" s="2221"/>
      <c r="Q107" s="2198" t="s">
        <v>678</v>
      </c>
      <c r="R107" s="2203">
        <f t="shared" si="6"/>
        <v>0</v>
      </c>
      <c r="S107" s="2203">
        <f t="shared" si="6"/>
        <v>5622494</v>
      </c>
      <c r="T107" s="2203">
        <f t="shared" si="6"/>
        <v>5622192</v>
      </c>
    </row>
    <row r="108" spans="1:20" x14ac:dyDescent="0.2">
      <c r="A108" s="2217" t="s">
        <v>637</v>
      </c>
      <c r="B108" s="2218"/>
      <c r="C108" s="2219">
        <f>'13 '!E289</f>
        <v>0</v>
      </c>
      <c r="D108" s="2219">
        <f>'13 '!F289</f>
        <v>1600</v>
      </c>
      <c r="E108" s="2219">
        <f>'13 '!G289</f>
        <v>1600</v>
      </c>
      <c r="F108" s="2220">
        <f t="shared" si="7"/>
        <v>100</v>
      </c>
      <c r="G108" s="2394">
        <v>0</v>
      </c>
      <c r="H108" s="2394">
        <v>1600000</v>
      </c>
      <c r="I108" s="2394">
        <v>1600000</v>
      </c>
      <c r="J108" s="2221"/>
      <c r="K108" s="2221"/>
      <c r="L108" s="2221"/>
      <c r="M108" s="2221"/>
      <c r="Q108" s="2198" t="s">
        <v>1414</v>
      </c>
      <c r="R108" s="2203">
        <f t="shared" si="6"/>
        <v>0</v>
      </c>
      <c r="S108" s="2203">
        <f t="shared" si="6"/>
        <v>166060</v>
      </c>
      <c r="T108" s="2203">
        <f t="shared" si="6"/>
        <v>166060</v>
      </c>
    </row>
    <row r="109" spans="1:20" x14ac:dyDescent="0.2">
      <c r="A109" s="2223" t="s">
        <v>643</v>
      </c>
      <c r="B109" s="2218"/>
      <c r="C109" s="2219">
        <f>'13 '!E290</f>
        <v>0</v>
      </c>
      <c r="D109" s="2219">
        <f>'13 '!F290</f>
        <v>0</v>
      </c>
      <c r="E109" s="2219">
        <f>'13 '!G290</f>
        <v>0</v>
      </c>
      <c r="F109" s="2220">
        <v>0</v>
      </c>
      <c r="G109" s="2394">
        <v>0</v>
      </c>
      <c r="H109" s="2394">
        <v>0</v>
      </c>
      <c r="I109" s="2394">
        <v>0</v>
      </c>
      <c r="J109" s="2221"/>
      <c r="K109" s="2221"/>
      <c r="L109" s="2221"/>
      <c r="M109" s="2221"/>
      <c r="Q109" s="2198" t="s">
        <v>902</v>
      </c>
      <c r="R109" s="2203">
        <v>0</v>
      </c>
      <c r="S109" s="2203">
        <v>0</v>
      </c>
      <c r="T109" s="2203">
        <f>E66+E88</f>
        <v>1036</v>
      </c>
    </row>
    <row r="110" spans="1:20" x14ac:dyDescent="0.2">
      <c r="A110" s="2263" t="s">
        <v>644</v>
      </c>
      <c r="B110" s="2218"/>
      <c r="C110" s="2219">
        <f>'13 '!E291</f>
        <v>0</v>
      </c>
      <c r="D110" s="2219">
        <f>'13 '!F291</f>
        <v>0</v>
      </c>
      <c r="E110" s="2219">
        <f>'13 '!G291</f>
        <v>0</v>
      </c>
      <c r="F110" s="2220">
        <v>0</v>
      </c>
      <c r="G110" s="2394">
        <v>0</v>
      </c>
      <c r="H110" s="2394">
        <v>0</v>
      </c>
      <c r="I110" s="2394">
        <v>0</v>
      </c>
      <c r="J110" s="2221"/>
      <c r="K110" s="2216">
        <f>G105+G94+G82+G60</f>
        <v>2312869000</v>
      </c>
      <c r="L110" s="2216">
        <f>H105+H94+H82+H60</f>
        <v>8052613752.3400002</v>
      </c>
      <c r="M110" s="2216">
        <f>I105+I94+I82+I60</f>
        <v>8046885834.1599998</v>
      </c>
      <c r="N110" s="2233" t="s">
        <v>901</v>
      </c>
      <c r="Q110" s="2233" t="s">
        <v>676</v>
      </c>
      <c r="R110" s="2268">
        <f>C105+C94+C82+C60</f>
        <v>2312869</v>
      </c>
      <c r="S110" s="2268">
        <f>D105+D94+D82+D60</f>
        <v>8052614</v>
      </c>
      <c r="T110" s="2268">
        <f>E105+E94+E82+E60</f>
        <v>8046886</v>
      </c>
    </row>
    <row r="111" spans="1:20" x14ac:dyDescent="0.2">
      <c r="A111" s="2264" t="s">
        <v>646</v>
      </c>
      <c r="B111" s="2218"/>
      <c r="C111" s="2259">
        <f>SUM(C112:C115)</f>
        <v>123966</v>
      </c>
      <c r="D111" s="2259">
        <f>SUM(D112:D115)</f>
        <v>127340</v>
      </c>
      <c r="E111" s="2259">
        <f>SUM(E112:E115)</f>
        <v>127329</v>
      </c>
      <c r="F111" s="2267">
        <f t="shared" si="7"/>
        <v>99.991361708811056</v>
      </c>
      <c r="G111" s="2560">
        <f>SUM(G112:G115)</f>
        <v>123966000</v>
      </c>
      <c r="H111" s="2560">
        <f>SUM(H112:H115)</f>
        <v>127339965</v>
      </c>
      <c r="I111" s="2560">
        <f>SUM(I112:I115)</f>
        <v>127329153.34</v>
      </c>
      <c r="J111" s="2216"/>
      <c r="K111" s="2221">
        <f t="shared" ref="K111:M112" si="8">G62+G68+G73+G78+G84+G90+G96+G101+G107+G112</f>
        <v>2203212000</v>
      </c>
      <c r="L111" s="2221">
        <f t="shared" si="8"/>
        <v>2168963965.6000004</v>
      </c>
      <c r="M111" s="2221">
        <f t="shared" si="8"/>
        <v>2163288621.9700003</v>
      </c>
      <c r="N111" s="2221" t="s">
        <v>642</v>
      </c>
      <c r="Q111" s="2198" t="s">
        <v>1439</v>
      </c>
      <c r="R111" s="2203">
        <f t="shared" ref="R111:T112" si="9">C114+C112+C109+C107+C103+C101+C98+C96+C92+C90+C86+C84+C80+C78+C75+C73+C70+C68+C64+C62</f>
        <v>2203212</v>
      </c>
      <c r="S111" s="2203">
        <f t="shared" si="9"/>
        <v>7791459</v>
      </c>
      <c r="T111" s="2203">
        <f>E114+E112+E109+E107+E103+E101+E98+E96+E92+E90+E86+E84+E80+E78+E75+E73+E70+E68+E64+E62</f>
        <v>7785481</v>
      </c>
    </row>
    <row r="112" spans="1:20" x14ac:dyDescent="0.2">
      <c r="A112" s="2217" t="s">
        <v>636</v>
      </c>
      <c r="B112" s="2218"/>
      <c r="C112" s="2219">
        <f>'13 '!E294</f>
        <v>123966</v>
      </c>
      <c r="D112" s="2219">
        <f>'13 '!F294</f>
        <v>126521</v>
      </c>
      <c r="E112" s="2219">
        <f>'13 '!G294</f>
        <v>126510</v>
      </c>
      <c r="F112" s="2220">
        <f t="shared" si="7"/>
        <v>99.991305791133485</v>
      </c>
      <c r="G112" s="2394">
        <v>123966000</v>
      </c>
      <c r="H112" s="2394">
        <v>126520965</v>
      </c>
      <c r="I112" s="2394">
        <v>126510153.34</v>
      </c>
      <c r="J112" s="2221"/>
      <c r="K112" s="2221">
        <f t="shared" si="8"/>
        <v>109657000</v>
      </c>
      <c r="L112" s="2221">
        <f t="shared" si="8"/>
        <v>95095036.569999993</v>
      </c>
      <c r="M112" s="2221">
        <f t="shared" si="8"/>
        <v>94309705.859999999</v>
      </c>
      <c r="N112" s="2243" t="s">
        <v>588</v>
      </c>
      <c r="Q112" s="2198" t="s">
        <v>1440</v>
      </c>
      <c r="R112" s="2203">
        <f t="shared" si="9"/>
        <v>109657</v>
      </c>
      <c r="S112" s="2203">
        <f t="shared" si="9"/>
        <v>261155</v>
      </c>
      <c r="T112" s="2203">
        <f t="shared" si="9"/>
        <v>260369</v>
      </c>
    </row>
    <row r="113" spans="1:20" x14ac:dyDescent="0.2">
      <c r="A113" s="2217" t="s">
        <v>637</v>
      </c>
      <c r="B113" s="2218"/>
      <c r="C113" s="2219">
        <f>'13 '!E295</f>
        <v>0</v>
      </c>
      <c r="D113" s="2219">
        <f>'13 '!F295</f>
        <v>200</v>
      </c>
      <c r="E113" s="2219">
        <f>'13 '!G295</f>
        <v>200</v>
      </c>
      <c r="F113" s="2220">
        <f t="shared" si="7"/>
        <v>100</v>
      </c>
      <c r="G113" s="2394">
        <v>0</v>
      </c>
      <c r="H113" s="2394">
        <v>200000</v>
      </c>
      <c r="I113" s="2394">
        <v>200000</v>
      </c>
      <c r="J113" s="2221"/>
      <c r="K113" s="2221">
        <f>+G64+G70+G75+G80+G86+G92+G98+G103+G109+G114</f>
        <v>0</v>
      </c>
      <c r="L113" s="2221">
        <f>+H64+H70+H75+H80+H86+H92+H98+H103+H109+H114</f>
        <v>5622494830.250001</v>
      </c>
      <c r="M113" s="2221">
        <f>+I64+I70+I75+I80+I86+I92+I98+I103+I109+I114</f>
        <v>5622191963.3600006</v>
      </c>
      <c r="N113" s="2243" t="s">
        <v>678</v>
      </c>
      <c r="Q113" s="2198" t="s">
        <v>902</v>
      </c>
      <c r="R113" s="2198">
        <v>0</v>
      </c>
      <c r="S113" s="2198">
        <v>0</v>
      </c>
      <c r="T113" s="2203">
        <f>E88+E66</f>
        <v>1036</v>
      </c>
    </row>
    <row r="114" spans="1:20" ht="13.5" customHeight="1" x14ac:dyDescent="0.2">
      <c r="A114" s="2263" t="s">
        <v>643</v>
      </c>
      <c r="B114" s="2218"/>
      <c r="C114" s="2219">
        <f>'13 '!E296</f>
        <v>0</v>
      </c>
      <c r="D114" s="2219">
        <f>'13 '!F296</f>
        <v>619</v>
      </c>
      <c r="E114" s="2219">
        <f>'13 '!G296</f>
        <v>619</v>
      </c>
      <c r="F114" s="2220">
        <f t="shared" si="7"/>
        <v>100</v>
      </c>
      <c r="G114" s="2394">
        <v>0</v>
      </c>
      <c r="H114" s="2394">
        <v>619000</v>
      </c>
      <c r="I114" s="2394">
        <v>619000</v>
      </c>
      <c r="J114" s="2221"/>
      <c r="K114" s="2221">
        <f>G65+G71+G76+G81+G87+G93+G99+G104+G110+G115</f>
        <v>0</v>
      </c>
      <c r="L114" s="2221">
        <f>H65+H71+H76+H81+H87+H93+H99+H104+H110+H115</f>
        <v>166059919.91999999</v>
      </c>
      <c r="M114" s="2221">
        <f>I65+I71+I76+I81+I87+I93+I99+I104+I110+I115</f>
        <v>166059919.91999999</v>
      </c>
      <c r="N114" s="2243" t="s">
        <v>1414</v>
      </c>
      <c r="Q114" s="2233" t="s">
        <v>676</v>
      </c>
      <c r="R114" s="2268">
        <f>R111+R112+R113</f>
        <v>2312869</v>
      </c>
      <c r="S114" s="2268">
        <f>S111+S112+S113</f>
        <v>8052614</v>
      </c>
      <c r="T114" s="2268">
        <f>T111+T112+T113</f>
        <v>8046886</v>
      </c>
    </row>
    <row r="115" spans="1:20" ht="15" thickBot="1" x14ac:dyDescent="0.25">
      <c r="A115" s="2269" t="s">
        <v>644</v>
      </c>
      <c r="B115" s="2245"/>
      <c r="C115" s="2246">
        <f>'13 '!E297</f>
        <v>0</v>
      </c>
      <c r="D115" s="2246">
        <f>'13 '!F297</f>
        <v>0</v>
      </c>
      <c r="E115" s="2246">
        <f>'13 '!G297</f>
        <v>0</v>
      </c>
      <c r="F115" s="2247">
        <v>0</v>
      </c>
      <c r="G115" s="2561">
        <v>0</v>
      </c>
      <c r="H115" s="2559">
        <v>0</v>
      </c>
      <c r="I115" s="2559">
        <v>0</v>
      </c>
      <c r="J115" s="2221"/>
      <c r="K115" s="2228">
        <v>0</v>
      </c>
      <c r="L115" s="2228">
        <v>0</v>
      </c>
      <c r="M115" s="2228">
        <f>I66+I88</f>
        <v>1035623.0499999999</v>
      </c>
      <c r="N115" s="2243" t="s">
        <v>902</v>
      </c>
      <c r="R115" s="2203"/>
      <c r="S115" s="2203"/>
      <c r="T115" s="2203"/>
    </row>
    <row r="116" spans="1:20" ht="15.75" thickTop="1" thickBot="1" x14ac:dyDescent="0.25">
      <c r="F116" s="2203" t="s">
        <v>161</v>
      </c>
      <c r="G116" s="2328"/>
      <c r="H116" s="2328"/>
      <c r="I116" s="2328"/>
      <c r="J116" s="2328"/>
      <c r="K116" s="2328"/>
      <c r="L116" s="2328"/>
      <c r="M116" s="2328"/>
    </row>
    <row r="117" spans="1:20" s="2208" customFormat="1" ht="27" thickTop="1" thickBot="1" x14ac:dyDescent="0.25">
      <c r="A117" s="2204" t="s">
        <v>631</v>
      </c>
      <c r="B117" s="2205" t="s">
        <v>634</v>
      </c>
      <c r="C117" s="2206" t="s">
        <v>632</v>
      </c>
      <c r="D117" s="2206" t="s">
        <v>633</v>
      </c>
      <c r="E117" s="2206" t="s">
        <v>882</v>
      </c>
      <c r="F117" s="2207" t="s">
        <v>883</v>
      </c>
      <c r="G117" s="2331"/>
      <c r="H117" s="2331"/>
      <c r="I117" s="2331"/>
      <c r="J117" s="2331"/>
      <c r="K117" s="2331"/>
    </row>
    <row r="118" spans="1:20" s="2213" customFormat="1" ht="12.75" thickTop="1" thickBot="1" x14ac:dyDescent="0.25">
      <c r="A118" s="2251">
        <v>1</v>
      </c>
      <c r="B118" s="2252">
        <v>2</v>
      </c>
      <c r="C118" s="2253">
        <v>3</v>
      </c>
      <c r="D118" s="2253">
        <v>4</v>
      </c>
      <c r="E118" s="2253">
        <v>5</v>
      </c>
      <c r="F118" s="2254" t="s">
        <v>424</v>
      </c>
      <c r="G118" s="2332"/>
      <c r="H118" s="2332"/>
      <c r="I118" s="2332"/>
      <c r="J118" s="2332"/>
      <c r="K118" s="2332"/>
    </row>
    <row r="119" spans="1:20" s="2233" customFormat="1" ht="15.75" thickTop="1" x14ac:dyDescent="0.25">
      <c r="A119" s="2270" t="s">
        <v>365</v>
      </c>
      <c r="B119" s="2256">
        <v>14</v>
      </c>
      <c r="C119" s="2241">
        <f>C120+C125</f>
        <v>245713</v>
      </c>
      <c r="D119" s="2241">
        <f>D120+D125</f>
        <v>282622</v>
      </c>
      <c r="E119" s="2241">
        <f>E120+E125</f>
        <v>282309</v>
      </c>
      <c r="F119" s="2236">
        <f>E119/D119*100</f>
        <v>99.889251367550997</v>
      </c>
      <c r="G119" s="2564">
        <f>SUM(G120,G125)</f>
        <v>245713000</v>
      </c>
      <c r="H119" s="2564">
        <f>SUM(H120,H125)</f>
        <v>282621518.51999998</v>
      </c>
      <c r="I119" s="2564">
        <f>SUM(I120,I125)</f>
        <v>282309419.72000003</v>
      </c>
      <c r="J119" s="2257"/>
      <c r="K119" s="2221"/>
      <c r="L119" s="2198"/>
      <c r="M119" s="2198"/>
      <c r="N119" s="2243"/>
    </row>
    <row r="120" spans="1:20" x14ac:dyDescent="0.2">
      <c r="A120" s="2258" t="s">
        <v>645</v>
      </c>
      <c r="B120" s="2218"/>
      <c r="C120" s="2259">
        <f>SUM(C121:C124)</f>
        <v>20051</v>
      </c>
      <c r="D120" s="2259">
        <f>SUM(D121:D124)</f>
        <v>23754</v>
      </c>
      <c r="E120" s="2259">
        <f>SUM(E121:E124)</f>
        <v>23442</v>
      </c>
      <c r="F120" s="2267">
        <f>E120/D120*100</f>
        <v>98.686537004294024</v>
      </c>
      <c r="G120" s="2560">
        <f>G121+G122+G123+G124</f>
        <v>20051000</v>
      </c>
      <c r="H120" s="2560">
        <f>H121+H122+H123+H124</f>
        <v>23753219.719999999</v>
      </c>
      <c r="I120" s="2560">
        <f>I121+I122+I123+I124</f>
        <v>23442087.719999999</v>
      </c>
      <c r="J120" s="2216"/>
      <c r="K120" s="2221"/>
      <c r="N120" s="2243"/>
    </row>
    <row r="121" spans="1:20" x14ac:dyDescent="0.2">
      <c r="A121" s="2217" t="s">
        <v>636</v>
      </c>
      <c r="B121" s="2218"/>
      <c r="C121" s="2219">
        <f>'14'!E160</f>
        <v>19451</v>
      </c>
      <c r="D121" s="2219">
        <f>'14'!F160</f>
        <v>20922</v>
      </c>
      <c r="E121" s="2219">
        <f>'14'!G160</f>
        <v>20610</v>
      </c>
      <c r="F121" s="2220">
        <f t="shared" ref="F121:F128" si="10">E121/D121*100</f>
        <v>98.508746773731005</v>
      </c>
      <c r="G121" s="2394">
        <v>19451000</v>
      </c>
      <c r="H121" s="2394">
        <v>20921616.199999999</v>
      </c>
      <c r="I121" s="2394">
        <v>20610484.199999999</v>
      </c>
      <c r="J121" s="2221"/>
      <c r="K121" s="2221"/>
      <c r="N121" s="2243"/>
    </row>
    <row r="122" spans="1:20" x14ac:dyDescent="0.2">
      <c r="A122" s="2217" t="s">
        <v>637</v>
      </c>
      <c r="B122" s="2218"/>
      <c r="C122" s="2219">
        <f>'14'!E161</f>
        <v>0</v>
      </c>
      <c r="D122" s="2219">
        <f>'14'!F161</f>
        <v>400</v>
      </c>
      <c r="E122" s="2219">
        <f>'14'!G161</f>
        <v>400</v>
      </c>
      <c r="F122" s="2220">
        <f t="shared" si="10"/>
        <v>100</v>
      </c>
      <c r="G122" s="2394">
        <v>0</v>
      </c>
      <c r="H122" s="2394">
        <v>400000</v>
      </c>
      <c r="I122" s="2394">
        <v>400000</v>
      </c>
      <c r="J122" s="2221"/>
      <c r="K122" s="2221"/>
      <c r="L122" s="2221"/>
      <c r="M122" s="2221"/>
      <c r="N122" s="2243"/>
    </row>
    <row r="123" spans="1:20" x14ac:dyDescent="0.2">
      <c r="A123" s="2223" t="s">
        <v>643</v>
      </c>
      <c r="B123" s="2218"/>
      <c r="C123" s="2219">
        <f>'14'!E162</f>
        <v>600</v>
      </c>
      <c r="D123" s="2219">
        <f>'14'!F162</f>
        <v>2432</v>
      </c>
      <c r="E123" s="2219">
        <f>'14'!G162</f>
        <v>2432</v>
      </c>
      <c r="F123" s="2220">
        <f t="shared" si="10"/>
        <v>100</v>
      </c>
      <c r="G123" s="2394">
        <v>600000</v>
      </c>
      <c r="H123" s="2394">
        <v>2431603.52</v>
      </c>
      <c r="I123" s="2394">
        <v>2431603.52</v>
      </c>
      <c r="J123" s="2221"/>
      <c r="K123" s="2221"/>
    </row>
    <row r="124" spans="1:20" x14ac:dyDescent="0.2">
      <c r="A124" s="2263" t="s">
        <v>644</v>
      </c>
      <c r="B124" s="2218"/>
      <c r="C124" s="2219">
        <f>'14'!E163</f>
        <v>0</v>
      </c>
      <c r="D124" s="2219">
        <f>'14'!F163</f>
        <v>0</v>
      </c>
      <c r="E124" s="2219">
        <f>'14'!G163</f>
        <v>0</v>
      </c>
      <c r="F124" s="2220">
        <v>0</v>
      </c>
      <c r="G124" s="2394">
        <v>0</v>
      </c>
      <c r="H124" s="2394">
        <v>0</v>
      </c>
      <c r="I124" s="2394">
        <v>0</v>
      </c>
      <c r="J124" s="2221"/>
      <c r="K124" s="2221"/>
    </row>
    <row r="125" spans="1:20" x14ac:dyDescent="0.2">
      <c r="A125" s="2264" t="s">
        <v>646</v>
      </c>
      <c r="B125" s="2218"/>
      <c r="C125" s="2259">
        <f>C126+C127+C128+C129</f>
        <v>225662</v>
      </c>
      <c r="D125" s="2259">
        <f>D126+D127+D128+D129</f>
        <v>258868</v>
      </c>
      <c r="E125" s="2259">
        <f>E126+E127+E128+E129</f>
        <v>258867</v>
      </c>
      <c r="F125" s="2267">
        <f t="shared" si="10"/>
        <v>99.999613702736539</v>
      </c>
      <c r="G125" s="2560">
        <f>SUM(G126:G129)</f>
        <v>225662000</v>
      </c>
      <c r="H125" s="2560">
        <f>SUM(H126:H129)</f>
        <v>258868298.80000001</v>
      </c>
      <c r="I125" s="2560">
        <f>SUM(I126:I129)</f>
        <v>258867332</v>
      </c>
      <c r="J125" s="2216"/>
      <c r="K125" s="2216"/>
    </row>
    <row r="126" spans="1:20" x14ac:dyDescent="0.2">
      <c r="A126" s="2217" t="s">
        <v>636</v>
      </c>
      <c r="B126" s="2218"/>
      <c r="C126" s="2219">
        <f>'14'!E166</f>
        <v>220306</v>
      </c>
      <c r="D126" s="2219">
        <f>'14'!F166</f>
        <v>229954</v>
      </c>
      <c r="E126" s="2219">
        <f>'14'!G166</f>
        <v>229953</v>
      </c>
      <c r="F126" s="2220">
        <f t="shared" si="10"/>
        <v>99.999565130417395</v>
      </c>
      <c r="G126" s="2394">
        <v>220306000</v>
      </c>
      <c r="H126" s="2394">
        <v>229953758.80000001</v>
      </c>
      <c r="I126" s="2394">
        <v>229952792</v>
      </c>
      <c r="J126" s="2221"/>
      <c r="K126" s="2221"/>
    </row>
    <row r="127" spans="1:20" x14ac:dyDescent="0.2">
      <c r="A127" s="2217" t="s">
        <v>637</v>
      </c>
      <c r="B127" s="2218"/>
      <c r="C127" s="2219">
        <f>'14'!E167</f>
        <v>5356</v>
      </c>
      <c r="D127" s="2219">
        <f>'14'!F167</f>
        <v>19006</v>
      </c>
      <c r="E127" s="2219">
        <f>'14'!G167</f>
        <v>19006</v>
      </c>
      <c r="F127" s="2220">
        <f t="shared" si="10"/>
        <v>100</v>
      </c>
      <c r="G127" s="2394">
        <v>5356000</v>
      </c>
      <c r="H127" s="2394">
        <v>19006000</v>
      </c>
      <c r="I127" s="2394">
        <v>19006000</v>
      </c>
      <c r="J127" s="2221"/>
      <c r="K127" s="2221"/>
    </row>
    <row r="128" spans="1:20" x14ac:dyDescent="0.2">
      <c r="A128" s="2263" t="s">
        <v>643</v>
      </c>
      <c r="B128" s="2218"/>
      <c r="C128" s="2219">
        <f>'14'!E168</f>
        <v>0</v>
      </c>
      <c r="D128" s="2219">
        <f>'14'!F168</f>
        <v>9908</v>
      </c>
      <c r="E128" s="2219">
        <f>'14'!G168</f>
        <v>9908</v>
      </c>
      <c r="F128" s="2220">
        <f t="shared" si="10"/>
        <v>100</v>
      </c>
      <c r="G128" s="2394">
        <v>0</v>
      </c>
      <c r="H128" s="2394">
        <v>9908540</v>
      </c>
      <c r="I128" s="2394">
        <v>9908540</v>
      </c>
      <c r="J128" s="2221"/>
      <c r="K128" s="2221"/>
    </row>
    <row r="129" spans="1:20" x14ac:dyDescent="0.2">
      <c r="A129" s="2263" t="s">
        <v>644</v>
      </c>
      <c r="B129" s="2218"/>
      <c r="C129" s="2219">
        <f>'14'!E169</f>
        <v>0</v>
      </c>
      <c r="D129" s="2219">
        <f>'14'!F169</f>
        <v>0</v>
      </c>
      <c r="E129" s="2219">
        <f>'14'!G169</f>
        <v>0</v>
      </c>
      <c r="F129" s="2227">
        <v>0</v>
      </c>
      <c r="G129" s="2561">
        <v>0</v>
      </c>
      <c r="H129" s="2559">
        <v>0</v>
      </c>
      <c r="I129" s="2559">
        <v>0</v>
      </c>
      <c r="J129" s="2221"/>
      <c r="K129" s="2221"/>
    </row>
    <row r="130" spans="1:20" s="2233" customFormat="1" ht="15" x14ac:dyDescent="0.25">
      <c r="A130" s="2271" t="s">
        <v>371</v>
      </c>
      <c r="B130" s="2272">
        <v>15</v>
      </c>
      <c r="C130" s="2519">
        <f>'15'!E15</f>
        <v>15</v>
      </c>
      <c r="D130" s="2519">
        <f>'15'!F15</f>
        <v>5</v>
      </c>
      <c r="E130" s="2519">
        <f>'15'!G15</f>
        <v>1</v>
      </c>
      <c r="F130" s="2520">
        <f>E130/D130*100</f>
        <v>20</v>
      </c>
      <c r="G130" s="2566">
        <v>15000</v>
      </c>
      <c r="H130" s="2567">
        <v>5000</v>
      </c>
      <c r="I130" s="2567">
        <v>504</v>
      </c>
      <c r="J130" s="2216"/>
      <c r="K130" s="2216"/>
    </row>
    <row r="131" spans="1:20" s="2233" customFormat="1" ht="15" x14ac:dyDescent="0.25">
      <c r="A131" s="2271" t="s">
        <v>372</v>
      </c>
      <c r="B131" s="2272">
        <v>16</v>
      </c>
      <c r="C131" s="2519">
        <f>'16'!E15</f>
        <v>20</v>
      </c>
      <c r="D131" s="2519">
        <f>'16'!F15</f>
        <v>0</v>
      </c>
      <c r="E131" s="2519">
        <f>'16'!G15</f>
        <v>0</v>
      </c>
      <c r="F131" s="2521">
        <v>0</v>
      </c>
      <c r="G131" s="2568">
        <v>20000</v>
      </c>
      <c r="H131" s="2569">
        <v>0</v>
      </c>
      <c r="I131" s="2569">
        <v>0</v>
      </c>
      <c r="J131" s="2216"/>
      <c r="K131" s="2216"/>
    </row>
    <row r="132" spans="1:20" s="2233" customFormat="1" ht="15" x14ac:dyDescent="0.25">
      <c r="A132" s="2270" t="s">
        <v>1194</v>
      </c>
      <c r="B132" s="2273">
        <v>17</v>
      </c>
      <c r="C132" s="2241">
        <f>SUM(C133:C136)</f>
        <v>165217</v>
      </c>
      <c r="D132" s="2241">
        <f>SUM(D133:D136)</f>
        <v>231990</v>
      </c>
      <c r="E132" s="2241">
        <f>SUM(E133:E136)</f>
        <v>209738</v>
      </c>
      <c r="F132" s="2236">
        <f>E132/D132*100</f>
        <v>90.408207250312515</v>
      </c>
      <c r="G132" s="2560">
        <f>SUM(G133:G136)</f>
        <v>165217000</v>
      </c>
      <c r="H132" s="2560">
        <f>SUM(H133:H136)</f>
        <v>231989765.53999999</v>
      </c>
      <c r="I132" s="2560">
        <f>SUM(I133:I136)</f>
        <v>209737939.56999999</v>
      </c>
      <c r="J132" s="2216"/>
      <c r="K132" s="2221">
        <f>G121+G126+G133+G130+G131+G138</f>
        <v>285338000</v>
      </c>
      <c r="L132" s="2221">
        <f>H121+H126+H133+H130+H131+H138</f>
        <v>313818288.97000003</v>
      </c>
      <c r="M132" s="2221">
        <f>I121+I126+I133+I130+I131+I138</f>
        <v>307196330.41000003</v>
      </c>
      <c r="N132" s="2221" t="s">
        <v>642</v>
      </c>
      <c r="Q132" s="2198"/>
    </row>
    <row r="133" spans="1:20" s="2233" customFormat="1" x14ac:dyDescent="0.2">
      <c r="A133" s="2217" t="s">
        <v>636</v>
      </c>
      <c r="B133" s="2235"/>
      <c r="C133" s="2219">
        <f>'17'!E118</f>
        <v>13443</v>
      </c>
      <c r="D133" s="2219">
        <f>'17'!F118</f>
        <v>29325</v>
      </c>
      <c r="E133" s="2219">
        <f>'17'!G118</f>
        <v>26506</v>
      </c>
      <c r="F133" s="2220">
        <f>E133/D133*100</f>
        <v>90.387041773231033</v>
      </c>
      <c r="G133" s="2394">
        <v>13443000</v>
      </c>
      <c r="H133" s="2394">
        <v>29324643.969999999</v>
      </c>
      <c r="I133" s="2394">
        <v>26506319.109999999</v>
      </c>
      <c r="J133" s="2221"/>
      <c r="K133" s="2221">
        <f>G122+G127+G134+G139</f>
        <v>157130000</v>
      </c>
      <c r="L133" s="2221">
        <f t="shared" ref="K133:M135" si="11">H122+H127+H134+H139</f>
        <v>222280010.56999999</v>
      </c>
      <c r="M133" s="2221">
        <f t="shared" si="11"/>
        <v>202846509.46000001</v>
      </c>
      <c r="N133" s="2243" t="s">
        <v>588</v>
      </c>
      <c r="Q133" s="2198"/>
    </row>
    <row r="134" spans="1:20" s="2233" customFormat="1" x14ac:dyDescent="0.2">
      <c r="A134" s="2217" t="s">
        <v>637</v>
      </c>
      <c r="B134" s="2235"/>
      <c r="C134" s="2219">
        <f>'17'!E119</f>
        <v>151774</v>
      </c>
      <c r="D134" s="2219">
        <f>'17'!F119</f>
        <v>202665</v>
      </c>
      <c r="E134" s="2219">
        <f>'17'!G119</f>
        <v>183232</v>
      </c>
      <c r="F134" s="2220">
        <f>E134/D134*100</f>
        <v>90.411269829521629</v>
      </c>
      <c r="G134" s="2394">
        <v>151774000</v>
      </c>
      <c r="H134" s="2394">
        <v>202665121.56999999</v>
      </c>
      <c r="I134" s="2394">
        <v>183231620.46000001</v>
      </c>
      <c r="J134" s="2221"/>
      <c r="K134" s="2221">
        <f>G123+G128+G135+G140</f>
        <v>600000</v>
      </c>
      <c r="L134" s="2221">
        <f t="shared" si="11"/>
        <v>12340143.52</v>
      </c>
      <c r="M134" s="2221">
        <f t="shared" si="11"/>
        <v>12340143.52</v>
      </c>
      <c r="N134" s="2243" t="s">
        <v>678</v>
      </c>
      <c r="Q134" s="2198"/>
    </row>
    <row r="135" spans="1:20" s="2233" customFormat="1" x14ac:dyDescent="0.2">
      <c r="A135" s="2223" t="s">
        <v>643</v>
      </c>
      <c r="B135" s="2218"/>
      <c r="C135" s="2219">
        <f>'17'!E120</f>
        <v>0</v>
      </c>
      <c r="D135" s="2219">
        <f>'17'!F120</f>
        <v>0</v>
      </c>
      <c r="E135" s="2219">
        <f>'17'!G120</f>
        <v>0</v>
      </c>
      <c r="F135" s="2220">
        <v>0</v>
      </c>
      <c r="G135" s="2394">
        <v>0</v>
      </c>
      <c r="H135" s="2394">
        <v>0</v>
      </c>
      <c r="I135" s="2394">
        <v>0</v>
      </c>
      <c r="J135" s="2221"/>
      <c r="K135" s="2221">
        <f t="shared" si="11"/>
        <v>0</v>
      </c>
      <c r="L135" s="2221">
        <f t="shared" si="11"/>
        <v>0</v>
      </c>
      <c r="M135" s="2221">
        <f t="shared" si="11"/>
        <v>0</v>
      </c>
      <c r="N135" s="2243" t="s">
        <v>1414</v>
      </c>
      <c r="Q135" s="2198"/>
    </row>
    <row r="136" spans="1:20" s="2233" customFormat="1" x14ac:dyDescent="0.2">
      <c r="A136" s="2234" t="s">
        <v>644</v>
      </c>
      <c r="B136" s="2225"/>
      <c r="C136" s="2226">
        <f>'17'!E121</f>
        <v>0</v>
      </c>
      <c r="D136" s="2226">
        <f>'17'!F121</f>
        <v>0</v>
      </c>
      <c r="E136" s="2226">
        <f>'17'!G121</f>
        <v>0</v>
      </c>
      <c r="F136" s="2227">
        <v>0</v>
      </c>
      <c r="G136" s="2561">
        <v>0</v>
      </c>
      <c r="H136" s="2559">
        <v>0</v>
      </c>
      <c r="I136" s="2559">
        <v>0</v>
      </c>
      <c r="J136" s="2221"/>
      <c r="K136" s="2228">
        <v>0</v>
      </c>
      <c r="L136" s="2228">
        <v>0</v>
      </c>
      <c r="M136" s="2228">
        <v>0</v>
      </c>
      <c r="N136" s="2243" t="s">
        <v>902</v>
      </c>
      <c r="Q136" s="2198" t="s">
        <v>2042</v>
      </c>
    </row>
    <row r="137" spans="1:20" s="2233" customFormat="1" ht="15" x14ac:dyDescent="0.25">
      <c r="A137" s="2274" t="s">
        <v>1810</v>
      </c>
      <c r="B137" s="2256">
        <v>18</v>
      </c>
      <c r="C137" s="2241">
        <f>C138+C139+C140+C141</f>
        <v>32103</v>
      </c>
      <c r="D137" s="2241">
        <f>D138+D139+D140+D141</f>
        <v>33822</v>
      </c>
      <c r="E137" s="2241">
        <f>E138+E139+E140+E141</f>
        <v>30335</v>
      </c>
      <c r="F137" s="2236">
        <f>E137/D137*100</f>
        <v>89.690142510791787</v>
      </c>
      <c r="G137" s="2560">
        <f>G138+G139+G140+G141</f>
        <v>32103000</v>
      </c>
      <c r="H137" s="2560">
        <f>H138+H139+H140+H141</f>
        <v>33822159</v>
      </c>
      <c r="I137" s="2560">
        <f>I138+I139+I140+I141</f>
        <v>30335120.100000001</v>
      </c>
      <c r="J137" s="2221"/>
      <c r="K137" s="2216">
        <f>K132+K133+K134+K135+K136</f>
        <v>443068000</v>
      </c>
      <c r="L137" s="2216">
        <f>L132+L133+L134+L135+L136</f>
        <v>548438443.06000006</v>
      </c>
      <c r="M137" s="2216">
        <f>M132+M133+M134+M135+M136</f>
        <v>522382983.38999999</v>
      </c>
      <c r="N137" s="2250" t="s">
        <v>901</v>
      </c>
      <c r="Q137" s="2198" t="s">
        <v>642</v>
      </c>
      <c r="R137" s="2203">
        <f>C121+C126+C130+C131+C133+C138</f>
        <v>285338</v>
      </c>
      <c r="S137" s="2203">
        <f>D121+D126+D130+D131+D133+D138</f>
        <v>313819</v>
      </c>
      <c r="T137" s="2203">
        <f>E121+E126+E130+E131+E133+E138</f>
        <v>307196</v>
      </c>
    </row>
    <row r="138" spans="1:20" s="2233" customFormat="1" x14ac:dyDescent="0.2">
      <c r="A138" s="2217" t="s">
        <v>636</v>
      </c>
      <c r="B138" s="2235"/>
      <c r="C138" s="2219">
        <f>'18'!E82</f>
        <v>32103</v>
      </c>
      <c r="D138" s="2219">
        <f>'18'!F82</f>
        <v>33613</v>
      </c>
      <c r="E138" s="2219">
        <f>'18'!G82</f>
        <v>30126</v>
      </c>
      <c r="F138" s="2220">
        <f>E138/D138*100</f>
        <v>89.626037544997473</v>
      </c>
      <c r="G138" s="2394">
        <v>32103000</v>
      </c>
      <c r="H138" s="2394">
        <v>33613270</v>
      </c>
      <c r="I138" s="2394">
        <v>30126231.100000001</v>
      </c>
      <c r="J138" s="2221"/>
      <c r="K138" s="2221"/>
      <c r="Q138" s="2198" t="s">
        <v>677</v>
      </c>
      <c r="R138" s="2203">
        <f>C122+C127+C134+C139</f>
        <v>157130</v>
      </c>
      <c r="S138" s="2203">
        <f>D122+D127+D134+D139</f>
        <v>222280</v>
      </c>
      <c r="T138" s="2203">
        <f>E122+E127+E134+E139</f>
        <v>202847</v>
      </c>
    </row>
    <row r="139" spans="1:20" s="2233" customFormat="1" x14ac:dyDescent="0.2">
      <c r="A139" s="2217" t="s">
        <v>637</v>
      </c>
      <c r="B139" s="2235"/>
      <c r="C139" s="2219">
        <f>'18'!E83</f>
        <v>0</v>
      </c>
      <c r="D139" s="2219">
        <f>'18'!F83</f>
        <v>209</v>
      </c>
      <c r="E139" s="2219">
        <f>'18'!G83</f>
        <v>209</v>
      </c>
      <c r="F139" s="2220">
        <v>0</v>
      </c>
      <c r="G139" s="2394">
        <v>0</v>
      </c>
      <c r="H139" s="2394">
        <v>208889</v>
      </c>
      <c r="I139" s="2394">
        <v>208889</v>
      </c>
      <c r="J139" s="2221"/>
      <c r="K139" s="2221"/>
      <c r="Q139" s="2198" t="s">
        <v>678</v>
      </c>
      <c r="R139" s="2203">
        <f>C140+C135+C128+C123</f>
        <v>600</v>
      </c>
      <c r="S139" s="2203">
        <f>D140+D135+D128+D123</f>
        <v>12340</v>
      </c>
      <c r="T139" s="2203">
        <f>E140+E135+E128+E123</f>
        <v>12340</v>
      </c>
    </row>
    <row r="140" spans="1:20" x14ac:dyDescent="0.2">
      <c r="A140" s="2223" t="s">
        <v>643</v>
      </c>
      <c r="B140" s="2218"/>
      <c r="C140" s="2219">
        <f>'18'!E84</f>
        <v>0</v>
      </c>
      <c r="D140" s="2219">
        <f>'18'!F84</f>
        <v>0</v>
      </c>
      <c r="E140" s="2219">
        <f>'18'!G84</f>
        <v>0</v>
      </c>
      <c r="F140" s="2220">
        <v>0</v>
      </c>
      <c r="G140" s="2394">
        <v>0</v>
      </c>
      <c r="H140" s="2394">
        <v>0</v>
      </c>
      <c r="I140" s="2394">
        <v>0</v>
      </c>
      <c r="J140" s="2221"/>
      <c r="K140" s="2221"/>
      <c r="Q140" s="2198" t="s">
        <v>1414</v>
      </c>
      <c r="R140" s="2203">
        <f>C124+C129+C136+C141</f>
        <v>0</v>
      </c>
      <c r="S140" s="2203">
        <f>D124+D129+D136+D141</f>
        <v>0</v>
      </c>
      <c r="T140" s="2203">
        <f>E124+E129+E136+E141</f>
        <v>0</v>
      </c>
    </row>
    <row r="141" spans="1:20" x14ac:dyDescent="0.2">
      <c r="A141" s="2237" t="s">
        <v>644</v>
      </c>
      <c r="B141" s="2225"/>
      <c r="C141" s="2226">
        <f>'18'!E85</f>
        <v>0</v>
      </c>
      <c r="D141" s="2226">
        <f>'18'!F85</f>
        <v>0</v>
      </c>
      <c r="E141" s="2226">
        <f>'18'!G85</f>
        <v>0</v>
      </c>
      <c r="F141" s="2227">
        <v>0</v>
      </c>
      <c r="G141" s="2561">
        <v>0</v>
      </c>
      <c r="H141" s="2559">
        <v>0</v>
      </c>
      <c r="I141" s="2559">
        <v>0</v>
      </c>
      <c r="J141" s="2221"/>
      <c r="K141" s="2221"/>
      <c r="Q141" s="2198" t="s">
        <v>902</v>
      </c>
      <c r="R141" s="2198">
        <v>0</v>
      </c>
      <c r="S141" s="2198">
        <v>0</v>
      </c>
      <c r="T141" s="2198">
        <v>0</v>
      </c>
    </row>
    <row r="142" spans="1:20" s="2233" customFormat="1" ht="15" x14ac:dyDescent="0.25">
      <c r="A142" s="2614" t="s">
        <v>1178</v>
      </c>
      <c r="B142" s="2256">
        <v>30</v>
      </c>
      <c r="C142" s="2241">
        <f>SUM(C144:C146)</f>
        <v>60</v>
      </c>
      <c r="D142" s="2241">
        <f>SUM(D144:D146)</f>
        <v>47</v>
      </c>
      <c r="E142" s="2241">
        <f>SUM(E144:E146)</f>
        <v>46</v>
      </c>
      <c r="F142" s="2236">
        <f>E142/D142*100</f>
        <v>97.872340425531917</v>
      </c>
      <c r="G142" s="2560">
        <f>SUM(G144:G146)</f>
        <v>60000</v>
      </c>
      <c r="H142" s="2560">
        <f>SUM(H144:H146)</f>
        <v>47500</v>
      </c>
      <c r="I142" s="2560">
        <f>SUM(I144:I146)</f>
        <v>47143</v>
      </c>
      <c r="J142" s="2216"/>
      <c r="K142" s="2221"/>
      <c r="L142" s="2221"/>
      <c r="M142" s="2221"/>
      <c r="Q142" s="2233" t="s">
        <v>676</v>
      </c>
      <c r="R142" s="2268">
        <f>R137+R138+R139+R140+R141</f>
        <v>443068</v>
      </c>
      <c r="S142" s="2268">
        <f>S137+S138+S139+S140+S141</f>
        <v>548439</v>
      </c>
      <c r="T142" s="2268">
        <f>T137+T138+T139+T140+T141</f>
        <v>522383</v>
      </c>
    </row>
    <row r="143" spans="1:20" s="2233" customFormat="1" ht="15" x14ac:dyDescent="0.25">
      <c r="A143" s="2627"/>
      <c r="B143" s="2256"/>
      <c r="C143" s="2241"/>
      <c r="D143" s="2241"/>
      <c r="E143" s="2241"/>
      <c r="F143" s="2236"/>
      <c r="G143" s="2560"/>
      <c r="H143" s="2560"/>
      <c r="I143" s="2560"/>
      <c r="J143" s="2216"/>
      <c r="K143" s="2221"/>
      <c r="L143" s="2221"/>
      <c r="M143" s="2221"/>
      <c r="Q143" s="2198" t="s">
        <v>1439</v>
      </c>
      <c r="R143" s="2203">
        <f>C140+C138+C135+C133+C131+C130+C128+C126+C123+C121</f>
        <v>285938</v>
      </c>
      <c r="S143" s="2203">
        <f>D140+D138+D135+D133+D131+D130+D128+D126+D123+D121</f>
        <v>326159</v>
      </c>
      <c r="T143" s="2203">
        <f>E140+E138+E135+E133+E131+E130+E128+E126+E123+E121</f>
        <v>319536</v>
      </c>
    </row>
    <row r="144" spans="1:20" s="2233" customFormat="1" x14ac:dyDescent="0.2">
      <c r="A144" s="2217" t="s">
        <v>636</v>
      </c>
      <c r="B144" s="2256"/>
      <c r="C144" s="2219">
        <f>'30'!E24</f>
        <v>60</v>
      </c>
      <c r="D144" s="2219">
        <f>'30'!F24</f>
        <v>47</v>
      </c>
      <c r="E144" s="2219">
        <f>'30'!G24</f>
        <v>46</v>
      </c>
      <c r="F144" s="2220">
        <f>E144/D144*100</f>
        <v>97.872340425531917</v>
      </c>
      <c r="G144" s="2570">
        <v>60000</v>
      </c>
      <c r="H144" s="2570">
        <v>47500</v>
      </c>
      <c r="I144" s="2570">
        <v>46693</v>
      </c>
      <c r="J144" s="2221"/>
      <c r="K144" s="2221"/>
      <c r="Q144" s="2198" t="s">
        <v>1440</v>
      </c>
      <c r="R144" s="2203">
        <f>C141+C139+C136+C134+C129+C127+C124+C122</f>
        <v>157130</v>
      </c>
      <c r="S144" s="2203">
        <f>D141+D139+D136+D134+D129+D127+D124+D122</f>
        <v>222280</v>
      </c>
      <c r="T144" s="2203">
        <f>E141+E139+E136+E134+E129+E127+E124+E122</f>
        <v>202847</v>
      </c>
    </row>
    <row r="145" spans="1:20" s="2233" customFormat="1" x14ac:dyDescent="0.2">
      <c r="A145" s="2217" t="s">
        <v>637</v>
      </c>
      <c r="B145" s="2256"/>
      <c r="C145" s="2219">
        <f>'30'!E25</f>
        <v>0</v>
      </c>
      <c r="D145" s="2219">
        <f>'30'!F25</f>
        <v>0</v>
      </c>
      <c r="E145" s="2219">
        <f>'30'!G25</f>
        <v>0</v>
      </c>
      <c r="F145" s="2220">
        <v>0</v>
      </c>
      <c r="G145" s="2570">
        <v>0</v>
      </c>
      <c r="H145" s="2570">
        <v>0</v>
      </c>
      <c r="I145" s="2570">
        <v>0</v>
      </c>
      <c r="J145" s="2221"/>
      <c r="K145" s="2221"/>
      <c r="Q145" s="2198" t="s">
        <v>902</v>
      </c>
      <c r="R145" s="2198">
        <v>0</v>
      </c>
      <c r="S145" s="2198">
        <v>0</v>
      </c>
      <c r="T145" s="2198">
        <v>0</v>
      </c>
    </row>
    <row r="146" spans="1:20" s="2233" customFormat="1" x14ac:dyDescent="0.2">
      <c r="A146" s="2224" t="s">
        <v>1179</v>
      </c>
      <c r="B146" s="2275"/>
      <c r="C146" s="2219">
        <f>'30'!E26</f>
        <v>0</v>
      </c>
      <c r="D146" s="2219">
        <f>'30'!F26</f>
        <v>0</v>
      </c>
      <c r="E146" s="2219">
        <f>'30'!G26</f>
        <v>0</v>
      </c>
      <c r="F146" s="2227">
        <v>0</v>
      </c>
      <c r="G146" s="2571">
        <v>0</v>
      </c>
      <c r="H146" s="2572">
        <v>0</v>
      </c>
      <c r="I146" s="2572">
        <v>450</v>
      </c>
      <c r="J146" s="2221"/>
      <c r="K146" s="2221"/>
      <c r="Q146" s="2233" t="s">
        <v>676</v>
      </c>
      <c r="R146" s="2268">
        <f>R143+R144+R145</f>
        <v>443068</v>
      </c>
      <c r="S146" s="2268">
        <f>S143+S144+S145</f>
        <v>548439</v>
      </c>
      <c r="T146" s="2268">
        <f>T143+T144+T145</f>
        <v>522383</v>
      </c>
    </row>
    <row r="147" spans="1:20" s="2199" customFormat="1" ht="15" x14ac:dyDescent="0.25">
      <c r="A147" s="2229" t="s">
        <v>1298</v>
      </c>
      <c r="B147" s="2266">
        <v>32</v>
      </c>
      <c r="C147" s="2231">
        <f>SUM(C148:C150)</f>
        <v>0</v>
      </c>
      <c r="D147" s="2231">
        <f>SUM(D148:D150)</f>
        <v>0</v>
      </c>
      <c r="E147" s="2231">
        <f>SUM(E148:E150)</f>
        <v>1</v>
      </c>
      <c r="F147" s="2236">
        <v>0</v>
      </c>
      <c r="G147" s="2560">
        <f>SUM(G148:G150)</f>
        <v>0</v>
      </c>
      <c r="H147" s="2560">
        <f>SUM(H148:H150)</f>
        <v>0</v>
      </c>
      <c r="I147" s="2560">
        <f>SUM(I148:I150)</f>
        <v>577.33000000000004</v>
      </c>
      <c r="J147" s="2216"/>
      <c r="K147" s="2216"/>
    </row>
    <row r="148" spans="1:20" s="2233" customFormat="1" x14ac:dyDescent="0.2">
      <c r="A148" s="2217" t="s">
        <v>636</v>
      </c>
      <c r="B148" s="2256"/>
      <c r="C148" s="2219">
        <f>'32 '!E16</f>
        <v>0</v>
      </c>
      <c r="D148" s="2219">
        <f>'32 '!F16</f>
        <v>0</v>
      </c>
      <c r="E148" s="2219">
        <f>'32 '!G16</f>
        <v>1</v>
      </c>
      <c r="F148" s="2220">
        <v>0</v>
      </c>
      <c r="G148" s="2573">
        <v>0</v>
      </c>
      <c r="H148" s="2573">
        <v>0</v>
      </c>
      <c r="I148" s="2573">
        <v>577.33000000000004</v>
      </c>
      <c r="J148" s="2221"/>
      <c r="K148" s="2221"/>
    </row>
    <row r="149" spans="1:20" s="2233" customFormat="1" ht="17.25" customHeight="1" x14ac:dyDescent="0.2">
      <c r="A149" s="2217" t="s">
        <v>637</v>
      </c>
      <c r="B149" s="2256"/>
      <c r="C149" s="2219">
        <f>'32 '!E17</f>
        <v>0</v>
      </c>
      <c r="D149" s="2219">
        <f>'32 '!F17</f>
        <v>0</v>
      </c>
      <c r="E149" s="2219">
        <f>'32 '!G17</f>
        <v>0</v>
      </c>
      <c r="F149" s="2220">
        <v>0</v>
      </c>
      <c r="G149" s="2570">
        <v>0</v>
      </c>
      <c r="H149" s="2570">
        <v>0</v>
      </c>
      <c r="I149" s="2570">
        <v>0</v>
      </c>
      <c r="J149" s="2221"/>
      <c r="K149" s="2221"/>
    </row>
    <row r="150" spans="1:20" s="2233" customFormat="1" x14ac:dyDescent="0.2">
      <c r="A150" s="2224" t="s">
        <v>1179</v>
      </c>
      <c r="B150" s="2275"/>
      <c r="C150" s="2226">
        <f>'32 '!E18</f>
        <v>0</v>
      </c>
      <c r="D150" s="2226">
        <f>'32 '!F18</f>
        <v>0</v>
      </c>
      <c r="E150" s="2226">
        <f>'32 '!G18</f>
        <v>0</v>
      </c>
      <c r="F150" s="2227">
        <v>0</v>
      </c>
      <c r="G150" s="2571">
        <v>0</v>
      </c>
      <c r="H150" s="2572">
        <v>0</v>
      </c>
      <c r="I150" s="2572">
        <v>0</v>
      </c>
      <c r="J150" s="2221"/>
      <c r="K150" s="2221"/>
    </row>
    <row r="151" spans="1:20" s="2233" customFormat="1" ht="15" hidden="1" customHeight="1" x14ac:dyDescent="0.25">
      <c r="A151" s="2614" t="s">
        <v>1808</v>
      </c>
      <c r="B151" s="2256">
        <v>36</v>
      </c>
      <c r="C151" s="2241">
        <f>C154+C155+C156</f>
        <v>0</v>
      </c>
      <c r="D151" s="2241">
        <f>D154+D155+D156</f>
        <v>0</v>
      </c>
      <c r="E151" s="2241">
        <f>E154+E155+E156</f>
        <v>0</v>
      </c>
      <c r="F151" s="2236">
        <v>0</v>
      </c>
      <c r="G151" s="2216">
        <f>G154+G155+G156</f>
        <v>0</v>
      </c>
      <c r="H151" s="2216">
        <f>H154+H155+H156</f>
        <v>0</v>
      </c>
      <c r="I151" s="2216">
        <f>I154+I155+I156</f>
        <v>0</v>
      </c>
      <c r="J151" s="2221"/>
      <c r="K151" s="2221"/>
      <c r="Q151" s="2268"/>
      <c r="R151" s="2268"/>
      <c r="S151" s="2268"/>
    </row>
    <row r="152" spans="1:20" s="2233" customFormat="1" ht="15" hidden="1" x14ac:dyDescent="0.25">
      <c r="A152" s="2615"/>
      <c r="B152" s="2256"/>
      <c r="C152" s="2219"/>
      <c r="D152" s="2219"/>
      <c r="E152" s="2219"/>
      <c r="F152" s="2236"/>
      <c r="G152" s="2221"/>
      <c r="H152" s="2221"/>
      <c r="I152" s="2221"/>
      <c r="J152" s="2221"/>
      <c r="K152" s="2221"/>
    </row>
    <row r="153" spans="1:20" s="2233" customFormat="1" ht="15" hidden="1" x14ac:dyDescent="0.25">
      <c r="A153" s="2615"/>
      <c r="B153" s="2256"/>
      <c r="C153" s="2219"/>
      <c r="D153" s="2219"/>
      <c r="E153" s="2219"/>
      <c r="F153" s="2236"/>
      <c r="G153" s="2221"/>
      <c r="H153" s="2221"/>
      <c r="I153" s="2221"/>
      <c r="J153" s="2221"/>
      <c r="K153" s="2221"/>
      <c r="Q153" s="2268"/>
      <c r="R153" s="2268"/>
      <c r="S153" s="2268"/>
    </row>
    <row r="154" spans="1:20" s="2233" customFormat="1" hidden="1" x14ac:dyDescent="0.2">
      <c r="A154" s="2217" t="s">
        <v>636</v>
      </c>
      <c r="B154" s="2256"/>
      <c r="C154" s="2219">
        <f>'36'!E15</f>
        <v>0</v>
      </c>
      <c r="D154" s="2219">
        <v>0</v>
      </c>
      <c r="E154" s="2219">
        <v>0</v>
      </c>
      <c r="F154" s="2220">
        <v>0</v>
      </c>
      <c r="G154" s="2187">
        <v>0</v>
      </c>
      <c r="H154" s="2187"/>
      <c r="I154" s="2187">
        <v>0</v>
      </c>
      <c r="J154" s="2221"/>
      <c r="K154" s="2221"/>
      <c r="Q154" s="2268"/>
      <c r="R154" s="2268"/>
      <c r="S154" s="2268"/>
    </row>
    <row r="155" spans="1:20" s="2233" customFormat="1" hidden="1" x14ac:dyDescent="0.2">
      <c r="A155" s="2217" t="s">
        <v>637</v>
      </c>
      <c r="B155" s="2256"/>
      <c r="C155" s="2219">
        <f>'36'!E16</f>
        <v>0</v>
      </c>
      <c r="D155" s="2219">
        <f>'36'!F16</f>
        <v>0</v>
      </c>
      <c r="E155" s="2219">
        <f>'36'!G16</f>
        <v>0</v>
      </c>
      <c r="F155" s="2220">
        <v>0</v>
      </c>
      <c r="G155" s="2188">
        <v>0</v>
      </c>
      <c r="H155" s="2188">
        <v>0</v>
      </c>
      <c r="I155" s="2188">
        <v>0</v>
      </c>
      <c r="J155" s="2221"/>
      <c r="K155" s="2221"/>
      <c r="Q155" s="2268"/>
      <c r="R155" s="2268"/>
      <c r="S155" s="2268"/>
    </row>
    <row r="156" spans="1:20" s="2233" customFormat="1" hidden="1" x14ac:dyDescent="0.2">
      <c r="A156" s="2224" t="s">
        <v>1179</v>
      </c>
      <c r="B156" s="2256"/>
      <c r="C156" s="2219">
        <f>'36'!E17</f>
        <v>0</v>
      </c>
      <c r="D156" s="2219">
        <f>'36'!F17</f>
        <v>0</v>
      </c>
      <c r="E156" s="2219">
        <f>'36'!G17</f>
        <v>0</v>
      </c>
      <c r="F156" s="2227">
        <v>0</v>
      </c>
      <c r="G156" s="2189">
        <v>0</v>
      </c>
      <c r="H156" s="2190">
        <v>0</v>
      </c>
      <c r="I156" s="2190">
        <v>0</v>
      </c>
      <c r="J156" s="2221"/>
      <c r="K156" s="2221"/>
      <c r="Q156" s="2268"/>
      <c r="R156" s="2268"/>
      <c r="S156" s="2268"/>
    </row>
    <row r="157" spans="1:20" s="2199" customFormat="1" ht="15" hidden="1" customHeight="1" x14ac:dyDescent="0.25">
      <c r="A157" s="2614" t="s">
        <v>1595</v>
      </c>
      <c r="B157" s="2266">
        <v>37</v>
      </c>
      <c r="C157" s="2231">
        <f>SUM(C160:C162)</f>
        <v>0</v>
      </c>
      <c r="D157" s="2231">
        <f>SUM(D160:D162)</f>
        <v>0</v>
      </c>
      <c r="E157" s="2231">
        <f>SUM(E160:E162)</f>
        <v>0</v>
      </c>
      <c r="F157" s="2236">
        <v>0</v>
      </c>
      <c r="G157" s="2216">
        <f>SUM(G160:G162)</f>
        <v>0</v>
      </c>
      <c r="H157" s="2216">
        <f>SUM(H160:H162)</f>
        <v>0</v>
      </c>
      <c r="I157" s="2216">
        <f>SUM(I160:I162)</f>
        <v>0</v>
      </c>
      <c r="J157" s="2216"/>
      <c r="K157" s="2216"/>
    </row>
    <row r="158" spans="1:20" s="2199" customFormat="1" ht="15" hidden="1" x14ac:dyDescent="0.25">
      <c r="A158" s="2615"/>
      <c r="B158" s="2256"/>
      <c r="C158" s="2241"/>
      <c r="D158" s="2241"/>
      <c r="E158" s="2241"/>
      <c r="F158" s="2236"/>
      <c r="G158" s="2216"/>
      <c r="H158" s="2216"/>
      <c r="I158" s="2216"/>
      <c r="J158" s="2216"/>
      <c r="K158" s="2216"/>
    </row>
    <row r="159" spans="1:20" s="2199" customFormat="1" ht="15" hidden="1" x14ac:dyDescent="0.25">
      <c r="A159" s="2615"/>
      <c r="B159" s="2256"/>
      <c r="C159" s="2241"/>
      <c r="D159" s="2241"/>
      <c r="E159" s="2241"/>
      <c r="F159" s="2236"/>
      <c r="G159" s="2216"/>
      <c r="H159" s="2216"/>
      <c r="I159" s="2216"/>
      <c r="J159" s="2216"/>
      <c r="K159" s="2216"/>
    </row>
    <row r="160" spans="1:20" s="2233" customFormat="1" hidden="1" x14ac:dyDescent="0.2">
      <c r="A160" s="2217" t="s">
        <v>636</v>
      </c>
      <c r="B160" s="2256"/>
      <c r="C160" s="2219">
        <f>'37'!E16</f>
        <v>0</v>
      </c>
      <c r="D160" s="2219">
        <v>0</v>
      </c>
      <c r="E160" s="2219">
        <v>0</v>
      </c>
      <c r="F160" s="2220">
        <v>0</v>
      </c>
      <c r="G160" s="2187">
        <v>0</v>
      </c>
      <c r="H160" s="2187">
        <v>0</v>
      </c>
      <c r="I160" s="2187">
        <v>0</v>
      </c>
      <c r="J160" s="2221"/>
      <c r="K160" s="2221"/>
    </row>
    <row r="161" spans="1:20" s="2233" customFormat="1" hidden="1" x14ac:dyDescent="0.2">
      <c r="A161" s="2217" t="s">
        <v>637</v>
      </c>
      <c r="B161" s="2256"/>
      <c r="C161" s="2219">
        <f>'37'!E17</f>
        <v>0</v>
      </c>
      <c r="D161" s="2219">
        <f>'37'!F17</f>
        <v>0</v>
      </c>
      <c r="E161" s="2219">
        <f>'37'!G17</f>
        <v>0</v>
      </c>
      <c r="F161" s="2220">
        <v>0</v>
      </c>
      <c r="G161" s="2188">
        <v>0</v>
      </c>
      <c r="H161" s="2188">
        <v>0</v>
      </c>
      <c r="I161" s="2188">
        <v>0</v>
      </c>
      <c r="J161" s="2221"/>
      <c r="K161" s="2221"/>
    </row>
    <row r="162" spans="1:20" s="2233" customFormat="1" hidden="1" x14ac:dyDescent="0.2">
      <c r="A162" s="2224" t="s">
        <v>1179</v>
      </c>
      <c r="B162" s="2275"/>
      <c r="C162" s="2226">
        <f>'37'!E18</f>
        <v>0</v>
      </c>
      <c r="D162" s="2226">
        <f>'37'!F18</f>
        <v>0</v>
      </c>
      <c r="E162" s="2226">
        <f>'37'!G18</f>
        <v>0</v>
      </c>
      <c r="F162" s="2227">
        <v>0</v>
      </c>
      <c r="G162" s="2189">
        <v>0</v>
      </c>
      <c r="H162" s="2190">
        <v>0</v>
      </c>
      <c r="I162" s="2190">
        <v>0</v>
      </c>
      <c r="J162" s="2221"/>
      <c r="K162" s="2221"/>
    </row>
    <row r="163" spans="1:20" s="2233" customFormat="1" ht="15.75" customHeight="1" x14ac:dyDescent="0.2">
      <c r="A163" s="2614" t="s">
        <v>38</v>
      </c>
      <c r="B163" s="2256"/>
      <c r="C163" s="2276"/>
      <c r="D163" s="2276"/>
      <c r="E163" s="2276"/>
      <c r="F163" s="2277"/>
      <c r="G163" s="2221"/>
      <c r="H163" s="2221"/>
      <c r="I163" s="2221"/>
      <c r="J163" s="2221"/>
      <c r="K163" s="2221"/>
      <c r="L163" s="2221"/>
      <c r="M163" s="2221"/>
      <c r="Q163" s="2198"/>
    </row>
    <row r="164" spans="1:20" s="2233" customFormat="1" ht="16.5" customHeight="1" x14ac:dyDescent="0.25">
      <c r="A164" s="2615"/>
      <c r="B164" s="2256">
        <v>50</v>
      </c>
      <c r="C164" s="2522">
        <f>C165+C166+C167</f>
        <v>104217</v>
      </c>
      <c r="D164" s="2522">
        <f>D165+D166+D167</f>
        <v>300339</v>
      </c>
      <c r="E164" s="2522">
        <f>E165+E166+E167</f>
        <v>189343</v>
      </c>
      <c r="F164" s="2236">
        <f>E164/D164*100</f>
        <v>63.043094636394201</v>
      </c>
      <c r="G164" s="2560">
        <f>SUM(G165:G167)</f>
        <v>104217000</v>
      </c>
      <c r="H164" s="2560">
        <f>SUM(H165:H167)</f>
        <v>300339324.13999999</v>
      </c>
      <c r="I164" s="2560">
        <f>SUM(I165:I167)</f>
        <v>189342840.31999999</v>
      </c>
      <c r="J164" s="2216"/>
      <c r="Q164" s="2198"/>
    </row>
    <row r="165" spans="1:20" s="2233" customFormat="1" x14ac:dyDescent="0.2">
      <c r="A165" s="2217" t="s">
        <v>636</v>
      </c>
      <c r="B165" s="2256"/>
      <c r="C165" s="2219">
        <f>'50'!E354</f>
        <v>0</v>
      </c>
      <c r="D165" s="2219">
        <f>'50'!F354</f>
        <v>0</v>
      </c>
      <c r="E165" s="2219">
        <f>'50'!G354</f>
        <v>0</v>
      </c>
      <c r="F165" s="2220">
        <v>0</v>
      </c>
      <c r="G165" s="2570">
        <v>0</v>
      </c>
      <c r="H165" s="2570">
        <v>0</v>
      </c>
      <c r="I165" s="2570">
        <v>0</v>
      </c>
      <c r="J165" s="2221"/>
      <c r="Q165" s="2198"/>
    </row>
    <row r="166" spans="1:20" s="2233" customFormat="1" x14ac:dyDescent="0.2">
      <c r="A166" s="2217" t="s">
        <v>637</v>
      </c>
      <c r="B166" s="2256"/>
      <c r="C166" s="2219">
        <f>'50'!E355</f>
        <v>104217</v>
      </c>
      <c r="D166" s="2219">
        <f>'50'!F355</f>
        <v>300339</v>
      </c>
      <c r="E166" s="2219">
        <f>'50'!G355</f>
        <v>162627</v>
      </c>
      <c r="F166" s="2220">
        <f>E166/D166*100</f>
        <v>54.147812971342383</v>
      </c>
      <c r="G166" s="2570">
        <v>104217000</v>
      </c>
      <c r="H166" s="2570">
        <v>300339324.13999999</v>
      </c>
      <c r="I166" s="2570">
        <f>'50'!M355</f>
        <v>162626546.34</v>
      </c>
      <c r="J166" s="2221"/>
      <c r="K166" s="2221"/>
      <c r="L166" s="2221"/>
      <c r="M166" s="2221"/>
      <c r="Q166" s="2198"/>
    </row>
    <row r="167" spans="1:20" s="2233" customFormat="1" x14ac:dyDescent="0.2">
      <c r="A167" s="2224" t="s">
        <v>1179</v>
      </c>
      <c r="B167" s="2275"/>
      <c r="C167" s="2226">
        <f>'50'!E356</f>
        <v>0</v>
      </c>
      <c r="D167" s="2226">
        <f>'50'!F356</f>
        <v>0</v>
      </c>
      <c r="E167" s="2226">
        <f>'50'!G356</f>
        <v>26716</v>
      </c>
      <c r="F167" s="2227">
        <v>0</v>
      </c>
      <c r="G167" s="2571">
        <v>0</v>
      </c>
      <c r="H167" s="2572">
        <v>0</v>
      </c>
      <c r="I167" s="2572">
        <f>'50'!M356</f>
        <v>26716293.98</v>
      </c>
      <c r="J167" s="2221"/>
      <c r="K167" s="2221"/>
      <c r="L167" s="2221"/>
      <c r="M167" s="2221"/>
      <c r="Q167" s="2198"/>
    </row>
    <row r="168" spans="1:20" s="2233" customFormat="1" ht="16.5" customHeight="1" x14ac:dyDescent="0.2">
      <c r="A168" s="2625" t="s">
        <v>919</v>
      </c>
      <c r="B168" s="2256"/>
      <c r="C168" s="2219"/>
      <c r="D168" s="2219"/>
      <c r="E168" s="2219"/>
      <c r="F168" s="2220"/>
      <c r="G168" s="2394"/>
      <c r="H168" s="2394"/>
      <c r="I168" s="2394"/>
      <c r="J168" s="2221"/>
      <c r="K168" s="2221"/>
      <c r="Q168" s="2233" t="s">
        <v>2043</v>
      </c>
    </row>
    <row r="169" spans="1:20" s="2233" customFormat="1" ht="29.25" customHeight="1" x14ac:dyDescent="0.2">
      <c r="A169" s="2626"/>
      <c r="B169" s="2256">
        <v>52</v>
      </c>
      <c r="C169" s="2523">
        <f>C170+C171+C172</f>
        <v>78401</v>
      </c>
      <c r="D169" s="2523">
        <f>D170+D171+D172</f>
        <v>466717</v>
      </c>
      <c r="E169" s="2523">
        <f>E170+E171+E172</f>
        <v>650035</v>
      </c>
      <c r="F169" s="2524">
        <f>E169/D169*100</f>
        <v>139.27819213784801</v>
      </c>
      <c r="G169" s="2574">
        <f>SUM(G170:G172)</f>
        <v>78401000</v>
      </c>
      <c r="H169" s="2574">
        <f>SUM(H170:H172)</f>
        <v>466716989.14999998</v>
      </c>
      <c r="I169" s="2574">
        <f>SUM(I170:I172)</f>
        <v>650035637.57000005</v>
      </c>
      <c r="J169" s="2216"/>
      <c r="K169" s="2216"/>
      <c r="Q169" s="2198" t="s">
        <v>1439</v>
      </c>
      <c r="R169" s="2203">
        <f>C148+C154+C160+C165+C170+C144</f>
        <v>60</v>
      </c>
      <c r="S169" s="2203">
        <f>D148+D154+D160+D165+D170+D144</f>
        <v>129</v>
      </c>
      <c r="T169" s="2203">
        <f>E148+E154+E160+E165+E170+E144</f>
        <v>129</v>
      </c>
    </row>
    <row r="170" spans="1:20" s="2233" customFormat="1" x14ac:dyDescent="0.2">
      <c r="A170" s="2217" t="s">
        <v>636</v>
      </c>
      <c r="B170" s="2256"/>
      <c r="C170" s="2219">
        <f>' 52 '!E635</f>
        <v>0</v>
      </c>
      <c r="D170" s="2219">
        <f>' 52 '!F635</f>
        <v>82</v>
      </c>
      <c r="E170" s="2219">
        <f>' 52 '!G635</f>
        <v>82</v>
      </c>
      <c r="F170" s="2220">
        <v>0</v>
      </c>
      <c r="G170" s="2570">
        <f>' 52 '!J635</f>
        <v>0</v>
      </c>
      <c r="H170" s="2570">
        <f>' 52 '!K635</f>
        <v>81645</v>
      </c>
      <c r="I170" s="2570">
        <f>' 52 '!L635</f>
        <v>81645</v>
      </c>
      <c r="J170" s="2221"/>
      <c r="K170" s="2221"/>
      <c r="Q170" s="2198" t="s">
        <v>1440</v>
      </c>
      <c r="R170" s="2203">
        <f>C149+C155+C161+C166+C171</f>
        <v>182618</v>
      </c>
      <c r="S170" s="2203">
        <f>D149+D155+D161+D166+D171+D145</f>
        <v>766974</v>
      </c>
      <c r="T170" s="2203">
        <f>E149+E155+E161+E166+E171+E145</f>
        <v>591973</v>
      </c>
    </row>
    <row r="171" spans="1:20" s="2233" customFormat="1" x14ac:dyDescent="0.2">
      <c r="A171" s="2217" t="s">
        <v>637</v>
      </c>
      <c r="B171" s="2256"/>
      <c r="C171" s="2219">
        <f>' 52 '!E636</f>
        <v>78401</v>
      </c>
      <c r="D171" s="2219">
        <f>' 52 '!F636</f>
        <v>466635</v>
      </c>
      <c r="E171" s="2219">
        <f>' 52 '!G636</f>
        <v>429346</v>
      </c>
      <c r="F171" s="2220">
        <f>E171/D171*100</f>
        <v>92.008957750704511</v>
      </c>
      <c r="G171" s="2570">
        <f>' 52 '!J636</f>
        <v>78401000</v>
      </c>
      <c r="H171" s="2570">
        <f>' 52 '!K636</f>
        <v>466635344.14999998</v>
      </c>
      <c r="I171" s="2570">
        <f>' 52 '!L636</f>
        <v>429346521.22000003</v>
      </c>
      <c r="J171" s="2221"/>
      <c r="K171" s="2221"/>
      <c r="Q171" s="2198" t="s">
        <v>902</v>
      </c>
      <c r="R171" s="2203">
        <f>C150+C156+C162+C167+C172</f>
        <v>0</v>
      </c>
      <c r="S171" s="2203">
        <f>D150+D156+D162+D167+D172</f>
        <v>0</v>
      </c>
      <c r="T171" s="2203">
        <f>E146+E150+E167+E172</f>
        <v>247323</v>
      </c>
    </row>
    <row r="172" spans="1:20" s="2233" customFormat="1" x14ac:dyDescent="0.2">
      <c r="A172" s="2224" t="s">
        <v>1179</v>
      </c>
      <c r="B172" s="2275"/>
      <c r="C172" s="2226">
        <f>' 52 '!E637</f>
        <v>0</v>
      </c>
      <c r="D172" s="2226">
        <f>' 52 '!F637</f>
        <v>0</v>
      </c>
      <c r="E172" s="2226">
        <f>' 52 '!G637</f>
        <v>220607</v>
      </c>
      <c r="F172" s="2227">
        <v>0</v>
      </c>
      <c r="G172" s="2571">
        <f>' 52 '!J637</f>
        <v>0</v>
      </c>
      <c r="H172" s="2572">
        <f>' 52 '!K637</f>
        <v>0</v>
      </c>
      <c r="I172" s="2572">
        <f>' 52 '!L637</f>
        <v>220607471.34999999</v>
      </c>
      <c r="J172" s="2221"/>
      <c r="K172" s="2221"/>
      <c r="Q172" s="2233" t="s">
        <v>676</v>
      </c>
      <c r="R172" s="2268">
        <f>R169+R170+R171</f>
        <v>182678</v>
      </c>
      <c r="S172" s="2268">
        <f>S169+S170+S171</f>
        <v>767103</v>
      </c>
      <c r="T172" s="2268">
        <f>T169+T170+T171</f>
        <v>839425</v>
      </c>
    </row>
    <row r="173" spans="1:20" s="2233" customFormat="1" ht="14.25" customHeight="1" x14ac:dyDescent="0.2">
      <c r="A173" s="2615" t="s">
        <v>940</v>
      </c>
      <c r="B173" s="2256"/>
      <c r="C173" s="2219"/>
      <c r="D173" s="2219"/>
      <c r="E173" s="2219"/>
      <c r="F173" s="2220"/>
      <c r="G173" s="2394"/>
      <c r="H173" s="2394"/>
      <c r="I173" s="2394"/>
      <c r="J173" s="2221"/>
      <c r="K173" s="2221"/>
    </row>
    <row r="174" spans="1:20" s="2233" customFormat="1" ht="15" x14ac:dyDescent="0.25">
      <c r="A174" s="2615"/>
      <c r="B174" s="2256">
        <v>56</v>
      </c>
      <c r="C174" s="2241">
        <f>C175+C176+C177</f>
        <v>0</v>
      </c>
      <c r="D174" s="2241">
        <f>D175+D176+D177</f>
        <v>13860</v>
      </c>
      <c r="E174" s="2241">
        <f>E175+E176+E177</f>
        <v>321</v>
      </c>
      <c r="F174" s="2236">
        <f>E174/D174*100</f>
        <v>2.3160173160173159</v>
      </c>
      <c r="G174" s="2560">
        <f>SUM(G175:G177)</f>
        <v>0</v>
      </c>
      <c r="H174" s="2560">
        <f>SUM(H175:H177)</f>
        <v>13860332.859999999</v>
      </c>
      <c r="I174" s="2560">
        <f>SUM(I175:I177)</f>
        <v>320599.05</v>
      </c>
      <c r="J174" s="2216"/>
      <c r="K174" s="2216"/>
    </row>
    <row r="175" spans="1:20" s="2233" customFormat="1" x14ac:dyDescent="0.2">
      <c r="A175" s="2217" t="s">
        <v>636</v>
      </c>
      <c r="B175" s="2256"/>
      <c r="C175" s="2219">
        <f>'56'!E411</f>
        <v>0</v>
      </c>
      <c r="D175" s="2219">
        <f>'56'!F411</f>
        <v>8791</v>
      </c>
      <c r="E175" s="2219">
        <f>'56'!G411</f>
        <v>321</v>
      </c>
      <c r="F175" s="2220">
        <f>E175/D175*100</f>
        <v>3.6514617222159025</v>
      </c>
      <c r="G175" s="2575">
        <f>'56'!J411</f>
        <v>0</v>
      </c>
      <c r="H175" s="2576">
        <f>'56'!K411</f>
        <v>8790822.7599999998</v>
      </c>
      <c r="I175" s="2576">
        <f>'56'!L411</f>
        <v>320599.05</v>
      </c>
      <c r="J175" s="2221"/>
      <c r="K175" s="2221"/>
      <c r="Q175" s="2268"/>
      <c r="R175" s="2268"/>
      <c r="S175" s="2268"/>
    </row>
    <row r="176" spans="1:20" s="2233" customFormat="1" x14ac:dyDescent="0.2">
      <c r="A176" s="2217" t="s">
        <v>637</v>
      </c>
      <c r="B176" s="2256"/>
      <c r="C176" s="2219">
        <f>'56'!E412</f>
        <v>0</v>
      </c>
      <c r="D176" s="2219">
        <f>'56'!F412</f>
        <v>5069</v>
      </c>
      <c r="E176" s="2219">
        <f>'56'!G412</f>
        <v>0</v>
      </c>
      <c r="F176" s="2220">
        <f>E176/D176*100</f>
        <v>0</v>
      </c>
      <c r="G176" s="2575">
        <f>'56'!J412</f>
        <v>0</v>
      </c>
      <c r="H176" s="2576">
        <f>'56'!K412</f>
        <v>5069510.0999999996</v>
      </c>
      <c r="I176" s="2576">
        <f>'56'!L412</f>
        <v>0</v>
      </c>
      <c r="J176" s="2221"/>
      <c r="K176" s="2221"/>
    </row>
    <row r="177" spans="1:19" s="2233" customFormat="1" x14ac:dyDescent="0.2">
      <c r="A177" s="2224" t="s">
        <v>1179</v>
      </c>
      <c r="B177" s="2275"/>
      <c r="C177" s="2226">
        <f>'56'!E413</f>
        <v>0</v>
      </c>
      <c r="D177" s="2226">
        <f>'56'!F413</f>
        <v>0</v>
      </c>
      <c r="E177" s="2226">
        <f>'56'!G413</f>
        <v>0</v>
      </c>
      <c r="F177" s="2227">
        <v>0</v>
      </c>
      <c r="G177" s="2571">
        <f>'56'!J413</f>
        <v>0</v>
      </c>
      <c r="H177" s="2572">
        <f>'56'!K413</f>
        <v>0</v>
      </c>
      <c r="I177" s="2572">
        <f>'56'!L413</f>
        <v>0</v>
      </c>
      <c r="J177" s="2221"/>
      <c r="K177" s="2221"/>
      <c r="Q177" s="2268"/>
      <c r="R177" s="2268"/>
      <c r="S177" s="2268"/>
    </row>
    <row r="178" spans="1:19" s="2233" customFormat="1" ht="14.25" customHeight="1" x14ac:dyDescent="0.2">
      <c r="A178" s="2614" t="s">
        <v>758</v>
      </c>
      <c r="B178" s="2256"/>
      <c r="C178" s="2219"/>
      <c r="D178" s="2219"/>
      <c r="E178" s="2219"/>
      <c r="F178" s="2220"/>
      <c r="G178" s="2394"/>
      <c r="H178" s="2394"/>
      <c r="I178" s="2394"/>
      <c r="J178" s="2221"/>
      <c r="K178" s="2221"/>
      <c r="Q178" s="2268"/>
      <c r="R178" s="2268"/>
      <c r="S178" s="2268"/>
    </row>
    <row r="179" spans="1:19" s="2233" customFormat="1" ht="15" x14ac:dyDescent="0.25">
      <c r="A179" s="2615"/>
      <c r="B179" s="2256"/>
      <c r="C179" s="2241"/>
      <c r="D179" s="2241"/>
      <c r="E179" s="2241"/>
      <c r="F179" s="2236"/>
      <c r="G179" s="2560"/>
      <c r="H179" s="2560"/>
      <c r="I179" s="2560"/>
      <c r="J179" s="2216"/>
      <c r="K179" s="2216"/>
      <c r="Q179" s="2268"/>
      <c r="R179" s="2268"/>
      <c r="S179" s="2268"/>
    </row>
    <row r="180" spans="1:19" s="2233" customFormat="1" ht="30.75" customHeight="1" x14ac:dyDescent="0.25">
      <c r="A180" s="2615"/>
      <c r="B180" s="2256">
        <v>57</v>
      </c>
      <c r="C180" s="2241">
        <f>C181+C182+C183</f>
        <v>0</v>
      </c>
      <c r="D180" s="2241">
        <f>D181+D182+D183</f>
        <v>7284</v>
      </c>
      <c r="E180" s="2241">
        <f>E181+E182+E183</f>
        <v>339</v>
      </c>
      <c r="F180" s="2236">
        <f>E180/D180*100</f>
        <v>4.6540362438220759</v>
      </c>
      <c r="G180" s="2560">
        <f>SUM(G181:G183)</f>
        <v>0</v>
      </c>
      <c r="H180" s="2560">
        <f>SUM(H181:H183)</f>
        <v>7284459.8900000006</v>
      </c>
      <c r="I180" s="2560">
        <f>SUM(I181:I183)</f>
        <v>338718.69</v>
      </c>
      <c r="J180" s="2216"/>
      <c r="K180" s="2216"/>
      <c r="Q180" s="2268"/>
      <c r="R180" s="2268"/>
      <c r="S180" s="2268"/>
    </row>
    <row r="181" spans="1:19" s="2233" customFormat="1" x14ac:dyDescent="0.2">
      <c r="A181" s="2217" t="s">
        <v>636</v>
      </c>
      <c r="B181" s="2256"/>
      <c r="C181" s="2219">
        <f>'57 '!E233</f>
        <v>0</v>
      </c>
      <c r="D181" s="2219">
        <f>'57 '!F233</f>
        <v>5602</v>
      </c>
      <c r="E181" s="2219">
        <f>'57 '!G233</f>
        <v>339</v>
      </c>
      <c r="F181" s="2220">
        <f>E181/D181*100</f>
        <v>6.0514102106390579</v>
      </c>
      <c r="G181" s="2575">
        <f>'57 '!J233</f>
        <v>0</v>
      </c>
      <c r="H181" s="2576">
        <f>'57 '!K233</f>
        <v>5602119.1200000001</v>
      </c>
      <c r="I181" s="2576">
        <f>'57 '!L233</f>
        <v>338718.69</v>
      </c>
      <c r="J181" s="2221"/>
      <c r="K181" s="2221"/>
    </row>
    <row r="182" spans="1:19" s="2233" customFormat="1" x14ac:dyDescent="0.2">
      <c r="A182" s="2217" t="s">
        <v>637</v>
      </c>
      <c r="B182" s="2256"/>
      <c r="C182" s="2219">
        <f>'57 '!E234</f>
        <v>0</v>
      </c>
      <c r="D182" s="2219">
        <f>'57 '!F234</f>
        <v>1682</v>
      </c>
      <c r="E182" s="2219">
        <f>'57 '!G234</f>
        <v>0</v>
      </c>
      <c r="F182" s="2220">
        <f>E182/D182*100</f>
        <v>0</v>
      </c>
      <c r="G182" s="2575">
        <f>'57 '!J234</f>
        <v>0</v>
      </c>
      <c r="H182" s="2576">
        <f>'57 '!K234</f>
        <v>1682340.77</v>
      </c>
      <c r="I182" s="2576">
        <f>'57 '!L234</f>
        <v>0</v>
      </c>
      <c r="J182" s="2221"/>
      <c r="K182" s="2221"/>
    </row>
    <row r="183" spans="1:19" s="2233" customFormat="1" ht="15" thickBot="1" x14ac:dyDescent="0.25">
      <c r="A183" s="2500" t="s">
        <v>1179</v>
      </c>
      <c r="B183" s="2360"/>
      <c r="C183" s="2246">
        <f>'57 '!E235</f>
        <v>0</v>
      </c>
      <c r="D183" s="2246">
        <f>'57 '!F235</f>
        <v>0</v>
      </c>
      <c r="E183" s="2246">
        <f>'57 '!G235</f>
        <v>0</v>
      </c>
      <c r="F183" s="2247">
        <v>0</v>
      </c>
      <c r="G183" s="2571">
        <f>'57 '!J235</f>
        <v>0</v>
      </c>
      <c r="H183" s="2572">
        <f>'57 '!K235</f>
        <v>0</v>
      </c>
      <c r="I183" s="2572">
        <f>'57 '!L235</f>
        <v>0</v>
      </c>
      <c r="J183" s="2221"/>
      <c r="K183" s="2221"/>
    </row>
    <row r="184" spans="1:19" ht="15.75" thickTop="1" thickBot="1" x14ac:dyDescent="0.25">
      <c r="F184" s="2203" t="s">
        <v>161</v>
      </c>
      <c r="G184" s="2328"/>
      <c r="H184" s="2328"/>
      <c r="I184" s="2328"/>
      <c r="J184" s="2328"/>
      <c r="K184" s="2328"/>
    </row>
    <row r="185" spans="1:19" s="2208" customFormat="1" ht="27" thickTop="1" thickBot="1" x14ac:dyDescent="0.25">
      <c r="A185" s="2204" t="s">
        <v>631</v>
      </c>
      <c r="B185" s="2205" t="s">
        <v>634</v>
      </c>
      <c r="C185" s="2206" t="s">
        <v>632</v>
      </c>
      <c r="D185" s="2206" t="s">
        <v>633</v>
      </c>
      <c r="E185" s="2206" t="s">
        <v>882</v>
      </c>
      <c r="F185" s="2207" t="s">
        <v>883</v>
      </c>
      <c r="G185" s="2331"/>
      <c r="H185" s="2331"/>
      <c r="I185" s="2331"/>
      <c r="J185" s="2331"/>
      <c r="K185" s="2331"/>
    </row>
    <row r="186" spans="1:19" s="2213" customFormat="1" ht="12.75" thickTop="1" thickBot="1" x14ac:dyDescent="0.25">
      <c r="A186" s="2251">
        <v>1</v>
      </c>
      <c r="B186" s="2252">
        <v>2</v>
      </c>
      <c r="C186" s="2253">
        <v>3</v>
      </c>
      <c r="D186" s="2253">
        <v>4</v>
      </c>
      <c r="E186" s="2253">
        <v>5</v>
      </c>
      <c r="F186" s="2254" t="s">
        <v>424</v>
      </c>
      <c r="G186" s="2332"/>
      <c r="H186" s="2332"/>
      <c r="I186" s="2332"/>
      <c r="J186" s="2332"/>
      <c r="K186" s="2332"/>
    </row>
    <row r="187" spans="1:19" s="2233" customFormat="1" ht="15" customHeight="1" thickTop="1" x14ac:dyDescent="0.2">
      <c r="A187" s="2615" t="s">
        <v>303</v>
      </c>
      <c r="B187" s="2256"/>
      <c r="C187" s="2219"/>
      <c r="D187" s="2219"/>
      <c r="E187" s="2219"/>
      <c r="F187" s="2220"/>
      <c r="G187" s="2221"/>
      <c r="H187" s="2221"/>
      <c r="I187" s="2221"/>
      <c r="J187" s="2221"/>
      <c r="K187" s="2221"/>
    </row>
    <row r="188" spans="1:19" s="2233" customFormat="1" ht="29.25" customHeight="1" x14ac:dyDescent="0.25">
      <c r="A188" s="2615"/>
      <c r="B188" s="2256">
        <v>58</v>
      </c>
      <c r="C188" s="2241">
        <f>C189+C190+C191</f>
        <v>0</v>
      </c>
      <c r="D188" s="2241">
        <f>D189+D190+D191</f>
        <v>12571</v>
      </c>
      <c r="E188" s="2241">
        <f>E189+E190+E191</f>
        <v>594</v>
      </c>
      <c r="F188" s="2236">
        <f>E188/D188*100</f>
        <v>4.7251610850369898</v>
      </c>
      <c r="G188" s="2577">
        <f>SUM(G189:G191)</f>
        <v>0</v>
      </c>
      <c r="H188" s="2560">
        <f>SUM(H189:H191)</f>
        <v>12570690.16</v>
      </c>
      <c r="I188" s="2560">
        <f>SUM(I189:I191)</f>
        <v>593485.17000000004</v>
      </c>
      <c r="J188" s="2216"/>
      <c r="K188" s="2216"/>
    </row>
    <row r="189" spans="1:19" s="2233" customFormat="1" x14ac:dyDescent="0.2">
      <c r="A189" s="2217" t="s">
        <v>636</v>
      </c>
      <c r="B189" s="2256"/>
      <c r="C189" s="2219">
        <f>'58  '!E223</f>
        <v>0</v>
      </c>
      <c r="D189" s="2219">
        <f>'58  '!F223</f>
        <v>9935</v>
      </c>
      <c r="E189" s="2219">
        <f>'58  '!G223</f>
        <v>594</v>
      </c>
      <c r="F189" s="2220">
        <f>E189/D189*100</f>
        <v>5.9788626069451434</v>
      </c>
      <c r="G189" s="2575">
        <f>'58  '!J223</f>
        <v>0</v>
      </c>
      <c r="H189" s="2576">
        <f>'58  '!K223</f>
        <v>9934569.9600000009</v>
      </c>
      <c r="I189" s="2576">
        <f>'58  '!L223</f>
        <v>593485.17000000004</v>
      </c>
      <c r="J189" s="2221"/>
      <c r="K189" s="2221"/>
    </row>
    <row r="190" spans="1:19" s="2233" customFormat="1" x14ac:dyDescent="0.2">
      <c r="A190" s="2217" t="s">
        <v>637</v>
      </c>
      <c r="B190" s="2256"/>
      <c r="C190" s="2219">
        <f>'58  '!E224</f>
        <v>0</v>
      </c>
      <c r="D190" s="2219">
        <f>'58  '!F224</f>
        <v>2636</v>
      </c>
      <c r="E190" s="2219">
        <f>'58  '!G224</f>
        <v>0</v>
      </c>
      <c r="F190" s="2220">
        <f>E190/D190*100</f>
        <v>0</v>
      </c>
      <c r="G190" s="2575">
        <f>'58  '!J224</f>
        <v>0</v>
      </c>
      <c r="H190" s="2576">
        <f>'58  '!K224</f>
        <v>2636120.2000000002</v>
      </c>
      <c r="I190" s="2576">
        <f>'58  '!L224</f>
        <v>0</v>
      </c>
      <c r="J190" s="2221"/>
      <c r="K190" s="2221"/>
    </row>
    <row r="191" spans="1:19" s="2233" customFormat="1" x14ac:dyDescent="0.2">
      <c r="A191" s="2224" t="s">
        <v>1179</v>
      </c>
      <c r="B191" s="2275"/>
      <c r="C191" s="2226">
        <f>'58  '!E225</f>
        <v>0</v>
      </c>
      <c r="D191" s="2226">
        <f>'58  '!F225</f>
        <v>0</v>
      </c>
      <c r="E191" s="2226">
        <f>'58  '!G225</f>
        <v>0</v>
      </c>
      <c r="F191" s="2227">
        <v>0</v>
      </c>
      <c r="G191" s="2571">
        <f>'58  '!J225</f>
        <v>0</v>
      </c>
      <c r="H191" s="2572">
        <f>'58  '!K225</f>
        <v>0</v>
      </c>
      <c r="I191" s="2572">
        <f>'58  '!L225</f>
        <v>0</v>
      </c>
      <c r="J191" s="2221"/>
      <c r="K191" s="2221"/>
    </row>
    <row r="192" spans="1:19" s="2233" customFormat="1" ht="15" x14ac:dyDescent="0.25">
      <c r="A192" s="2278" t="s">
        <v>306</v>
      </c>
      <c r="B192" s="2256">
        <v>59</v>
      </c>
      <c r="C192" s="2241">
        <f>C193+C194+C195</f>
        <v>68255</v>
      </c>
      <c r="D192" s="2241">
        <f>D193+D194+D195</f>
        <v>269709</v>
      </c>
      <c r="E192" s="2241">
        <f>E193+E194+E195</f>
        <v>359446</v>
      </c>
      <c r="F192" s="2236">
        <f>E192/D192*100</f>
        <v>133.2717855169831</v>
      </c>
      <c r="G192" s="2560">
        <f>SUM(G193:G195)</f>
        <v>68255000</v>
      </c>
      <c r="H192" s="2560">
        <f>SUM(H193:H195)</f>
        <v>269709011.97000003</v>
      </c>
      <c r="I192" s="2560">
        <f>SUM(I193:I195)</f>
        <v>359446281.26999998</v>
      </c>
      <c r="J192" s="2216"/>
      <c r="K192" s="2216"/>
    </row>
    <row r="193" spans="1:13" s="2233" customFormat="1" x14ac:dyDescent="0.2">
      <c r="A193" s="2217" t="s">
        <v>636</v>
      </c>
      <c r="B193" s="2256"/>
      <c r="C193" s="2219">
        <f>'59 '!E604</f>
        <v>14941</v>
      </c>
      <c r="D193" s="2219">
        <f>'59 '!F604</f>
        <v>32230</v>
      </c>
      <c r="E193" s="2219">
        <f>'59 '!G604</f>
        <v>21025</v>
      </c>
      <c r="F193" s="2220">
        <f>E193/D193*100</f>
        <v>65.234253800806698</v>
      </c>
      <c r="G193" s="2575">
        <f>'59 '!J604</f>
        <v>14941000</v>
      </c>
      <c r="H193" s="2576">
        <f>'59 '!K604</f>
        <v>32229905.789999999</v>
      </c>
      <c r="I193" s="2576">
        <f>'59 '!L604</f>
        <v>21025102.770000011</v>
      </c>
      <c r="J193" s="2221"/>
      <c r="K193" s="2221"/>
    </row>
    <row r="194" spans="1:13" s="2233" customFormat="1" x14ac:dyDescent="0.2">
      <c r="A194" s="2217" t="s">
        <v>637</v>
      </c>
      <c r="B194" s="2256"/>
      <c r="C194" s="2219">
        <f>'59 '!E605</f>
        <v>53314</v>
      </c>
      <c r="D194" s="2219">
        <f>'59 '!F605</f>
        <v>237479</v>
      </c>
      <c r="E194" s="2219">
        <f>'59 '!G605</f>
        <v>152556</v>
      </c>
      <c r="F194" s="2220">
        <f>E194/D194*100</f>
        <v>64.239785412604903</v>
      </c>
      <c r="G194" s="2575">
        <f>'59 '!J605</f>
        <v>53314000</v>
      </c>
      <c r="H194" s="2576">
        <f>'59 '!K605</f>
        <v>237479106.18000001</v>
      </c>
      <c r="I194" s="2576">
        <f>'59 '!L605</f>
        <v>152556425.99000001</v>
      </c>
      <c r="J194" s="2221"/>
      <c r="K194" s="2221"/>
    </row>
    <row r="195" spans="1:13" s="2233" customFormat="1" x14ac:dyDescent="0.2">
      <c r="A195" s="2224" t="s">
        <v>1179</v>
      </c>
      <c r="B195" s="2275"/>
      <c r="C195" s="2226">
        <f>'59 '!E606</f>
        <v>0</v>
      </c>
      <c r="D195" s="2226">
        <f>'59 '!F606</f>
        <v>0</v>
      </c>
      <c r="E195" s="2226">
        <f>'59 '!G606</f>
        <v>185865</v>
      </c>
      <c r="F195" s="2227">
        <v>0</v>
      </c>
      <c r="G195" s="2571">
        <f>'59 '!J606</f>
        <v>0</v>
      </c>
      <c r="H195" s="2572">
        <f>'59 '!K606</f>
        <v>0</v>
      </c>
      <c r="I195" s="2572">
        <f>'59 '!L606</f>
        <v>185864752.50999999</v>
      </c>
      <c r="J195" s="2221"/>
      <c r="K195" s="2221"/>
    </row>
    <row r="196" spans="1:13" s="2233" customFormat="1" ht="14.25" customHeight="1" x14ac:dyDescent="0.2">
      <c r="A196" s="2614" t="s">
        <v>816</v>
      </c>
      <c r="B196" s="2256"/>
      <c r="C196" s="2219"/>
      <c r="D196" s="2219"/>
      <c r="E196" s="2219"/>
      <c r="F196" s="2220"/>
      <c r="G196" s="2221"/>
      <c r="H196" s="2221"/>
      <c r="I196" s="2221"/>
      <c r="J196" s="2221"/>
      <c r="K196" s="2221"/>
    </row>
    <row r="197" spans="1:13" s="2233" customFormat="1" ht="15" x14ac:dyDescent="0.25">
      <c r="A197" s="2615"/>
      <c r="B197" s="2256">
        <v>60</v>
      </c>
      <c r="C197" s="2241">
        <f>C198+C199+C200</f>
        <v>0</v>
      </c>
      <c r="D197" s="2241">
        <f>D198+D199+D200</f>
        <v>69323</v>
      </c>
      <c r="E197" s="2241">
        <f>E198+E199+E200</f>
        <v>101579</v>
      </c>
      <c r="F197" s="2236">
        <f>E197/D197*100</f>
        <v>146.53001168443373</v>
      </c>
      <c r="G197" s="2577">
        <f>SUM(G198:G200)</f>
        <v>0</v>
      </c>
      <c r="H197" s="2560">
        <f>SUM(H198:H200)</f>
        <v>69323252.640000001</v>
      </c>
      <c r="I197" s="2560">
        <f>SUM(I198:I200)</f>
        <v>101579205.41</v>
      </c>
      <c r="J197" s="2216"/>
      <c r="K197" s="2216"/>
    </row>
    <row r="198" spans="1:13" s="2233" customFormat="1" x14ac:dyDescent="0.2">
      <c r="A198" s="2217" t="s">
        <v>636</v>
      </c>
      <c r="B198" s="2256"/>
      <c r="C198" s="2219">
        <f>'60 '!E113</f>
        <v>0</v>
      </c>
      <c r="D198" s="2219">
        <f>'60 '!F113</f>
        <v>69323</v>
      </c>
      <c r="E198" s="2219">
        <f>'60 '!G113</f>
        <v>52517</v>
      </c>
      <c r="F198" s="2220">
        <f>E198/D198*100</f>
        <v>75.756963778255411</v>
      </c>
      <c r="G198" s="2575">
        <f>'60 '!J113</f>
        <v>0</v>
      </c>
      <c r="H198" s="2576">
        <f>'60 '!K113</f>
        <v>69323252.640000001</v>
      </c>
      <c r="I198" s="2576">
        <f>'60 '!L113</f>
        <v>52516771.030000001</v>
      </c>
      <c r="J198" s="2221"/>
      <c r="K198" s="2221"/>
      <c r="L198" s="2221"/>
      <c r="M198" s="2221"/>
    </row>
    <row r="199" spans="1:13" s="2233" customFormat="1" x14ac:dyDescent="0.2">
      <c r="A199" s="2217" t="s">
        <v>637</v>
      </c>
      <c r="B199" s="2256"/>
      <c r="C199" s="2219">
        <f>'60 '!E114</f>
        <v>0</v>
      </c>
      <c r="D199" s="2219">
        <f>'60 '!F114</f>
        <v>0</v>
      </c>
      <c r="E199" s="2219">
        <f>'60 '!G114</f>
        <v>0</v>
      </c>
      <c r="F199" s="2220">
        <v>0</v>
      </c>
      <c r="G199" s="2575">
        <f>'60 '!J114</f>
        <v>0</v>
      </c>
      <c r="H199" s="2576">
        <f>'60 '!K114</f>
        <v>0</v>
      </c>
      <c r="I199" s="2576">
        <f>'60 '!L114</f>
        <v>0</v>
      </c>
      <c r="J199" s="2221"/>
      <c r="K199" s="2221"/>
      <c r="L199" s="2221"/>
      <c r="M199" s="2221"/>
    </row>
    <row r="200" spans="1:13" s="2233" customFormat="1" x14ac:dyDescent="0.2">
      <c r="A200" s="2224" t="s">
        <v>1179</v>
      </c>
      <c r="B200" s="2275"/>
      <c r="C200" s="2226">
        <f>'60 '!E115</f>
        <v>0</v>
      </c>
      <c r="D200" s="2226">
        <f>'60 '!F115</f>
        <v>0</v>
      </c>
      <c r="E200" s="2226">
        <f>'60 '!G115</f>
        <v>49062</v>
      </c>
      <c r="F200" s="2227">
        <v>0</v>
      </c>
      <c r="G200" s="2571">
        <f>'60 '!J115</f>
        <v>0</v>
      </c>
      <c r="H200" s="2572">
        <f>'60 '!K115</f>
        <v>0</v>
      </c>
      <c r="I200" s="2572">
        <f>'60 '!L115</f>
        <v>49062434.380000003</v>
      </c>
      <c r="J200" s="2333"/>
      <c r="K200" s="2221"/>
      <c r="L200" s="2221"/>
      <c r="M200" s="2221"/>
    </row>
    <row r="201" spans="1:13" s="2233" customFormat="1" ht="14.25" customHeight="1" x14ac:dyDescent="0.2">
      <c r="A201" s="2615" t="s">
        <v>964</v>
      </c>
      <c r="B201" s="2256"/>
      <c r="C201" s="2219"/>
      <c r="D201" s="2219"/>
      <c r="E201" s="2219"/>
      <c r="F201" s="2220"/>
      <c r="G201" s="2221"/>
      <c r="H201" s="2221"/>
      <c r="I201" s="2221"/>
      <c r="J201" s="2221"/>
      <c r="K201" s="2221"/>
    </row>
    <row r="202" spans="1:13" s="2233" customFormat="1" ht="15" x14ac:dyDescent="0.25">
      <c r="A202" s="2615"/>
      <c r="B202" s="2256">
        <v>61</v>
      </c>
      <c r="C202" s="2241">
        <f>C203+C204+C205</f>
        <v>0</v>
      </c>
      <c r="D202" s="2241">
        <f>D203+D204+D205</f>
        <v>16472</v>
      </c>
      <c r="E202" s="2241">
        <f>E203+E204+E205</f>
        <v>33877</v>
      </c>
      <c r="F202" s="2236">
        <f>E202/D202*100</f>
        <v>205.66415735794075</v>
      </c>
      <c r="G202" s="2560">
        <f>SUM(G203:G205)</f>
        <v>0</v>
      </c>
      <c r="H202" s="2560">
        <f>SUM(H203:H205)</f>
        <v>16472330.359999999</v>
      </c>
      <c r="I202" s="2560">
        <f>SUM(I203:I205)</f>
        <v>33876499.280000001</v>
      </c>
      <c r="J202" s="2216"/>
      <c r="K202" s="2216"/>
    </row>
    <row r="203" spans="1:13" s="2233" customFormat="1" x14ac:dyDescent="0.2">
      <c r="A203" s="2217" t="s">
        <v>636</v>
      </c>
      <c r="B203" s="2256"/>
      <c r="C203" s="2219">
        <f>'61  '!E47</f>
        <v>0</v>
      </c>
      <c r="D203" s="2219">
        <f>'61  '!F47</f>
        <v>8331</v>
      </c>
      <c r="E203" s="2219">
        <f>'61  '!G47</f>
        <v>8338</v>
      </c>
      <c r="F203" s="2220">
        <f>E203/D203*100</f>
        <v>100.08402352658746</v>
      </c>
      <c r="G203" s="2575">
        <f>'61  '!J47</f>
        <v>0</v>
      </c>
      <c r="H203" s="2576">
        <f>'61  '!K47</f>
        <v>8331408.1100000003</v>
      </c>
      <c r="I203" s="2576">
        <f>'61  '!L47</f>
        <v>8337883.7800000003</v>
      </c>
      <c r="J203" s="2221"/>
      <c r="K203" s="2221"/>
    </row>
    <row r="204" spans="1:13" s="2233" customFormat="1" x14ac:dyDescent="0.2">
      <c r="A204" s="2217" t="s">
        <v>637</v>
      </c>
      <c r="B204" s="2256"/>
      <c r="C204" s="2219">
        <f>'61  '!E48</f>
        <v>0</v>
      </c>
      <c r="D204" s="2219">
        <f>'61  '!F48</f>
        <v>8141</v>
      </c>
      <c r="E204" s="2219">
        <f>'61  '!G48</f>
        <v>8141</v>
      </c>
      <c r="F204" s="2220">
        <f>E204/D204*100</f>
        <v>100</v>
      </c>
      <c r="G204" s="2575">
        <f>'61  '!J48</f>
        <v>0</v>
      </c>
      <c r="H204" s="2576">
        <f>'61  '!K48</f>
        <v>8140922.25</v>
      </c>
      <c r="I204" s="2576">
        <f>'61  '!L48</f>
        <v>8140922.25</v>
      </c>
      <c r="J204" s="2221"/>
      <c r="K204" s="2221"/>
    </row>
    <row r="205" spans="1:13" s="2233" customFormat="1" x14ac:dyDescent="0.2">
      <c r="A205" s="2224" t="s">
        <v>1179</v>
      </c>
      <c r="B205" s="2275"/>
      <c r="C205" s="2226">
        <f>'61  '!E49</f>
        <v>0</v>
      </c>
      <c r="D205" s="2226">
        <f>'61  '!F49</f>
        <v>0</v>
      </c>
      <c r="E205" s="2226">
        <f>'61  '!G49</f>
        <v>17398</v>
      </c>
      <c r="F205" s="2227">
        <v>0</v>
      </c>
      <c r="G205" s="2571">
        <f>'61  '!J49</f>
        <v>0</v>
      </c>
      <c r="H205" s="2572">
        <f>'61  '!K49</f>
        <v>0</v>
      </c>
      <c r="I205" s="2572">
        <f>'61  '!L49</f>
        <v>17397693.25</v>
      </c>
      <c r="J205" s="2221"/>
      <c r="K205" s="2221"/>
    </row>
    <row r="206" spans="1:13" s="2233" customFormat="1" x14ac:dyDescent="0.2">
      <c r="A206" s="2631" t="s">
        <v>2013</v>
      </c>
      <c r="B206" s="2494"/>
      <c r="C206" s="435"/>
      <c r="D206" s="435"/>
      <c r="E206" s="435"/>
      <c r="F206" s="2495"/>
      <c r="G206" s="2576"/>
      <c r="H206" s="2576"/>
      <c r="I206" s="2576"/>
      <c r="J206" s="2221"/>
      <c r="K206" s="2221"/>
    </row>
    <row r="207" spans="1:13" s="2233" customFormat="1" ht="15" x14ac:dyDescent="0.25">
      <c r="A207" s="2631"/>
      <c r="B207" s="2494">
        <v>62</v>
      </c>
      <c r="C207" s="389">
        <f>C208+C209+C210</f>
        <v>0</v>
      </c>
      <c r="D207" s="389">
        <f>D208+D209+D210</f>
        <v>0</v>
      </c>
      <c r="E207" s="389">
        <f>E208+E209+E210</f>
        <v>13</v>
      </c>
      <c r="F207" s="2525">
        <v>0</v>
      </c>
      <c r="G207" s="2578">
        <f>G208+G209+G210</f>
        <v>0</v>
      </c>
      <c r="H207" s="2578">
        <f>H208+H209+H210</f>
        <v>0</v>
      </c>
      <c r="I207" s="2578">
        <f>I208+I209+I210</f>
        <v>13120.88</v>
      </c>
      <c r="J207" s="2221"/>
      <c r="K207" s="2221"/>
    </row>
    <row r="208" spans="1:13" s="2233" customFormat="1" x14ac:dyDescent="0.2">
      <c r="A208" s="431" t="s">
        <v>636</v>
      </c>
      <c r="B208" s="2494"/>
      <c r="C208" s="435">
        <f>'62'!E47</f>
        <v>0</v>
      </c>
      <c r="D208" s="435">
        <f>'62'!F47</f>
        <v>0</v>
      </c>
      <c r="E208" s="435">
        <f>'62'!G47</f>
        <v>0</v>
      </c>
      <c r="F208" s="2495">
        <v>0</v>
      </c>
      <c r="G208" s="2576">
        <f>'62'!J47</f>
        <v>0</v>
      </c>
      <c r="H208" s="2576">
        <f>'62'!K47</f>
        <v>0</v>
      </c>
      <c r="I208" s="2576">
        <f>'62'!L47</f>
        <v>0</v>
      </c>
      <c r="J208" s="2221"/>
      <c r="K208" s="2221"/>
    </row>
    <row r="209" spans="1:17" s="2233" customFormat="1" x14ac:dyDescent="0.2">
      <c r="A209" s="431" t="s">
        <v>637</v>
      </c>
      <c r="B209" s="2494"/>
      <c r="C209" s="435">
        <f>'62'!E48</f>
        <v>0</v>
      </c>
      <c r="D209" s="435">
        <f>'62'!F48</f>
        <v>0</v>
      </c>
      <c r="E209" s="435">
        <f>'62'!G48</f>
        <v>0</v>
      </c>
      <c r="F209" s="2495">
        <v>0</v>
      </c>
      <c r="G209" s="2576">
        <f>'62'!J48</f>
        <v>0</v>
      </c>
      <c r="H209" s="2576">
        <f>'62'!K48</f>
        <v>0</v>
      </c>
      <c r="I209" s="2576">
        <f>'62'!L48</f>
        <v>0</v>
      </c>
      <c r="J209" s="2221"/>
      <c r="K209" s="2221"/>
    </row>
    <row r="210" spans="1:17" s="2233" customFormat="1" x14ac:dyDescent="0.2">
      <c r="A210" s="1409" t="s">
        <v>1179</v>
      </c>
      <c r="B210" s="2496"/>
      <c r="C210" s="2497">
        <f>'62'!E49</f>
        <v>0</v>
      </c>
      <c r="D210" s="2497">
        <f>'62'!F49</f>
        <v>0</v>
      </c>
      <c r="E210" s="2497">
        <f>'62'!G49</f>
        <v>13</v>
      </c>
      <c r="F210" s="2498">
        <v>0</v>
      </c>
      <c r="G210" s="2571">
        <f>'62'!J49</f>
        <v>0</v>
      </c>
      <c r="H210" s="2572">
        <f>'62'!K49</f>
        <v>0</v>
      </c>
      <c r="I210" s="2572">
        <f>'62'!L49</f>
        <v>13120.88</v>
      </c>
      <c r="J210" s="2221"/>
      <c r="K210" s="2221"/>
    </row>
    <row r="211" spans="1:17" s="2233" customFormat="1" ht="14.25" customHeight="1" x14ac:dyDescent="0.2">
      <c r="A211" s="2614" t="s">
        <v>473</v>
      </c>
      <c r="B211" s="2256"/>
      <c r="C211" s="2219"/>
      <c r="D211" s="2219"/>
      <c r="E211" s="2219"/>
      <c r="F211" s="2220"/>
      <c r="G211" s="2221"/>
      <c r="H211" s="2221"/>
      <c r="I211" s="2221"/>
      <c r="J211" s="2221"/>
      <c r="K211" s="2221"/>
    </row>
    <row r="212" spans="1:17" s="2233" customFormat="1" ht="15" x14ac:dyDescent="0.25">
      <c r="A212" s="2615"/>
      <c r="B212" s="2256">
        <v>63</v>
      </c>
      <c r="C212" s="2241">
        <f>C213+C214+C215</f>
        <v>0</v>
      </c>
      <c r="D212" s="2241">
        <f>D213+D214+D215</f>
        <v>66322</v>
      </c>
      <c r="E212" s="2241">
        <f>E213+E214+E215</f>
        <v>65684</v>
      </c>
      <c r="F212" s="2236">
        <v>0</v>
      </c>
      <c r="G212" s="2560">
        <f>SUM(G213:G215)</f>
        <v>0</v>
      </c>
      <c r="H212" s="2560">
        <f>SUM(H213:H215)</f>
        <v>66321635.18</v>
      </c>
      <c r="I212" s="2560">
        <f>SUM(I213:I215)</f>
        <v>65683513.5</v>
      </c>
      <c r="J212" s="2216"/>
      <c r="K212" s="2216"/>
      <c r="M212" s="2334"/>
    </row>
    <row r="213" spans="1:17" s="2233" customFormat="1" x14ac:dyDescent="0.2">
      <c r="A213" s="2217" t="s">
        <v>636</v>
      </c>
      <c r="B213" s="2256"/>
      <c r="C213" s="2219">
        <f>'63'!E141</f>
        <v>0</v>
      </c>
      <c r="D213" s="2219">
        <f>'63'!F141</f>
        <v>66073</v>
      </c>
      <c r="E213" s="2219">
        <f>'63'!G141</f>
        <v>35863</v>
      </c>
      <c r="F213" s="2220">
        <v>0</v>
      </c>
      <c r="G213" s="2575">
        <f>'63'!J141</f>
        <v>0</v>
      </c>
      <c r="H213" s="2576">
        <f>'63'!K141</f>
        <v>66073214.18</v>
      </c>
      <c r="I213" s="2576">
        <f>'63'!L141</f>
        <v>35862450.270000003</v>
      </c>
      <c r="J213" s="2221"/>
      <c r="K213" s="2221"/>
      <c r="L213" s="2221"/>
      <c r="M213" s="2221"/>
    </row>
    <row r="214" spans="1:17" s="2233" customFormat="1" x14ac:dyDescent="0.2">
      <c r="A214" s="2217" t="s">
        <v>637</v>
      </c>
      <c r="B214" s="2256"/>
      <c r="C214" s="2219">
        <f>'63'!E142</f>
        <v>0</v>
      </c>
      <c r="D214" s="2219">
        <f>'63'!F142</f>
        <v>249</v>
      </c>
      <c r="E214" s="2219">
        <f>'63'!G142</f>
        <v>0</v>
      </c>
      <c r="F214" s="2220">
        <v>0</v>
      </c>
      <c r="G214" s="2575">
        <f>'63'!J142</f>
        <v>0</v>
      </c>
      <c r="H214" s="2576">
        <f>'63'!K142</f>
        <v>248421</v>
      </c>
      <c r="I214" s="2576">
        <f>'63'!L142</f>
        <v>0</v>
      </c>
      <c r="J214" s="2221"/>
      <c r="K214" s="2221"/>
      <c r="L214" s="2221"/>
      <c r="M214" s="2221"/>
    </row>
    <row r="215" spans="1:17" s="2233" customFormat="1" ht="15.75" customHeight="1" x14ac:dyDescent="0.2">
      <c r="A215" s="2224" t="s">
        <v>1179</v>
      </c>
      <c r="B215" s="2275"/>
      <c r="C215" s="2226">
        <f>'63'!E143</f>
        <v>0</v>
      </c>
      <c r="D215" s="2226">
        <f>'63'!F143</f>
        <v>0</v>
      </c>
      <c r="E215" s="2226">
        <f>'63'!G143</f>
        <v>29821</v>
      </c>
      <c r="F215" s="2227">
        <v>0</v>
      </c>
      <c r="G215" s="2571">
        <f>'63'!J143</f>
        <v>0</v>
      </c>
      <c r="H215" s="2572">
        <f>'63'!K143</f>
        <v>0</v>
      </c>
      <c r="I215" s="2572">
        <f>'63'!L143</f>
        <v>29821063.23</v>
      </c>
      <c r="J215" s="2221"/>
      <c r="K215" s="2335"/>
      <c r="L215" s="2335"/>
      <c r="M215" s="2335"/>
    </row>
    <row r="216" spans="1:17" s="2233" customFormat="1" x14ac:dyDescent="0.2">
      <c r="A216" s="2630" t="s">
        <v>1051</v>
      </c>
      <c r="B216" s="2256"/>
      <c r="C216" s="2219"/>
      <c r="D216" s="2219"/>
      <c r="E216" s="2219"/>
      <c r="F216" s="2220"/>
      <c r="G216" s="2221"/>
      <c r="H216" s="2221"/>
      <c r="I216" s="2221"/>
      <c r="J216" s="2221"/>
      <c r="K216" s="2221"/>
    </row>
    <row r="217" spans="1:17" s="2233" customFormat="1" ht="15" x14ac:dyDescent="0.25">
      <c r="A217" s="2627"/>
      <c r="B217" s="2256">
        <v>64</v>
      </c>
      <c r="C217" s="2241">
        <f>C218+C219+C220</f>
        <v>530</v>
      </c>
      <c r="D217" s="2241">
        <f>D218+D219+D220</f>
        <v>23055</v>
      </c>
      <c r="E217" s="2241">
        <f>E218+E219+E220</f>
        <v>37924</v>
      </c>
      <c r="F217" s="2236">
        <f>E217/D217*100</f>
        <v>164.49360225547605</v>
      </c>
      <c r="G217" s="2560">
        <f>SUM(G218:G220)</f>
        <v>530000</v>
      </c>
      <c r="H217" s="2560">
        <f>SUM(H218:H220)</f>
        <v>23055258.109999999</v>
      </c>
      <c r="I217" s="2560">
        <f>SUM(I218:I220)</f>
        <v>37924314.350000001</v>
      </c>
      <c r="J217" s="2216"/>
      <c r="K217" s="2216"/>
    </row>
    <row r="218" spans="1:17" s="2233" customFormat="1" x14ac:dyDescent="0.2">
      <c r="A218" s="2217" t="s">
        <v>636</v>
      </c>
      <c r="B218" s="2256"/>
      <c r="C218" s="2219">
        <f>'64 '!E272</f>
        <v>530</v>
      </c>
      <c r="D218" s="2219">
        <f>'64 '!F272</f>
        <v>23055</v>
      </c>
      <c r="E218" s="2219">
        <f>'64 '!G272</f>
        <v>18402</v>
      </c>
      <c r="F218" s="2220">
        <f>E218/D218*100</f>
        <v>79.817826935588812</v>
      </c>
      <c r="G218" s="2575">
        <f>'64 '!J272</f>
        <v>530000</v>
      </c>
      <c r="H218" s="2576">
        <f>'64 '!K272</f>
        <v>23055258.109999999</v>
      </c>
      <c r="I218" s="2576">
        <f>'64 '!L272</f>
        <v>18402775.66</v>
      </c>
      <c r="J218" s="2221"/>
      <c r="K218" s="2221"/>
    </row>
    <row r="219" spans="1:17" s="2233" customFormat="1" x14ac:dyDescent="0.2">
      <c r="A219" s="2217" t="s">
        <v>637</v>
      </c>
      <c r="B219" s="2256"/>
      <c r="C219" s="2219">
        <f>'64 '!E273</f>
        <v>0</v>
      </c>
      <c r="D219" s="2219">
        <f>'64 '!F273</f>
        <v>0</v>
      </c>
      <c r="E219" s="2219">
        <f>'64 '!G273</f>
        <v>0</v>
      </c>
      <c r="F219" s="2220">
        <v>0</v>
      </c>
      <c r="G219" s="2575">
        <f>'64 '!J273</f>
        <v>0</v>
      </c>
      <c r="H219" s="2576">
        <f>'64 '!K273</f>
        <v>0</v>
      </c>
      <c r="I219" s="2576">
        <f>'64 '!L273</f>
        <v>0</v>
      </c>
      <c r="J219" s="2221"/>
      <c r="K219" s="2221"/>
    </row>
    <row r="220" spans="1:17" s="2233" customFormat="1" x14ac:dyDescent="0.2">
      <c r="A220" s="2224" t="s">
        <v>1179</v>
      </c>
      <c r="B220" s="2275"/>
      <c r="C220" s="2226">
        <f>'64 '!E274</f>
        <v>0</v>
      </c>
      <c r="D220" s="2226">
        <f>'64 '!F274</f>
        <v>0</v>
      </c>
      <c r="E220" s="2226">
        <f>'64 '!G274</f>
        <v>19522</v>
      </c>
      <c r="F220" s="2227">
        <v>0</v>
      </c>
      <c r="G220" s="2571">
        <f>'64 '!J274</f>
        <v>0</v>
      </c>
      <c r="H220" s="2572">
        <f>'64 '!K274</f>
        <v>0</v>
      </c>
      <c r="I220" s="2572">
        <f>'64 '!L274</f>
        <v>19521538.690000001</v>
      </c>
      <c r="J220" s="2221"/>
      <c r="K220" s="2221"/>
    </row>
    <row r="221" spans="1:17" s="2233" customFormat="1" x14ac:dyDescent="0.2">
      <c r="A221" s="2614" t="s">
        <v>1415</v>
      </c>
      <c r="B221" s="2256"/>
      <c r="C221" s="2219"/>
      <c r="D221" s="2219"/>
      <c r="E221" s="2219"/>
      <c r="F221" s="2220"/>
      <c r="G221" s="2394"/>
      <c r="H221" s="2394"/>
      <c r="I221" s="2394"/>
      <c r="J221" s="2221"/>
      <c r="K221" s="2221"/>
      <c r="Q221" s="2198"/>
    </row>
    <row r="222" spans="1:17" s="2233" customFormat="1" ht="15" x14ac:dyDescent="0.25">
      <c r="A222" s="2627"/>
      <c r="B222" s="2256">
        <v>66</v>
      </c>
      <c r="C222" s="2241">
        <f>C223+C224+C225</f>
        <v>0</v>
      </c>
      <c r="D222" s="2241">
        <f>D223+D224+D225</f>
        <v>79589</v>
      </c>
      <c r="E222" s="2241">
        <f>E223+E224+E225</f>
        <v>130154</v>
      </c>
      <c r="F222" s="2236">
        <f>E222/D222*100</f>
        <v>163.53264898415608</v>
      </c>
      <c r="G222" s="2579">
        <f>SUM(G223:G225)</f>
        <v>0</v>
      </c>
      <c r="H222" s="2579">
        <f>SUM(H223:H225)</f>
        <v>79588926.75</v>
      </c>
      <c r="I222" s="2579">
        <f>SUM(I223:I225)</f>
        <v>130154018.58</v>
      </c>
      <c r="J222" s="2221"/>
      <c r="K222" s="2221"/>
      <c r="Q222" s="2198"/>
    </row>
    <row r="223" spans="1:17" s="2233" customFormat="1" x14ac:dyDescent="0.2">
      <c r="A223" s="2217" t="s">
        <v>636</v>
      </c>
      <c r="B223" s="2256"/>
      <c r="C223" s="2219">
        <f>'66  '!E461</f>
        <v>0</v>
      </c>
      <c r="D223" s="2219">
        <f>'66  '!F461</f>
        <v>78112</v>
      </c>
      <c r="E223" s="2219">
        <f>'66  '!G461</f>
        <v>59600</v>
      </c>
      <c r="F223" s="2220">
        <f>E223/D223*100</f>
        <v>76.300696435886934</v>
      </c>
      <c r="G223" s="2575">
        <f>'66  '!J461</f>
        <v>0</v>
      </c>
      <c r="H223" s="2576">
        <f>'66  '!K461</f>
        <v>78111971.189999998</v>
      </c>
      <c r="I223" s="2576">
        <f>'66  '!L461</f>
        <v>59600585.75</v>
      </c>
      <c r="J223" s="2335"/>
      <c r="K223" s="2335"/>
      <c r="Q223" s="2198"/>
    </row>
    <row r="224" spans="1:17" s="2233" customFormat="1" x14ac:dyDescent="0.2">
      <c r="A224" s="2217" t="s">
        <v>637</v>
      </c>
      <c r="B224" s="2256"/>
      <c r="C224" s="2219">
        <f>'66  '!E462</f>
        <v>0</v>
      </c>
      <c r="D224" s="2219">
        <f>'66  '!F462</f>
        <v>1477</v>
      </c>
      <c r="E224" s="2219">
        <f>'66  '!G462</f>
        <v>1012</v>
      </c>
      <c r="F224" s="2220">
        <f>E224/D224*100</f>
        <v>68.517264725795542</v>
      </c>
      <c r="G224" s="2575">
        <f>'66  '!J462</f>
        <v>0</v>
      </c>
      <c r="H224" s="2576">
        <f>'66  '!K462</f>
        <v>1476955.56</v>
      </c>
      <c r="I224" s="2576">
        <f>'66  '!L462</f>
        <v>1011867.22</v>
      </c>
      <c r="J224" s="2221"/>
      <c r="K224" s="2221"/>
      <c r="Q224" s="2198"/>
    </row>
    <row r="225" spans="1:20" s="2233" customFormat="1" x14ac:dyDescent="0.2">
      <c r="A225" s="2224" t="s">
        <v>1179</v>
      </c>
      <c r="B225" s="2275"/>
      <c r="C225" s="2226">
        <f>'66  '!E463</f>
        <v>0</v>
      </c>
      <c r="D225" s="2226">
        <f>'66  '!F463</f>
        <v>0</v>
      </c>
      <c r="E225" s="2226">
        <f>'66  '!G463</f>
        <v>69542</v>
      </c>
      <c r="F225" s="2227">
        <v>0</v>
      </c>
      <c r="G225" s="2571">
        <f>'66  '!J463</f>
        <v>0</v>
      </c>
      <c r="H225" s="2572">
        <f>'66  '!K463</f>
        <v>0</v>
      </c>
      <c r="I225" s="2572">
        <f>'66  '!L463</f>
        <v>69541565.609999999</v>
      </c>
      <c r="J225" s="2221"/>
      <c r="K225" s="2221"/>
      <c r="Q225" s="2198"/>
    </row>
    <row r="226" spans="1:20" s="2233" customFormat="1" x14ac:dyDescent="0.2">
      <c r="A226" s="2615" t="s">
        <v>1416</v>
      </c>
      <c r="B226" s="2256"/>
      <c r="C226" s="2219"/>
      <c r="D226" s="2219"/>
      <c r="E226" s="2219"/>
      <c r="F226" s="2220"/>
      <c r="G226" s="2394"/>
      <c r="H226" s="2394"/>
      <c r="I226" s="2394"/>
      <c r="J226" s="2221"/>
      <c r="K226" s="2221"/>
      <c r="Q226" s="2233" t="s">
        <v>2045</v>
      </c>
      <c r="R226" s="2268"/>
      <c r="S226" s="2268"/>
    </row>
    <row r="227" spans="1:20" s="2233" customFormat="1" ht="15" x14ac:dyDescent="0.25">
      <c r="A227" s="2627"/>
      <c r="B227" s="2256">
        <v>67</v>
      </c>
      <c r="C227" s="2241">
        <f>C228+C229+C230</f>
        <v>0</v>
      </c>
      <c r="D227" s="2241">
        <f>D228+D229+D230</f>
        <v>18381</v>
      </c>
      <c r="E227" s="2241">
        <f>E228+E229+E230</f>
        <v>18141</v>
      </c>
      <c r="F227" s="2236">
        <f>E227/D227*100</f>
        <v>98.694303900767096</v>
      </c>
      <c r="G227" s="2579">
        <f>SUM(G228:G230)</f>
        <v>0</v>
      </c>
      <c r="H227" s="2579">
        <f>SUM(H228:H230)</f>
        <v>18380579.02</v>
      </c>
      <c r="I227" s="2579">
        <f>SUM(I228:I230)</f>
        <v>18141176.609999999</v>
      </c>
      <c r="J227" s="2221"/>
      <c r="K227" s="2221"/>
      <c r="Q227" s="2198" t="s">
        <v>1439</v>
      </c>
      <c r="R227" s="2268">
        <f>C175+C181+C189+C193+C198+C203+C213+C218+C223+C228+C208</f>
        <v>15471</v>
      </c>
      <c r="S227" s="2268">
        <f>D175+D181+D189+D193+D198+D203+D213+D218+D223+D228</f>
        <v>319333</v>
      </c>
      <c r="T227" s="2268">
        <f>E175+E181+E189+E193+E198+E203+E213+E218+E223+E228</f>
        <v>208971</v>
      </c>
    </row>
    <row r="228" spans="1:20" s="2233" customFormat="1" x14ac:dyDescent="0.2">
      <c r="A228" s="2217" t="s">
        <v>636</v>
      </c>
      <c r="B228" s="2256"/>
      <c r="C228" s="2219">
        <f>'67 '!E122</f>
        <v>0</v>
      </c>
      <c r="D228" s="2219">
        <f>'67 '!F122</f>
        <v>17881</v>
      </c>
      <c r="E228" s="2219">
        <f>'67 '!G122</f>
        <v>11972</v>
      </c>
      <c r="F228" s="2220">
        <f>E228/D228*100</f>
        <v>66.953749790280185</v>
      </c>
      <c r="G228" s="2570">
        <f>'67 '!K122</f>
        <v>0</v>
      </c>
      <c r="H228" s="2570">
        <f>'67 '!L122</f>
        <v>17880725.02</v>
      </c>
      <c r="I228" s="2570">
        <f>'67 '!M122</f>
        <v>11972015.16</v>
      </c>
      <c r="J228" s="2335"/>
      <c r="K228" s="2335"/>
      <c r="Q228" s="2198" t="s">
        <v>1440</v>
      </c>
      <c r="R228" s="2268">
        <f t="shared" ref="R228:T229" si="12">C229+C224+C219+C214+C204+C199+C194+C190+C182+C176</f>
        <v>53314</v>
      </c>
      <c r="S228" s="2268">
        <f t="shared" si="12"/>
        <v>257233</v>
      </c>
      <c r="T228" s="2268">
        <f t="shared" si="12"/>
        <v>161709</v>
      </c>
    </row>
    <row r="229" spans="1:20" s="2233" customFormat="1" x14ac:dyDescent="0.2">
      <c r="A229" s="2217" t="s">
        <v>637</v>
      </c>
      <c r="B229" s="2256"/>
      <c r="C229" s="2219">
        <f>'67 '!E123</f>
        <v>0</v>
      </c>
      <c r="D229" s="2219">
        <f>'67 '!F123</f>
        <v>500</v>
      </c>
      <c r="E229" s="2219">
        <f>'67 '!G123</f>
        <v>0</v>
      </c>
      <c r="F229" s="2220">
        <v>0</v>
      </c>
      <c r="G229" s="2570">
        <f>'67 '!K123</f>
        <v>0</v>
      </c>
      <c r="H229" s="2570">
        <f>'67 '!L123</f>
        <v>499854</v>
      </c>
      <c r="I229" s="2570">
        <f>'67 '!M123</f>
        <v>0</v>
      </c>
      <c r="J229" s="2221"/>
      <c r="K229" s="2221"/>
      <c r="Q229" s="2198" t="s">
        <v>902</v>
      </c>
      <c r="R229" s="2268">
        <f t="shared" si="12"/>
        <v>0</v>
      </c>
      <c r="S229" s="2268">
        <f t="shared" si="12"/>
        <v>0</v>
      </c>
      <c r="T229" s="2268">
        <f>E177+E183+E191+E195+E200+E205+E210+E215+E220+E225+E230</f>
        <v>377392</v>
      </c>
    </row>
    <row r="230" spans="1:20" s="2233" customFormat="1" x14ac:dyDescent="0.2">
      <c r="A230" s="2217" t="s">
        <v>1179</v>
      </c>
      <c r="B230" s="2275"/>
      <c r="C230" s="2226">
        <f>'67 '!E124</f>
        <v>0</v>
      </c>
      <c r="D230" s="2226">
        <f>'67 '!F124</f>
        <v>0</v>
      </c>
      <c r="E230" s="2226">
        <f>'67 '!G124</f>
        <v>6169</v>
      </c>
      <c r="F230" s="2227">
        <v>0</v>
      </c>
      <c r="G230" s="2571">
        <f>'67 '!K124</f>
        <v>0</v>
      </c>
      <c r="H230" s="2572">
        <f>'67 '!L124</f>
        <v>0</v>
      </c>
      <c r="I230" s="2572">
        <f>'67 '!M124</f>
        <v>6169161.4500000002</v>
      </c>
      <c r="J230" s="2221"/>
      <c r="K230" s="2221"/>
      <c r="Q230" s="2233" t="s">
        <v>676</v>
      </c>
      <c r="R230" s="2268">
        <f>R227+R228+R229</f>
        <v>68785</v>
      </c>
      <c r="S230" s="2268">
        <f>S227+S228+S229</f>
        <v>576566</v>
      </c>
      <c r="T230" s="2268">
        <f>T227+T228+T229</f>
        <v>748072</v>
      </c>
    </row>
    <row r="231" spans="1:20" s="2233" customFormat="1" x14ac:dyDescent="0.2">
      <c r="A231" s="2614" t="s">
        <v>1417</v>
      </c>
      <c r="B231" s="2256"/>
      <c r="C231" s="2219"/>
      <c r="D231" s="2219"/>
      <c r="E231" s="2219"/>
      <c r="F231" s="2220"/>
      <c r="G231" s="2221"/>
      <c r="H231" s="2221"/>
      <c r="I231" s="2221"/>
      <c r="J231" s="2221"/>
      <c r="K231" s="2221"/>
      <c r="Q231" s="2268"/>
      <c r="R231" s="2268"/>
      <c r="S231" s="2268"/>
    </row>
    <row r="232" spans="1:20" s="2233" customFormat="1" x14ac:dyDescent="0.2">
      <c r="A232" s="2627"/>
      <c r="B232" s="2256"/>
      <c r="C232" s="2219"/>
      <c r="D232" s="2219"/>
      <c r="E232" s="2219"/>
      <c r="F232" s="2220"/>
      <c r="G232" s="2221"/>
      <c r="H232" s="2221"/>
      <c r="I232" s="2221"/>
      <c r="J232" s="2221"/>
      <c r="K232" s="2221"/>
      <c r="Q232" s="2233" t="s">
        <v>2044</v>
      </c>
    </row>
    <row r="233" spans="1:20" s="2233" customFormat="1" ht="15" x14ac:dyDescent="0.25">
      <c r="A233" s="2627"/>
      <c r="B233" s="2256">
        <v>68</v>
      </c>
      <c r="C233" s="2241">
        <f>C234+C235+C236</f>
        <v>0</v>
      </c>
      <c r="D233" s="2241">
        <f>D234+D235+D236</f>
        <v>23340</v>
      </c>
      <c r="E233" s="2241">
        <f>E234+E235+E236</f>
        <v>37294</v>
      </c>
      <c r="F233" s="2236">
        <f>E233/D233*100</f>
        <v>159.78577549271637</v>
      </c>
      <c r="G233" s="2579">
        <f>SUM(G234:G236)</f>
        <v>0</v>
      </c>
      <c r="H233" s="2579">
        <f>SUM(H234:H236)</f>
        <v>23340345.609999999</v>
      </c>
      <c r="I233" s="2579">
        <f>SUM(I234:I236)</f>
        <v>37293722.210000001</v>
      </c>
      <c r="J233" s="2221"/>
      <c r="K233" s="2221"/>
      <c r="Q233" s="2198" t="s">
        <v>1439</v>
      </c>
      <c r="R233" s="2268">
        <f t="shared" ref="R233:T235" si="13">C234+C239+C248+C253+C258+C263+C269</f>
        <v>14991</v>
      </c>
      <c r="S233" s="2268">
        <f t="shared" si="13"/>
        <v>100065</v>
      </c>
      <c r="T233" s="2268">
        <f t="shared" si="13"/>
        <v>78927</v>
      </c>
    </row>
    <row r="234" spans="1:20" s="2233" customFormat="1" x14ac:dyDescent="0.2">
      <c r="A234" s="2217" t="s">
        <v>636</v>
      </c>
      <c r="B234" s="2256"/>
      <c r="C234" s="2219">
        <f>'68 '!E99</f>
        <v>0</v>
      </c>
      <c r="D234" s="2219">
        <f>'68 '!F99</f>
        <v>22953</v>
      </c>
      <c r="E234" s="2219">
        <f>'68 '!G99</f>
        <v>18082</v>
      </c>
      <c r="F234" s="2220">
        <f>E234/D234*100</f>
        <v>78.778373197403383</v>
      </c>
      <c r="G234" s="2575">
        <f>'68 '!J99</f>
        <v>0</v>
      </c>
      <c r="H234" s="2576">
        <f>'68 '!K99</f>
        <v>22953391.609999999</v>
      </c>
      <c r="I234" s="2576">
        <f>'68 '!L99</f>
        <v>18082107.359999999</v>
      </c>
      <c r="J234" s="2335"/>
      <c r="K234" s="2335"/>
      <c r="Q234" s="2198" t="s">
        <v>1440</v>
      </c>
      <c r="R234" s="2268">
        <f t="shared" si="13"/>
        <v>0</v>
      </c>
      <c r="S234" s="2268">
        <f t="shared" si="13"/>
        <v>25245</v>
      </c>
      <c r="T234" s="2268">
        <f t="shared" si="13"/>
        <v>22645</v>
      </c>
    </row>
    <row r="235" spans="1:20" s="2233" customFormat="1" x14ac:dyDescent="0.2">
      <c r="A235" s="2217" t="s">
        <v>637</v>
      </c>
      <c r="B235" s="2256"/>
      <c r="C235" s="2219">
        <f>'68 '!E100</f>
        <v>0</v>
      </c>
      <c r="D235" s="2219">
        <f>'68 '!F100</f>
        <v>387</v>
      </c>
      <c r="E235" s="2219">
        <f>'68 '!G100</f>
        <v>101</v>
      </c>
      <c r="F235" s="2220">
        <f>E235/D235*100</f>
        <v>26.098191214470283</v>
      </c>
      <c r="G235" s="2575">
        <f>'68 '!J100</f>
        <v>0</v>
      </c>
      <c r="H235" s="2576">
        <f>'68 '!K100</f>
        <v>386954</v>
      </c>
      <c r="I235" s="2576">
        <f>'68 '!L100</f>
        <v>100783</v>
      </c>
      <c r="J235" s="2221"/>
      <c r="K235" s="2221"/>
      <c r="Q235" s="2198" t="s">
        <v>902</v>
      </c>
      <c r="R235" s="2268">
        <f t="shared" si="13"/>
        <v>0</v>
      </c>
      <c r="S235" s="2268">
        <f t="shared" si="13"/>
        <v>0</v>
      </c>
      <c r="T235" s="2268">
        <f t="shared" si="13"/>
        <v>110157</v>
      </c>
    </row>
    <row r="236" spans="1:20" s="2233" customFormat="1" x14ac:dyDescent="0.2">
      <c r="A236" s="2224" t="s">
        <v>1179</v>
      </c>
      <c r="B236" s="2275"/>
      <c r="C236" s="2226">
        <f>'68 '!E101</f>
        <v>0</v>
      </c>
      <c r="D236" s="2226">
        <f>'68 '!F101</f>
        <v>0</v>
      </c>
      <c r="E236" s="2226">
        <f>'68 '!G101</f>
        <v>19111</v>
      </c>
      <c r="F236" s="2227">
        <v>0</v>
      </c>
      <c r="G236" s="2571">
        <f>'68 '!J101</f>
        <v>0</v>
      </c>
      <c r="H236" s="2572">
        <f>'68 '!K101</f>
        <v>0</v>
      </c>
      <c r="I236" s="2572">
        <f>'68 '!L101</f>
        <v>19110831.850000001</v>
      </c>
      <c r="J236" s="2221"/>
      <c r="K236" s="2221"/>
    </row>
    <row r="237" spans="1:20" s="2233" customFormat="1" x14ac:dyDescent="0.2">
      <c r="A237" s="2615" t="s">
        <v>1418</v>
      </c>
      <c r="B237" s="2256"/>
      <c r="C237" s="2219"/>
      <c r="D237" s="2219"/>
      <c r="E237" s="2219"/>
      <c r="F237" s="2220"/>
      <c r="G237" s="2394"/>
      <c r="H237" s="2394"/>
      <c r="I237" s="2394"/>
      <c r="J237" s="2221"/>
      <c r="K237" s="2221"/>
    </row>
    <row r="238" spans="1:20" s="2233" customFormat="1" ht="15" x14ac:dyDescent="0.25">
      <c r="A238" s="2627"/>
      <c r="B238" s="2256">
        <v>69</v>
      </c>
      <c r="C238" s="2241">
        <f>C239+C240+C241</f>
        <v>0</v>
      </c>
      <c r="D238" s="2241">
        <f>D239+D240+D241</f>
        <v>6242</v>
      </c>
      <c r="E238" s="2241">
        <f>E239+E240+E241</f>
        <v>9645</v>
      </c>
      <c r="F238" s="2236">
        <f>E238/D238*100</f>
        <v>154.51778276193528</v>
      </c>
      <c r="G238" s="2579">
        <f>SUM(G239:G241)</f>
        <v>0</v>
      </c>
      <c r="H238" s="2579">
        <f>SUM(H239:H241)</f>
        <v>6241796.4100000001</v>
      </c>
      <c r="I238" s="2579">
        <f>SUM(I239:I241)</f>
        <v>9644530.8499999996</v>
      </c>
      <c r="J238" s="2221"/>
      <c r="K238" s="2221"/>
    </row>
    <row r="239" spans="1:20" s="2233" customFormat="1" x14ac:dyDescent="0.2">
      <c r="A239" s="2217" t="s">
        <v>636</v>
      </c>
      <c r="B239" s="2256"/>
      <c r="C239" s="2219">
        <f>'69 '!E68</f>
        <v>0</v>
      </c>
      <c r="D239" s="2219">
        <f>'69 '!F68</f>
        <v>6242</v>
      </c>
      <c r="E239" s="2219">
        <f>'69 '!G68</f>
        <v>2630</v>
      </c>
      <c r="F239" s="2220">
        <f>E239/D239*100</f>
        <v>42.133931432233254</v>
      </c>
      <c r="G239" s="2575">
        <f>'69 '!J68</f>
        <v>0</v>
      </c>
      <c r="H239" s="2576">
        <f>'69 '!K68</f>
        <v>6241796.4100000001</v>
      </c>
      <c r="I239" s="2576">
        <f>'69 '!L68</f>
        <v>2629581.58</v>
      </c>
      <c r="J239" s="2335"/>
      <c r="K239" s="2335"/>
    </row>
    <row r="240" spans="1:20" s="2233" customFormat="1" x14ac:dyDescent="0.2">
      <c r="A240" s="2217" t="s">
        <v>637</v>
      </c>
      <c r="B240" s="2256"/>
      <c r="C240" s="2219">
        <f>'69 '!E69</f>
        <v>0</v>
      </c>
      <c r="D240" s="2219">
        <f>'69 '!F69</f>
        <v>0</v>
      </c>
      <c r="E240" s="2219">
        <f>'69 '!G69</f>
        <v>0</v>
      </c>
      <c r="F240" s="2220">
        <v>0</v>
      </c>
      <c r="G240" s="2575">
        <f>'69 '!J69</f>
        <v>0</v>
      </c>
      <c r="H240" s="2576">
        <f>'69 '!K69</f>
        <v>0</v>
      </c>
      <c r="I240" s="2576">
        <f>'69 '!L69</f>
        <v>0</v>
      </c>
      <c r="J240" s="2221"/>
      <c r="K240" s="2221"/>
      <c r="L240" s="2334"/>
      <c r="M240" s="2334"/>
    </row>
    <row r="241" spans="1:22" s="2233" customFormat="1" ht="15" thickBot="1" x14ac:dyDescent="0.25">
      <c r="A241" s="2500" t="s">
        <v>1179</v>
      </c>
      <c r="B241" s="2360"/>
      <c r="C241" s="2246">
        <f>'69 '!E70</f>
        <v>0</v>
      </c>
      <c r="D241" s="2246">
        <f>'69 '!F70</f>
        <v>0</v>
      </c>
      <c r="E241" s="2246">
        <f>'69 '!G70</f>
        <v>7015</v>
      </c>
      <c r="F241" s="2247">
        <v>0</v>
      </c>
      <c r="G241" s="2571">
        <f>'69 '!J70</f>
        <v>0</v>
      </c>
      <c r="H241" s="2572">
        <f>'69 '!K70</f>
        <v>0</v>
      </c>
      <c r="I241" s="2572">
        <f>'69 '!L70</f>
        <v>7014949.2699999996</v>
      </c>
      <c r="J241" s="2221"/>
      <c r="K241" s="2221">
        <f>G144+G148+G154+G160+G165+G170+G175+G181+G189+G193+G198+G203+G213+G218+G223+G228+G234+G239+G248+G253+G263+G269+G258+G208</f>
        <v>30522000</v>
      </c>
      <c r="L241" s="2221">
        <f>H144+H148+H154+H160+H165+H170+H175+H181+H189+H193+H198+H203+H213+H218+H223+H228+H234+H239+H248+H253+H263+H269+H258+H208</f>
        <v>419527222.34000003</v>
      </c>
      <c r="M241" s="2221">
        <f>I144+I148+I154+I160+I165+I170+I175+I181+I189+I193+I198+I203+I213+I218+I223+I228+I234+I239+I248+I253+I263+I269+I258+I208</f>
        <v>288025723.38000005</v>
      </c>
      <c r="N241" s="2243" t="s">
        <v>1813</v>
      </c>
      <c r="R241" s="2268">
        <f>R233+R169+R227</f>
        <v>30522</v>
      </c>
      <c r="S241" s="2268">
        <f>S233+S169+S227</f>
        <v>419527</v>
      </c>
      <c r="T241" s="2268">
        <f>T233+T169+T227</f>
        <v>288027</v>
      </c>
    </row>
    <row r="242" spans="1:22" ht="15.75" thickTop="1" thickBot="1" x14ac:dyDescent="0.25">
      <c r="F242" s="2203" t="s">
        <v>161</v>
      </c>
      <c r="G242" s="2580"/>
      <c r="H242" s="2580"/>
      <c r="I242" s="2580"/>
      <c r="J242" s="2328"/>
      <c r="K242" s="2328"/>
    </row>
    <row r="243" spans="1:22" s="2208" customFormat="1" ht="27" thickTop="1" thickBot="1" x14ac:dyDescent="0.25">
      <c r="A243" s="2204" t="s">
        <v>631</v>
      </c>
      <c r="B243" s="2205" t="s">
        <v>634</v>
      </c>
      <c r="C243" s="2206" t="s">
        <v>632</v>
      </c>
      <c r="D243" s="2206" t="s">
        <v>633</v>
      </c>
      <c r="E243" s="2206" t="s">
        <v>882</v>
      </c>
      <c r="F243" s="2207" t="s">
        <v>883</v>
      </c>
      <c r="G243" s="2581"/>
      <c r="H243" s="2581"/>
      <c r="I243" s="2581"/>
      <c r="J243" s="2331"/>
      <c r="K243" s="2331"/>
    </row>
    <row r="244" spans="1:22" s="2213" customFormat="1" ht="12.75" thickTop="1" thickBot="1" x14ac:dyDescent="0.25">
      <c r="A244" s="2251">
        <v>1</v>
      </c>
      <c r="B244" s="2252">
        <v>2</v>
      </c>
      <c r="C244" s="2253">
        <v>3</v>
      </c>
      <c r="D244" s="2253">
        <v>4</v>
      </c>
      <c r="E244" s="2253">
        <v>5</v>
      </c>
      <c r="F244" s="2254" t="s">
        <v>424</v>
      </c>
      <c r="G244" s="2582"/>
      <c r="H244" s="2582"/>
      <c r="I244" s="2582"/>
      <c r="J244" s="2332"/>
      <c r="K244" s="2332"/>
    </row>
    <row r="245" spans="1:22" s="2233" customFormat="1" ht="15" thickTop="1" x14ac:dyDescent="0.2">
      <c r="A245" s="2614" t="s">
        <v>1419</v>
      </c>
      <c r="B245" s="2256"/>
      <c r="C245" s="2219"/>
      <c r="D245" s="2219"/>
      <c r="E245" s="2219"/>
      <c r="F245" s="2220"/>
      <c r="G245" s="2394"/>
      <c r="H245" s="2394"/>
      <c r="I245" s="2394"/>
      <c r="J245" s="2221"/>
      <c r="K245" s="2221">
        <f>G145+G149+G161+G166+G171+G176+G182+G190+G194+G199+G204+G214+G219+G224+G229+G235+G240+G249+G254+G259+G264+G155+G270+G209</f>
        <v>235932000</v>
      </c>
      <c r="L245" s="2221">
        <f>H145+H149+H161+H166+H171+H176+H182+H190+H194+H199+H204+H214+H219+H224+H229+H235+H240+H249+H254+H259+H264+H155+H270+H209</f>
        <v>1049452651.7599999</v>
      </c>
      <c r="M245" s="2221">
        <f>I145+I149+I161+I166+I171+I176+I182+I190+I194+I199+I204+I214+I219+I224+I229+I235+I240+I249+I254+I259+I264+I155+I270+I209</f>
        <v>776327227.70000005</v>
      </c>
      <c r="N245" s="2243" t="s">
        <v>1814</v>
      </c>
      <c r="R245" s="2268">
        <f>R170+R228+R234</f>
        <v>235932</v>
      </c>
      <c r="S245" s="2268">
        <f>S170+S228+S234</f>
        <v>1049452</v>
      </c>
      <c r="T245" s="2268">
        <f>T234+T228+T170</f>
        <v>776327</v>
      </c>
    </row>
    <row r="246" spans="1:22" s="2233" customFormat="1" x14ac:dyDescent="0.2">
      <c r="A246" s="2627"/>
      <c r="B246" s="2256"/>
      <c r="C246" s="2219"/>
      <c r="D246" s="2219"/>
      <c r="E246" s="2219"/>
      <c r="F246" s="2220"/>
      <c r="G246" s="2394"/>
      <c r="H246" s="2394"/>
      <c r="I246" s="2394"/>
      <c r="J246" s="2221"/>
      <c r="K246" s="2228">
        <f>G146+G150+G162+G167+G172+G177+G183+G191+G195+G200+G205+G215+G220+G225+G230+G236+G241+G250+G255++G260+G265+G156+G271+C210</f>
        <v>0</v>
      </c>
      <c r="L246" s="2228">
        <f>H146+H150+H162+H167+H172+H177+H183+H191+H195+H200+H205+H215+H220+H225+H230+H236+H241+H250+H255++H260+H265+H156+H271+D210</f>
        <v>0</v>
      </c>
      <c r="M246" s="2228">
        <f>I271+I265+I260+I255+I250+I241+I236+I230+I225+I220+I215+I210+I205+I200+I195+I191+I183+I177+I172+I167+I150+I146</f>
        <v>734872531.66999996</v>
      </c>
      <c r="N246" s="2243" t="s">
        <v>1815</v>
      </c>
      <c r="R246" s="2504">
        <f>R171+R229+R235</f>
        <v>0</v>
      </c>
      <c r="S246" s="2504">
        <f>S171+S229+S235</f>
        <v>0</v>
      </c>
      <c r="T246" s="2504">
        <f>T235+T229+T171</f>
        <v>734872</v>
      </c>
      <c r="U246" s="2268">
        <f>T241+T246</f>
        <v>1022899</v>
      </c>
    </row>
    <row r="247" spans="1:22" s="2233" customFormat="1" ht="15" x14ac:dyDescent="0.25">
      <c r="A247" s="2627"/>
      <c r="B247" s="2256">
        <v>71</v>
      </c>
      <c r="C247" s="2241">
        <f>C248+C249+C250</f>
        <v>0</v>
      </c>
      <c r="D247" s="2241">
        <f>D248+D249+D250</f>
        <v>6954</v>
      </c>
      <c r="E247" s="2241">
        <f>E248+E249+E250</f>
        <v>7722</v>
      </c>
      <c r="F247" s="2236">
        <f>E247/D247*100</f>
        <v>111.04400345125107</v>
      </c>
      <c r="G247" s="2579">
        <f>SUM(G248:G250)</f>
        <v>0</v>
      </c>
      <c r="H247" s="2579">
        <f>SUM(H248:H250)</f>
        <v>6953740.0700000003</v>
      </c>
      <c r="I247" s="2579">
        <f>SUM(I248:I250)</f>
        <v>7721726.2400000002</v>
      </c>
      <c r="J247" s="2221"/>
      <c r="K247" s="2216">
        <f>K241+K245+K246</f>
        <v>266454000</v>
      </c>
      <c r="L247" s="2216">
        <f>L241+L245+L246</f>
        <v>1468979874.0999999</v>
      </c>
      <c r="M247" s="2216">
        <f>M241+M245+M246</f>
        <v>1799225482.75</v>
      </c>
      <c r="N247" s="2250" t="s">
        <v>1816</v>
      </c>
      <c r="R247" s="2268">
        <f>R241+R245+R246</f>
        <v>266454</v>
      </c>
      <c r="S247" s="2268">
        <f>S241+S245+S246</f>
        <v>1468979</v>
      </c>
      <c r="T247" s="2268">
        <f>T241+T245+T246</f>
        <v>1799226</v>
      </c>
    </row>
    <row r="248" spans="1:22" s="2233" customFormat="1" x14ac:dyDescent="0.2">
      <c r="A248" s="2217" t="s">
        <v>636</v>
      </c>
      <c r="B248" s="2256"/>
      <c r="C248" s="2219">
        <f>'71'!E36</f>
        <v>0</v>
      </c>
      <c r="D248" s="2219">
        <f>'71'!F36</f>
        <v>6954</v>
      </c>
      <c r="E248" s="2219">
        <f>'71'!G36</f>
        <v>3920</v>
      </c>
      <c r="F248" s="2220">
        <f>E248/D248*100</f>
        <v>56.370434282427382</v>
      </c>
      <c r="G248" s="2575">
        <f>'71'!J36</f>
        <v>0</v>
      </c>
      <c r="H248" s="2576">
        <f>'71'!K36</f>
        <v>6953740.0700000003</v>
      </c>
      <c r="I248" s="2576">
        <f>'71'!L36</f>
        <v>3919652</v>
      </c>
      <c r="J248" s="2335"/>
      <c r="K248" s="2335"/>
      <c r="L248" s="2334"/>
    </row>
    <row r="249" spans="1:22" s="2233" customFormat="1" x14ac:dyDescent="0.2">
      <c r="A249" s="2217" t="s">
        <v>637</v>
      </c>
      <c r="B249" s="2256"/>
      <c r="C249" s="2219">
        <f>'71'!E37</f>
        <v>0</v>
      </c>
      <c r="D249" s="2219">
        <f>'71'!F37</f>
        <v>0</v>
      </c>
      <c r="E249" s="2219">
        <f>'71'!G37</f>
        <v>0</v>
      </c>
      <c r="F249" s="2220">
        <v>0</v>
      </c>
      <c r="G249" s="2575">
        <f>'71'!J37</f>
        <v>0</v>
      </c>
      <c r="H249" s="2576">
        <f>'71'!K37</f>
        <v>0</v>
      </c>
      <c r="I249" s="2576">
        <f>'71'!L37</f>
        <v>0</v>
      </c>
      <c r="J249" s="2221"/>
      <c r="K249" s="2221"/>
    </row>
    <row r="250" spans="1:22" s="2233" customFormat="1" x14ac:dyDescent="0.2">
      <c r="A250" s="2224" t="s">
        <v>1179</v>
      </c>
      <c r="B250" s="2275"/>
      <c r="C250" s="2226">
        <f>'71'!E38</f>
        <v>0</v>
      </c>
      <c r="D250" s="2226">
        <f>'71'!F38</f>
        <v>0</v>
      </c>
      <c r="E250" s="2226">
        <f>'71'!G38</f>
        <v>3802</v>
      </c>
      <c r="F250" s="2227">
        <v>0</v>
      </c>
      <c r="G250" s="2571">
        <f>'71'!J38</f>
        <v>0</v>
      </c>
      <c r="H250" s="2572">
        <f>'71'!K38</f>
        <v>0</v>
      </c>
      <c r="I250" s="2572">
        <f>'71'!L38</f>
        <v>3802074.24</v>
      </c>
      <c r="J250" s="2221"/>
      <c r="K250" s="2221"/>
    </row>
    <row r="251" spans="1:22" s="2233" customFormat="1" ht="15" x14ac:dyDescent="0.25">
      <c r="A251" s="2614" t="s">
        <v>1596</v>
      </c>
      <c r="B251" s="2256">
        <v>72</v>
      </c>
      <c r="C251" s="2241">
        <f>C253+C254+C255</f>
        <v>0</v>
      </c>
      <c r="D251" s="2241">
        <f>D253+D254+D255</f>
        <v>135</v>
      </c>
      <c r="E251" s="2241">
        <f>E253+E254+E255</f>
        <v>95</v>
      </c>
      <c r="F251" s="2236">
        <f>E251/D251*100</f>
        <v>70.370370370370367</v>
      </c>
      <c r="G251" s="2560">
        <f>G253+G254+G255</f>
        <v>0</v>
      </c>
      <c r="H251" s="2560">
        <f>H253+H254+H255</f>
        <v>134940.88</v>
      </c>
      <c r="I251" s="2560">
        <f>I253+I254+I255</f>
        <v>94904.08</v>
      </c>
      <c r="J251" s="2221"/>
      <c r="K251" s="2221"/>
    </row>
    <row r="252" spans="1:22" s="2233" customFormat="1" x14ac:dyDescent="0.2">
      <c r="A252" s="2627"/>
      <c r="B252" s="2256"/>
      <c r="C252" s="2219"/>
      <c r="D252" s="2219"/>
      <c r="E252" s="2219"/>
      <c r="F252" s="2220"/>
      <c r="G252" s="2394"/>
      <c r="H252" s="2394"/>
      <c r="I252" s="2394"/>
      <c r="J252" s="2221"/>
      <c r="K252" s="2221"/>
    </row>
    <row r="253" spans="1:22" s="2233" customFormat="1" x14ac:dyDescent="0.2">
      <c r="A253" s="2217" t="s">
        <v>636</v>
      </c>
      <c r="B253" s="2256"/>
      <c r="C253" s="2219">
        <f>'72'!E67</f>
        <v>0</v>
      </c>
      <c r="D253" s="2219">
        <f>'72'!F67</f>
        <v>135</v>
      </c>
      <c r="E253" s="2219">
        <f>'72'!G67</f>
        <v>35</v>
      </c>
      <c r="F253" s="2220">
        <f>E253/D253*100</f>
        <v>25.925925925925924</v>
      </c>
      <c r="G253" s="2575">
        <f>'72'!J67</f>
        <v>0</v>
      </c>
      <c r="H253" s="2576">
        <f>'72'!K67</f>
        <v>134940.88</v>
      </c>
      <c r="I253" s="2576">
        <f>'72'!L67</f>
        <v>34952</v>
      </c>
      <c r="J253" s="2221"/>
      <c r="K253" s="2221"/>
    </row>
    <row r="254" spans="1:22" s="2233" customFormat="1" x14ac:dyDescent="0.2">
      <c r="A254" s="2217" t="s">
        <v>637</v>
      </c>
      <c r="B254" s="2256"/>
      <c r="C254" s="2219">
        <f>'72'!E68</f>
        <v>0</v>
      </c>
      <c r="D254" s="2219">
        <f>'72'!F68</f>
        <v>0</v>
      </c>
      <c r="E254" s="2219">
        <f>'72'!G68</f>
        <v>0</v>
      </c>
      <c r="F254" s="2220">
        <v>0</v>
      </c>
      <c r="G254" s="2575">
        <f>'72'!J68</f>
        <v>0</v>
      </c>
      <c r="H254" s="2576">
        <f>'72'!K68</f>
        <v>0</v>
      </c>
      <c r="I254" s="2576">
        <f>'72'!L68</f>
        <v>0</v>
      </c>
      <c r="J254" s="2221"/>
      <c r="K254" s="2221"/>
    </row>
    <row r="255" spans="1:22" s="2233" customFormat="1" x14ac:dyDescent="0.2">
      <c r="A255" s="2224" t="s">
        <v>1179</v>
      </c>
      <c r="B255" s="2275"/>
      <c r="C255" s="2226">
        <f>'72'!E69</f>
        <v>0</v>
      </c>
      <c r="D255" s="2226">
        <f>'72'!F69</f>
        <v>0</v>
      </c>
      <c r="E255" s="2226">
        <f>'72'!G69</f>
        <v>60</v>
      </c>
      <c r="F255" s="2227">
        <v>0</v>
      </c>
      <c r="G255" s="2571">
        <f>'72'!J69</f>
        <v>0</v>
      </c>
      <c r="H255" s="2572">
        <f>'72'!K69</f>
        <v>0</v>
      </c>
      <c r="I255" s="2572">
        <f>'72'!L69</f>
        <v>59952.08</v>
      </c>
      <c r="J255" s="2228"/>
      <c r="K255" s="2221"/>
    </row>
    <row r="256" spans="1:22" s="2233" customFormat="1" ht="15" x14ac:dyDescent="0.25">
      <c r="A256" s="2614" t="s">
        <v>1584</v>
      </c>
      <c r="B256" s="2256">
        <v>73</v>
      </c>
      <c r="C256" s="2241">
        <f>C258+C259+C260</f>
        <v>0</v>
      </c>
      <c r="D256" s="2241">
        <f>D258+D259+D260</f>
        <v>93</v>
      </c>
      <c r="E256" s="2241">
        <f>E258+E259+E260</f>
        <v>25</v>
      </c>
      <c r="F256" s="2236">
        <f>E256/D256*100</f>
        <v>26.881720430107524</v>
      </c>
      <c r="G256" s="2560">
        <f>G258+G259+G260</f>
        <v>0</v>
      </c>
      <c r="H256" s="2560">
        <f>H258+H259+H260</f>
        <v>93181.84</v>
      </c>
      <c r="I256" s="2560">
        <f>I258+I259+I260</f>
        <v>25097.17</v>
      </c>
      <c r="J256" s="2221"/>
      <c r="K256" s="2221"/>
      <c r="Q256" s="2202"/>
      <c r="R256" s="2200"/>
      <c r="S256" s="2201"/>
      <c r="T256" s="2201"/>
      <c r="U256" s="2201"/>
      <c r="V256" s="2300"/>
    </row>
    <row r="257" spans="1:22" s="2233" customFormat="1" x14ac:dyDescent="0.2">
      <c r="A257" s="2627"/>
      <c r="B257" s="2256"/>
      <c r="C257" s="2219"/>
      <c r="D257" s="2219"/>
      <c r="E257" s="2219"/>
      <c r="F257" s="2220"/>
      <c r="G257" s="2394"/>
      <c r="H257" s="2394"/>
      <c r="I257" s="2394"/>
      <c r="J257" s="2221"/>
      <c r="K257" s="2221"/>
      <c r="Q257" s="2202"/>
      <c r="R257" s="2200"/>
      <c r="S257" s="2201"/>
      <c r="T257" s="2201"/>
      <c r="U257" s="2201"/>
      <c r="V257" s="2300"/>
    </row>
    <row r="258" spans="1:22" s="2233" customFormat="1" x14ac:dyDescent="0.2">
      <c r="A258" s="2217" t="s">
        <v>636</v>
      </c>
      <c r="B258" s="2256"/>
      <c r="C258" s="2219">
        <f>'73  '!E55</f>
        <v>0</v>
      </c>
      <c r="D258" s="2219">
        <f>'73  '!F55</f>
        <v>93</v>
      </c>
      <c r="E258" s="2219">
        <f>'73  '!G55</f>
        <v>2</v>
      </c>
      <c r="F258" s="2220">
        <f>E258/D258*100</f>
        <v>2.1505376344086025</v>
      </c>
      <c r="G258" s="2575">
        <f>'73  '!J55</f>
        <v>0</v>
      </c>
      <c r="H258" s="2576">
        <f>'73  '!K55</f>
        <v>93181.84</v>
      </c>
      <c r="I258" s="2576">
        <f>'73  '!L55</f>
        <v>2265</v>
      </c>
      <c r="J258" s="2221"/>
      <c r="K258" s="2221"/>
      <c r="Q258" s="2202"/>
      <c r="R258" s="2200"/>
      <c r="S258" s="2201"/>
      <c r="T258" s="2201"/>
      <c r="U258" s="2201"/>
      <c r="V258" s="2300"/>
    </row>
    <row r="259" spans="1:22" s="2233" customFormat="1" ht="15" x14ac:dyDescent="0.25">
      <c r="A259" s="2217" t="s">
        <v>637</v>
      </c>
      <c r="B259" s="2256"/>
      <c r="C259" s="2219">
        <f>'73  '!E56</f>
        <v>0</v>
      </c>
      <c r="D259" s="2219">
        <f>'73  '!F56</f>
        <v>0</v>
      </c>
      <c r="E259" s="2219">
        <f>'73  '!G56</f>
        <v>0</v>
      </c>
      <c r="F259" s="2220">
        <v>0</v>
      </c>
      <c r="G259" s="2575">
        <f>'73  '!J56</f>
        <v>0</v>
      </c>
      <c r="H259" s="2576">
        <f>'73  '!K56</f>
        <v>0</v>
      </c>
      <c r="I259" s="2576">
        <f>'73  '!L56</f>
        <v>0</v>
      </c>
      <c r="J259" s="2221"/>
      <c r="K259" s="2221"/>
      <c r="Q259" s="2202"/>
      <c r="R259" s="2200"/>
      <c r="S259" s="2301"/>
      <c r="T259" s="2301"/>
      <c r="U259" s="2301"/>
      <c r="V259" s="2302"/>
    </row>
    <row r="260" spans="1:22" s="2233" customFormat="1" x14ac:dyDescent="0.2">
      <c r="A260" s="2224" t="s">
        <v>1179</v>
      </c>
      <c r="B260" s="2275"/>
      <c r="C260" s="2226">
        <f>'73  '!E57</f>
        <v>0</v>
      </c>
      <c r="D260" s="2226">
        <f>'73  '!F57</f>
        <v>0</v>
      </c>
      <c r="E260" s="2226">
        <f>'73  '!G57</f>
        <v>23</v>
      </c>
      <c r="F260" s="2227">
        <v>0</v>
      </c>
      <c r="G260" s="2571">
        <f>'73  '!J57</f>
        <v>0</v>
      </c>
      <c r="H260" s="2572">
        <f>'73  '!K57</f>
        <v>0</v>
      </c>
      <c r="I260" s="2572">
        <f>'73  '!L57</f>
        <v>22832.17</v>
      </c>
      <c r="J260" s="2221"/>
      <c r="K260" s="2221"/>
      <c r="Q260" s="2202"/>
      <c r="R260" s="2200"/>
      <c r="S260" s="2201"/>
      <c r="T260" s="2201"/>
      <c r="U260" s="2201"/>
      <c r="V260" s="2300"/>
    </row>
    <row r="261" spans="1:22" s="2233" customFormat="1" ht="15" x14ac:dyDescent="0.25">
      <c r="A261" s="2615" t="s">
        <v>1597</v>
      </c>
      <c r="B261" s="2256">
        <v>74</v>
      </c>
      <c r="C261" s="2241">
        <f>C263+C264+C265</f>
        <v>14991</v>
      </c>
      <c r="D261" s="2241">
        <f>D263+D264+D265</f>
        <v>13557</v>
      </c>
      <c r="E261" s="2241">
        <f>E263+E264+E265</f>
        <v>15276</v>
      </c>
      <c r="F261" s="2236">
        <f>E261/D261*100</f>
        <v>112.6797964151361</v>
      </c>
      <c r="G261" s="2560">
        <f>G263+G264+G265</f>
        <v>14991000</v>
      </c>
      <c r="H261" s="2560">
        <f>H263+H264+H265</f>
        <v>13556668.91</v>
      </c>
      <c r="I261" s="2560">
        <f>I263+I264+I265</f>
        <v>15276216.219999999</v>
      </c>
      <c r="J261" s="2221"/>
      <c r="K261" s="2221"/>
      <c r="Q261" s="2202"/>
      <c r="R261" s="2200"/>
      <c r="S261" s="2201"/>
      <c r="T261" s="2201"/>
      <c r="U261" s="2201"/>
      <c r="V261" s="2300"/>
    </row>
    <row r="262" spans="1:22" s="2233" customFormat="1" ht="15" x14ac:dyDescent="0.25">
      <c r="A262" s="2627"/>
      <c r="B262" s="2256"/>
      <c r="C262" s="2219"/>
      <c r="D262" s="2219"/>
      <c r="E262" s="2219"/>
      <c r="F262" s="2220"/>
      <c r="G262" s="2394"/>
      <c r="H262" s="2394"/>
      <c r="I262" s="2394"/>
      <c r="J262" s="2221"/>
      <c r="K262" s="2221"/>
      <c r="Q262" s="2202"/>
      <c r="R262" s="2200"/>
      <c r="S262" s="2301"/>
      <c r="T262" s="2301"/>
      <c r="U262" s="2301"/>
      <c r="V262" s="2201"/>
    </row>
    <row r="263" spans="1:22" s="2233" customFormat="1" x14ac:dyDescent="0.2">
      <c r="A263" s="2217" t="s">
        <v>636</v>
      </c>
      <c r="B263" s="2256"/>
      <c r="C263" s="2219">
        <f>'74 '!E189</f>
        <v>14991</v>
      </c>
      <c r="D263" s="2219">
        <f>'74 '!F189</f>
        <v>13557</v>
      </c>
      <c r="E263" s="2219">
        <f>'74 '!G189</f>
        <v>7839</v>
      </c>
      <c r="F263" s="2220">
        <f>E263/D263*100</f>
        <v>57.822527107767208</v>
      </c>
      <c r="G263" s="2570">
        <f>'74 '!J189</f>
        <v>14991000</v>
      </c>
      <c r="H263" s="2570">
        <f>'74 '!K189</f>
        <v>13556668.91</v>
      </c>
      <c r="I263" s="2570">
        <f>'74 '!L189</f>
        <v>7838822.46</v>
      </c>
      <c r="J263" s="2221"/>
      <c r="K263" s="2221"/>
      <c r="Q263" s="2202"/>
      <c r="R263" s="2200"/>
      <c r="S263" s="2201"/>
      <c r="T263" s="2201"/>
      <c r="U263" s="2201"/>
      <c r="V263" s="2201"/>
    </row>
    <row r="264" spans="1:22" s="2233" customFormat="1" ht="18" x14ac:dyDescent="0.25">
      <c r="A264" s="2217" t="s">
        <v>637</v>
      </c>
      <c r="B264" s="2256"/>
      <c r="C264" s="2219">
        <f>'74 '!E190</f>
        <v>0</v>
      </c>
      <c r="D264" s="2219">
        <f>'74 '!F190</f>
        <v>0</v>
      </c>
      <c r="E264" s="2219">
        <f>'74 '!G190</f>
        <v>0</v>
      </c>
      <c r="F264" s="2220">
        <v>0</v>
      </c>
      <c r="G264" s="2570">
        <f>'74 '!J190</f>
        <v>0</v>
      </c>
      <c r="H264" s="2570">
        <f>'74 '!K190</f>
        <v>0</v>
      </c>
      <c r="I264" s="2570">
        <f>'74 '!L190</f>
        <v>0</v>
      </c>
      <c r="J264" s="2221"/>
      <c r="K264" s="2221"/>
      <c r="Q264" s="2292"/>
      <c r="R264" s="2284"/>
      <c r="S264" s="2095"/>
      <c r="T264" s="2095"/>
      <c r="U264" s="2095"/>
      <c r="V264" s="2303"/>
    </row>
    <row r="265" spans="1:22" s="2233" customFormat="1" ht="18" x14ac:dyDescent="0.25">
      <c r="A265" s="2224" t="s">
        <v>1179</v>
      </c>
      <c r="B265" s="2275"/>
      <c r="C265" s="2226">
        <f>'74 '!E191</f>
        <v>0</v>
      </c>
      <c r="D265" s="2226">
        <f>'74 '!F191</f>
        <v>0</v>
      </c>
      <c r="E265" s="2226">
        <f>'74 '!G191</f>
        <v>7437</v>
      </c>
      <c r="F265" s="2227">
        <v>0</v>
      </c>
      <c r="G265" s="2571">
        <f>'74 '!J191</f>
        <v>0</v>
      </c>
      <c r="H265" s="2572">
        <f>'74 '!K191</f>
        <v>0</v>
      </c>
      <c r="I265" s="2572">
        <f>'74 '!L191</f>
        <v>7437393.7599999998</v>
      </c>
      <c r="J265" s="2188"/>
      <c r="K265" s="2221"/>
      <c r="Q265" s="2248"/>
      <c r="R265" s="2284"/>
      <c r="S265" s="2285"/>
      <c r="T265" s="2285"/>
      <c r="U265" s="2285"/>
      <c r="V265" s="2285"/>
    </row>
    <row r="266" spans="1:22" s="2233" customFormat="1" ht="14.25" customHeight="1" x14ac:dyDescent="0.25">
      <c r="A266" s="2614" t="s">
        <v>1801</v>
      </c>
      <c r="B266" s="2256">
        <v>75</v>
      </c>
      <c r="C266" s="2241">
        <f>C269+C270+C271</f>
        <v>0</v>
      </c>
      <c r="D266" s="2241">
        <f>D269+D270+D271</f>
        <v>74989</v>
      </c>
      <c r="E266" s="2241">
        <f>E269+E270+E271</f>
        <v>141672</v>
      </c>
      <c r="F266" s="2236">
        <f>E266/D266*100</f>
        <v>188.92370881062556</v>
      </c>
      <c r="G266" s="2560">
        <f>G269+G270+G271</f>
        <v>0</v>
      </c>
      <c r="H266" s="2560">
        <f>H269+H270+H271</f>
        <v>74988910.150000006</v>
      </c>
      <c r="I266" s="2560">
        <f>I269+I270+I271</f>
        <v>141672154.97</v>
      </c>
      <c r="J266" s="2221"/>
      <c r="K266" s="2221"/>
      <c r="Q266" s="2248"/>
      <c r="R266" s="2284"/>
      <c r="S266" s="2285"/>
      <c r="T266" s="2285"/>
      <c r="U266" s="2285"/>
      <c r="V266" s="2285"/>
    </row>
    <row r="267" spans="1:22" s="2233" customFormat="1" ht="15.75" customHeight="1" x14ac:dyDescent="0.25">
      <c r="A267" s="2627"/>
      <c r="B267" s="2256"/>
      <c r="C267" s="2219"/>
      <c r="D267" s="2219"/>
      <c r="E267" s="2219"/>
      <c r="F267" s="2220"/>
      <c r="G267" s="2394"/>
      <c r="H267" s="2394"/>
      <c r="I267" s="2394"/>
      <c r="J267" s="2221"/>
      <c r="K267" s="2221"/>
      <c r="Q267" s="2283" t="s">
        <v>1809</v>
      </c>
      <c r="R267" s="2284"/>
      <c r="S267" s="2285"/>
      <c r="T267" s="2285"/>
      <c r="U267" s="2285"/>
      <c r="V267" s="2285"/>
    </row>
    <row r="268" spans="1:22" s="2233" customFormat="1" ht="15" customHeight="1" x14ac:dyDescent="0.2">
      <c r="A268" s="2627"/>
      <c r="B268" s="2256"/>
      <c r="C268" s="2219"/>
      <c r="D268" s="2219"/>
      <c r="E268" s="2219"/>
      <c r="F268" s="2220"/>
      <c r="G268" s="2394"/>
      <c r="H268" s="2394"/>
      <c r="I268" s="2394"/>
      <c r="J268" s="2221"/>
      <c r="K268" s="2221"/>
      <c r="Q268" s="2248" t="s">
        <v>1439</v>
      </c>
      <c r="R268" s="2286">
        <f>C269+C263+C258+C253+C248+C239+C234+C228+C223+C218+C213+C203+C198+C189+C181+C175+C170+C165+C160+C154+C148+C144+C193</f>
        <v>30522</v>
      </c>
      <c r="S268" s="2286">
        <f>D269+D263+D258+D253+D248+D239+D234+D228+D223+D218+D213+D203+D198+D189+D181+D175+D170+D165+D160+D154+D148+D144+D193</f>
        <v>419527</v>
      </c>
      <c r="T268" s="2286">
        <f>E269+E263+E258+E253+E248+E239+E234+E228+E223+E218+E213+E203+E198+E189+E181+E175+E170+E165+E160+E154+E148+E144+E193</f>
        <v>288027</v>
      </c>
      <c r="U268" s="2285"/>
      <c r="V268" s="2285"/>
    </row>
    <row r="269" spans="1:22" s="2233" customFormat="1" x14ac:dyDescent="0.2">
      <c r="A269" s="2217" t="s">
        <v>636</v>
      </c>
      <c r="B269" s="2256"/>
      <c r="C269" s="2219">
        <f>'75'!E1253</f>
        <v>0</v>
      </c>
      <c r="D269" s="2219">
        <f>'75'!F1253</f>
        <v>50131</v>
      </c>
      <c r="E269" s="2219">
        <f>'75'!G1253</f>
        <v>46419</v>
      </c>
      <c r="F269" s="2220">
        <f>E269/D269*100</f>
        <v>92.595400051864118</v>
      </c>
      <c r="G269" s="2575">
        <f>'75'!J1253</f>
        <v>0</v>
      </c>
      <c r="H269" s="2576">
        <f>'75'!K1253</f>
        <v>50131110.740000002</v>
      </c>
      <c r="I269" s="2576">
        <f>'75'!L1253</f>
        <v>46419040.32</v>
      </c>
      <c r="J269" s="2221"/>
      <c r="K269" s="2221"/>
      <c r="Q269" s="2198" t="s">
        <v>1440</v>
      </c>
      <c r="R269" s="2287">
        <f>C270+C264+C259+C254+C249+C240+C235+C229+C224+C219+C214+C204+C199+C194+C190+C182+C176+C171+C166+C161+C155+C149+C145</f>
        <v>235932</v>
      </c>
      <c r="S269" s="2287">
        <f>D270+D264+D259+D254+D249+D240+D235+D229+D224+D219+D214+D204+D199+D194+D190+D182+D176+D171+D166+D161+D155+D149+D145</f>
        <v>1049452</v>
      </c>
      <c r="T269" s="2287">
        <f>E270+E264+E259+E254+E249+E240+E235+E229+E224+E219+E214+E204+E199+E194+E190+E182+E176+E171+E166+E161+E155+E149+E145</f>
        <v>776327</v>
      </c>
      <c r="U269" s="2201"/>
      <c r="V269" s="2201"/>
    </row>
    <row r="270" spans="1:22" s="2233" customFormat="1" ht="15" x14ac:dyDescent="0.25">
      <c r="A270" s="2217" t="s">
        <v>637</v>
      </c>
      <c r="B270" s="2256"/>
      <c r="C270" s="2219">
        <f>'75'!E1254</f>
        <v>0</v>
      </c>
      <c r="D270" s="2219">
        <f>'75'!F1254</f>
        <v>24858</v>
      </c>
      <c r="E270" s="2219">
        <f>'75'!G1254</f>
        <v>22544</v>
      </c>
      <c r="F270" s="2220">
        <f>E270/D270*100</f>
        <v>90.691125593370344</v>
      </c>
      <c r="G270" s="2575">
        <f>'75'!J1254</f>
        <v>0</v>
      </c>
      <c r="H270" s="2576">
        <f>'75'!K1254</f>
        <v>24857799.41</v>
      </c>
      <c r="I270" s="2576">
        <f>'75'!L1254</f>
        <v>22544161.68</v>
      </c>
      <c r="J270" s="2221"/>
      <c r="K270" s="2221"/>
      <c r="Q270" s="2248" t="s">
        <v>902</v>
      </c>
      <c r="R270" s="2286">
        <f>C271+C265+C260+C255+C250+C241+C236+C230+C225+C220+C215+C205+C200+C195+C191+C183+C177+C172+C167+C162+C156+C150+C146</f>
        <v>0</v>
      </c>
      <c r="S270" s="2286">
        <f>D271+D265+D260+D255+D250+D241+D236+D230+D225+D220+D215+D205+D200+D195+D191+D183+D177+D172+D167+D162+D156+D150+D146</f>
        <v>0</v>
      </c>
      <c r="T270" s="2286">
        <f>E271+E265+E260+E255+E250+E241+E236+E230+E225+E220+E215+E210+E205+E200+E195+E191+E183+E177+E172+E167+E150+E146</f>
        <v>734872</v>
      </c>
      <c r="U270" s="2095"/>
      <c r="V270" s="2303"/>
    </row>
    <row r="271" spans="1:22" s="2233" customFormat="1" x14ac:dyDescent="0.2">
      <c r="A271" s="2224" t="s">
        <v>1179</v>
      </c>
      <c r="B271" s="2275"/>
      <c r="C271" s="2219">
        <f>'75'!E1255</f>
        <v>0</v>
      </c>
      <c r="D271" s="2219">
        <f>'75'!F1255</f>
        <v>0</v>
      </c>
      <c r="E271" s="2219">
        <f>'75'!G1255</f>
        <v>72709</v>
      </c>
      <c r="F271" s="2227">
        <v>0</v>
      </c>
      <c r="G271" s="2571">
        <f>'75'!J1255</f>
        <v>0</v>
      </c>
      <c r="H271" s="2572">
        <f>'75'!K1255</f>
        <v>0</v>
      </c>
      <c r="I271" s="2572">
        <f>'75'!L1255</f>
        <v>72708952.969999999</v>
      </c>
      <c r="J271" s="2221"/>
      <c r="K271" s="2221"/>
      <c r="Q271" s="2248" t="s">
        <v>901</v>
      </c>
      <c r="R271" s="2336">
        <f>R268+R269+R270</f>
        <v>266454</v>
      </c>
      <c r="S271" s="2336">
        <f>S268+S269+S270</f>
        <v>1468979</v>
      </c>
      <c r="T271" s="2336">
        <f>T268+T269+T270</f>
        <v>1799226</v>
      </c>
      <c r="U271" s="2285"/>
      <c r="V271" s="2285"/>
    </row>
    <row r="272" spans="1:22" s="2233" customFormat="1" ht="45" x14ac:dyDescent="0.25">
      <c r="A272" s="2511" t="s">
        <v>1830</v>
      </c>
      <c r="B272" s="2266">
        <v>99</v>
      </c>
      <c r="C272" s="2231">
        <f>C273+C274</f>
        <v>40000</v>
      </c>
      <c r="D272" s="2231">
        <f>SUM(D273:D274)</f>
        <v>58491</v>
      </c>
      <c r="E272" s="2231">
        <f>SUM(E273:E274)</f>
        <v>57134</v>
      </c>
      <c r="F272" s="2220">
        <f>E272/D272*100</f>
        <v>97.679984954950342</v>
      </c>
      <c r="G272" s="2560">
        <v>40000000</v>
      </c>
      <c r="H272" s="2560">
        <f>SUM(H273:H274)</f>
        <v>58490744.659999996</v>
      </c>
      <c r="I272" s="2560">
        <f>SUM(I273:I274)</f>
        <v>57133954</v>
      </c>
      <c r="J272" s="2216"/>
      <c r="K272" s="2216">
        <f>K53+K111+K132+G273+G276+K241</f>
        <v>3130374000</v>
      </c>
      <c r="L272" s="2216">
        <f>L53+L111+L132+H273+H276+L241</f>
        <v>3754151810.5600009</v>
      </c>
      <c r="M272" s="2216">
        <f>M53+M111+M132+I273+I276+M241</f>
        <v>3275354373.9200006</v>
      </c>
      <c r="N272" s="2243" t="s">
        <v>642</v>
      </c>
      <c r="Q272" s="2198"/>
      <c r="R272" s="2285"/>
      <c r="S272" s="2285"/>
      <c r="T272" s="2285"/>
      <c r="U272" s="2285"/>
      <c r="V272" s="2285"/>
    </row>
    <row r="273" spans="1:22" s="2233" customFormat="1" ht="18" x14ac:dyDescent="0.25">
      <c r="A273" s="2217" t="s">
        <v>636</v>
      </c>
      <c r="B273" s="2256"/>
      <c r="C273" s="2219">
        <f>SUM('F - 99'!E37)</f>
        <v>20000</v>
      </c>
      <c r="D273" s="2219">
        <f>SUM('F - 99'!F37)</f>
        <v>31100</v>
      </c>
      <c r="E273" s="2219">
        <f>SUM('F - 99'!G37)</f>
        <v>30063</v>
      </c>
      <c r="F273" s="2220">
        <f>E273/D273*100</f>
        <v>96.665594855305471</v>
      </c>
      <c r="G273" s="2394">
        <v>20000000</v>
      </c>
      <c r="H273" s="2394">
        <v>31100000</v>
      </c>
      <c r="I273" s="2394">
        <v>30063340</v>
      </c>
      <c r="J273" s="2221"/>
      <c r="K273" s="2216">
        <f>K54+K112+K133+K245+G274+G277</f>
        <v>527618000</v>
      </c>
      <c r="L273" s="2216">
        <f>L54+L112+L133+L245+H274+H277</f>
        <v>1423853501.5599999</v>
      </c>
      <c r="M273" s="2216">
        <f>M54+M112+M133+M245+I274+I277</f>
        <v>1128187809.6600001</v>
      </c>
      <c r="N273" s="2243" t="s">
        <v>1598</v>
      </c>
      <c r="Q273" s="2198"/>
      <c r="R273" s="2337"/>
      <c r="S273" s="2285"/>
      <c r="T273" s="2285"/>
      <c r="U273" s="2285"/>
      <c r="V273" s="2285"/>
    </row>
    <row r="274" spans="1:22" s="2233" customFormat="1" x14ac:dyDescent="0.2">
      <c r="A274" s="2224" t="s">
        <v>637</v>
      </c>
      <c r="B274" s="2275"/>
      <c r="C274" s="2226">
        <f>SUM('F - 99'!E38)</f>
        <v>20000</v>
      </c>
      <c r="D274" s="2226">
        <f>SUM('F - 99'!F38)</f>
        <v>27391</v>
      </c>
      <c r="E274" s="2226">
        <f>SUM('F - 99'!G38)</f>
        <v>27071</v>
      </c>
      <c r="F274" s="2227">
        <f>E274/D274*100</f>
        <v>98.831733051002161</v>
      </c>
      <c r="G274" s="2561">
        <v>20000000</v>
      </c>
      <c r="H274" s="2559">
        <v>27390744.66</v>
      </c>
      <c r="I274" s="2559">
        <v>27070614</v>
      </c>
      <c r="J274" s="2221"/>
      <c r="K274" s="2216">
        <f t="shared" ref="K274:M275" si="14">K134+K113+K55</f>
        <v>600000</v>
      </c>
      <c r="L274" s="2216">
        <f t="shared" si="14"/>
        <v>5647607089.8800011</v>
      </c>
      <c r="M274" s="2216">
        <f t="shared" si="14"/>
        <v>5644719630.6600008</v>
      </c>
      <c r="N274" s="2243" t="s">
        <v>678</v>
      </c>
      <c r="Q274" s="2233" t="s">
        <v>2046</v>
      </c>
      <c r="R274" s="2203"/>
      <c r="S274" s="2203"/>
      <c r="T274" s="2203"/>
      <c r="U274" s="2198"/>
    </row>
    <row r="275" spans="1:22" s="2233" customFormat="1" ht="15" x14ac:dyDescent="0.25">
      <c r="A275" s="2512" t="s">
        <v>132</v>
      </c>
      <c r="B275" s="2256">
        <v>199</v>
      </c>
      <c r="C275" s="2241">
        <f>SUM(C276:C277)</f>
        <v>6391</v>
      </c>
      <c r="D275" s="2241">
        <f>SUM(D276:D277)</f>
        <v>8325</v>
      </c>
      <c r="E275" s="2241">
        <f>SUM(E276:E277)</f>
        <v>6749</v>
      </c>
      <c r="F275" s="2220">
        <f>E275/D275*100</f>
        <v>81.069069069069073</v>
      </c>
      <c r="G275" s="2560">
        <f>G276</f>
        <v>6391000</v>
      </c>
      <c r="H275" s="2560">
        <f>H276</f>
        <v>8325460.6900000004</v>
      </c>
      <c r="I275" s="2560">
        <f>I276</f>
        <v>6748952.2800000003</v>
      </c>
      <c r="J275" s="2216"/>
      <c r="K275" s="2216">
        <f t="shared" si="14"/>
        <v>0</v>
      </c>
      <c r="L275" s="2216">
        <f t="shared" si="14"/>
        <v>177837239.81</v>
      </c>
      <c r="M275" s="2216">
        <f t="shared" si="14"/>
        <v>177836368.20999998</v>
      </c>
      <c r="N275" s="2243" t="s">
        <v>1414</v>
      </c>
      <c r="Q275" s="2198" t="s">
        <v>1439</v>
      </c>
      <c r="R275" s="2203">
        <f t="shared" ref="R275:T276" si="15">C276+C273</f>
        <v>26391</v>
      </c>
      <c r="S275" s="2203">
        <f t="shared" si="15"/>
        <v>39425</v>
      </c>
      <c r="T275" s="2203">
        <f t="shared" si="15"/>
        <v>36812</v>
      </c>
      <c r="U275" s="2198"/>
    </row>
    <row r="276" spans="1:22" s="2233" customFormat="1" x14ac:dyDescent="0.2">
      <c r="A276" s="2217" t="s">
        <v>636</v>
      </c>
      <c r="B276" s="2256"/>
      <c r="C276" s="2219">
        <f>SUM('F -199 '!E25)</f>
        <v>6391</v>
      </c>
      <c r="D276" s="2219">
        <f>SUM('F -199 '!F25)</f>
        <v>8325</v>
      </c>
      <c r="E276" s="2219">
        <f>SUM('F -199 '!G25)</f>
        <v>6749</v>
      </c>
      <c r="F276" s="2220">
        <f>E276/D276*100</f>
        <v>81.069069069069073</v>
      </c>
      <c r="G276" s="2394">
        <v>6391000</v>
      </c>
      <c r="H276" s="2394">
        <v>8325460.6900000004</v>
      </c>
      <c r="I276" s="2394">
        <v>6748952.2800000003</v>
      </c>
      <c r="J276" s="2221"/>
      <c r="K276" s="2279">
        <f>K246+K136+K115+G12+G25</f>
        <v>6388000</v>
      </c>
      <c r="L276" s="2279">
        <f>L246+L136+L115+H12+H25</f>
        <v>6922000</v>
      </c>
      <c r="M276" s="2279">
        <f>M246+M136+M115+I12+I25</f>
        <v>741982654.71999991</v>
      </c>
      <c r="N276" s="2243" t="s">
        <v>902</v>
      </c>
      <c r="Q276" s="2198" t="s">
        <v>1440</v>
      </c>
      <c r="R276" s="2203">
        <f t="shared" si="15"/>
        <v>20000</v>
      </c>
      <c r="S276" s="2203">
        <f t="shared" si="15"/>
        <v>27391</v>
      </c>
      <c r="T276" s="2203">
        <f t="shared" si="15"/>
        <v>27071</v>
      </c>
      <c r="U276" s="2198"/>
    </row>
    <row r="277" spans="1:22" s="2233" customFormat="1" ht="15" thickBot="1" x14ac:dyDescent="0.25">
      <c r="A277" s="2224" t="s">
        <v>637</v>
      </c>
      <c r="B277" s="2275"/>
      <c r="C277" s="2226">
        <f>SUM('F -199 '!E26)</f>
        <v>0</v>
      </c>
      <c r="D277" s="2226">
        <f>SUM('F -199 '!F26)</f>
        <v>0</v>
      </c>
      <c r="E277" s="2226">
        <f>SUM('F -199 '!G26)</f>
        <v>0</v>
      </c>
      <c r="F277" s="2227">
        <v>0</v>
      </c>
      <c r="G277" s="2561">
        <v>0</v>
      </c>
      <c r="H277" s="2559">
        <v>0</v>
      </c>
      <c r="I277" s="2559">
        <v>0</v>
      </c>
      <c r="J277" s="2221"/>
      <c r="K277" s="2288">
        <f>SUM(K272:K276)</f>
        <v>3664980000</v>
      </c>
      <c r="L277" s="2288">
        <f>SUM(L272:L276)</f>
        <v>11010371641.810001</v>
      </c>
      <c r="M277" s="2288">
        <f>SUM(M272:M276)</f>
        <v>10968080837.17</v>
      </c>
      <c r="N277" s="2250" t="s">
        <v>763</v>
      </c>
      <c r="Q277" s="2198" t="s">
        <v>902</v>
      </c>
      <c r="R277" s="2203">
        <f>C271+C265+C260+C255+C250+C241+C236</f>
        <v>0</v>
      </c>
      <c r="S277" s="2203">
        <f>D271+D265+D260+D255+D250+D241+D236</f>
        <v>0</v>
      </c>
      <c r="T277" s="2203">
        <v>0</v>
      </c>
      <c r="U277" s="2198"/>
    </row>
    <row r="278" spans="1:22" ht="26.25" customHeight="1" thickTop="1" thickBot="1" x14ac:dyDescent="0.3">
      <c r="A278" s="2628" t="s">
        <v>1181</v>
      </c>
      <c r="B278" s="2629"/>
      <c r="C278" s="2289">
        <f>C7+C13+C20+C26+C31+C36+C41+C47+C52+C60+C82+C94+C105+C119+C130+C131+C132+C137+C142+C147+C157+C164+C169+C174+C180+C188+C192+C197+C202+C212+C217+C222+C227+C233+C238+C247+C251+C256+C261+C272+C275+C266+C151</f>
        <v>3664980</v>
      </c>
      <c r="D278" s="2289">
        <f>D7+D13+D20+D26+D31+D36+D41+D47+D52+D60+D82+D94+D105+D119+D130+D131+D132+D137+D142+D147+D157+D164+D169+D174+D180+D188+D192+D197+D202+D212+D217+D222+D227+D233+D238+D247+D251+D256+D261+D272+D275+D266+D151</f>
        <v>11010372</v>
      </c>
      <c r="E278" s="2289">
        <f>E7+E13+E20+E26+E31+E36+E41+E47+E52+E60+E82+E94+E105+E119+E130+E131+E132+E137+E142+E147+E157+E164+E169+E174+E180+E188+E192+E197+E202+E212+E217+E222+E227+E233+E238+E247+E251+E256+E261+E272+E275+E266+E151+E207</f>
        <v>10968081</v>
      </c>
      <c r="F278" s="2290">
        <f>E278/D278*100</f>
        <v>99.615898536398234</v>
      </c>
      <c r="G278" s="2291">
        <f>SUM(G7,G13,G20,G26,G31,G36,G41,G47,G52,G60,G82,G94,G105,G119,G130,G131,G132,G137,G142,G147,G151,G157,G164,G169,G174,G180,G188,G192,G197,G202,G212,G217,G222,G227,G233,G238,G247,G251,G256,G261,G266,G272,G275)</f>
        <v>3664980000</v>
      </c>
      <c r="H278" s="2291">
        <f>SUM(H7,H13,H20,H26,H31,H36,H41,H47,H52,H60,H82,H94,H105,H119,H130,H131,H132,H137,H142,H147,H151,H157,H164,H169,H174,H180,H188,H192,H197,H202,H212,H217,H222,H227,H233,H238,H247,H251,H256,H261,H266,H272,H275)</f>
        <v>11010371641.809999</v>
      </c>
      <c r="I278" s="2291">
        <f>SUM(I7,I13,I20,I26,I31,I36,I41,I47,I52,I60,I82,I94,I105,I119,I130,I131,I132,I137,I142,I147,I151,I157,I164,I169,I174,I180,I188,I192,I197,I202,I212,I217,I222,I227,I233,I238,I247,I251,I256,I261,I266,I272,I275,I207)</f>
        <v>10968080837.17</v>
      </c>
      <c r="J278" s="2338"/>
      <c r="K278" s="2216">
        <f>SUM(K273,K275)</f>
        <v>527618000</v>
      </c>
      <c r="L278" s="2216">
        <f>SUM(L273,L275)</f>
        <v>1601690741.3699999</v>
      </c>
      <c r="M278" s="2216">
        <f>SUM(M273,M275)</f>
        <v>1306024177.8700001</v>
      </c>
      <c r="N278" s="2243" t="s">
        <v>1420</v>
      </c>
      <c r="Q278" s="2233" t="s">
        <v>676</v>
      </c>
      <c r="R278" s="2203">
        <f>R275+R276+R277</f>
        <v>46391</v>
      </c>
      <c r="S278" s="2203">
        <f>S275+S276+S277</f>
        <v>66816</v>
      </c>
      <c r="T278" s="2203">
        <f>T275+T276+T277</f>
        <v>63883</v>
      </c>
    </row>
    <row r="279" spans="1:22" ht="20.25" customHeight="1" thickTop="1" x14ac:dyDescent="0.2">
      <c r="A279" s="2292" t="s">
        <v>1334</v>
      </c>
      <c r="C279" s="2201">
        <f>SUM(C12,C25)</f>
        <v>6388</v>
      </c>
      <c r="D279" s="2201">
        <f>D12+D25+D46+D146+D150+D162+D172+D220+D167+D177+D183+D191+D195+D200+D205+D215+D225+D230+D236+D241+D250+D255+D260+D265+D271+D156</f>
        <v>6922</v>
      </c>
      <c r="E279" s="2201">
        <f>E12+E25+E46+E66+E88+E146+E150+E167+E172+E177+E183+E191+E195+E200+E205+E210+E215+E220+E225+E230+E236+E241+E250+E255+E260+E265+E271</f>
        <v>741983</v>
      </c>
      <c r="F279" s="2282">
        <f>E279/D279*100</f>
        <v>10719.1996532794</v>
      </c>
      <c r="G279" s="2261">
        <f>K279</f>
        <v>6388000</v>
      </c>
      <c r="H279" s="2261">
        <f>L279</f>
        <v>6922000</v>
      </c>
      <c r="I279" s="2261">
        <f>I12+I25++I66+I88+I146+I150+I167+I172+I177+I183+I191+I195+I200+I205+I210+I215+I220+I225+I230+I236+I241+I250+I255+I260+I265+I271</f>
        <v>741982654.72000015</v>
      </c>
      <c r="J279" s="2261"/>
      <c r="K279" s="2216">
        <f>SUM(K276)</f>
        <v>6388000</v>
      </c>
      <c r="L279" s="2216">
        <f>SUM(L276)</f>
        <v>6922000</v>
      </c>
      <c r="M279" s="2216">
        <f>SUM(M276)</f>
        <v>741982654.71999991</v>
      </c>
      <c r="N279" s="2243" t="s">
        <v>902</v>
      </c>
      <c r="R279" s="2203"/>
      <c r="S279" s="2203"/>
      <c r="T279" s="2203"/>
    </row>
    <row r="280" spans="1:22" ht="32.25" thickBot="1" x14ac:dyDescent="0.3">
      <c r="A280" s="2293" t="s">
        <v>1190</v>
      </c>
      <c r="B280" s="2294"/>
      <c r="C280" s="2295">
        <f>C278-C279</f>
        <v>3658592</v>
      </c>
      <c r="D280" s="2295">
        <f>D278-D279</f>
        <v>11003450</v>
      </c>
      <c r="E280" s="2296">
        <f>E278-E279</f>
        <v>10226098</v>
      </c>
      <c r="F280" s="2297">
        <f>E280/D280*100</f>
        <v>92.935379358292167</v>
      </c>
      <c r="G280" s="2298">
        <f>G278-G279</f>
        <v>3658592000</v>
      </c>
      <c r="H280" s="2298">
        <f>H278-H279</f>
        <v>11003449641.809999</v>
      </c>
      <c r="I280" s="2298">
        <f>I278-I279</f>
        <v>10226098182.450001</v>
      </c>
      <c r="J280" s="2338"/>
      <c r="K280" s="2216">
        <f>K277</f>
        <v>3664980000</v>
      </c>
      <c r="L280" s="2216">
        <f>L277</f>
        <v>11010371641.810001</v>
      </c>
      <c r="M280" s="2216">
        <f>M277</f>
        <v>10968080837.17</v>
      </c>
      <c r="N280" s="2243" t="s">
        <v>763</v>
      </c>
      <c r="T280" s="2203">
        <f>T277+T270</f>
        <v>734872</v>
      </c>
    </row>
    <row r="281" spans="1:22" ht="15.75" customHeight="1" thickTop="1" thickBot="1" x14ac:dyDescent="0.3">
      <c r="A281" s="2341" t="s">
        <v>1335</v>
      </c>
      <c r="B281" s="2283"/>
      <c r="C281" s="2336"/>
      <c r="D281" s="2336"/>
      <c r="E281" s="2336"/>
      <c r="F281" s="2342"/>
      <c r="G281" s="2339"/>
      <c r="H281" s="2339"/>
      <c r="I281" s="2339"/>
      <c r="J281" s="2339"/>
      <c r="K281" s="2288">
        <f>K280-K279</f>
        <v>3658592000</v>
      </c>
      <c r="L281" s="2288">
        <f>L280-L279</f>
        <v>11003449641.810001</v>
      </c>
      <c r="M281" s="2288">
        <f>M280-M279</f>
        <v>10226098182.450001</v>
      </c>
    </row>
    <row r="282" spans="1:22" ht="9.75" customHeight="1" thickTop="1" x14ac:dyDescent="0.2">
      <c r="A282" s="2619" t="s">
        <v>1336</v>
      </c>
      <c r="B282" s="2620"/>
      <c r="C282" s="2620"/>
      <c r="D282" s="2620"/>
      <c r="E282" s="2620"/>
      <c r="F282" s="2620"/>
      <c r="G282" s="2340"/>
      <c r="H282" s="2340"/>
      <c r="I282" s="2340"/>
      <c r="J282" s="2340"/>
      <c r="K282" s="2340"/>
    </row>
    <row r="283" spans="1:22" x14ac:dyDescent="0.2">
      <c r="A283" s="2620"/>
      <c r="B283" s="2620"/>
      <c r="C283" s="2620"/>
      <c r="D283" s="2620"/>
      <c r="E283" s="2620"/>
      <c r="F283" s="2620"/>
      <c r="G283" s="2221"/>
      <c r="H283" s="2221"/>
      <c r="I283" s="2221"/>
      <c r="J283" s="2221"/>
      <c r="K283" s="2221"/>
    </row>
    <row r="285" spans="1:22" ht="15" x14ac:dyDescent="0.25">
      <c r="G285" s="2299"/>
      <c r="H285" s="2299"/>
      <c r="I285" s="2299"/>
    </row>
    <row r="286" spans="1:22" ht="15" x14ac:dyDescent="0.25">
      <c r="D286" s="2281"/>
      <c r="E286" s="2281"/>
      <c r="F286" s="2505"/>
      <c r="G286" s="2299"/>
      <c r="H286" s="2299"/>
      <c r="I286" s="2299"/>
    </row>
    <row r="287" spans="1:22" s="2199" customFormat="1" ht="15" x14ac:dyDescent="0.25">
      <c r="A287" s="2304" t="s">
        <v>1435</v>
      </c>
      <c r="B287" s="2305"/>
      <c r="C287" s="2301">
        <f>SUM(C7,C13,C20,C26,C31,C36,C41,C47,C52,C61,C72,C77,C83,C95,C106,C120,C130,C131,C132,C137)</f>
        <v>1785929</v>
      </c>
      <c r="D287" s="2301">
        <f>SUM(D7,D13,D20,D26,D31,D36,D41,D47,D52,D61,D72,D77,D83,D95,D106,D120,D130,D131,D132,D137)</f>
        <v>5729927</v>
      </c>
      <c r="E287" s="2312">
        <f>SUM(E7,E13,E20,E26,E31,E36,E41,E47,E52,E61,E72,E77,E83,E95,E106,E120,E130,E131,E132,E137)</f>
        <v>5360431</v>
      </c>
      <c r="F287" s="2506"/>
      <c r="G287" s="2583">
        <f>SUM(G7,G13,G20,G26,G31,G36,G41,G47,G52,G61,G72,G137,G77,G83,G95,G106,G120,G130,G131,G132)</f>
        <v>1785929000</v>
      </c>
      <c r="H287" s="2583">
        <f>SUM(H7,H13,H20,H26,H31,H36,H41,H47,H52,H61,H72,H137,H77,H83,H95,H106,H120,H130,H131,H132)</f>
        <v>5729924525.7200003</v>
      </c>
      <c r="I287" s="2583">
        <f>SUM(I7,I13,I20,I26,I31,I36,I41,I47,I52,I61,I72,I137,I77,I83,I95,I106,I120,I130,I131,I132)</f>
        <v>5360430516.7000008</v>
      </c>
      <c r="J287" s="2299"/>
      <c r="K287" s="2328" t="s">
        <v>2047</v>
      </c>
      <c r="L287" s="2299">
        <v>972167361.34000003</v>
      </c>
      <c r="M287" s="2514">
        <v>651638616.64999998</v>
      </c>
      <c r="N287" s="2299"/>
      <c r="O287" s="2301">
        <v>972167</v>
      </c>
    </row>
    <row r="288" spans="1:22" s="2199" customFormat="1" ht="15" x14ac:dyDescent="0.25">
      <c r="A288" s="2306" t="s">
        <v>623</v>
      </c>
      <c r="B288" s="2305"/>
      <c r="C288" s="2301">
        <f>SUM(C67,C89,C100,C111,C125)</f>
        <v>1566206</v>
      </c>
      <c r="D288" s="2301">
        <f>SUM(D67,D89,D100,D111,D125)</f>
        <v>3744650</v>
      </c>
      <c r="E288" s="2312">
        <f>SUM(E67,E89,E100,E111,E125)</f>
        <v>3744541</v>
      </c>
      <c r="F288" s="2506"/>
      <c r="G288" s="2583">
        <f>SUM(G67,G89,G100,G111,G125)</f>
        <v>1566206000</v>
      </c>
      <c r="H288" s="2583">
        <f>SUM(H67,H89,H100,H111,H125)</f>
        <v>3744651036.6400003</v>
      </c>
      <c r="I288" s="2583">
        <f>SUM(I67,I89,I100,I111,I125)</f>
        <v>3744541931.4400001</v>
      </c>
      <c r="J288" s="2299"/>
      <c r="K288" s="2317" t="s">
        <v>2048</v>
      </c>
      <c r="L288" s="2513">
        <f>H10+H11+H18+H19+H23+H24+H29+H30+H34+H35+H39+H40+H44+H45+H50+H51+H55+H56+H64+H65+H70+H71+H75+H76+H80+H81+H86+H87+H92+H93+H98+H99+H103+H104+H109+H110+H114+H115+H123+H124+H128+H129+H135+H136+H140+H141</f>
        <v>5825444329.6900015</v>
      </c>
      <c r="M288" s="2508">
        <f>I10+I11+I18+I19+I23+I24+I29+I30+I34+I35+I39+I40+I44+I45+I50+I51+I55+I56+I64+I65+I70+I71+I75+I76+I80+I81+I86+I87+I92+I93+I98+I99+I103+I104+I109+I110+I114+I115+I123+I124+I128+I129+I135+I136+I140+I141</f>
        <v>5822555998.8700008</v>
      </c>
      <c r="N288" s="2299"/>
      <c r="O288" s="2314">
        <f>D10+D11+D18+D19+D24+D23+D29+D30+D34+D35+D39+D40+D45+D44+D50+D51+D55+D56+D64+D65+D70+D71+D75+D76+D80+D81+D86+D87+D92+D93+D98+D99+D103+D104+D109+D110+D114+D115+D123+D124+D128+D129+D135+D136</f>
        <v>5825444</v>
      </c>
    </row>
    <row r="289" spans="1:15" s="2199" customFormat="1" ht="15" x14ac:dyDescent="0.25">
      <c r="A289" s="2306" t="s">
        <v>1296</v>
      </c>
      <c r="B289" s="2305"/>
      <c r="C289" s="2301">
        <f>C142+C147+C164+C169+C174+C180+C188+C192+C197+C202+C207+C217+C222+C227+C233+C238+C247+C251+C256+C261+C266</f>
        <v>266454</v>
      </c>
      <c r="D289" s="2301">
        <f>SUM(D247,D238,D233,D227,D222,D217,D212,D202,D197,D192,D188,D180,D174,D169,D164,D157,D147,D142,D251,D256,D207,D261,D266,D151)</f>
        <v>1468979</v>
      </c>
      <c r="E289" s="2312">
        <f>SUM(E247,E238,E233,E227,E222,E217,E212,E202,E197,E192,E188,E180,E174,E169,E164,E157,E147,E142,E251,E256,E207,E261,E266,E151)</f>
        <v>1799226</v>
      </c>
      <c r="F289" s="2506"/>
      <c r="G289" s="2583">
        <f>G142+G147+G164+G169+G174+G180+G188+G192+G197+G202+G207+G212+G217+G222+G227+G233+G238+G247+G251+G256+G261+G266</f>
        <v>266454000</v>
      </c>
      <c r="H289" s="2583">
        <f>SUM(H247,H238,H233,H227,H222,H217,H212,H202,H197,H192,H188,H180,H174,H169,H164,H157,H147,H142,H151,H251,H256,H261,H266)</f>
        <v>1468979874.1000004</v>
      </c>
      <c r="I289" s="2583">
        <f>SUM(I247,I238,I233,I227,I222,I217,I212,I202,I197,I192,I188,I180,I174,I169,I164,I157,I147,I142,I151,I251,I256,I261,I266,I207)</f>
        <v>1799225482.75</v>
      </c>
      <c r="J289" s="2301"/>
      <c r="K289" s="2299" t="s">
        <v>1898</v>
      </c>
      <c r="L289" s="2299">
        <f>L287+L288</f>
        <v>6797611691.0300016</v>
      </c>
      <c r="M289" s="2514">
        <f>M287+M288</f>
        <v>6474194615.5200005</v>
      </c>
      <c r="N289" s="2299"/>
      <c r="O289" s="2301">
        <f>O287+O288</f>
        <v>6797611</v>
      </c>
    </row>
    <row r="290" spans="1:15" s="2199" customFormat="1" ht="15" x14ac:dyDescent="0.25">
      <c r="A290" s="2306" t="s">
        <v>132</v>
      </c>
      <c r="B290" s="2305"/>
      <c r="C290" s="2301">
        <f>SUM(C275)</f>
        <v>6391</v>
      </c>
      <c r="D290" s="2301">
        <f>SUM(D275)</f>
        <v>8325</v>
      </c>
      <c r="E290" s="2312">
        <f>SUM(E275)</f>
        <v>6749</v>
      </c>
      <c r="F290" s="2506"/>
      <c r="G290" s="2583">
        <f>SUM(G275)</f>
        <v>6391000</v>
      </c>
      <c r="H290" s="2583">
        <f>SUM(H275)</f>
        <v>8325460.6900000004</v>
      </c>
      <c r="I290" s="2583">
        <f>SUM(I275)</f>
        <v>6748952.2800000003</v>
      </c>
      <c r="J290" s="2299"/>
      <c r="K290" s="2299"/>
    </row>
    <row r="291" spans="1:15" s="2199" customFormat="1" ht="15" x14ac:dyDescent="0.25">
      <c r="A291" s="2304" t="s">
        <v>1436</v>
      </c>
      <c r="B291" s="2305"/>
      <c r="C291" s="2301">
        <f>SUM(C272)</f>
        <v>40000</v>
      </c>
      <c r="D291" s="2301">
        <f>SUM(D272)</f>
        <v>58491</v>
      </c>
      <c r="E291" s="2312">
        <f>SUM(E272)</f>
        <v>57134</v>
      </c>
      <c r="F291" s="2506"/>
      <c r="G291" s="2583">
        <f>SUM(G272)</f>
        <v>40000000</v>
      </c>
      <c r="H291" s="2583">
        <f>SUM(H272)</f>
        <v>58490744.659999996</v>
      </c>
      <c r="I291" s="2583">
        <f>SUM(I272)</f>
        <v>57133954</v>
      </c>
      <c r="J291" s="2299"/>
      <c r="K291" s="2299"/>
    </row>
    <row r="292" spans="1:15" s="2199" customFormat="1" ht="15.75" thickBot="1" x14ac:dyDescent="0.3">
      <c r="A292" s="2307" t="s">
        <v>901</v>
      </c>
      <c r="B292" s="2308"/>
      <c r="C292" s="2309">
        <f>SUM(C287:C291)</f>
        <v>3664980</v>
      </c>
      <c r="D292" s="2309">
        <f t="shared" ref="D292:I292" si="16">SUM(D287:D291)</f>
        <v>11010372</v>
      </c>
      <c r="E292" s="2309">
        <f t="shared" si="16"/>
        <v>10968081</v>
      </c>
      <c r="F292" s="2507"/>
      <c r="G292" s="2584">
        <f t="shared" si="16"/>
        <v>3664980000</v>
      </c>
      <c r="H292" s="2584">
        <f t="shared" si="16"/>
        <v>11010371641.810001</v>
      </c>
      <c r="I292" s="2584">
        <f t="shared" si="16"/>
        <v>10968080837.170002</v>
      </c>
      <c r="J292" s="2299"/>
      <c r="K292" s="2299"/>
    </row>
    <row r="293" spans="1:15" s="2233" customFormat="1" ht="15.75" thickTop="1" x14ac:dyDescent="0.25">
      <c r="A293" s="2199" t="s">
        <v>902</v>
      </c>
      <c r="B293" s="2310"/>
      <c r="C293" s="2301">
        <f>C12+C25+C46+C146+C150+C162+C167+C172+C177+C183+C191+C195+C200+C205+C215+C220+C225+C230+C236+C241+C250+C255+C260+C265+C271+C156</f>
        <v>6388</v>
      </c>
      <c r="D293" s="2301">
        <f>D12+D25+D46+D146+D150+D162+D167+D172+D177+D183+D191+D195+D200+D205+D215+D220+D225+D230+D236+D241+D250+D255+D260+D265+D271+D156</f>
        <v>6922</v>
      </c>
      <c r="E293" s="2312">
        <f>E12+E25+E46+E66+E88+E146+E150+E167+E172+E177+E183+E191+E195+E200+E205+E210+E215+E220+E225+E230+E236+E241+E250+E255+E260+E265+E271</f>
        <v>741983</v>
      </c>
      <c r="F293" s="2506"/>
      <c r="G293" s="2583">
        <f>SUM(G146,G162,G167,G172,G195,G200,G205,G220,G12,G25,G150,G156,G177,G183,G191,G215,G225,G230,G236,G241,G250,G255,G260,G265,G271)</f>
        <v>6388000</v>
      </c>
      <c r="H293" s="2583">
        <f>SUM(H146,H162,H167,H172,H195,H200,H205,H220,H12,H25,H150,H156,H177,H183,H191,H215,H225,H230,H236,H241,H250,H255,H260,H265,H271)</f>
        <v>6922000</v>
      </c>
      <c r="I293" s="2583">
        <f>I12+I25+I46+I66+I88+I146+I150+I167+I172+I177+I183+I191+I195+I200+I205+I210+I215+I220+I225+I230+I236+I241+I250+I255+I260+I265+I271</f>
        <v>741982654.72000015</v>
      </c>
      <c r="J293" s="2299"/>
      <c r="K293" s="2299"/>
    </row>
    <row r="294" spans="1:15" s="2233" customFormat="1" ht="15.75" thickBot="1" x14ac:dyDescent="0.3">
      <c r="A294" s="2307" t="s">
        <v>1438</v>
      </c>
      <c r="B294" s="2311"/>
      <c r="C294" s="2309">
        <f>C292-C293</f>
        <v>3658592</v>
      </c>
      <c r="D294" s="2309">
        <f t="shared" ref="D294:I294" si="17">D292-D293</f>
        <v>11003450</v>
      </c>
      <c r="E294" s="2309">
        <f t="shared" si="17"/>
        <v>10226098</v>
      </c>
      <c r="F294" s="2507"/>
      <c r="G294" s="2584">
        <f t="shared" si="17"/>
        <v>3658592000</v>
      </c>
      <c r="H294" s="2584">
        <f t="shared" si="17"/>
        <v>11003449641.810001</v>
      </c>
      <c r="I294" s="2584">
        <f t="shared" si="17"/>
        <v>10226098182.450003</v>
      </c>
      <c r="J294" s="2299"/>
      <c r="K294" s="2299"/>
    </row>
    <row r="295" spans="1:15" s="2233" customFormat="1" ht="15.75" thickTop="1" x14ac:dyDescent="0.25">
      <c r="A295" s="2199"/>
      <c r="B295" s="2310"/>
      <c r="C295" s="2301"/>
      <c r="D295" s="2312"/>
      <c r="E295" s="2312"/>
      <c r="F295" s="2506"/>
      <c r="G295" s="2583"/>
      <c r="H295" s="2583"/>
      <c r="I295" s="2583"/>
      <c r="J295" s="2299"/>
      <c r="K295" s="2299"/>
    </row>
    <row r="296" spans="1:15" s="2199" customFormat="1" ht="15" x14ac:dyDescent="0.25">
      <c r="A296" s="2199" t="s">
        <v>884</v>
      </c>
      <c r="B296" s="2305"/>
      <c r="C296" s="2301">
        <f>R277+R275+R270+R268+R145+R143+R113+R111+R55+R53</f>
        <v>3137362</v>
      </c>
      <c r="D296" s="2301">
        <f>S277+S275+S270+S268+S145+S143+S113+S111+S55+S53</f>
        <v>9408682</v>
      </c>
      <c r="E296" s="2312">
        <f>T277+T275+T270+T268+T145+T143+T113+T111+T55+T53</f>
        <v>9662057</v>
      </c>
      <c r="F296" s="2506"/>
      <c r="G296" s="2583">
        <f>SUM(G8,G10,G12,G16,G18,G21,G23,G25,G27,G29,G32,G34,G37,G39,G42,G44,G48,G50,G53,G55,G62,G64,G66,G68,G70,G73,G75,G78,G80,G84,G86,G90,G92,G96,G98,G101,G103,G107,G109,G112,G114,G121,G123,G126,G128,G130,G131,G133,G135,G138,G140,G144,G146,G148,G150,G154,G156,G160,G162,G165,G167,G170,G172,G175,G177,G181,G183,G189,G191,G193,G195,G198,G200,G203,G205,G213,G215,G218,G220,G223,G225,G228,G230,G234,G236,G239,G241,G248,G250,G253,G255,G258,G260,G263,G265,G269,G271,G273,G276)</f>
        <v>3137362000</v>
      </c>
      <c r="H296" s="2583">
        <f>SUM(H8,H10,H12,H16,H18,H21,H23,H25,H27,H29,H32,H34,H37,H39,H42,H44,H48,H50,H53,H55,H62,H64,H66,H68,H70,H73,H75,H78,H80,H84,H86,H90,H92,H96,H98,H101,H103,H107,H109,H112,H114,H121,H123,H126,H128,H130,H131,H133,H135,H138,H140,H144,H146,H148,H150,H154,H156,H160,H162,H165,H167,H170,H172,H175,H177,H181,H183,H189,H191,H193,H195,H198,H200,H203,H205,H213,H215,H218,H220,H223,H225,H228,H230,H234,H236,H239,H241,H248,H250,H253,H255,H258,H260,H263,H265,H269,H271,H273,H276)</f>
        <v>9408680900.4400043</v>
      </c>
      <c r="I296" s="2583">
        <f>SUM(I8,I10,I12,I16,I18,I21,I23,I25,I27,I29,I32,I34,I37,I39,I42,I44,I48,I50,I53,I55,I62,I64,I66,I68,I70,I73,I75,I78,I80,I84,I86,I90,I92,I96,I98,I101,I103,I107,I109,I112,I114,I121,I123,I126,I128,I130,I131,I133,I135,I138,I140,I144,I146,I148,I150,I154,I156,I88,I208,I210,I160,I162,I165,I167,I170,I172,I175,I177,I181,I183,I189,I191,I193,I195,I198,I200,I203,I205,I213,I215,I218,I220,I223,I225,I228,I230,I234,I236,I239,I241,I248,I250,I253,I255,I258,I260,I263,I265,I269,I271,I273,I276)</f>
        <v>9662056659.3000031</v>
      </c>
      <c r="J296" s="2299"/>
      <c r="K296" s="2299"/>
    </row>
    <row r="297" spans="1:15" s="2199" customFormat="1" ht="15" x14ac:dyDescent="0.25">
      <c r="A297" s="2199" t="s">
        <v>1437</v>
      </c>
      <c r="B297" s="2305"/>
      <c r="C297" s="2301">
        <f>R276+R112+R54+R138+R140+R269</f>
        <v>527618</v>
      </c>
      <c r="D297" s="2301">
        <f>SUM(D9,D11,D17,D19,D22,D24,D28,D30,D33,D35,D38,D40,D43,D45,D49,D51,D54,D56,D63,D65,D69,D71,D74,D76,D79,D81,D85,D87,D91,D93,D97,D99,D102,D104,D108,D110,D113,D115,D122,D124,D127,D129,D134,D136,D139,D141,D145,D149,D166,D171,D176,D182,D190,D194,D199,D204,D209,D214,D219,D224,D229,D235,D240,D249,D254,D259,D264,D270,D274,D277)</f>
        <v>1601690</v>
      </c>
      <c r="E297" s="2312">
        <f>SUM(E9,E11,E17,E19,E22,E24,E28,E30,E33,E35,E38,E40,E43,E45,E49,E51,E54,E56,E63,E65,E69,E71,E74,E76,E79,E81,E85,E87,E91,E93,E97,E99,E102,E104,E108,E110,E113,E115,E122,E124,E127,E129,E134,E136,E139,E141,E145,E149,E166,E171,E176,E182,E190,E194,E199,E204,E209,E214,E219,E224,E229,E235,E240,E249,E254,E259,E264,E270,E274,E277)</f>
        <v>1306024</v>
      </c>
      <c r="F297" s="2506"/>
      <c r="G297" s="2583">
        <f>SUM(G9,G11,G17,G19,G22,G24,G28,G30,G33,G38,G40,G43,G45,G49,G51,G54,G56,G63,G65,G69,G71,G74,G76,G79,G81,G85,G87,G91,G93,G97,G99,G102,G104,G108,G110,G113,G115,G122,G124,G127,G129,G134,G136,G139,G141,G145,G149,G155,G161,G166,G171,G176,G182,G190,G194,G199,G204,G214,G219,G224,G229,G235,G240,G249,G254,G259,G264,G270,G274,G277)</f>
        <v>527618000</v>
      </c>
      <c r="H297" s="2583">
        <f>SUM(H9,H11,H17,H19,H22,H24,H28,H30,H33,H38,H40,H43,H45,H49,H51,H54,H56,H63,H65,H69,H71,H74,H76,H79,H81,H85,H87,H91,H93,H97,H99,H102,H104,H108,H110,H113,H115,H122,H124,H127,H129,H134,H136,H139,H141,H145,H149,H155,H161,H166,H171,H176,H182,H190,H194,H199,H204,H214,H219,H224,H229,H235,H240,H249,H254,H259,H264,H270,H274,H277)</f>
        <v>1601690741.3699999</v>
      </c>
      <c r="I297" s="2583">
        <f>SUM(I9,I11,I17,I19,I22,I24,I28,I30,I33,I38,I40,I43,I45,I49,I51,I54,I56,I63,I65,I69,I71,I74,I76,I79,I81,I85,I87,I91,I93,I97,I99,I102,I104,I108,I110,I113,I115,I122,I124,I127,I129,I134,I136,I139,I141,I145,I149,I155,I161,I166,I171,I176,I182,I190,I194,I199,I204,I214,I219,I224,I229,I235,I240,I249,I254,I259,I264,I270,I274,I277)</f>
        <v>1306024177.8700001</v>
      </c>
      <c r="J297" s="2299"/>
      <c r="K297" s="2299"/>
    </row>
    <row r="298" spans="1:15" s="2199" customFormat="1" ht="15.75" thickBot="1" x14ac:dyDescent="0.3">
      <c r="A298" s="2307" t="s">
        <v>901</v>
      </c>
      <c r="B298" s="2308"/>
      <c r="C298" s="2309">
        <f>SUM(C296:C297)</f>
        <v>3664980</v>
      </c>
      <c r="D298" s="2309">
        <f t="shared" ref="D298:I298" si="18">SUM(D296:D297)</f>
        <v>11010372</v>
      </c>
      <c r="E298" s="2309">
        <f t="shared" si="18"/>
        <v>10968081</v>
      </c>
      <c r="F298" s="2507"/>
      <c r="G298" s="2584">
        <f t="shared" si="18"/>
        <v>3664980000</v>
      </c>
      <c r="H298" s="2584">
        <f t="shared" si="18"/>
        <v>11010371641.810005</v>
      </c>
      <c r="I298" s="2584">
        <f t="shared" si="18"/>
        <v>10968080837.170004</v>
      </c>
      <c r="J298" s="2299"/>
      <c r="K298" s="2299"/>
    </row>
    <row r="299" spans="1:15" s="2233" customFormat="1" ht="15.75" thickTop="1" x14ac:dyDescent="0.25">
      <c r="A299" s="2199" t="s">
        <v>902</v>
      </c>
      <c r="B299" s="2310"/>
      <c r="C299" s="2301">
        <f>R277+R229+R171+R141+R113+R55</f>
        <v>6388</v>
      </c>
      <c r="D299" s="2301">
        <f>S277+S229+S171+S141+S113+S55</f>
        <v>6922</v>
      </c>
      <c r="E299" s="2312">
        <f>T277+T141+T113+T55+T270</f>
        <v>741983</v>
      </c>
      <c r="F299" s="2506"/>
      <c r="G299" s="2583">
        <f>G279</f>
        <v>6388000</v>
      </c>
      <c r="H299" s="2583">
        <f>H279</f>
        <v>6922000</v>
      </c>
      <c r="I299" s="2583">
        <f>I279</f>
        <v>741982654.72000015</v>
      </c>
      <c r="J299" s="2299"/>
      <c r="K299" s="2299"/>
    </row>
    <row r="300" spans="1:15" s="2233" customFormat="1" ht="15.75" thickBot="1" x14ac:dyDescent="0.3">
      <c r="A300" s="2307" t="s">
        <v>1438</v>
      </c>
      <c r="B300" s="2311"/>
      <c r="C300" s="2309">
        <f>C298-C299</f>
        <v>3658592</v>
      </c>
      <c r="D300" s="2309">
        <f t="shared" ref="D300:I300" si="19">D298-D299</f>
        <v>11003450</v>
      </c>
      <c r="E300" s="2309">
        <f t="shared" si="19"/>
        <v>10226098</v>
      </c>
      <c r="F300" s="2507"/>
      <c r="G300" s="2584">
        <f t="shared" si="19"/>
        <v>3658592000</v>
      </c>
      <c r="H300" s="2584">
        <f t="shared" si="19"/>
        <v>11003449641.810005</v>
      </c>
      <c r="I300" s="2584">
        <f t="shared" si="19"/>
        <v>10226098182.450005</v>
      </c>
      <c r="J300" s="2299"/>
      <c r="K300" s="2299"/>
    </row>
    <row r="301" spans="1:15" ht="15" thickTop="1" x14ac:dyDescent="0.2">
      <c r="E301" s="2281"/>
      <c r="F301" s="2505"/>
    </row>
    <row r="302" spans="1:15" x14ac:dyDescent="0.2">
      <c r="E302" s="2281"/>
      <c r="F302" s="2505"/>
    </row>
    <row r="303" spans="1:15" x14ac:dyDescent="0.2">
      <c r="A303" s="2202" t="s">
        <v>1811</v>
      </c>
      <c r="C303" s="2201">
        <v>66667</v>
      </c>
      <c r="D303" s="2201">
        <v>66667</v>
      </c>
      <c r="E303" s="2281">
        <v>66667</v>
      </c>
      <c r="F303" s="2505"/>
      <c r="G303" s="2313">
        <v>66667000</v>
      </c>
      <c r="H303" s="2313">
        <v>66667000</v>
      </c>
      <c r="I303" s="2313">
        <v>66666672</v>
      </c>
    </row>
    <row r="304" spans="1:15" ht="15" x14ac:dyDescent="0.25">
      <c r="A304" s="2314"/>
      <c r="B304" s="2315"/>
      <c r="C304" s="2316">
        <v>110301</v>
      </c>
      <c r="D304" s="2316">
        <v>110301</v>
      </c>
      <c r="E304" s="2316">
        <v>110300</v>
      </c>
      <c r="F304" s="2508"/>
      <c r="G304" s="2317">
        <v>110301000</v>
      </c>
      <c r="H304" s="2317">
        <v>110301000</v>
      </c>
      <c r="I304" s="2317">
        <v>110300232.26000001</v>
      </c>
    </row>
    <row r="305" spans="1:16" ht="15" x14ac:dyDescent="0.25">
      <c r="A305" s="2318" t="s">
        <v>1812</v>
      </c>
      <c r="B305" s="2319"/>
      <c r="C305" s="2320">
        <f>C303+C304</f>
        <v>176968</v>
      </c>
      <c r="D305" s="2320">
        <f>D303+D304</f>
        <v>176968</v>
      </c>
      <c r="E305" s="2320">
        <f>E303+E304</f>
        <v>176967</v>
      </c>
      <c r="F305" s="2509"/>
      <c r="G305" s="2299">
        <f>G303+G304</f>
        <v>176968000</v>
      </c>
      <c r="H305" s="2299">
        <f>H303+H304</f>
        <v>176968000</v>
      </c>
      <c r="I305" s="2299">
        <f>I303+I304</f>
        <v>176966904.25999999</v>
      </c>
    </row>
    <row r="306" spans="1:16" ht="15.75" thickBot="1" x14ac:dyDescent="0.3">
      <c r="A306" s="2321"/>
      <c r="B306" s="2322"/>
      <c r="C306" s="2323"/>
      <c r="D306" s="2323"/>
      <c r="E306" s="2324"/>
      <c r="F306" s="2510"/>
      <c r="G306" s="2324"/>
      <c r="H306" s="2324"/>
      <c r="I306" s="2324"/>
    </row>
    <row r="307" spans="1:16" ht="15.75" thickTop="1" x14ac:dyDescent="0.25">
      <c r="A307" s="2202" t="s">
        <v>901</v>
      </c>
      <c r="C307" s="2301">
        <f>C294+C305</f>
        <v>3835560</v>
      </c>
      <c r="D307" s="2301">
        <f>D294+D305</f>
        <v>11180418</v>
      </c>
      <c r="E307" s="2312">
        <f>E294+E305</f>
        <v>10403065</v>
      </c>
      <c r="F307" s="2506"/>
      <c r="G307" s="2299">
        <f>G305+G294</f>
        <v>3835560000</v>
      </c>
      <c r="H307" s="2299">
        <f>H305+H294</f>
        <v>11180417641.810001</v>
      </c>
      <c r="I307" s="2299">
        <f>I305+I294</f>
        <v>10403065086.710003</v>
      </c>
    </row>
    <row r="308" spans="1:16" x14ac:dyDescent="0.2">
      <c r="E308" s="2281"/>
      <c r="F308" s="2505"/>
      <c r="G308" s="2201"/>
      <c r="H308" s="2201"/>
    </row>
    <row r="309" spans="1:16" x14ac:dyDescent="0.2">
      <c r="G309" s="2201"/>
      <c r="H309" s="2201"/>
      <c r="I309" s="2201"/>
    </row>
    <row r="312" spans="1:16" x14ac:dyDescent="0.2">
      <c r="A312" s="2325"/>
      <c r="B312" s="2249"/>
      <c r="C312" s="2281"/>
      <c r="D312" s="2281"/>
      <c r="E312" s="2281"/>
      <c r="F312" s="2281"/>
      <c r="G312" s="2261"/>
      <c r="H312" s="2261"/>
      <c r="I312" s="2261"/>
      <c r="J312" s="2281"/>
      <c r="K312" s="2261"/>
      <c r="L312" s="2280"/>
      <c r="M312" s="2280"/>
      <c r="N312" s="2280"/>
      <c r="O312" s="2280"/>
      <c r="P312" s="2280"/>
    </row>
    <row r="313" spans="1:16" x14ac:dyDescent="0.2">
      <c r="A313" s="2325"/>
      <c r="B313" s="2249"/>
      <c r="C313" s="2281"/>
      <c r="D313" s="2281"/>
      <c r="E313" s="2281"/>
      <c r="F313" s="2281"/>
      <c r="G313" s="2261"/>
      <c r="H313" s="2261"/>
      <c r="I313" s="2261"/>
      <c r="J313" s="2261"/>
      <c r="K313" s="2261"/>
      <c r="L313" s="2280"/>
      <c r="M313" s="2280"/>
      <c r="N313" s="2280"/>
      <c r="O313" s="2280"/>
      <c r="P313" s="2280"/>
    </row>
    <row r="314" spans="1:16" x14ac:dyDescent="0.2">
      <c r="A314" s="2325"/>
      <c r="B314" s="2249"/>
      <c r="C314" s="2281"/>
      <c r="D314" s="2281"/>
      <c r="E314" s="2281"/>
      <c r="F314" s="2281"/>
      <c r="G314" s="2261"/>
      <c r="H314" s="2261"/>
      <c r="I314" s="2261"/>
      <c r="J314" s="2261"/>
      <c r="K314" s="2261"/>
      <c r="L314" s="2280"/>
      <c r="M314" s="2280"/>
      <c r="N314" s="2280"/>
      <c r="O314" s="2280"/>
      <c r="P314" s="2280"/>
    </row>
    <row r="315" spans="1:16" x14ac:dyDescent="0.2">
      <c r="A315" s="2325"/>
      <c r="B315" s="2249"/>
      <c r="C315" s="2281"/>
      <c r="D315" s="2281"/>
      <c r="E315" s="2281"/>
      <c r="F315" s="2281"/>
      <c r="G315" s="2261"/>
      <c r="H315" s="2261"/>
      <c r="I315" s="2261"/>
      <c r="J315" s="2261"/>
      <c r="K315" s="2261"/>
      <c r="L315" s="2280"/>
      <c r="M315" s="2280"/>
      <c r="N315" s="2280"/>
      <c r="O315" s="2280"/>
      <c r="P315" s="2280"/>
    </row>
    <row r="316" spans="1:16" x14ac:dyDescent="0.2">
      <c r="A316" s="2325"/>
      <c r="B316" s="2249"/>
      <c r="C316" s="2281"/>
      <c r="D316" s="2281"/>
      <c r="E316" s="2281"/>
      <c r="F316" s="2281"/>
      <c r="G316" s="2261"/>
      <c r="H316" s="2261"/>
      <c r="I316" s="2261"/>
      <c r="J316" s="2261"/>
      <c r="K316" s="2261"/>
      <c r="L316" s="2280"/>
      <c r="M316" s="2280"/>
      <c r="N316" s="2280"/>
      <c r="O316" s="2280"/>
      <c r="P316" s="2280"/>
    </row>
    <row r="317" spans="1:16" x14ac:dyDescent="0.2">
      <c r="A317" s="2325"/>
      <c r="B317" s="2249"/>
      <c r="C317" s="2281"/>
      <c r="D317" s="2281"/>
      <c r="E317" s="2281"/>
      <c r="F317" s="2281"/>
      <c r="G317" s="2261"/>
      <c r="H317" s="2261"/>
      <c r="I317" s="2261"/>
      <c r="J317" s="2281"/>
      <c r="K317" s="2261"/>
      <c r="L317" s="2280"/>
      <c r="M317" s="2280"/>
      <c r="N317" s="2280"/>
      <c r="O317" s="2280"/>
      <c r="P317" s="2280"/>
    </row>
    <row r="318" spans="1:16" x14ac:dyDescent="0.2">
      <c r="A318" s="2325"/>
      <c r="B318" s="2249"/>
      <c r="C318" s="2281"/>
      <c r="D318" s="2281"/>
      <c r="E318" s="2281"/>
      <c r="F318" s="2281"/>
      <c r="G318" s="2261"/>
      <c r="H318" s="2261"/>
      <c r="I318" s="2261"/>
      <c r="J318" s="2261"/>
      <c r="K318" s="2261"/>
      <c r="L318" s="2280"/>
      <c r="M318" s="2280"/>
      <c r="N318" s="2280"/>
      <c r="O318" s="2280"/>
      <c r="P318" s="2280"/>
    </row>
    <row r="319" spans="1:16" x14ac:dyDescent="0.2">
      <c r="A319" s="2325"/>
      <c r="B319" s="2249"/>
      <c r="C319" s="2281"/>
      <c r="D319" s="2281"/>
      <c r="E319" s="2281"/>
      <c r="F319" s="2281"/>
      <c r="G319" s="2261"/>
      <c r="H319" s="2261"/>
      <c r="I319" s="2261"/>
      <c r="J319" s="2261"/>
      <c r="K319" s="2261"/>
      <c r="L319" s="2280"/>
      <c r="M319" s="2280"/>
      <c r="N319" s="2280"/>
      <c r="O319" s="2280"/>
      <c r="P319" s="2280"/>
    </row>
    <row r="320" spans="1:16" x14ac:dyDescent="0.2">
      <c r="A320" s="2325"/>
      <c r="B320" s="2249"/>
      <c r="C320" s="2281"/>
      <c r="D320" s="2281"/>
      <c r="E320" s="2281"/>
      <c r="F320" s="2281"/>
      <c r="G320" s="2261"/>
      <c r="H320" s="2261"/>
      <c r="I320" s="2261"/>
      <c r="J320" s="2261"/>
      <c r="K320" s="2261"/>
      <c r="L320" s="2280"/>
      <c r="M320" s="2280"/>
      <c r="N320" s="2280"/>
      <c r="O320" s="2280"/>
      <c r="P320" s="2280"/>
    </row>
    <row r="321" spans="1:16" x14ac:dyDescent="0.2">
      <c r="A321" s="2325"/>
      <c r="B321" s="2249"/>
      <c r="C321" s="2281"/>
      <c r="D321" s="2281"/>
      <c r="E321" s="2281"/>
      <c r="F321" s="2281"/>
      <c r="G321" s="2261"/>
      <c r="H321" s="2261"/>
      <c r="I321" s="2261"/>
      <c r="J321" s="2261"/>
      <c r="K321" s="2261"/>
      <c r="L321" s="2280"/>
      <c r="M321" s="2280"/>
      <c r="N321" s="2280"/>
      <c r="O321" s="2280"/>
      <c r="P321" s="2280"/>
    </row>
    <row r="322" spans="1:16" x14ac:dyDescent="0.2">
      <c r="A322" s="2325"/>
      <c r="B322" s="2249"/>
      <c r="C322" s="2281"/>
      <c r="D322" s="2281"/>
      <c r="E322" s="2281"/>
      <c r="F322" s="2281"/>
      <c r="G322" s="2261"/>
      <c r="H322" s="2261"/>
      <c r="I322" s="2261"/>
      <c r="J322" s="2261"/>
      <c r="K322" s="2261"/>
      <c r="L322" s="2280"/>
      <c r="M322" s="2280"/>
      <c r="N322" s="2280"/>
      <c r="O322" s="2280"/>
      <c r="P322" s="2280"/>
    </row>
  </sheetData>
  <mergeCells count="27">
    <mergeCell ref="A221:A222"/>
    <mergeCell ref="A226:A227"/>
    <mergeCell ref="A266:A268"/>
    <mergeCell ref="A187:A188"/>
    <mergeCell ref="A245:A247"/>
    <mergeCell ref="A237:A238"/>
    <mergeCell ref="A251:A252"/>
    <mergeCell ref="A256:A257"/>
    <mergeCell ref="A261:A262"/>
    <mergeCell ref="A231:A233"/>
    <mergeCell ref="A206:A207"/>
    <mergeCell ref="A157:A159"/>
    <mergeCell ref="A13:A15"/>
    <mergeCell ref="A151:A153"/>
    <mergeCell ref="A282:F283"/>
    <mergeCell ref="A1:F1"/>
    <mergeCell ref="A2:F2"/>
    <mergeCell ref="A201:A202"/>
    <mergeCell ref="A178:A180"/>
    <mergeCell ref="A196:A197"/>
    <mergeCell ref="A173:A174"/>
    <mergeCell ref="A163:A164"/>
    <mergeCell ref="A168:A169"/>
    <mergeCell ref="A211:A212"/>
    <mergeCell ref="A142:A143"/>
    <mergeCell ref="A278:B278"/>
    <mergeCell ref="A216:A217"/>
  </mergeCells>
  <phoneticPr fontId="34" type="noConversion"/>
  <pageMargins left="0.78740157480314965" right="0.78740157480314965" top="0.78740157480314965" bottom="0.98425196850393704" header="0.51181102362204722" footer="0.51181102362204722"/>
  <pageSetup paperSize="9" scale="85" firstPageNumber="22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S302"/>
  <sheetViews>
    <sheetView showGridLines="0" view="pageBreakPreview" topLeftCell="A211" zoomScaleNormal="100" zoomScaleSheetLayoutView="100" workbookViewId="0">
      <selection activeCell="I10" sqref="I10"/>
    </sheetView>
  </sheetViews>
  <sheetFormatPr defaultRowHeight="12.75" x14ac:dyDescent="0.2"/>
  <cols>
    <col min="1" max="2" width="4.7109375" style="1730" customWidth="1"/>
    <col min="3" max="3" width="8.85546875" style="663" customWidth="1"/>
    <col min="4" max="4" width="45.85546875" style="381" customWidth="1"/>
    <col min="5" max="5" width="14.140625" style="382" customWidth="1"/>
    <col min="6" max="6" width="14.5703125" style="382" customWidth="1"/>
    <col min="7" max="7" width="13.140625" style="382" customWidth="1"/>
    <col min="8" max="8" width="7.28515625" style="1735" customWidth="1"/>
    <col min="9" max="9" width="9.140625" style="381"/>
    <col min="10" max="10" width="11.42578125" style="381" bestFit="1" customWidth="1"/>
    <col min="11" max="11" width="9.42578125" style="381" bestFit="1" customWidth="1"/>
    <col min="12" max="16384" width="9.140625" style="381"/>
  </cols>
  <sheetData>
    <row r="1" spans="1:9" s="662" customFormat="1" ht="18.75" thickBot="1" x14ac:dyDescent="0.3">
      <c r="A1" s="477" t="s">
        <v>408</v>
      </c>
      <c r="B1" s="478"/>
      <c r="C1" s="479"/>
      <c r="D1" s="480"/>
      <c r="E1" s="481"/>
      <c r="F1" s="481" t="s">
        <v>409</v>
      </c>
      <c r="G1" s="482"/>
      <c r="H1" s="661"/>
    </row>
    <row r="2" spans="1:9" x14ac:dyDescent="0.2">
      <c r="A2" s="1729"/>
    </row>
    <row r="3" spans="1:9" s="523" customFormat="1" ht="14.25" x14ac:dyDescent="0.2">
      <c r="A3" s="1731" t="s">
        <v>367</v>
      </c>
      <c r="B3" s="1732"/>
      <c r="C3" s="2441" t="s">
        <v>857</v>
      </c>
      <c r="E3" s="524"/>
      <c r="F3" s="524"/>
      <c r="G3" s="524"/>
      <c r="H3" s="765"/>
    </row>
    <row r="4" spans="1:9" ht="14.25" x14ac:dyDescent="0.2">
      <c r="A4" s="1729"/>
      <c r="C4" s="2441" t="s">
        <v>858</v>
      </c>
    </row>
    <row r="5" spans="1:9" x14ac:dyDescent="0.2">
      <c r="A5" s="1729"/>
    </row>
    <row r="6" spans="1:9" ht="15.75" x14ac:dyDescent="0.25">
      <c r="A6" s="669" t="s">
        <v>884</v>
      </c>
    </row>
    <row r="7" spans="1:9" ht="13.5" thickBot="1" x14ac:dyDescent="0.25">
      <c r="H7" s="1735" t="s">
        <v>161</v>
      </c>
    </row>
    <row r="8" spans="1:9" s="107" customFormat="1" ht="20.25" customHeight="1" thickTop="1" thickBot="1" x14ac:dyDescent="0.25">
      <c r="A8" s="631" t="s">
        <v>162</v>
      </c>
      <c r="B8" s="632" t="s">
        <v>163</v>
      </c>
      <c r="C8" s="670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635" t="s">
        <v>883</v>
      </c>
    </row>
    <row r="9" spans="1:9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636" t="s">
        <v>61</v>
      </c>
      <c r="I9" s="107"/>
    </row>
    <row r="10" spans="1:9" s="1056" customFormat="1" ht="15.75" thickTop="1" x14ac:dyDescent="0.25">
      <c r="A10" s="222">
        <v>3311</v>
      </c>
      <c r="B10" s="1060">
        <v>5212</v>
      </c>
      <c r="C10" s="1176"/>
      <c r="D10" s="655" t="s">
        <v>674</v>
      </c>
      <c r="E10" s="1072"/>
      <c r="F10" s="370">
        <f>F11+F12</f>
        <v>400</v>
      </c>
      <c r="G10" s="370">
        <f>G11+G12</f>
        <v>400</v>
      </c>
      <c r="H10" s="240">
        <f>(G10/F10)*100</f>
        <v>100</v>
      </c>
    </row>
    <row r="11" spans="1:9" s="1056" customFormat="1" ht="15" x14ac:dyDescent="0.25">
      <c r="A11" s="50"/>
      <c r="B11" s="19"/>
      <c r="C11" s="1084" t="s">
        <v>249</v>
      </c>
      <c r="D11" s="1063" t="s">
        <v>318</v>
      </c>
      <c r="E11" s="48"/>
      <c r="F11" s="314">
        <v>300</v>
      </c>
      <c r="G11" s="316">
        <v>300</v>
      </c>
      <c r="H11" s="1074">
        <f>(G11/F11)*100</f>
        <v>100</v>
      </c>
    </row>
    <row r="12" spans="1:9" s="1056" customFormat="1" ht="15" x14ac:dyDescent="0.25">
      <c r="A12" s="50"/>
      <c r="B12" s="19"/>
      <c r="C12" s="1068" t="s">
        <v>438</v>
      </c>
      <c r="D12" s="312" t="s">
        <v>439</v>
      </c>
      <c r="E12" s="48"/>
      <c r="F12" s="314">
        <v>100</v>
      </c>
      <c r="G12" s="316">
        <v>100</v>
      </c>
      <c r="H12" s="1074">
        <f>(G12/F12)*100</f>
        <v>100</v>
      </c>
    </row>
    <row r="13" spans="1:9" s="1056" customFormat="1" ht="15" x14ac:dyDescent="0.25">
      <c r="A13" s="50">
        <v>3311</v>
      </c>
      <c r="B13" s="19">
        <v>5213</v>
      </c>
      <c r="C13" s="122"/>
      <c r="D13" s="1057" t="s">
        <v>453</v>
      </c>
      <c r="E13" s="48">
        <v>228</v>
      </c>
      <c r="F13" s="446">
        <f>F14+F15</f>
        <v>308</v>
      </c>
      <c r="G13" s="446">
        <f>G14+G15</f>
        <v>308</v>
      </c>
      <c r="H13" s="212">
        <f>(G13/F13)*100</f>
        <v>100</v>
      </c>
    </row>
    <row r="14" spans="1:9" s="1056" customFormat="1" ht="14.25" x14ac:dyDescent="0.2">
      <c r="A14" s="50"/>
      <c r="B14" s="19"/>
      <c r="C14" s="1068" t="s">
        <v>454</v>
      </c>
      <c r="D14" s="1063" t="s">
        <v>639</v>
      </c>
      <c r="E14" s="55">
        <v>228</v>
      </c>
      <c r="F14" s="314">
        <v>228</v>
      </c>
      <c r="G14" s="316">
        <v>228</v>
      </c>
      <c r="H14" s="1074">
        <f t="shared" ref="H14:H50" si="0">(G14/F14)*100</f>
        <v>100</v>
      </c>
    </row>
    <row r="15" spans="1:9" s="1056" customFormat="1" ht="14.25" x14ac:dyDescent="0.2">
      <c r="A15" s="50"/>
      <c r="B15" s="19"/>
      <c r="C15" s="1068" t="s">
        <v>438</v>
      </c>
      <c r="D15" s="312" t="s">
        <v>439</v>
      </c>
      <c r="E15" s="55"/>
      <c r="F15" s="314">
        <v>80</v>
      </c>
      <c r="G15" s="316">
        <v>80</v>
      </c>
      <c r="H15" s="1074">
        <f t="shared" si="0"/>
        <v>100</v>
      </c>
    </row>
    <row r="16" spans="1:9" s="1056" customFormat="1" ht="15" x14ac:dyDescent="0.25">
      <c r="A16" s="50">
        <v>3311</v>
      </c>
      <c r="B16" s="19">
        <v>5221</v>
      </c>
      <c r="C16" s="1068"/>
      <c r="D16" s="1143" t="s">
        <v>1197</v>
      </c>
      <c r="E16" s="55"/>
      <c r="F16" s="315">
        <f>F17+F18</f>
        <v>1120</v>
      </c>
      <c r="G16" s="315">
        <f>G17+G18</f>
        <v>1120</v>
      </c>
      <c r="H16" s="212">
        <f t="shared" si="0"/>
        <v>100</v>
      </c>
    </row>
    <row r="17" spans="1:8" s="1056" customFormat="1" ht="14.25" x14ac:dyDescent="0.2">
      <c r="A17" s="50"/>
      <c r="B17" s="19"/>
      <c r="C17" s="1068" t="s">
        <v>438</v>
      </c>
      <c r="D17" s="312" t="s">
        <v>439</v>
      </c>
      <c r="E17" s="55"/>
      <c r="F17" s="314">
        <v>470</v>
      </c>
      <c r="G17" s="316">
        <v>470</v>
      </c>
      <c r="H17" s="1074">
        <f t="shared" si="0"/>
        <v>100</v>
      </c>
    </row>
    <row r="18" spans="1:8" s="1056" customFormat="1" ht="14.25" x14ac:dyDescent="0.2">
      <c r="A18" s="50"/>
      <c r="B18" s="19"/>
      <c r="C18" s="1068" t="s">
        <v>1424</v>
      </c>
      <c r="D18" s="312" t="s">
        <v>1423</v>
      </c>
      <c r="E18" s="55"/>
      <c r="F18" s="314">
        <v>650</v>
      </c>
      <c r="G18" s="316">
        <v>650</v>
      </c>
      <c r="H18" s="1074">
        <f t="shared" si="0"/>
        <v>100</v>
      </c>
    </row>
    <row r="19" spans="1:8" s="1056" customFormat="1" ht="15" x14ac:dyDescent="0.25">
      <c r="A19" s="50">
        <v>3311</v>
      </c>
      <c r="B19" s="19">
        <v>5222</v>
      </c>
      <c r="C19" s="1068"/>
      <c r="D19" s="87" t="s">
        <v>440</v>
      </c>
      <c r="E19" s="71"/>
      <c r="F19" s="315">
        <f>F21+F22+F20</f>
        <v>950</v>
      </c>
      <c r="G19" s="315">
        <f>G21+G22+G20</f>
        <v>950</v>
      </c>
      <c r="H19" s="212">
        <f t="shared" si="0"/>
        <v>100</v>
      </c>
    </row>
    <row r="20" spans="1:8" s="1056" customFormat="1" ht="15" x14ac:dyDescent="0.25">
      <c r="A20" s="50"/>
      <c r="B20" s="19"/>
      <c r="C20" s="1084" t="s">
        <v>249</v>
      </c>
      <c r="D20" s="1063" t="s">
        <v>318</v>
      </c>
      <c r="E20" s="71"/>
      <c r="F20" s="314">
        <v>700</v>
      </c>
      <c r="G20" s="316">
        <v>700</v>
      </c>
      <c r="H20" s="1074">
        <f t="shared" si="0"/>
        <v>100</v>
      </c>
    </row>
    <row r="21" spans="1:8" s="1056" customFormat="1" ht="15" x14ac:dyDescent="0.25">
      <c r="A21" s="50"/>
      <c r="B21" s="19"/>
      <c r="C21" s="1084" t="s">
        <v>1202</v>
      </c>
      <c r="D21" s="1063" t="s">
        <v>1635</v>
      </c>
      <c r="E21" s="71"/>
      <c r="F21" s="314">
        <v>25</v>
      </c>
      <c r="G21" s="316">
        <v>25</v>
      </c>
      <c r="H21" s="1074">
        <f t="shared" si="0"/>
        <v>100</v>
      </c>
    </row>
    <row r="22" spans="1:8" s="1056" customFormat="1" ht="14.25" x14ac:dyDescent="0.2">
      <c r="A22" s="50"/>
      <c r="B22" s="19"/>
      <c r="C22" s="1068" t="s">
        <v>438</v>
      </c>
      <c r="D22" s="312" t="s">
        <v>439</v>
      </c>
      <c r="E22" s="55"/>
      <c r="F22" s="314">
        <v>225</v>
      </c>
      <c r="G22" s="316">
        <v>225</v>
      </c>
      <c r="H22" s="1074">
        <f t="shared" si="0"/>
        <v>100</v>
      </c>
    </row>
    <row r="23" spans="1:8" s="1056" customFormat="1" ht="15" x14ac:dyDescent="0.25">
      <c r="A23" s="50">
        <v>3311</v>
      </c>
      <c r="B23" s="19">
        <v>5321</v>
      </c>
      <c r="C23" s="1068"/>
      <c r="D23" s="1057" t="s">
        <v>1201</v>
      </c>
      <c r="E23" s="71">
        <v>1044</v>
      </c>
      <c r="F23" s="315">
        <f>F24+F25</f>
        <v>1109</v>
      </c>
      <c r="G23" s="315">
        <f>G24+G25</f>
        <v>1109</v>
      </c>
      <c r="H23" s="212">
        <f t="shared" si="0"/>
        <v>100</v>
      </c>
    </row>
    <row r="24" spans="1:8" s="1056" customFormat="1" ht="14.25" x14ac:dyDescent="0.2">
      <c r="A24" s="50"/>
      <c r="B24" s="19"/>
      <c r="C24" s="1068" t="s">
        <v>454</v>
      </c>
      <c r="D24" s="1063" t="s">
        <v>639</v>
      </c>
      <c r="E24" s="55">
        <v>1044</v>
      </c>
      <c r="F24" s="314">
        <v>1044</v>
      </c>
      <c r="G24" s="316">
        <v>1044</v>
      </c>
      <c r="H24" s="1074">
        <f t="shared" si="0"/>
        <v>100</v>
      </c>
    </row>
    <row r="25" spans="1:8" s="1056" customFormat="1" ht="14.25" x14ac:dyDescent="0.2">
      <c r="A25" s="50"/>
      <c r="B25" s="19"/>
      <c r="C25" s="1068" t="s">
        <v>438</v>
      </c>
      <c r="D25" s="312" t="s">
        <v>439</v>
      </c>
      <c r="E25" s="55"/>
      <c r="F25" s="314">
        <v>65</v>
      </c>
      <c r="G25" s="316">
        <v>65</v>
      </c>
      <c r="H25" s="1074">
        <f t="shared" si="0"/>
        <v>100</v>
      </c>
    </row>
    <row r="26" spans="1:8" s="1056" customFormat="1" ht="15" x14ac:dyDescent="0.25">
      <c r="A26" s="50">
        <v>3311</v>
      </c>
      <c r="B26" s="19">
        <v>5493</v>
      </c>
      <c r="C26" s="1068"/>
      <c r="D26" s="309" t="s">
        <v>692</v>
      </c>
      <c r="E26" s="55"/>
      <c r="F26" s="313">
        <v>100</v>
      </c>
      <c r="G26" s="315">
        <v>100</v>
      </c>
      <c r="H26" s="212">
        <f t="shared" si="0"/>
        <v>100</v>
      </c>
    </row>
    <row r="27" spans="1:8" s="1056" customFormat="1" ht="14.25" x14ac:dyDescent="0.2">
      <c r="A27" s="50"/>
      <c r="B27" s="19"/>
      <c r="C27" s="1068" t="s">
        <v>438</v>
      </c>
      <c r="D27" s="312" t="s">
        <v>439</v>
      </c>
      <c r="E27" s="55"/>
      <c r="F27" s="314">
        <v>100</v>
      </c>
      <c r="G27" s="316">
        <v>100</v>
      </c>
      <c r="H27" s="1074">
        <v>100</v>
      </c>
    </row>
    <row r="28" spans="1:8" s="1056" customFormat="1" ht="15" x14ac:dyDescent="0.25">
      <c r="A28" s="50">
        <v>3312</v>
      </c>
      <c r="B28" s="19">
        <v>5212</v>
      </c>
      <c r="C28" s="1068"/>
      <c r="D28" s="379" t="s">
        <v>674</v>
      </c>
      <c r="E28" s="55"/>
      <c r="F28" s="315">
        <f>F30+F31+F29</f>
        <v>845</v>
      </c>
      <c r="G28" s="315">
        <f>G30+G31+G29</f>
        <v>845</v>
      </c>
      <c r="H28" s="212">
        <f t="shared" si="0"/>
        <v>100</v>
      </c>
    </row>
    <row r="29" spans="1:8" s="1056" customFormat="1" ht="14.25" x14ac:dyDescent="0.2">
      <c r="A29" s="50"/>
      <c r="B29" s="19"/>
      <c r="C29" s="1084" t="s">
        <v>249</v>
      </c>
      <c r="D29" s="1063" t="s">
        <v>318</v>
      </c>
      <c r="E29" s="55"/>
      <c r="F29" s="314">
        <v>90</v>
      </c>
      <c r="G29" s="316">
        <v>90</v>
      </c>
      <c r="H29" s="1074">
        <v>100</v>
      </c>
    </row>
    <row r="30" spans="1:8" s="1056" customFormat="1" ht="14.25" x14ac:dyDescent="0.2">
      <c r="A30" s="50"/>
      <c r="B30" s="19"/>
      <c r="C30" s="1084" t="s">
        <v>1202</v>
      </c>
      <c r="D30" s="1063" t="s">
        <v>1635</v>
      </c>
      <c r="E30" s="55"/>
      <c r="F30" s="314">
        <v>105</v>
      </c>
      <c r="G30" s="316">
        <v>105</v>
      </c>
      <c r="H30" s="1074">
        <f t="shared" si="0"/>
        <v>100</v>
      </c>
    </row>
    <row r="31" spans="1:8" s="1056" customFormat="1" ht="14.25" x14ac:dyDescent="0.2">
      <c r="A31" s="50"/>
      <c r="B31" s="19"/>
      <c r="C31" s="1068" t="s">
        <v>438</v>
      </c>
      <c r="D31" s="312" t="s">
        <v>439</v>
      </c>
      <c r="E31" s="55"/>
      <c r="F31" s="314">
        <v>650</v>
      </c>
      <c r="G31" s="316">
        <v>650</v>
      </c>
      <c r="H31" s="1074">
        <f t="shared" si="0"/>
        <v>100</v>
      </c>
    </row>
    <row r="32" spans="1:8" s="1056" customFormat="1" ht="15" x14ac:dyDescent="0.25">
      <c r="A32" s="50">
        <v>3312</v>
      </c>
      <c r="B32" s="19">
        <v>5213</v>
      </c>
      <c r="C32" s="1069"/>
      <c r="D32" s="1057" t="s">
        <v>453</v>
      </c>
      <c r="E32" s="71"/>
      <c r="F32" s="315">
        <f>F33+F34+F35</f>
        <v>2420</v>
      </c>
      <c r="G32" s="315">
        <f>G33+G34+G35</f>
        <v>2420</v>
      </c>
      <c r="H32" s="212">
        <f t="shared" si="0"/>
        <v>100</v>
      </c>
    </row>
    <row r="33" spans="1:10" s="1056" customFormat="1" ht="15" x14ac:dyDescent="0.25">
      <c r="A33" s="50"/>
      <c r="B33" s="19"/>
      <c r="C33" s="1084" t="s">
        <v>249</v>
      </c>
      <c r="D33" s="1063" t="s">
        <v>318</v>
      </c>
      <c r="E33" s="71"/>
      <c r="F33" s="314">
        <v>1630</v>
      </c>
      <c r="G33" s="316">
        <v>1630</v>
      </c>
      <c r="H33" s="1074">
        <f t="shared" si="0"/>
        <v>100</v>
      </c>
    </row>
    <row r="34" spans="1:10" s="1056" customFormat="1" ht="14.25" x14ac:dyDescent="0.2">
      <c r="A34" s="50"/>
      <c r="B34" s="19"/>
      <c r="C34" s="1068" t="s">
        <v>438</v>
      </c>
      <c r="D34" s="312" t="s">
        <v>439</v>
      </c>
      <c r="E34" s="55"/>
      <c r="F34" s="314">
        <v>140</v>
      </c>
      <c r="G34" s="316">
        <v>140</v>
      </c>
      <c r="H34" s="1074">
        <f t="shared" si="0"/>
        <v>100</v>
      </c>
    </row>
    <row r="35" spans="1:10" s="1056" customFormat="1" ht="14.25" x14ac:dyDescent="0.2">
      <c r="A35" s="50"/>
      <c r="B35" s="19"/>
      <c r="C35" s="1068" t="s">
        <v>1424</v>
      </c>
      <c r="D35" s="312" t="s">
        <v>1423</v>
      </c>
      <c r="E35" s="55"/>
      <c r="F35" s="314">
        <v>650</v>
      </c>
      <c r="G35" s="316">
        <v>650</v>
      </c>
      <c r="H35" s="1074">
        <f t="shared" si="0"/>
        <v>100</v>
      </c>
    </row>
    <row r="36" spans="1:10" s="1056" customFormat="1" ht="15" x14ac:dyDescent="0.25">
      <c r="A36" s="50">
        <v>3312</v>
      </c>
      <c r="B36" s="19">
        <v>5221</v>
      </c>
      <c r="C36" s="1068"/>
      <c r="D36" s="1143" t="s">
        <v>1197</v>
      </c>
      <c r="E36" s="55"/>
      <c r="F36" s="313">
        <v>60</v>
      </c>
      <c r="G36" s="315">
        <v>60</v>
      </c>
      <c r="H36" s="212">
        <f t="shared" si="0"/>
        <v>100</v>
      </c>
    </row>
    <row r="37" spans="1:10" s="1056" customFormat="1" ht="14.25" x14ac:dyDescent="0.2">
      <c r="A37" s="50"/>
      <c r="B37" s="19"/>
      <c r="C37" s="1068" t="s">
        <v>438</v>
      </c>
      <c r="D37" s="312" t="s">
        <v>439</v>
      </c>
      <c r="E37" s="55"/>
      <c r="F37" s="314">
        <v>60</v>
      </c>
      <c r="G37" s="316">
        <v>60</v>
      </c>
      <c r="H37" s="1074">
        <f t="shared" si="0"/>
        <v>100</v>
      </c>
    </row>
    <row r="38" spans="1:10" s="1056" customFormat="1" ht="15" x14ac:dyDescent="0.25">
      <c r="A38" s="50">
        <v>3312</v>
      </c>
      <c r="B38" s="19">
        <v>5222</v>
      </c>
      <c r="C38" s="1068"/>
      <c r="D38" s="87" t="s">
        <v>440</v>
      </c>
      <c r="E38" s="71"/>
      <c r="F38" s="315">
        <f>F40+F41+F42+F39</f>
        <v>2586</v>
      </c>
      <c r="G38" s="315">
        <f>G40+G41+G42+G39</f>
        <v>2586</v>
      </c>
      <c r="H38" s="212">
        <f t="shared" si="0"/>
        <v>100</v>
      </c>
    </row>
    <row r="39" spans="1:10" s="1056" customFormat="1" ht="15" x14ac:dyDescent="0.25">
      <c r="A39" s="50"/>
      <c r="B39" s="19"/>
      <c r="C39" s="1084" t="s">
        <v>249</v>
      </c>
      <c r="D39" s="1063" t="s">
        <v>318</v>
      </c>
      <c r="E39" s="71"/>
      <c r="F39" s="314">
        <v>250</v>
      </c>
      <c r="G39" s="316">
        <v>250</v>
      </c>
      <c r="H39" s="1074">
        <f t="shared" si="0"/>
        <v>100</v>
      </c>
    </row>
    <row r="40" spans="1:10" s="1056" customFormat="1" ht="15" x14ac:dyDescent="0.25">
      <c r="A40" s="50"/>
      <c r="B40" s="19"/>
      <c r="C40" s="1084" t="s">
        <v>1202</v>
      </c>
      <c r="D40" s="1063" t="s">
        <v>1635</v>
      </c>
      <c r="E40" s="71"/>
      <c r="F40" s="314">
        <v>281</v>
      </c>
      <c r="G40" s="316">
        <v>281</v>
      </c>
      <c r="H40" s="1074">
        <f t="shared" si="0"/>
        <v>100</v>
      </c>
    </row>
    <row r="41" spans="1:10" s="1056" customFormat="1" ht="14.25" x14ac:dyDescent="0.2">
      <c r="A41" s="50"/>
      <c r="B41" s="19"/>
      <c r="C41" s="1068" t="s">
        <v>438</v>
      </c>
      <c r="D41" s="312" t="s">
        <v>439</v>
      </c>
      <c r="E41" s="55"/>
      <c r="F41" s="314">
        <v>1005</v>
      </c>
      <c r="G41" s="316">
        <v>1005</v>
      </c>
      <c r="H41" s="1074">
        <f t="shared" si="0"/>
        <v>100</v>
      </c>
    </row>
    <row r="42" spans="1:10" s="1056" customFormat="1" ht="14.25" x14ac:dyDescent="0.2">
      <c r="A42" s="50"/>
      <c r="B42" s="19"/>
      <c r="C42" s="1068" t="s">
        <v>1424</v>
      </c>
      <c r="D42" s="312" t="s">
        <v>1423</v>
      </c>
      <c r="E42" s="55"/>
      <c r="F42" s="314">
        <v>1050</v>
      </c>
      <c r="G42" s="316">
        <v>1050</v>
      </c>
      <c r="H42" s="1074">
        <f t="shared" si="0"/>
        <v>100</v>
      </c>
    </row>
    <row r="43" spans="1:10" s="1056" customFormat="1" ht="15" x14ac:dyDescent="0.25">
      <c r="A43" s="50">
        <v>3312</v>
      </c>
      <c r="B43" s="19">
        <v>5223</v>
      </c>
      <c r="C43" s="1068"/>
      <c r="D43" s="309" t="s">
        <v>1200</v>
      </c>
      <c r="E43" s="71"/>
      <c r="F43" s="315">
        <v>20</v>
      </c>
      <c r="G43" s="315">
        <v>20</v>
      </c>
      <c r="H43" s="212">
        <f t="shared" si="0"/>
        <v>100</v>
      </c>
    </row>
    <row r="44" spans="1:10" s="1056" customFormat="1" ht="14.25" x14ac:dyDescent="0.2">
      <c r="A44" s="50"/>
      <c r="B44" s="19"/>
      <c r="C44" s="1068" t="s">
        <v>438</v>
      </c>
      <c r="D44" s="312" t="s">
        <v>439</v>
      </c>
      <c r="E44" s="55"/>
      <c r="F44" s="314">
        <v>20</v>
      </c>
      <c r="G44" s="316">
        <v>20</v>
      </c>
      <c r="H44" s="1074">
        <f t="shared" si="0"/>
        <v>100</v>
      </c>
    </row>
    <row r="45" spans="1:10" s="1056" customFormat="1" ht="15" x14ac:dyDescent="0.25">
      <c r="A45" s="50">
        <v>3312</v>
      </c>
      <c r="B45" s="19">
        <v>5229</v>
      </c>
      <c r="C45" s="1068"/>
      <c r="D45" s="309" t="s">
        <v>850</v>
      </c>
      <c r="E45" s="71">
        <f>E46+E48</f>
        <v>9600</v>
      </c>
      <c r="F45" s="315">
        <f>F46+F47+F48</f>
        <v>680</v>
      </c>
      <c r="G45" s="315">
        <f>G46+G47+G48</f>
        <v>680</v>
      </c>
      <c r="H45" s="212">
        <f t="shared" si="0"/>
        <v>100</v>
      </c>
      <c r="J45" s="1090"/>
    </row>
    <row r="46" spans="1:10" s="1056" customFormat="1" ht="14.25" x14ac:dyDescent="0.2">
      <c r="A46" s="50"/>
      <c r="B46" s="19"/>
      <c r="C46" s="1084" t="s">
        <v>249</v>
      </c>
      <c r="D46" s="1063" t="s">
        <v>318</v>
      </c>
      <c r="E46" s="55">
        <v>3550</v>
      </c>
      <c r="F46" s="314">
        <v>0</v>
      </c>
      <c r="G46" s="316">
        <v>0</v>
      </c>
      <c r="H46" s="1074">
        <v>0</v>
      </c>
      <c r="J46" s="1090"/>
    </row>
    <row r="47" spans="1:10" s="1056" customFormat="1" ht="15" x14ac:dyDescent="0.25">
      <c r="A47" s="50"/>
      <c r="B47" s="19"/>
      <c r="C47" s="1068" t="s">
        <v>438</v>
      </c>
      <c r="D47" s="312" t="s">
        <v>439</v>
      </c>
      <c r="E47" s="71"/>
      <c r="F47" s="314">
        <v>30</v>
      </c>
      <c r="G47" s="316">
        <v>30</v>
      </c>
      <c r="H47" s="1074">
        <f t="shared" si="0"/>
        <v>100</v>
      </c>
      <c r="J47" s="1090"/>
    </row>
    <row r="48" spans="1:10" s="1056" customFormat="1" ht="14.25" x14ac:dyDescent="0.2">
      <c r="A48" s="50"/>
      <c r="B48" s="19"/>
      <c r="C48" s="1068" t="s">
        <v>1424</v>
      </c>
      <c r="D48" s="312" t="s">
        <v>1423</v>
      </c>
      <c r="E48" s="55">
        <v>6050</v>
      </c>
      <c r="F48" s="314">
        <v>650</v>
      </c>
      <c r="G48" s="316">
        <v>650</v>
      </c>
      <c r="H48" s="1074">
        <f t="shared" si="0"/>
        <v>100</v>
      </c>
    </row>
    <row r="49" spans="1:8" s="1056" customFormat="1" ht="15" x14ac:dyDescent="0.25">
      <c r="A49" s="50">
        <v>3312</v>
      </c>
      <c r="B49" s="19">
        <v>5321</v>
      </c>
      <c r="C49" s="1068"/>
      <c r="D49" s="1057" t="s">
        <v>1201</v>
      </c>
      <c r="E49" s="71">
        <v>228</v>
      </c>
      <c r="F49" s="315">
        <f>F50+F51+F52+F53+F54</f>
        <v>2573</v>
      </c>
      <c r="G49" s="315">
        <f>G50+G51+G52+G53+G54</f>
        <v>2573</v>
      </c>
      <c r="H49" s="1073">
        <f t="shared" si="0"/>
        <v>100</v>
      </c>
    </row>
    <row r="50" spans="1:8" s="1056" customFormat="1" ht="15" x14ac:dyDescent="0.25">
      <c r="A50" s="50"/>
      <c r="B50" s="19"/>
      <c r="C50" s="1084" t="s">
        <v>249</v>
      </c>
      <c r="D50" s="1063" t="s">
        <v>318</v>
      </c>
      <c r="E50" s="71"/>
      <c r="F50" s="314">
        <v>550</v>
      </c>
      <c r="G50" s="316">
        <v>550</v>
      </c>
      <c r="H50" s="1074">
        <f t="shared" si="0"/>
        <v>100</v>
      </c>
    </row>
    <row r="51" spans="1:8" s="1056" customFormat="1" ht="15" x14ac:dyDescent="0.25">
      <c r="A51" s="50"/>
      <c r="B51" s="19"/>
      <c r="C51" s="1084" t="s">
        <v>1202</v>
      </c>
      <c r="D51" s="1063" t="s">
        <v>1635</v>
      </c>
      <c r="E51" s="71"/>
      <c r="F51" s="314">
        <v>15</v>
      </c>
      <c r="G51" s="316">
        <v>15</v>
      </c>
      <c r="H51" s="1074">
        <f t="shared" ref="H51:H59" si="1">(G51/F51)*100</f>
        <v>100</v>
      </c>
    </row>
    <row r="52" spans="1:8" s="1056" customFormat="1" ht="14.25" x14ac:dyDescent="0.2">
      <c r="A52" s="50"/>
      <c r="B52" s="19"/>
      <c r="C52" s="1068" t="s">
        <v>454</v>
      </c>
      <c r="D52" s="1063" t="s">
        <v>639</v>
      </c>
      <c r="E52" s="55">
        <v>228</v>
      </c>
      <c r="F52" s="314">
        <v>228</v>
      </c>
      <c r="G52" s="316">
        <v>228</v>
      </c>
      <c r="H52" s="1074">
        <f t="shared" si="1"/>
        <v>100</v>
      </c>
    </row>
    <row r="53" spans="1:8" s="1056" customFormat="1" ht="14.25" x14ac:dyDescent="0.2">
      <c r="A53" s="50"/>
      <c r="B53" s="19"/>
      <c r="C53" s="1068" t="s">
        <v>438</v>
      </c>
      <c r="D53" s="312" t="s">
        <v>439</v>
      </c>
      <c r="E53" s="55"/>
      <c r="F53" s="314">
        <v>370</v>
      </c>
      <c r="G53" s="316">
        <v>370</v>
      </c>
      <c r="H53" s="1074">
        <f t="shared" si="1"/>
        <v>100</v>
      </c>
    </row>
    <row r="54" spans="1:8" s="1056" customFormat="1" ht="14.25" x14ac:dyDescent="0.2">
      <c r="A54" s="50"/>
      <c r="B54" s="19"/>
      <c r="C54" s="1068" t="s">
        <v>1424</v>
      </c>
      <c r="D54" s="312" t="s">
        <v>1423</v>
      </c>
      <c r="E54" s="55"/>
      <c r="F54" s="314">
        <v>1410</v>
      </c>
      <c r="G54" s="316">
        <v>1410</v>
      </c>
      <c r="H54" s="1074">
        <f t="shared" si="1"/>
        <v>100</v>
      </c>
    </row>
    <row r="55" spans="1:8" s="1056" customFormat="1" ht="15" x14ac:dyDescent="0.25">
      <c r="A55" s="50">
        <v>3312</v>
      </c>
      <c r="B55" s="19">
        <v>5329</v>
      </c>
      <c r="C55" s="1068"/>
      <c r="D55" s="309" t="s">
        <v>664</v>
      </c>
      <c r="E55" s="55"/>
      <c r="F55" s="313">
        <v>25</v>
      </c>
      <c r="G55" s="315">
        <v>0</v>
      </c>
      <c r="H55" s="212">
        <f t="shared" si="1"/>
        <v>0</v>
      </c>
    </row>
    <row r="56" spans="1:8" s="1056" customFormat="1" ht="14.25" x14ac:dyDescent="0.2">
      <c r="A56" s="50"/>
      <c r="B56" s="19"/>
      <c r="C56" s="1068" t="s">
        <v>438</v>
      </c>
      <c r="D56" s="312" t="s">
        <v>439</v>
      </c>
      <c r="E56" s="55"/>
      <c r="F56" s="314">
        <v>25</v>
      </c>
      <c r="G56" s="316">
        <v>0</v>
      </c>
      <c r="H56" s="1074">
        <f t="shared" si="1"/>
        <v>0</v>
      </c>
    </row>
    <row r="57" spans="1:8" s="1056" customFormat="1" ht="15" x14ac:dyDescent="0.25">
      <c r="A57" s="50">
        <v>3312</v>
      </c>
      <c r="B57" s="19">
        <v>5493</v>
      </c>
      <c r="C57" s="1084"/>
      <c r="D57" s="309" t="s">
        <v>692</v>
      </c>
      <c r="E57" s="55"/>
      <c r="F57" s="315">
        <f>F58+F59</f>
        <v>165</v>
      </c>
      <c r="G57" s="315">
        <f>G58+G59</f>
        <v>165</v>
      </c>
      <c r="H57" s="212">
        <f t="shared" si="1"/>
        <v>100</v>
      </c>
    </row>
    <row r="58" spans="1:8" s="1056" customFormat="1" ht="14.25" x14ac:dyDescent="0.2">
      <c r="A58" s="50"/>
      <c r="B58" s="19"/>
      <c r="C58" s="1084" t="s">
        <v>1202</v>
      </c>
      <c r="D58" s="1063" t="s">
        <v>1635</v>
      </c>
      <c r="E58" s="55"/>
      <c r="F58" s="314">
        <v>135</v>
      </c>
      <c r="G58" s="316">
        <v>135</v>
      </c>
      <c r="H58" s="1074">
        <f t="shared" si="1"/>
        <v>100</v>
      </c>
    </row>
    <row r="59" spans="1:8" s="1056" customFormat="1" ht="14.25" x14ac:dyDescent="0.2">
      <c r="A59" s="50"/>
      <c r="B59" s="19"/>
      <c r="C59" s="1068" t="s">
        <v>438</v>
      </c>
      <c r="D59" s="312" t="s">
        <v>439</v>
      </c>
      <c r="E59" s="55"/>
      <c r="F59" s="314">
        <v>30</v>
      </c>
      <c r="G59" s="316">
        <v>30</v>
      </c>
      <c r="H59" s="1074">
        <f t="shared" si="1"/>
        <v>100</v>
      </c>
    </row>
    <row r="60" spans="1:8" s="1056" customFormat="1" ht="15" x14ac:dyDescent="0.25">
      <c r="A60" s="50">
        <v>3314</v>
      </c>
      <c r="B60" s="19">
        <v>5321</v>
      </c>
      <c r="C60" s="1068"/>
      <c r="D60" s="1057" t="s">
        <v>1201</v>
      </c>
      <c r="E60" s="71">
        <v>9000</v>
      </c>
      <c r="F60" s="313">
        <v>8130</v>
      </c>
      <c r="G60" s="315">
        <v>8130</v>
      </c>
      <c r="H60" s="212">
        <f t="shared" ref="H60:H76" si="2">(G60/F60)*100</f>
        <v>100</v>
      </c>
    </row>
    <row r="61" spans="1:8" s="1056" customFormat="1" ht="14.25" x14ac:dyDescent="0.2">
      <c r="A61" s="50"/>
      <c r="B61" s="19"/>
      <c r="C61" s="1084" t="s">
        <v>213</v>
      </c>
      <c r="D61" s="85" t="s">
        <v>640</v>
      </c>
      <c r="E61" s="55">
        <v>9000</v>
      </c>
      <c r="F61" s="314">
        <v>8130</v>
      </c>
      <c r="G61" s="316">
        <v>8130</v>
      </c>
      <c r="H61" s="1074">
        <f t="shared" si="2"/>
        <v>100</v>
      </c>
    </row>
    <row r="62" spans="1:8" s="1056" customFormat="1" ht="15" x14ac:dyDescent="0.25">
      <c r="A62" s="50">
        <v>3315</v>
      </c>
      <c r="B62" s="19">
        <v>5213</v>
      </c>
      <c r="C62" s="1084"/>
      <c r="D62" s="1057" t="s">
        <v>453</v>
      </c>
      <c r="E62" s="55"/>
      <c r="F62" s="315">
        <f>F63+F64</f>
        <v>410</v>
      </c>
      <c r="G62" s="315">
        <f>G63+G64</f>
        <v>410</v>
      </c>
      <c r="H62" s="212">
        <f t="shared" si="2"/>
        <v>100</v>
      </c>
    </row>
    <row r="63" spans="1:8" s="1056" customFormat="1" ht="14.25" x14ac:dyDescent="0.2">
      <c r="A63" s="50"/>
      <c r="B63" s="19"/>
      <c r="C63" s="1084" t="s">
        <v>249</v>
      </c>
      <c r="D63" s="1063" t="s">
        <v>318</v>
      </c>
      <c r="E63" s="55"/>
      <c r="F63" s="314">
        <v>350</v>
      </c>
      <c r="G63" s="316">
        <v>350</v>
      </c>
      <c r="H63" s="1074">
        <f t="shared" si="2"/>
        <v>100</v>
      </c>
    </row>
    <row r="64" spans="1:8" s="1056" customFormat="1" ht="14.25" x14ac:dyDescent="0.2">
      <c r="A64" s="50"/>
      <c r="B64" s="19"/>
      <c r="C64" s="1068" t="s">
        <v>438</v>
      </c>
      <c r="D64" s="312" t="s">
        <v>439</v>
      </c>
      <c r="E64" s="55"/>
      <c r="F64" s="314">
        <v>60</v>
      </c>
      <c r="G64" s="316">
        <v>60</v>
      </c>
      <c r="H64" s="1074">
        <f t="shared" si="2"/>
        <v>100</v>
      </c>
    </row>
    <row r="65" spans="1:12" s="1056" customFormat="1" ht="15" x14ac:dyDescent="0.25">
      <c r="A65" s="50">
        <v>3315</v>
      </c>
      <c r="B65" s="19">
        <v>5222</v>
      </c>
      <c r="C65" s="1084"/>
      <c r="D65" s="87" t="s">
        <v>440</v>
      </c>
      <c r="E65" s="55"/>
      <c r="F65" s="315">
        <f>F66+F67</f>
        <v>325</v>
      </c>
      <c r="G65" s="315">
        <f>G66+G67</f>
        <v>325</v>
      </c>
      <c r="H65" s="212">
        <f t="shared" si="2"/>
        <v>100</v>
      </c>
    </row>
    <row r="66" spans="1:12" s="1056" customFormat="1" ht="14.25" x14ac:dyDescent="0.2">
      <c r="A66" s="50"/>
      <c r="B66" s="19"/>
      <c r="C66" s="1084" t="s">
        <v>249</v>
      </c>
      <c r="D66" s="1063" t="s">
        <v>318</v>
      </c>
      <c r="E66" s="55"/>
      <c r="F66" s="314">
        <v>300</v>
      </c>
      <c r="G66" s="316">
        <v>300</v>
      </c>
      <c r="H66" s="1074">
        <f t="shared" si="2"/>
        <v>100</v>
      </c>
    </row>
    <row r="67" spans="1:12" s="1056" customFormat="1" ht="15" thickBot="1" x14ac:dyDescent="0.25">
      <c r="A67" s="1076"/>
      <c r="B67" s="1082"/>
      <c r="C67" s="1122" t="s">
        <v>1202</v>
      </c>
      <c r="D67" s="1103" t="s">
        <v>1635</v>
      </c>
      <c r="E67" s="1099"/>
      <c r="F67" s="440">
        <v>25</v>
      </c>
      <c r="G67" s="441">
        <v>25</v>
      </c>
      <c r="H67" s="1096">
        <f t="shared" si="2"/>
        <v>100</v>
      </c>
      <c r="J67" s="1090">
        <f>E13+E23+E45+E49+E60</f>
        <v>20100</v>
      </c>
      <c r="K67" s="1090">
        <f>F10+F13+F16+F19+F23+F26+F28+F32+F36+F38+F43+F45+F49+F55+F57+F60+F62+F65</f>
        <v>22226</v>
      </c>
      <c r="L67" s="1090">
        <f>G10+G13+G16+G19+G23+G26+G28+G32+G36+G38+G43+G45+G49+G55+G57+G60+G62+G65</f>
        <v>22201</v>
      </c>
    </row>
    <row r="68" spans="1:12" s="1063" customFormat="1" ht="15" thickTop="1" x14ac:dyDescent="0.2">
      <c r="A68" s="1088"/>
      <c r="B68" s="1088"/>
      <c r="C68" s="1375"/>
      <c r="E68" s="1281"/>
      <c r="F68" s="314"/>
      <c r="G68" s="314"/>
      <c r="H68" s="2194"/>
    </row>
    <row r="69" spans="1:12" s="1063" customFormat="1" ht="14.25" x14ac:dyDescent="0.2">
      <c r="A69" s="1088"/>
      <c r="B69" s="1088"/>
      <c r="C69" s="1375"/>
      <c r="E69" s="1281"/>
      <c r="F69" s="314"/>
      <c r="G69" s="314"/>
      <c r="H69" s="2194"/>
    </row>
    <row r="70" spans="1:12" s="1063" customFormat="1" ht="14.25" x14ac:dyDescent="0.2">
      <c r="A70" s="1088"/>
      <c r="B70" s="1088"/>
      <c r="C70" s="1375"/>
      <c r="E70" s="1281"/>
      <c r="F70" s="314"/>
      <c r="G70" s="314"/>
      <c r="H70" s="2194"/>
    </row>
    <row r="71" spans="1:12" ht="13.5" thickBot="1" x14ac:dyDescent="0.25">
      <c r="H71" s="1735" t="s">
        <v>161</v>
      </c>
    </row>
    <row r="72" spans="1:12" s="107" customFormat="1" ht="20.25" customHeight="1" thickTop="1" thickBot="1" x14ac:dyDescent="0.25">
      <c r="A72" s="631" t="s">
        <v>162</v>
      </c>
      <c r="B72" s="632" t="s">
        <v>163</v>
      </c>
      <c r="C72" s="670" t="s">
        <v>705</v>
      </c>
      <c r="D72" s="634" t="s">
        <v>164</v>
      </c>
      <c r="E72" s="634" t="s">
        <v>165</v>
      </c>
      <c r="F72" s="634" t="s">
        <v>881</v>
      </c>
      <c r="G72" s="634" t="s">
        <v>882</v>
      </c>
      <c r="H72" s="635" t="s">
        <v>883</v>
      </c>
    </row>
    <row r="73" spans="1:12" s="383" customFormat="1" ht="13.5" thickTop="1" thickBot="1" x14ac:dyDescent="0.25">
      <c r="A73" s="566">
        <v>1</v>
      </c>
      <c r="B73" s="567">
        <v>2</v>
      </c>
      <c r="C73" s="567">
        <v>3</v>
      </c>
      <c r="D73" s="567">
        <v>4</v>
      </c>
      <c r="E73" s="567">
        <v>5</v>
      </c>
      <c r="F73" s="541">
        <v>6</v>
      </c>
      <c r="G73" s="541">
        <v>7</v>
      </c>
      <c r="H73" s="636" t="s">
        <v>61</v>
      </c>
      <c r="I73" s="107"/>
    </row>
    <row r="74" spans="1:12" s="1056" customFormat="1" ht="15.75" thickTop="1" x14ac:dyDescent="0.25">
      <c r="A74" s="50">
        <v>3315</v>
      </c>
      <c r="B74" s="19">
        <v>5339</v>
      </c>
      <c r="C74" s="1084"/>
      <c r="D74" s="309" t="s">
        <v>1502</v>
      </c>
      <c r="E74" s="71">
        <f>E75+E76</f>
        <v>21000</v>
      </c>
      <c r="F74" s="71">
        <f>F75+F76</f>
        <v>21180</v>
      </c>
      <c r="G74" s="71">
        <f>G75+G76</f>
        <v>21180</v>
      </c>
      <c r="H74" s="212">
        <f t="shared" si="2"/>
        <v>100</v>
      </c>
    </row>
    <row r="75" spans="1:12" s="1056" customFormat="1" ht="14.25" x14ac:dyDescent="0.2">
      <c r="A75" s="50"/>
      <c r="B75" s="19"/>
      <c r="C75" s="1084" t="s">
        <v>352</v>
      </c>
      <c r="D75" s="85" t="s">
        <v>891</v>
      </c>
      <c r="E75" s="55">
        <v>21000</v>
      </c>
      <c r="F75" s="314">
        <v>21000</v>
      </c>
      <c r="G75" s="316">
        <v>21000</v>
      </c>
      <c r="H75" s="1074">
        <f t="shared" si="2"/>
        <v>100</v>
      </c>
    </row>
    <row r="76" spans="1:12" s="1056" customFormat="1" ht="14.25" x14ac:dyDescent="0.2">
      <c r="A76" s="50"/>
      <c r="B76" s="19"/>
      <c r="C76" s="1068" t="s">
        <v>438</v>
      </c>
      <c r="D76" s="312" t="s">
        <v>439</v>
      </c>
      <c r="E76" s="55"/>
      <c r="F76" s="314">
        <v>180</v>
      </c>
      <c r="G76" s="316">
        <v>180</v>
      </c>
      <c r="H76" s="1074">
        <f t="shared" si="2"/>
        <v>100</v>
      </c>
    </row>
    <row r="77" spans="1:12" s="1056" customFormat="1" ht="15" x14ac:dyDescent="0.25">
      <c r="A77" s="50">
        <v>3319</v>
      </c>
      <c r="B77" s="19">
        <v>5166</v>
      </c>
      <c r="C77" s="122"/>
      <c r="D77" s="1057" t="s">
        <v>609</v>
      </c>
      <c r="E77" s="48">
        <v>25</v>
      </c>
      <c r="F77" s="168">
        <v>0</v>
      </c>
      <c r="G77" s="315">
        <v>0</v>
      </c>
      <c r="H77" s="1073">
        <v>0</v>
      </c>
    </row>
    <row r="78" spans="1:12" s="1056" customFormat="1" ht="15" x14ac:dyDescent="0.25">
      <c r="A78" s="50">
        <v>3319</v>
      </c>
      <c r="B78" s="19">
        <v>5169</v>
      </c>
      <c r="C78" s="122"/>
      <c r="D78" s="1057" t="s">
        <v>852</v>
      </c>
      <c r="E78" s="48">
        <v>540</v>
      </c>
      <c r="F78" s="168">
        <v>407</v>
      </c>
      <c r="G78" s="446">
        <v>407</v>
      </c>
      <c r="H78" s="212">
        <f t="shared" ref="H78:H118" si="3">(G78/F78)*100</f>
        <v>100</v>
      </c>
      <c r="J78" s="1090"/>
      <c r="K78" s="1090"/>
    </row>
    <row r="79" spans="1:12" s="1056" customFormat="1" ht="15" x14ac:dyDescent="0.25">
      <c r="A79" s="50">
        <v>3319</v>
      </c>
      <c r="B79" s="19">
        <v>5194</v>
      </c>
      <c r="C79" s="122"/>
      <c r="D79" s="1057" t="s">
        <v>599</v>
      </c>
      <c r="E79" s="48">
        <v>140</v>
      </c>
      <c r="F79" s="168">
        <v>140</v>
      </c>
      <c r="G79" s="446">
        <v>140</v>
      </c>
      <c r="H79" s="212">
        <f t="shared" si="3"/>
        <v>100</v>
      </c>
    </row>
    <row r="80" spans="1:12" s="1056" customFormat="1" ht="15" x14ac:dyDescent="0.25">
      <c r="A80" s="50">
        <v>3319</v>
      </c>
      <c r="B80" s="19">
        <v>5212</v>
      </c>
      <c r="C80" s="122"/>
      <c r="D80" s="379" t="s">
        <v>674</v>
      </c>
      <c r="E80" s="48"/>
      <c r="F80" s="446">
        <f>F81+F82</f>
        <v>1480</v>
      </c>
      <c r="G80" s="446">
        <f>G81+G82</f>
        <v>1480</v>
      </c>
      <c r="H80" s="212">
        <f t="shared" si="3"/>
        <v>100</v>
      </c>
    </row>
    <row r="81" spans="1:8" s="1056" customFormat="1" ht="15" x14ac:dyDescent="0.25">
      <c r="A81" s="50"/>
      <c r="B81" s="19"/>
      <c r="C81" s="1084" t="s">
        <v>249</v>
      </c>
      <c r="D81" s="1063" t="s">
        <v>318</v>
      </c>
      <c r="E81" s="48"/>
      <c r="F81" s="314">
        <v>1360</v>
      </c>
      <c r="G81" s="316">
        <v>1360</v>
      </c>
      <c r="H81" s="1074">
        <f t="shared" si="3"/>
        <v>100</v>
      </c>
    </row>
    <row r="82" spans="1:8" s="1056" customFormat="1" ht="15" x14ac:dyDescent="0.25">
      <c r="A82" s="34"/>
      <c r="B82" s="19"/>
      <c r="C82" s="1068" t="s">
        <v>438</v>
      </c>
      <c r="D82" s="312" t="s">
        <v>439</v>
      </c>
      <c r="E82" s="48"/>
      <c r="F82" s="314">
        <v>120</v>
      </c>
      <c r="G82" s="316">
        <v>120</v>
      </c>
      <c r="H82" s="1074">
        <f t="shared" si="3"/>
        <v>100</v>
      </c>
    </row>
    <row r="83" spans="1:8" s="1056" customFormat="1" ht="15" x14ac:dyDescent="0.25">
      <c r="A83" s="50">
        <v>3319</v>
      </c>
      <c r="B83" s="19">
        <v>5213</v>
      </c>
      <c r="C83" s="1068"/>
      <c r="D83" s="1057" t="s">
        <v>453</v>
      </c>
      <c r="E83" s="48"/>
      <c r="F83" s="315">
        <f>F84+F85+F86</f>
        <v>3050</v>
      </c>
      <c r="G83" s="315">
        <f>G84+G85+G86</f>
        <v>3050</v>
      </c>
      <c r="H83" s="212">
        <f t="shared" si="3"/>
        <v>100</v>
      </c>
    </row>
    <row r="84" spans="1:8" s="1056" customFormat="1" ht="15" x14ac:dyDescent="0.25">
      <c r="A84" s="50"/>
      <c r="B84" s="19"/>
      <c r="C84" s="1084" t="s">
        <v>249</v>
      </c>
      <c r="D84" s="1063" t="s">
        <v>318</v>
      </c>
      <c r="E84" s="48"/>
      <c r="F84" s="314">
        <v>2080</v>
      </c>
      <c r="G84" s="316">
        <v>2080</v>
      </c>
      <c r="H84" s="1074">
        <f t="shared" si="3"/>
        <v>100</v>
      </c>
    </row>
    <row r="85" spans="1:8" s="1056" customFormat="1" ht="15" x14ac:dyDescent="0.25">
      <c r="A85" s="50"/>
      <c r="B85" s="19"/>
      <c r="C85" s="1084" t="s">
        <v>1202</v>
      </c>
      <c r="D85" s="1063" t="s">
        <v>1635</v>
      </c>
      <c r="E85" s="48"/>
      <c r="F85" s="314">
        <v>50</v>
      </c>
      <c r="G85" s="316">
        <v>50</v>
      </c>
      <c r="H85" s="1074">
        <f t="shared" si="3"/>
        <v>100</v>
      </c>
    </row>
    <row r="86" spans="1:8" s="1056" customFormat="1" ht="15" x14ac:dyDescent="0.25">
      <c r="A86" s="50"/>
      <c r="B86" s="19"/>
      <c r="C86" s="1068" t="s">
        <v>438</v>
      </c>
      <c r="D86" s="312" t="s">
        <v>439</v>
      </c>
      <c r="E86" s="48"/>
      <c r="F86" s="314">
        <v>920</v>
      </c>
      <c r="G86" s="316">
        <v>920</v>
      </c>
      <c r="H86" s="1074">
        <f t="shared" si="3"/>
        <v>100</v>
      </c>
    </row>
    <row r="87" spans="1:8" s="1056" customFormat="1" ht="15" x14ac:dyDescent="0.25">
      <c r="A87" s="34">
        <v>3319</v>
      </c>
      <c r="B87" s="1088">
        <v>5221</v>
      </c>
      <c r="C87" s="1068"/>
      <c r="D87" s="1143" t="s">
        <v>1197</v>
      </c>
      <c r="E87" s="48"/>
      <c r="F87" s="315">
        <f>F88+F89</f>
        <v>90</v>
      </c>
      <c r="G87" s="315">
        <f>G88+G89</f>
        <v>90</v>
      </c>
      <c r="H87" s="212">
        <f t="shared" si="3"/>
        <v>100</v>
      </c>
    </row>
    <row r="88" spans="1:8" s="1056" customFormat="1" ht="15" x14ac:dyDescent="0.25">
      <c r="A88" s="34"/>
      <c r="B88" s="1088"/>
      <c r="C88" s="1084" t="s">
        <v>1202</v>
      </c>
      <c r="D88" s="1063" t="s">
        <v>1635</v>
      </c>
      <c r="E88" s="48"/>
      <c r="F88" s="314">
        <v>70</v>
      </c>
      <c r="G88" s="316">
        <v>70</v>
      </c>
      <c r="H88" s="1074">
        <f t="shared" si="3"/>
        <v>100</v>
      </c>
    </row>
    <row r="89" spans="1:8" s="1056" customFormat="1" ht="15" x14ac:dyDescent="0.25">
      <c r="A89" s="34"/>
      <c r="B89" s="1088"/>
      <c r="C89" s="1068" t="s">
        <v>438</v>
      </c>
      <c r="D89" s="312" t="s">
        <v>439</v>
      </c>
      <c r="E89" s="48"/>
      <c r="F89" s="314">
        <v>20</v>
      </c>
      <c r="G89" s="316">
        <v>20</v>
      </c>
      <c r="H89" s="1074">
        <f t="shared" si="3"/>
        <v>100</v>
      </c>
    </row>
    <row r="90" spans="1:8" s="1056" customFormat="1" ht="15" x14ac:dyDescent="0.25">
      <c r="A90" s="34">
        <v>3319</v>
      </c>
      <c r="B90" s="1088">
        <v>5222</v>
      </c>
      <c r="C90" s="122"/>
      <c r="D90" s="87" t="s">
        <v>440</v>
      </c>
      <c r="E90" s="48"/>
      <c r="F90" s="446">
        <f>F91+F92+F93+F94+F95</f>
        <v>4874</v>
      </c>
      <c r="G90" s="446">
        <f>G91+G92+G93+G94+G95</f>
        <v>4873</v>
      </c>
      <c r="H90" s="212">
        <f t="shared" si="3"/>
        <v>99.979482970865817</v>
      </c>
    </row>
    <row r="91" spans="1:8" s="1056" customFormat="1" ht="15" x14ac:dyDescent="0.25">
      <c r="A91" s="34"/>
      <c r="B91" s="1088"/>
      <c r="C91" s="1084" t="s">
        <v>249</v>
      </c>
      <c r="D91" s="1063" t="s">
        <v>318</v>
      </c>
      <c r="E91" s="48"/>
      <c r="F91" s="314">
        <v>1890</v>
      </c>
      <c r="G91" s="316">
        <v>1889</v>
      </c>
      <c r="H91" s="1074">
        <f t="shared" si="3"/>
        <v>99.94708994708995</v>
      </c>
    </row>
    <row r="92" spans="1:8" s="1056" customFormat="1" ht="15" x14ac:dyDescent="0.25">
      <c r="A92" s="34"/>
      <c r="B92" s="1088"/>
      <c r="C92" s="1084" t="s">
        <v>1202</v>
      </c>
      <c r="D92" s="1063" t="s">
        <v>1635</v>
      </c>
      <c r="E92" s="48"/>
      <c r="F92" s="314">
        <v>555</v>
      </c>
      <c r="G92" s="316">
        <v>555</v>
      </c>
      <c r="H92" s="1074">
        <f t="shared" si="3"/>
        <v>100</v>
      </c>
    </row>
    <row r="93" spans="1:8" s="1056" customFormat="1" ht="15" x14ac:dyDescent="0.25">
      <c r="A93" s="34"/>
      <c r="B93" s="1088"/>
      <c r="C93" s="1084" t="s">
        <v>352</v>
      </c>
      <c r="D93" s="85" t="s">
        <v>891</v>
      </c>
      <c r="E93" s="48"/>
      <c r="F93" s="314">
        <v>50</v>
      </c>
      <c r="G93" s="316">
        <v>50</v>
      </c>
      <c r="H93" s="1074">
        <f t="shared" si="3"/>
        <v>100</v>
      </c>
    </row>
    <row r="94" spans="1:8" s="1056" customFormat="1" ht="15" x14ac:dyDescent="0.25">
      <c r="A94" s="34"/>
      <c r="B94" s="1088"/>
      <c r="C94" s="1068" t="s">
        <v>438</v>
      </c>
      <c r="D94" s="312" t="s">
        <v>439</v>
      </c>
      <c r="E94" s="48"/>
      <c r="F94" s="314">
        <v>1779</v>
      </c>
      <c r="G94" s="316">
        <v>1779</v>
      </c>
      <c r="H94" s="1074">
        <f t="shared" si="3"/>
        <v>100</v>
      </c>
    </row>
    <row r="95" spans="1:8" s="1056" customFormat="1" ht="15" x14ac:dyDescent="0.25">
      <c r="A95" s="34"/>
      <c r="B95" s="1088"/>
      <c r="C95" s="1068" t="s">
        <v>1424</v>
      </c>
      <c r="D95" s="312" t="s">
        <v>1423</v>
      </c>
      <c r="E95" s="48"/>
      <c r="F95" s="314">
        <v>600</v>
      </c>
      <c r="G95" s="316">
        <v>600</v>
      </c>
      <c r="H95" s="1074">
        <f t="shared" si="3"/>
        <v>100</v>
      </c>
    </row>
    <row r="96" spans="1:8" s="1056" customFormat="1" ht="15" x14ac:dyDescent="0.25">
      <c r="A96" s="34">
        <v>3319</v>
      </c>
      <c r="B96" s="1088">
        <v>5223</v>
      </c>
      <c r="C96" s="1068"/>
      <c r="D96" s="309" t="s">
        <v>1200</v>
      </c>
      <c r="E96" s="48"/>
      <c r="F96" s="315">
        <v>90</v>
      </c>
      <c r="G96" s="315">
        <v>90</v>
      </c>
      <c r="H96" s="212">
        <f t="shared" si="3"/>
        <v>100</v>
      </c>
    </row>
    <row r="97" spans="1:8" s="1056" customFormat="1" ht="15" x14ac:dyDescent="0.25">
      <c r="A97" s="34"/>
      <c r="B97" s="1088"/>
      <c r="C97" s="1084" t="s">
        <v>249</v>
      </c>
      <c r="D97" s="1063" t="s">
        <v>318</v>
      </c>
      <c r="E97" s="48"/>
      <c r="F97" s="314">
        <v>90</v>
      </c>
      <c r="G97" s="316">
        <v>90</v>
      </c>
      <c r="H97" s="1074">
        <f t="shared" si="3"/>
        <v>100</v>
      </c>
    </row>
    <row r="98" spans="1:8" s="1056" customFormat="1" ht="15" x14ac:dyDescent="0.25">
      <c r="A98" s="34">
        <v>3319</v>
      </c>
      <c r="B98" s="1088">
        <v>5229</v>
      </c>
      <c r="C98" s="1068"/>
      <c r="D98" s="1341" t="s">
        <v>1132</v>
      </c>
      <c r="E98" s="48"/>
      <c r="F98" s="313">
        <v>50</v>
      </c>
      <c r="G98" s="315">
        <v>50</v>
      </c>
      <c r="H98" s="212">
        <f t="shared" si="3"/>
        <v>100</v>
      </c>
    </row>
    <row r="99" spans="1:8" s="1056" customFormat="1" ht="15" x14ac:dyDescent="0.25">
      <c r="A99" s="34"/>
      <c r="B99" s="1088"/>
      <c r="C99" s="1084" t="s">
        <v>1202</v>
      </c>
      <c r="D99" s="1063" t="s">
        <v>1635</v>
      </c>
      <c r="E99" s="48"/>
      <c r="F99" s="314">
        <v>50</v>
      </c>
      <c r="G99" s="316">
        <v>50</v>
      </c>
      <c r="H99" s="1074">
        <f t="shared" si="3"/>
        <v>100</v>
      </c>
    </row>
    <row r="100" spans="1:8" s="1056" customFormat="1" ht="15" x14ac:dyDescent="0.25">
      <c r="A100" s="34">
        <v>3319</v>
      </c>
      <c r="B100" s="1088">
        <v>5321</v>
      </c>
      <c r="C100" s="1084"/>
      <c r="D100" s="1057" t="s">
        <v>1201</v>
      </c>
      <c r="E100" s="48"/>
      <c r="F100" s="315">
        <f>F101+F102+F103+F104</f>
        <v>3354</v>
      </c>
      <c r="G100" s="315">
        <f>G101+G102+G103+G104</f>
        <v>3354</v>
      </c>
      <c r="H100" s="212">
        <f t="shared" si="3"/>
        <v>100</v>
      </c>
    </row>
    <row r="101" spans="1:8" s="1056" customFormat="1" ht="15" x14ac:dyDescent="0.25">
      <c r="A101" s="34"/>
      <c r="B101" s="1088"/>
      <c r="C101" s="1084" t="s">
        <v>249</v>
      </c>
      <c r="D101" s="1063" t="s">
        <v>318</v>
      </c>
      <c r="E101" s="48"/>
      <c r="F101" s="314">
        <v>1520</v>
      </c>
      <c r="G101" s="316">
        <v>1520</v>
      </c>
      <c r="H101" s="1074">
        <f t="shared" si="3"/>
        <v>100</v>
      </c>
    </row>
    <row r="102" spans="1:8" s="1056" customFormat="1" ht="15" x14ac:dyDescent="0.25">
      <c r="A102" s="34"/>
      <c r="B102" s="1088"/>
      <c r="C102" s="1084" t="s">
        <v>1202</v>
      </c>
      <c r="D102" s="1063" t="s">
        <v>1635</v>
      </c>
      <c r="E102" s="48"/>
      <c r="F102" s="314">
        <v>115</v>
      </c>
      <c r="G102" s="316">
        <v>115</v>
      </c>
      <c r="H102" s="1074">
        <f t="shared" si="3"/>
        <v>100</v>
      </c>
    </row>
    <row r="103" spans="1:8" s="1056" customFormat="1" ht="14.25" x14ac:dyDescent="0.2">
      <c r="A103" s="34"/>
      <c r="B103" s="1088"/>
      <c r="C103" s="1068" t="s">
        <v>438</v>
      </c>
      <c r="D103" s="312" t="s">
        <v>439</v>
      </c>
      <c r="E103" s="55"/>
      <c r="F103" s="314">
        <v>1579</v>
      </c>
      <c r="G103" s="316">
        <v>1579</v>
      </c>
      <c r="H103" s="1074">
        <f t="shared" si="3"/>
        <v>100</v>
      </c>
    </row>
    <row r="104" spans="1:8" s="1056" customFormat="1" ht="14.25" x14ac:dyDescent="0.2">
      <c r="A104" s="34"/>
      <c r="B104" s="1088"/>
      <c r="C104" s="1068" t="s">
        <v>1424</v>
      </c>
      <c r="D104" s="312" t="s">
        <v>1423</v>
      </c>
      <c r="E104" s="55"/>
      <c r="F104" s="314">
        <v>140</v>
      </c>
      <c r="G104" s="316">
        <v>140</v>
      </c>
      <c r="H104" s="1074">
        <f t="shared" si="3"/>
        <v>100</v>
      </c>
    </row>
    <row r="105" spans="1:8" s="1056" customFormat="1" ht="15" x14ac:dyDescent="0.25">
      <c r="A105" s="34">
        <v>3319</v>
      </c>
      <c r="B105" s="1088">
        <v>5329</v>
      </c>
      <c r="C105" s="1068"/>
      <c r="D105" s="309" t="s">
        <v>664</v>
      </c>
      <c r="E105" s="55"/>
      <c r="F105" s="315">
        <f>F106+F107</f>
        <v>140</v>
      </c>
      <c r="G105" s="315">
        <f>G106+G107</f>
        <v>140</v>
      </c>
      <c r="H105" s="212">
        <f t="shared" si="3"/>
        <v>100</v>
      </c>
    </row>
    <row r="106" spans="1:8" s="1056" customFormat="1" ht="14.25" x14ac:dyDescent="0.2">
      <c r="A106" s="34"/>
      <c r="B106" s="1088"/>
      <c r="C106" s="1084" t="s">
        <v>249</v>
      </c>
      <c r="D106" s="1063" t="s">
        <v>318</v>
      </c>
      <c r="E106" s="55"/>
      <c r="F106" s="314">
        <v>80</v>
      </c>
      <c r="G106" s="316">
        <v>80</v>
      </c>
      <c r="H106" s="1074">
        <f t="shared" si="3"/>
        <v>100</v>
      </c>
    </row>
    <row r="107" spans="1:8" s="1056" customFormat="1" ht="14.25" x14ac:dyDescent="0.2">
      <c r="A107" s="34"/>
      <c r="B107" s="1088"/>
      <c r="C107" s="1068" t="s">
        <v>438</v>
      </c>
      <c r="D107" s="312" t="s">
        <v>439</v>
      </c>
      <c r="E107" s="55"/>
      <c r="F107" s="314">
        <v>60</v>
      </c>
      <c r="G107" s="316">
        <v>60</v>
      </c>
      <c r="H107" s="1074">
        <f t="shared" si="3"/>
        <v>100</v>
      </c>
    </row>
    <row r="108" spans="1:8" s="1056" customFormat="1" ht="15" x14ac:dyDescent="0.25">
      <c r="A108" s="34">
        <v>3319</v>
      </c>
      <c r="B108" s="1088">
        <v>5339</v>
      </c>
      <c r="C108" s="1069"/>
      <c r="D108" s="309" t="s">
        <v>1502</v>
      </c>
      <c r="E108" s="48"/>
      <c r="F108" s="315">
        <f>F109+F110+F111</f>
        <v>990</v>
      </c>
      <c r="G108" s="315">
        <f>G109+G110+G111</f>
        <v>990</v>
      </c>
      <c r="H108" s="212">
        <f t="shared" si="3"/>
        <v>100</v>
      </c>
    </row>
    <row r="109" spans="1:8" s="1056" customFormat="1" ht="15" x14ac:dyDescent="0.25">
      <c r="A109" s="34"/>
      <c r="B109" s="1088"/>
      <c r="C109" s="1084" t="s">
        <v>249</v>
      </c>
      <c r="D109" s="1063" t="s">
        <v>318</v>
      </c>
      <c r="E109" s="48"/>
      <c r="F109" s="314">
        <v>60</v>
      </c>
      <c r="G109" s="316">
        <v>60</v>
      </c>
      <c r="H109" s="1074">
        <f t="shared" si="3"/>
        <v>100</v>
      </c>
    </row>
    <row r="110" spans="1:8" s="1056" customFormat="1" ht="14.25" x14ac:dyDescent="0.2">
      <c r="A110" s="34"/>
      <c r="B110" s="1088"/>
      <c r="C110" s="1068" t="s">
        <v>438</v>
      </c>
      <c r="D110" s="312" t="s">
        <v>439</v>
      </c>
      <c r="E110" s="55"/>
      <c r="F110" s="314">
        <v>30</v>
      </c>
      <c r="G110" s="316">
        <v>30</v>
      </c>
      <c r="H110" s="1074">
        <f t="shared" si="3"/>
        <v>100</v>
      </c>
    </row>
    <row r="111" spans="1:8" s="1056" customFormat="1" ht="14.25" x14ac:dyDescent="0.2">
      <c r="A111" s="34"/>
      <c r="B111" s="1088"/>
      <c r="C111" s="1068" t="s">
        <v>1424</v>
      </c>
      <c r="D111" s="312" t="s">
        <v>1423</v>
      </c>
      <c r="E111" s="55"/>
      <c r="F111" s="314">
        <v>900</v>
      </c>
      <c r="G111" s="316">
        <v>900</v>
      </c>
      <c r="H111" s="1074">
        <f t="shared" si="3"/>
        <v>100</v>
      </c>
    </row>
    <row r="112" spans="1:8" s="1056" customFormat="1" ht="15" x14ac:dyDescent="0.25">
      <c r="A112" s="34">
        <v>3319</v>
      </c>
      <c r="B112" s="1088">
        <v>5493</v>
      </c>
      <c r="C112" s="1068"/>
      <c r="D112" s="309" t="s">
        <v>692</v>
      </c>
      <c r="E112" s="55"/>
      <c r="F112" s="315">
        <f>F113+F114</f>
        <v>580</v>
      </c>
      <c r="G112" s="315">
        <f>G113+G114</f>
        <v>580</v>
      </c>
      <c r="H112" s="212">
        <f t="shared" si="3"/>
        <v>100</v>
      </c>
    </row>
    <row r="113" spans="1:12" s="1056" customFormat="1" ht="14.25" x14ac:dyDescent="0.2">
      <c r="A113" s="34"/>
      <c r="B113" s="1088"/>
      <c r="C113" s="1084" t="s">
        <v>1202</v>
      </c>
      <c r="D113" s="1063" t="s">
        <v>1635</v>
      </c>
      <c r="E113" s="55"/>
      <c r="F113" s="314">
        <v>330</v>
      </c>
      <c r="G113" s="316">
        <v>330</v>
      </c>
      <c r="H113" s="1074">
        <f t="shared" si="3"/>
        <v>100</v>
      </c>
    </row>
    <row r="114" spans="1:12" s="1056" customFormat="1" ht="14.25" x14ac:dyDescent="0.2">
      <c r="A114" s="34"/>
      <c r="B114" s="1088"/>
      <c r="C114" s="1068" t="s">
        <v>438</v>
      </c>
      <c r="D114" s="312" t="s">
        <v>439</v>
      </c>
      <c r="E114" s="55"/>
      <c r="F114" s="314">
        <v>250</v>
      </c>
      <c r="G114" s="316">
        <v>250</v>
      </c>
      <c r="H114" s="1074">
        <f t="shared" si="3"/>
        <v>100</v>
      </c>
    </row>
    <row r="115" spans="1:12" s="1056" customFormat="1" ht="15" x14ac:dyDescent="0.25">
      <c r="A115" s="34">
        <v>3322</v>
      </c>
      <c r="B115" s="1088">
        <v>5213</v>
      </c>
      <c r="C115" s="1068"/>
      <c r="D115" s="1057" t="s">
        <v>453</v>
      </c>
      <c r="E115" s="71"/>
      <c r="F115" s="313">
        <v>170</v>
      </c>
      <c r="G115" s="315">
        <v>170</v>
      </c>
      <c r="H115" s="212">
        <f t="shared" si="3"/>
        <v>100</v>
      </c>
    </row>
    <row r="116" spans="1:12" s="1056" customFormat="1" ht="14.25" x14ac:dyDescent="0.2">
      <c r="A116" s="34"/>
      <c r="B116" s="1088"/>
      <c r="C116" s="1069" t="s">
        <v>834</v>
      </c>
      <c r="D116" s="312" t="s">
        <v>1198</v>
      </c>
      <c r="E116" s="55"/>
      <c r="F116" s="314">
        <v>170</v>
      </c>
      <c r="G116" s="316">
        <v>170</v>
      </c>
      <c r="H116" s="1074">
        <f t="shared" si="3"/>
        <v>100</v>
      </c>
    </row>
    <row r="117" spans="1:12" s="1056" customFormat="1" ht="15" x14ac:dyDescent="0.25">
      <c r="A117" s="34">
        <v>3322</v>
      </c>
      <c r="B117" s="1088">
        <v>5222</v>
      </c>
      <c r="C117" s="1069"/>
      <c r="D117" s="87" t="s">
        <v>440</v>
      </c>
      <c r="E117" s="55"/>
      <c r="F117" s="315">
        <v>94</v>
      </c>
      <c r="G117" s="315">
        <v>94</v>
      </c>
      <c r="H117" s="212">
        <f t="shared" si="3"/>
        <v>100</v>
      </c>
      <c r="J117" s="1090"/>
      <c r="K117" s="1090"/>
    </row>
    <row r="118" spans="1:12" s="1056" customFormat="1" ht="14.25" x14ac:dyDescent="0.2">
      <c r="A118" s="34"/>
      <c r="B118" s="1088"/>
      <c r="C118" s="1069" t="s">
        <v>835</v>
      </c>
      <c r="D118" s="312" t="s">
        <v>1199</v>
      </c>
      <c r="E118" s="55"/>
      <c r="F118" s="314">
        <v>94</v>
      </c>
      <c r="G118" s="316">
        <v>94</v>
      </c>
      <c r="H118" s="1074">
        <f t="shared" si="3"/>
        <v>100</v>
      </c>
    </row>
    <row r="119" spans="1:12" s="1056" customFormat="1" ht="15" x14ac:dyDescent="0.25">
      <c r="A119" s="34">
        <v>3322</v>
      </c>
      <c r="B119" s="1088">
        <v>5223</v>
      </c>
      <c r="C119" s="1069"/>
      <c r="D119" s="309" t="s">
        <v>1200</v>
      </c>
      <c r="E119" s="71">
        <v>19350</v>
      </c>
      <c r="F119" s="315">
        <f>F120+F121+F122</f>
        <v>4830</v>
      </c>
      <c r="G119" s="315">
        <f>G120+G121+G122</f>
        <v>4830</v>
      </c>
      <c r="H119" s="212">
        <f t="shared" ref="H119:H128" si="4">(G119/F119)*100</f>
        <v>100</v>
      </c>
    </row>
    <row r="120" spans="1:12" s="1056" customFormat="1" ht="14.25" x14ac:dyDescent="0.2">
      <c r="A120" s="34"/>
      <c r="B120" s="1088"/>
      <c r="C120" s="1069" t="s">
        <v>210</v>
      </c>
      <c r="D120" s="1063" t="s">
        <v>211</v>
      </c>
      <c r="E120" s="55">
        <v>19350</v>
      </c>
      <c r="F120" s="314">
        <v>0</v>
      </c>
      <c r="G120" s="316">
        <v>0</v>
      </c>
      <c r="H120" s="1074">
        <v>0</v>
      </c>
    </row>
    <row r="121" spans="1:12" s="1056" customFormat="1" ht="14.25" x14ac:dyDescent="0.2">
      <c r="A121" s="34"/>
      <c r="B121" s="1088"/>
      <c r="C121" s="1069" t="s">
        <v>834</v>
      </c>
      <c r="D121" s="312" t="s">
        <v>1198</v>
      </c>
      <c r="E121" s="55"/>
      <c r="F121" s="314">
        <v>4755</v>
      </c>
      <c r="G121" s="316">
        <v>4755</v>
      </c>
      <c r="H121" s="1074">
        <f t="shared" si="4"/>
        <v>100</v>
      </c>
    </row>
    <row r="122" spans="1:12" s="1056" customFormat="1" ht="14.25" x14ac:dyDescent="0.2">
      <c r="A122" s="34"/>
      <c r="B122" s="1088"/>
      <c r="C122" s="1069" t="s">
        <v>835</v>
      </c>
      <c r="D122" s="312" t="s">
        <v>1199</v>
      </c>
      <c r="E122" s="55"/>
      <c r="F122" s="314">
        <v>75</v>
      </c>
      <c r="G122" s="316">
        <v>75</v>
      </c>
      <c r="H122" s="1074">
        <f t="shared" si="4"/>
        <v>100</v>
      </c>
    </row>
    <row r="123" spans="1:12" s="1056" customFormat="1" ht="15" x14ac:dyDescent="0.25">
      <c r="A123" s="34">
        <v>3322</v>
      </c>
      <c r="B123" s="1088">
        <v>5321</v>
      </c>
      <c r="C123" s="1069"/>
      <c r="D123" s="1057" t="s">
        <v>1201</v>
      </c>
      <c r="E123" s="55"/>
      <c r="F123" s="315">
        <f>F124+F125</f>
        <v>3918</v>
      </c>
      <c r="G123" s="315">
        <f>G124+G125</f>
        <v>3918</v>
      </c>
      <c r="H123" s="212">
        <f t="shared" si="4"/>
        <v>100</v>
      </c>
    </row>
    <row r="124" spans="1:12" s="1056" customFormat="1" ht="14.25" x14ac:dyDescent="0.2">
      <c r="A124" s="34"/>
      <c r="B124" s="1088"/>
      <c r="C124" s="1069" t="s">
        <v>834</v>
      </c>
      <c r="D124" s="312" t="s">
        <v>1198</v>
      </c>
      <c r="E124" s="55"/>
      <c r="F124" s="314">
        <v>2325</v>
      </c>
      <c r="G124" s="316">
        <v>2325</v>
      </c>
      <c r="H124" s="1074">
        <f t="shared" si="4"/>
        <v>100</v>
      </c>
    </row>
    <row r="125" spans="1:12" s="1056" customFormat="1" ht="14.25" x14ac:dyDescent="0.2">
      <c r="A125" s="34"/>
      <c r="B125" s="1088"/>
      <c r="C125" s="1069" t="s">
        <v>835</v>
      </c>
      <c r="D125" s="312" t="s">
        <v>1199</v>
      </c>
      <c r="E125" s="55"/>
      <c r="F125" s="314">
        <v>1593</v>
      </c>
      <c r="G125" s="316">
        <v>1593</v>
      </c>
      <c r="H125" s="1074">
        <f t="shared" si="4"/>
        <v>100</v>
      </c>
    </row>
    <row r="126" spans="1:12" s="1056" customFormat="1" ht="15" x14ac:dyDescent="0.25">
      <c r="A126" s="34">
        <v>3322</v>
      </c>
      <c r="B126" s="1088">
        <v>5493</v>
      </c>
      <c r="C126" s="1084"/>
      <c r="D126" s="309" t="s">
        <v>692</v>
      </c>
      <c r="E126" s="55"/>
      <c r="F126" s="315">
        <f>F127+F128</f>
        <v>1918</v>
      </c>
      <c r="G126" s="315">
        <f>G127+G128</f>
        <v>1918</v>
      </c>
      <c r="H126" s="212">
        <f t="shared" si="4"/>
        <v>100</v>
      </c>
      <c r="J126" s="1090"/>
      <c r="K126" s="1090"/>
    </row>
    <row r="127" spans="1:12" s="1056" customFormat="1" ht="14.25" x14ac:dyDescent="0.2">
      <c r="A127" s="34"/>
      <c r="B127" s="1088"/>
      <c r="C127" s="1069" t="s">
        <v>834</v>
      </c>
      <c r="D127" s="312" t="s">
        <v>1198</v>
      </c>
      <c r="E127" s="55"/>
      <c r="F127" s="314">
        <v>1818</v>
      </c>
      <c r="G127" s="316">
        <v>1818</v>
      </c>
      <c r="H127" s="1074">
        <f t="shared" si="4"/>
        <v>100</v>
      </c>
      <c r="J127" s="1090">
        <f>E119+E79+E78+E77+E74</f>
        <v>41055</v>
      </c>
      <c r="K127" s="1090">
        <f>F74+F77+F78+F79+F80+F83+F87+F90+F96+F98+F100+F105+F108+F112+F115+F117+F119+F123+F126</f>
        <v>47355</v>
      </c>
      <c r="L127" s="1090">
        <f>G74+G77+G78+G79+G80+G83+G87+G90+G96+G98+G100+G105+G108+G112+G115+G117+G119+G123+G126</f>
        <v>47354</v>
      </c>
    </row>
    <row r="128" spans="1:12" s="1056" customFormat="1" ht="15" thickBot="1" x14ac:dyDescent="0.25">
      <c r="A128" s="1095"/>
      <c r="B128" s="1088"/>
      <c r="C128" s="1069" t="s">
        <v>835</v>
      </c>
      <c r="D128" s="2158" t="s">
        <v>1199</v>
      </c>
      <c r="E128" s="1099"/>
      <c r="F128" s="314">
        <v>100</v>
      </c>
      <c r="G128" s="316">
        <v>100</v>
      </c>
      <c r="H128" s="1074">
        <f t="shared" si="4"/>
        <v>100</v>
      </c>
    </row>
    <row r="129" spans="1:12" s="360" customFormat="1" ht="35.25" customHeight="1" thickTop="1" thickBot="1" x14ac:dyDescent="0.3">
      <c r="A129" s="637" t="s">
        <v>243</v>
      </c>
      <c r="B129" s="751"/>
      <c r="C129" s="675"/>
      <c r="D129" s="751"/>
      <c r="E129" s="641">
        <f>E13+E23+E45+E49+E60+E74+E77+E78+E119+E79</f>
        <v>61155</v>
      </c>
      <c r="F129" s="641">
        <f>F13+F23+F49+F60+F74+F77+F78+F79+F119+F43+F45</f>
        <v>39377</v>
      </c>
      <c r="G129" s="752">
        <f>G13+G23+G49+G60+G74+G77+G78+G79+G119+G43+G45</f>
        <v>39377</v>
      </c>
      <c r="H129" s="753">
        <f>(G129/F129)*100</f>
        <v>100</v>
      </c>
      <c r="J129" s="693">
        <f>J127+J67</f>
        <v>61155</v>
      </c>
      <c r="K129" s="693">
        <f>K127+K67</f>
        <v>69581</v>
      </c>
      <c r="L129" s="693">
        <f>L127+L67</f>
        <v>69555</v>
      </c>
    </row>
    <row r="130" spans="1:12" ht="13.5" thickTop="1" x14ac:dyDescent="0.2"/>
    <row r="139" spans="1:12" ht="15.75" x14ac:dyDescent="0.25">
      <c r="A139" s="33" t="s">
        <v>1248</v>
      </c>
      <c r="B139" s="643"/>
      <c r="C139" s="676"/>
      <c r="D139" s="677"/>
      <c r="E139" s="678"/>
      <c r="F139" s="679"/>
      <c r="G139" s="680"/>
      <c r="H139" s="681"/>
    </row>
    <row r="140" spans="1:12" ht="15.75" thickBot="1" x14ac:dyDescent="0.3">
      <c r="A140" s="643"/>
      <c r="B140" s="643"/>
      <c r="C140" s="676"/>
      <c r="D140" s="677"/>
      <c r="E140" s="678"/>
      <c r="F140" s="679"/>
      <c r="G140" s="680"/>
      <c r="H140" s="1735" t="s">
        <v>161</v>
      </c>
    </row>
    <row r="141" spans="1:12" s="107" customFormat="1" ht="20.25" customHeight="1" thickTop="1" thickBot="1" x14ac:dyDescent="0.25">
      <c r="A141" s="682" t="s">
        <v>162</v>
      </c>
      <c r="B141" s="683" t="s">
        <v>163</v>
      </c>
      <c r="C141" s="684" t="s">
        <v>705</v>
      </c>
      <c r="D141" s="685" t="s">
        <v>164</v>
      </c>
      <c r="E141" s="686" t="s">
        <v>165</v>
      </c>
      <c r="F141" s="686" t="s">
        <v>881</v>
      </c>
      <c r="G141" s="686" t="s">
        <v>882</v>
      </c>
      <c r="H141" s="687" t="s">
        <v>883</v>
      </c>
    </row>
    <row r="142" spans="1:12" s="383" customFormat="1" ht="13.5" thickTop="1" thickBot="1" x14ac:dyDescent="0.25">
      <c r="A142" s="566">
        <v>1</v>
      </c>
      <c r="B142" s="567">
        <v>2</v>
      </c>
      <c r="C142" s="567">
        <v>3</v>
      </c>
      <c r="D142" s="567">
        <v>4</v>
      </c>
      <c r="E142" s="567">
        <v>5</v>
      </c>
      <c r="F142" s="541">
        <v>6</v>
      </c>
      <c r="G142" s="541">
        <v>7</v>
      </c>
      <c r="H142" s="636" t="s">
        <v>61</v>
      </c>
      <c r="I142" s="107"/>
    </row>
    <row r="143" spans="1:12" s="383" customFormat="1" ht="15.75" thickTop="1" x14ac:dyDescent="0.25">
      <c r="A143" s="50">
        <v>3319</v>
      </c>
      <c r="B143" s="19">
        <v>6322</v>
      </c>
      <c r="C143" s="1325"/>
      <c r="D143" s="380" t="s">
        <v>1855</v>
      </c>
      <c r="E143" s="94"/>
      <c r="F143" s="315">
        <v>400</v>
      </c>
      <c r="G143" s="315">
        <v>400</v>
      </c>
      <c r="H143" s="203">
        <f t="shared" ref="H143:H149" si="5">(G143/F143)*100</f>
        <v>100</v>
      </c>
      <c r="I143" s="107"/>
    </row>
    <row r="144" spans="1:12" s="383" customFormat="1" ht="14.25" x14ac:dyDescent="0.2">
      <c r="A144" s="34"/>
      <c r="B144" s="154"/>
      <c r="C144" s="1084" t="s">
        <v>249</v>
      </c>
      <c r="D144" s="1125" t="s">
        <v>318</v>
      </c>
      <c r="E144" s="1281"/>
      <c r="F144" s="316">
        <v>400</v>
      </c>
      <c r="G144" s="316">
        <v>400</v>
      </c>
      <c r="H144" s="1065">
        <f t="shared" si="5"/>
        <v>100</v>
      </c>
      <c r="I144" s="107"/>
    </row>
    <row r="145" spans="1:13" s="383" customFormat="1" ht="15" x14ac:dyDescent="0.25">
      <c r="A145" s="50">
        <v>3319</v>
      </c>
      <c r="B145" s="19">
        <v>6341</v>
      </c>
      <c r="C145" s="1325"/>
      <c r="D145" s="380" t="s">
        <v>248</v>
      </c>
      <c r="E145" s="94"/>
      <c r="F145" s="315">
        <v>1000</v>
      </c>
      <c r="G145" s="315">
        <v>1000</v>
      </c>
      <c r="H145" s="203">
        <f t="shared" si="5"/>
        <v>100</v>
      </c>
      <c r="I145" s="107"/>
    </row>
    <row r="146" spans="1:13" s="383" customFormat="1" ht="14.25" x14ac:dyDescent="0.2">
      <c r="A146" s="34"/>
      <c r="B146" s="154"/>
      <c r="C146" s="1084" t="s">
        <v>249</v>
      </c>
      <c r="D146" s="1125" t="s">
        <v>318</v>
      </c>
      <c r="E146" s="1281"/>
      <c r="F146" s="316">
        <v>1000</v>
      </c>
      <c r="G146" s="316">
        <v>1000</v>
      </c>
      <c r="H146" s="1065">
        <f t="shared" si="5"/>
        <v>100</v>
      </c>
      <c r="I146" s="107"/>
    </row>
    <row r="147" spans="1:13" s="1056" customFormat="1" ht="15" x14ac:dyDescent="0.25">
      <c r="A147" s="50">
        <v>3319</v>
      </c>
      <c r="B147" s="19">
        <v>6359</v>
      </c>
      <c r="C147" s="1325"/>
      <c r="D147" s="380" t="s">
        <v>1892</v>
      </c>
      <c r="E147" s="94"/>
      <c r="F147" s="315">
        <v>200</v>
      </c>
      <c r="G147" s="315">
        <v>200</v>
      </c>
      <c r="H147" s="203">
        <f t="shared" si="5"/>
        <v>100</v>
      </c>
    </row>
    <row r="148" spans="1:13" s="1056" customFormat="1" ht="15" thickBot="1" x14ac:dyDescent="0.25">
      <c r="A148" s="1095"/>
      <c r="B148" s="1783"/>
      <c r="C148" s="1122" t="s">
        <v>249</v>
      </c>
      <c r="D148" s="1784" t="s">
        <v>318</v>
      </c>
      <c r="E148" s="1350"/>
      <c r="F148" s="441">
        <v>200</v>
      </c>
      <c r="G148" s="441">
        <v>200</v>
      </c>
      <c r="H148" s="1331">
        <f t="shared" si="5"/>
        <v>100</v>
      </c>
    </row>
    <row r="149" spans="1:13" s="360" customFormat="1" ht="35.25" customHeight="1" thickTop="1" thickBot="1" x14ac:dyDescent="0.3">
      <c r="A149" s="688" t="s">
        <v>244</v>
      </c>
      <c r="B149" s="689"/>
      <c r="C149" s="690"/>
      <c r="D149" s="689"/>
      <c r="E149" s="691">
        <v>0</v>
      </c>
      <c r="F149" s="691">
        <f>F147+F145+F143</f>
        <v>1600</v>
      </c>
      <c r="G149" s="691">
        <f>G147+G145+G143</f>
        <v>1600</v>
      </c>
      <c r="H149" s="692">
        <f t="shared" si="5"/>
        <v>100</v>
      </c>
      <c r="K149" s="693">
        <f>E149+E129</f>
        <v>61155</v>
      </c>
      <c r="L149" s="693">
        <f>F149+F129</f>
        <v>40977</v>
      </c>
      <c r="M149" s="693">
        <f>G149+G129</f>
        <v>40977</v>
      </c>
    </row>
    <row r="150" spans="1:13" s="360" customFormat="1" ht="18.75" thickTop="1" x14ac:dyDescent="0.25">
      <c r="A150" s="358"/>
      <c r="B150" s="359"/>
      <c r="C150" s="142"/>
      <c r="D150" s="359"/>
      <c r="E150" s="17"/>
      <c r="F150" s="17"/>
      <c r="G150" s="17"/>
      <c r="H150" s="1385"/>
      <c r="K150" s="693"/>
      <c r="L150" s="693"/>
      <c r="M150" s="693"/>
    </row>
    <row r="151" spans="1:13" s="360" customFormat="1" ht="18" x14ac:dyDescent="0.25">
      <c r="A151" s="358"/>
      <c r="B151" s="359"/>
      <c r="C151" s="142"/>
      <c r="D151" s="359"/>
      <c r="E151" s="17"/>
      <c r="F151" s="17"/>
      <c r="G151" s="17"/>
      <c r="H151" s="1385"/>
      <c r="K151" s="693"/>
      <c r="L151" s="693"/>
      <c r="M151" s="693"/>
    </row>
    <row r="152" spans="1:13" s="360" customFormat="1" ht="18" x14ac:dyDescent="0.25">
      <c r="A152" s="358"/>
      <c r="B152" s="359"/>
      <c r="C152" s="142"/>
      <c r="D152" s="359"/>
      <c r="E152" s="17"/>
      <c r="F152" s="17"/>
      <c r="G152" s="17"/>
      <c r="H152" s="1385"/>
      <c r="K152" s="693"/>
      <c r="L152" s="693"/>
      <c r="M152" s="693"/>
    </row>
    <row r="153" spans="1:13" s="360" customFormat="1" ht="18" x14ac:dyDescent="0.25">
      <c r="A153" s="358"/>
      <c r="B153" s="359"/>
      <c r="C153" s="142"/>
      <c r="D153" s="359"/>
      <c r="E153" s="17"/>
      <c r="F153" s="17"/>
      <c r="G153" s="17"/>
      <c r="H153" s="1385"/>
      <c r="K153" s="693"/>
      <c r="L153" s="693"/>
      <c r="M153" s="693"/>
    </row>
    <row r="154" spans="1:13" s="360" customFormat="1" ht="18" x14ac:dyDescent="0.25">
      <c r="A154" s="358"/>
      <c r="B154" s="359"/>
      <c r="C154" s="142"/>
      <c r="D154" s="359"/>
      <c r="E154" s="17"/>
      <c r="F154" s="17"/>
      <c r="G154" s="17"/>
      <c r="H154" s="1385"/>
      <c r="K154" s="693"/>
      <c r="L154" s="693"/>
      <c r="M154" s="693"/>
    </row>
    <row r="155" spans="1:13" ht="15.75" x14ac:dyDescent="0.25">
      <c r="A155" s="669" t="s">
        <v>623</v>
      </c>
    </row>
    <row r="156" spans="1:13" ht="15.75" x14ac:dyDescent="0.25">
      <c r="A156" s="669"/>
    </row>
    <row r="157" spans="1:13" ht="15.75" x14ac:dyDescent="0.25">
      <c r="A157" s="695" t="s">
        <v>903</v>
      </c>
      <c r="E157" s="583" t="s">
        <v>837</v>
      </c>
    </row>
    <row r="158" spans="1:13" ht="13.5" thickBot="1" x14ac:dyDescent="0.25">
      <c r="A158" s="754"/>
      <c r="H158" s="1735" t="s">
        <v>161</v>
      </c>
    </row>
    <row r="159" spans="1:13" s="703" customFormat="1" ht="20.25" customHeight="1" thickTop="1" thickBot="1" x14ac:dyDescent="0.25">
      <c r="A159" s="755" t="s">
        <v>162</v>
      </c>
      <c r="B159" s="698" t="s">
        <v>163</v>
      </c>
      <c r="C159" s="699" t="s">
        <v>705</v>
      </c>
      <c r="D159" s="700" t="s">
        <v>164</v>
      </c>
      <c r="E159" s="701" t="s">
        <v>165</v>
      </c>
      <c r="F159" s="701" t="s">
        <v>881</v>
      </c>
      <c r="G159" s="701" t="s">
        <v>882</v>
      </c>
      <c r="H159" s="702" t="s">
        <v>883</v>
      </c>
    </row>
    <row r="160" spans="1:13" s="383" customFormat="1" ht="13.5" thickTop="1" thickBot="1" x14ac:dyDescent="0.25">
      <c r="A160" s="566">
        <v>1</v>
      </c>
      <c r="B160" s="567">
        <v>2</v>
      </c>
      <c r="C160" s="567">
        <v>3</v>
      </c>
      <c r="D160" s="567">
        <v>4</v>
      </c>
      <c r="E160" s="567">
        <v>5</v>
      </c>
      <c r="F160" s="541">
        <v>6</v>
      </c>
      <c r="G160" s="541">
        <v>7</v>
      </c>
      <c r="H160" s="636" t="s">
        <v>61</v>
      </c>
      <c r="I160" s="107"/>
    </row>
    <row r="161" spans="1:8" ht="15.75" thickTop="1" x14ac:dyDescent="0.25">
      <c r="A161" s="1782">
        <v>3314</v>
      </c>
      <c r="B161" s="2425">
        <v>5331</v>
      </c>
      <c r="C161" s="704"/>
      <c r="D161" s="624" t="s">
        <v>236</v>
      </c>
      <c r="E161" s="388">
        <f>E162+E163+E164+E165+E166+E168+E169</f>
        <v>35217</v>
      </c>
      <c r="F161" s="388">
        <f>F162+F163+F164+F165+F166</f>
        <v>37185</v>
      </c>
      <c r="G161" s="388">
        <f>G162+G163+G164+G165+G166</f>
        <v>37175</v>
      </c>
      <c r="H161" s="756">
        <f t="shared" ref="H161:H170" si="6">G161/F161*100</f>
        <v>99.973107435794006</v>
      </c>
    </row>
    <row r="162" spans="1:8" ht="14.25" x14ac:dyDescent="0.2">
      <c r="A162" s="1739"/>
      <c r="B162" s="1740"/>
      <c r="C162" s="707" t="s">
        <v>575</v>
      </c>
      <c r="D162" s="1392" t="s">
        <v>1260</v>
      </c>
      <c r="E162" s="435">
        <v>2471</v>
      </c>
      <c r="F162" s="435">
        <v>2993</v>
      </c>
      <c r="G162" s="435">
        <v>2993</v>
      </c>
      <c r="H162" s="706">
        <f t="shared" si="6"/>
        <v>100</v>
      </c>
    </row>
    <row r="163" spans="1:8" ht="13.5" customHeight="1" x14ac:dyDescent="0.2">
      <c r="A163" s="1739"/>
      <c r="B163" s="1740"/>
      <c r="C163" s="552" t="s">
        <v>570</v>
      </c>
      <c r="D163" s="548" t="s">
        <v>1088</v>
      </c>
      <c r="E163" s="731">
        <v>12286</v>
      </c>
      <c r="F163" s="731">
        <v>12449</v>
      </c>
      <c r="G163" s="316">
        <v>12439</v>
      </c>
      <c r="H163" s="706">
        <f t="shared" si="6"/>
        <v>99.919672262832364</v>
      </c>
    </row>
    <row r="164" spans="1:8" ht="13.5" customHeight="1" x14ac:dyDescent="0.2">
      <c r="A164" s="1739"/>
      <c r="B164" s="1740"/>
      <c r="C164" s="552" t="s">
        <v>1123</v>
      </c>
      <c r="D164" s="569" t="s">
        <v>344</v>
      </c>
      <c r="E164" s="731">
        <v>1596</v>
      </c>
      <c r="F164" s="731">
        <v>1593</v>
      </c>
      <c r="G164" s="316">
        <v>1593</v>
      </c>
      <c r="H164" s="706">
        <f t="shared" si="6"/>
        <v>100</v>
      </c>
    </row>
    <row r="165" spans="1:8" ht="13.5" customHeight="1" x14ac:dyDescent="0.2">
      <c r="A165" s="1739"/>
      <c r="B165" s="1740"/>
      <c r="C165" s="552" t="s">
        <v>665</v>
      </c>
      <c r="D165" s="569" t="s">
        <v>707</v>
      </c>
      <c r="E165" s="731">
        <v>18864</v>
      </c>
      <c r="F165" s="731">
        <v>19280</v>
      </c>
      <c r="G165" s="316">
        <v>19280</v>
      </c>
      <c r="H165" s="706">
        <f t="shared" si="6"/>
        <v>100</v>
      </c>
    </row>
    <row r="166" spans="1:8" ht="13.5" customHeight="1" x14ac:dyDescent="0.2">
      <c r="A166" s="1739"/>
      <c r="B166" s="1740"/>
      <c r="C166" s="552" t="s">
        <v>213</v>
      </c>
      <c r="D166" s="757" t="s">
        <v>640</v>
      </c>
      <c r="E166" s="731"/>
      <c r="F166" s="731">
        <v>870</v>
      </c>
      <c r="G166" s="316">
        <v>870</v>
      </c>
      <c r="H166" s="706">
        <f t="shared" si="6"/>
        <v>100</v>
      </c>
    </row>
    <row r="167" spans="1:8" ht="13.5" customHeight="1" x14ac:dyDescent="0.25">
      <c r="A167" s="1739">
        <v>3314</v>
      </c>
      <c r="B167" s="1740">
        <v>5336</v>
      </c>
      <c r="C167" s="552"/>
      <c r="D167" s="1726" t="s">
        <v>1659</v>
      </c>
      <c r="E167" s="1429"/>
      <c r="F167" s="1429">
        <f>F168+F169</f>
        <v>285</v>
      </c>
      <c r="G167" s="1429">
        <f>G168+G169</f>
        <v>285</v>
      </c>
      <c r="H167" s="551">
        <f t="shared" si="6"/>
        <v>100</v>
      </c>
    </row>
    <row r="168" spans="1:8" ht="13.5" customHeight="1" x14ac:dyDescent="0.2">
      <c r="A168" s="1739"/>
      <c r="B168" s="1740"/>
      <c r="C168" s="715" t="s">
        <v>345</v>
      </c>
      <c r="D168" s="1750" t="s">
        <v>887</v>
      </c>
      <c r="E168" s="716"/>
      <c r="F168" s="717">
        <v>279</v>
      </c>
      <c r="G168" s="717">
        <v>279</v>
      </c>
      <c r="H168" s="706">
        <f t="shared" si="6"/>
        <v>100</v>
      </c>
    </row>
    <row r="169" spans="1:8" ht="14.25" customHeight="1" thickBot="1" x14ac:dyDescent="0.25">
      <c r="A169" s="1739"/>
      <c r="B169" s="1740"/>
      <c r="C169" s="715" t="s">
        <v>346</v>
      </c>
      <c r="D169" s="1750" t="s">
        <v>888</v>
      </c>
      <c r="E169" s="716"/>
      <c r="F169" s="717">
        <v>6</v>
      </c>
      <c r="G169" s="717">
        <v>6</v>
      </c>
      <c r="H169" s="706">
        <f t="shared" si="6"/>
        <v>100</v>
      </c>
    </row>
    <row r="170" spans="1:8" s="367" customFormat="1" ht="18" thickTop="1" thickBot="1" x14ac:dyDescent="0.3">
      <c r="A170" s="708" t="s">
        <v>1105</v>
      </c>
      <c r="B170" s="709"/>
      <c r="C170" s="710"/>
      <c r="D170" s="711"/>
      <c r="E170" s="712">
        <f>E161+E167</f>
        <v>35217</v>
      </c>
      <c r="F170" s="712">
        <f>F161+F167</f>
        <v>37470</v>
      </c>
      <c r="G170" s="712">
        <f>G161+G167</f>
        <v>37460</v>
      </c>
      <c r="H170" s="721">
        <f t="shared" si="6"/>
        <v>99.973311982919668</v>
      </c>
    </row>
    <row r="171" spans="1:8" ht="13.5" thickTop="1" x14ac:dyDescent="0.2"/>
    <row r="172" spans="1:8" s="367" customFormat="1" ht="27.75" customHeight="1" thickBot="1" x14ac:dyDescent="0.3">
      <c r="A172" s="758" t="s">
        <v>904</v>
      </c>
      <c r="B172" s="725"/>
      <c r="C172" s="726"/>
      <c r="D172" s="727"/>
      <c r="E172" s="728">
        <f>SUM(E170)</f>
        <v>35217</v>
      </c>
      <c r="F172" s="728">
        <f>SUM(F170)</f>
        <v>37470</v>
      </c>
      <c r="G172" s="728">
        <f>SUM(G170)</f>
        <v>37460</v>
      </c>
      <c r="H172" s="759">
        <f>(G172/F172)*100</f>
        <v>99.973311982919668</v>
      </c>
    </row>
    <row r="173" spans="1:8" ht="13.5" thickTop="1" x14ac:dyDescent="0.2"/>
    <row r="178" spans="1:9" ht="15.75" x14ac:dyDescent="0.25">
      <c r="A178" s="695" t="s">
        <v>905</v>
      </c>
      <c r="E178" s="583" t="s">
        <v>838</v>
      </c>
    </row>
    <row r="179" spans="1:9" ht="13.5" thickBot="1" x14ac:dyDescent="0.25">
      <c r="A179" s="754"/>
      <c r="H179" s="1735" t="s">
        <v>161</v>
      </c>
    </row>
    <row r="180" spans="1:9" s="703" customFormat="1" ht="20.25" customHeight="1" thickTop="1" thickBot="1" x14ac:dyDescent="0.25">
      <c r="A180" s="755" t="s">
        <v>162</v>
      </c>
      <c r="B180" s="698" t="s">
        <v>163</v>
      </c>
      <c r="C180" s="699" t="s">
        <v>705</v>
      </c>
      <c r="D180" s="700" t="s">
        <v>164</v>
      </c>
      <c r="E180" s="701" t="s">
        <v>165</v>
      </c>
      <c r="F180" s="701" t="s">
        <v>881</v>
      </c>
      <c r="G180" s="701" t="s">
        <v>882</v>
      </c>
      <c r="H180" s="702" t="s">
        <v>883</v>
      </c>
    </row>
    <row r="181" spans="1:9" s="383" customFormat="1" ht="13.5" thickTop="1" thickBot="1" x14ac:dyDescent="0.25">
      <c r="A181" s="566">
        <v>1</v>
      </c>
      <c r="B181" s="567">
        <v>2</v>
      </c>
      <c r="C181" s="567">
        <v>3</v>
      </c>
      <c r="D181" s="567">
        <v>4</v>
      </c>
      <c r="E181" s="567">
        <v>5</v>
      </c>
      <c r="F181" s="541">
        <v>6</v>
      </c>
      <c r="G181" s="541">
        <v>7</v>
      </c>
      <c r="H181" s="636" t="s">
        <v>61</v>
      </c>
      <c r="I181" s="107"/>
    </row>
    <row r="182" spans="1:9" ht="15.75" thickTop="1" x14ac:dyDescent="0.25">
      <c r="A182" s="1782">
        <v>3315</v>
      </c>
      <c r="B182" s="2425">
        <v>5331</v>
      </c>
      <c r="C182" s="760"/>
      <c r="D182" s="624" t="s">
        <v>236</v>
      </c>
      <c r="E182" s="761">
        <f>E183+E184+E186</f>
        <v>30660</v>
      </c>
      <c r="F182" s="761">
        <f>F183+F184+F185+F186+F187</f>
        <v>30895</v>
      </c>
      <c r="G182" s="761">
        <f>G183+G184+G185+G186+G187</f>
        <v>30894</v>
      </c>
      <c r="H182" s="705">
        <f t="shared" ref="H182:H191" si="7">G182/F182*100</f>
        <v>99.996763230296153</v>
      </c>
    </row>
    <row r="183" spans="1:9" ht="14.25" x14ac:dyDescent="0.2">
      <c r="A183" s="1739"/>
      <c r="B183" s="1740"/>
      <c r="C183" s="707" t="s">
        <v>575</v>
      </c>
      <c r="D183" s="1392" t="s">
        <v>1260</v>
      </c>
      <c r="E183" s="2465">
        <v>6873</v>
      </c>
      <c r="F183" s="435">
        <v>6983</v>
      </c>
      <c r="G183" s="435">
        <v>6983</v>
      </c>
      <c r="H183" s="706">
        <f t="shared" si="7"/>
        <v>100</v>
      </c>
    </row>
    <row r="184" spans="1:9" ht="14.25" x14ac:dyDescent="0.2">
      <c r="A184" s="1739"/>
      <c r="B184" s="1740"/>
      <c r="C184" s="552" t="s">
        <v>570</v>
      </c>
      <c r="D184" s="548" t="s">
        <v>1088</v>
      </c>
      <c r="E184" s="2465">
        <v>9489</v>
      </c>
      <c r="F184" s="435">
        <v>9289</v>
      </c>
      <c r="G184" s="435">
        <v>9289</v>
      </c>
      <c r="H184" s="706">
        <f t="shared" si="7"/>
        <v>100</v>
      </c>
    </row>
    <row r="185" spans="1:9" ht="14.25" x14ac:dyDescent="0.2">
      <c r="A185" s="1739"/>
      <c r="B185" s="1740"/>
      <c r="C185" s="1069" t="s">
        <v>22</v>
      </c>
      <c r="D185" s="91" t="s">
        <v>1203</v>
      </c>
      <c r="E185" s="2465"/>
      <c r="F185" s="435">
        <v>300</v>
      </c>
      <c r="G185" s="435">
        <v>299</v>
      </c>
      <c r="H185" s="706">
        <f t="shared" si="7"/>
        <v>99.666666666666671</v>
      </c>
    </row>
    <row r="186" spans="1:9" ht="14.25" x14ac:dyDescent="0.2">
      <c r="A186" s="1739"/>
      <c r="B186" s="1740"/>
      <c r="C186" s="552" t="s">
        <v>665</v>
      </c>
      <c r="D186" s="569" t="s">
        <v>707</v>
      </c>
      <c r="E186" s="2465">
        <v>14298</v>
      </c>
      <c r="F186" s="435">
        <v>14298</v>
      </c>
      <c r="G186" s="435">
        <v>14298</v>
      </c>
      <c r="H186" s="706">
        <f t="shared" si="7"/>
        <v>100</v>
      </c>
    </row>
    <row r="187" spans="1:9" ht="14.25" x14ac:dyDescent="0.2">
      <c r="A187" s="1739"/>
      <c r="B187" s="1740"/>
      <c r="C187" s="1068" t="s">
        <v>1426</v>
      </c>
      <c r="D187" s="117" t="s">
        <v>1661</v>
      </c>
      <c r="E187" s="461"/>
      <c r="F187" s="435">
        <v>25</v>
      </c>
      <c r="G187" s="435">
        <v>25</v>
      </c>
      <c r="H187" s="706">
        <f t="shared" si="7"/>
        <v>100</v>
      </c>
    </row>
    <row r="188" spans="1:9" ht="15" x14ac:dyDescent="0.25">
      <c r="A188" s="1739">
        <v>3315</v>
      </c>
      <c r="B188" s="1740">
        <v>5336</v>
      </c>
      <c r="C188" s="1068"/>
      <c r="D188" s="1726" t="s">
        <v>1659</v>
      </c>
      <c r="E188" s="2096"/>
      <c r="F188" s="389">
        <f>F189+F190</f>
        <v>72</v>
      </c>
      <c r="G188" s="389">
        <f>G189+G190</f>
        <v>72</v>
      </c>
      <c r="H188" s="1388">
        <f t="shared" si="7"/>
        <v>100</v>
      </c>
    </row>
    <row r="189" spans="1:9" ht="14.25" x14ac:dyDescent="0.2">
      <c r="A189" s="1739"/>
      <c r="B189" s="1740"/>
      <c r="C189" s="1068" t="s">
        <v>1887</v>
      </c>
      <c r="D189" s="548" t="s">
        <v>1888</v>
      </c>
      <c r="E189" s="461"/>
      <c r="F189" s="435">
        <v>42</v>
      </c>
      <c r="G189" s="435">
        <v>42</v>
      </c>
      <c r="H189" s="706">
        <f t="shared" si="7"/>
        <v>100</v>
      </c>
    </row>
    <row r="190" spans="1:9" ht="15" thickBot="1" x14ac:dyDescent="0.25">
      <c r="A190" s="1739"/>
      <c r="B190" s="1740"/>
      <c r="C190" s="715" t="s">
        <v>346</v>
      </c>
      <c r="D190" s="2466" t="s">
        <v>888</v>
      </c>
      <c r="E190" s="762"/>
      <c r="F190" s="717">
        <v>30</v>
      </c>
      <c r="G190" s="717">
        <v>30</v>
      </c>
      <c r="H190" s="1781">
        <f t="shared" si="7"/>
        <v>100</v>
      </c>
    </row>
    <row r="191" spans="1:9" s="367" customFormat="1" ht="20.25" customHeight="1" thickTop="1" thickBot="1" x14ac:dyDescent="0.3">
      <c r="A191" s="708" t="s">
        <v>1105</v>
      </c>
      <c r="B191" s="709"/>
      <c r="C191" s="710"/>
      <c r="D191" s="711"/>
      <c r="E191" s="712">
        <f>E182+E188</f>
        <v>30660</v>
      </c>
      <c r="F191" s="712">
        <f>F182+F188</f>
        <v>30967</v>
      </c>
      <c r="G191" s="712">
        <f>G182+G188</f>
        <v>30966</v>
      </c>
      <c r="H191" s="721">
        <f t="shared" si="7"/>
        <v>99.996770755966025</v>
      </c>
    </row>
    <row r="192" spans="1:9" ht="15.75" thickTop="1" x14ac:dyDescent="0.25">
      <c r="A192" s="1782">
        <v>3315</v>
      </c>
      <c r="B192" s="2425">
        <v>6351</v>
      </c>
      <c r="C192" s="704"/>
      <c r="D192" s="624" t="s">
        <v>1175</v>
      </c>
      <c r="E192" s="388"/>
      <c r="F192" s="388">
        <v>200</v>
      </c>
      <c r="G192" s="388">
        <v>200</v>
      </c>
      <c r="H192" s="705">
        <f>G192/F192*100</f>
        <v>100</v>
      </c>
    </row>
    <row r="193" spans="1:12" ht="15" thickBot="1" x14ac:dyDescent="0.25">
      <c r="A193" s="1739"/>
      <c r="B193" s="1740"/>
      <c r="C193" s="1069" t="s">
        <v>22</v>
      </c>
      <c r="D193" s="91" t="s">
        <v>1203</v>
      </c>
      <c r="E193" s="435"/>
      <c r="F193" s="435">
        <v>200</v>
      </c>
      <c r="G193" s="435">
        <v>200</v>
      </c>
      <c r="H193" s="706">
        <f>G193/F193*100</f>
        <v>100</v>
      </c>
    </row>
    <row r="194" spans="1:12" ht="20.25" customHeight="1" thickTop="1" thickBot="1" x14ac:dyDescent="0.3">
      <c r="A194" s="708" t="s">
        <v>1106</v>
      </c>
      <c r="B194" s="709"/>
      <c r="C194" s="710"/>
      <c r="D194" s="711"/>
      <c r="E194" s="712">
        <f>E192</f>
        <v>0</v>
      </c>
      <c r="F194" s="712">
        <f>SUM(F192)</f>
        <v>200</v>
      </c>
      <c r="G194" s="712">
        <f>SUM(G192)</f>
        <v>200</v>
      </c>
      <c r="H194" s="721">
        <f>G194/F194*100</f>
        <v>100</v>
      </c>
      <c r="J194" s="382"/>
      <c r="K194" s="382"/>
      <c r="L194" s="382"/>
    </row>
    <row r="195" spans="1:12" ht="20.25" customHeight="1" thickTop="1" x14ac:dyDescent="0.25">
      <c r="A195" s="361"/>
      <c r="B195" s="362"/>
      <c r="C195" s="363"/>
      <c r="D195" s="364"/>
      <c r="E195" s="723"/>
      <c r="F195" s="723"/>
      <c r="G195" s="723"/>
      <c r="H195" s="584"/>
      <c r="J195" s="382"/>
      <c r="K195" s="382"/>
      <c r="L195" s="382"/>
    </row>
    <row r="196" spans="1:12" s="367" customFormat="1" ht="27.75" customHeight="1" thickBot="1" x14ac:dyDescent="0.3">
      <c r="A196" s="758" t="s">
        <v>906</v>
      </c>
      <c r="B196" s="725"/>
      <c r="C196" s="726"/>
      <c r="D196" s="727"/>
      <c r="E196" s="728">
        <f>E191+E194</f>
        <v>30660</v>
      </c>
      <c r="F196" s="728">
        <f>F191+F194</f>
        <v>31167</v>
      </c>
      <c r="G196" s="728">
        <f>G191+G194</f>
        <v>31166</v>
      </c>
      <c r="H196" s="763">
        <f>(G196/F196)*100</f>
        <v>99.996791478166017</v>
      </c>
      <c r="K196" s="524"/>
      <c r="L196" s="524"/>
    </row>
    <row r="197" spans="1:12" s="367" customFormat="1" ht="24.75" customHeight="1" thickTop="1" x14ac:dyDescent="0.25">
      <c r="A197" s="361"/>
      <c r="B197" s="362"/>
      <c r="C197" s="363"/>
      <c r="D197" s="364"/>
      <c r="E197" s="723"/>
      <c r="F197" s="723"/>
      <c r="G197" s="723"/>
      <c r="H197" s="366"/>
      <c r="K197" s="524"/>
      <c r="L197" s="524"/>
    </row>
    <row r="198" spans="1:12" s="367" customFormat="1" ht="24.75" customHeight="1" x14ac:dyDescent="0.25">
      <c r="A198" s="361"/>
      <c r="B198" s="362"/>
      <c r="C198" s="363"/>
      <c r="D198" s="364"/>
      <c r="E198" s="723"/>
      <c r="F198" s="723"/>
      <c r="G198" s="723"/>
      <c r="H198" s="366"/>
      <c r="K198" s="524"/>
      <c r="L198" s="524"/>
    </row>
    <row r="199" spans="1:12" s="367" customFormat="1" ht="24.75" customHeight="1" x14ac:dyDescent="0.25">
      <c r="A199" s="361"/>
      <c r="B199" s="362"/>
      <c r="C199" s="363"/>
      <c r="D199" s="364"/>
      <c r="E199" s="723"/>
      <c r="F199" s="723"/>
      <c r="G199" s="723"/>
      <c r="H199" s="366"/>
      <c r="K199" s="524"/>
      <c r="L199" s="524"/>
    </row>
    <row r="200" spans="1:12" s="367" customFormat="1" ht="24.75" customHeight="1" x14ac:dyDescent="0.25">
      <c r="A200" s="361"/>
      <c r="B200" s="362"/>
      <c r="C200" s="363"/>
      <c r="D200" s="364"/>
      <c r="E200" s="723"/>
      <c r="F200" s="723"/>
      <c r="G200" s="723"/>
      <c r="H200" s="366"/>
      <c r="K200" s="524"/>
      <c r="L200" s="524"/>
    </row>
    <row r="201" spans="1:12" s="367" customFormat="1" ht="21" customHeight="1" x14ac:dyDescent="0.25">
      <c r="A201" s="361"/>
      <c r="B201" s="362"/>
      <c r="C201" s="363"/>
      <c r="D201" s="364"/>
      <c r="E201" s="723"/>
      <c r="F201" s="723"/>
      <c r="G201" s="723"/>
      <c r="H201" s="366"/>
      <c r="K201" s="524"/>
      <c r="L201" s="524"/>
    </row>
    <row r="202" spans="1:12" ht="15.75" x14ac:dyDescent="0.25">
      <c r="A202" s="695" t="s">
        <v>720</v>
      </c>
      <c r="E202" s="583" t="s">
        <v>839</v>
      </c>
    </row>
    <row r="203" spans="1:12" ht="13.5" thickBot="1" x14ac:dyDescent="0.25">
      <c r="A203" s="754"/>
      <c r="H203" s="1735" t="s">
        <v>161</v>
      </c>
    </row>
    <row r="204" spans="1:12" s="703" customFormat="1" ht="20.25" customHeight="1" thickTop="1" thickBot="1" x14ac:dyDescent="0.25">
      <c r="A204" s="755" t="s">
        <v>162</v>
      </c>
      <c r="B204" s="698" t="s">
        <v>163</v>
      </c>
      <c r="C204" s="699" t="s">
        <v>705</v>
      </c>
      <c r="D204" s="700" t="s">
        <v>164</v>
      </c>
      <c r="E204" s="701" t="s">
        <v>165</v>
      </c>
      <c r="F204" s="701" t="s">
        <v>881</v>
      </c>
      <c r="G204" s="701" t="s">
        <v>882</v>
      </c>
      <c r="H204" s="702" t="s">
        <v>883</v>
      </c>
    </row>
    <row r="205" spans="1:12" s="383" customFormat="1" ht="13.5" thickTop="1" thickBot="1" x14ac:dyDescent="0.25">
      <c r="A205" s="566">
        <v>1</v>
      </c>
      <c r="B205" s="567">
        <v>2</v>
      </c>
      <c r="C205" s="567">
        <v>3</v>
      </c>
      <c r="D205" s="567">
        <v>4</v>
      </c>
      <c r="E205" s="567">
        <v>5</v>
      </c>
      <c r="F205" s="541">
        <v>6</v>
      </c>
      <c r="G205" s="541">
        <v>7</v>
      </c>
      <c r="H205" s="636" t="s">
        <v>61</v>
      </c>
      <c r="I205" s="107"/>
    </row>
    <row r="206" spans="1:12" ht="15.75" thickTop="1" x14ac:dyDescent="0.25">
      <c r="A206" s="1782">
        <v>3315</v>
      </c>
      <c r="B206" s="2425">
        <v>5331</v>
      </c>
      <c r="C206" s="704"/>
      <c r="D206" s="624" t="s">
        <v>236</v>
      </c>
      <c r="E206" s="388">
        <f>E207+E208+E209</f>
        <v>5284</v>
      </c>
      <c r="F206" s="388">
        <f>F207+F208+F209</f>
        <v>5389</v>
      </c>
      <c r="G206" s="388">
        <f>G207+G208+G209</f>
        <v>5389</v>
      </c>
      <c r="H206" s="705">
        <f>G206/F206*100</f>
        <v>100</v>
      </c>
    </row>
    <row r="207" spans="1:12" ht="14.25" x14ac:dyDescent="0.2">
      <c r="A207" s="1739"/>
      <c r="B207" s="1740"/>
      <c r="C207" s="707" t="s">
        <v>575</v>
      </c>
      <c r="D207" s="1392" t="s">
        <v>1260</v>
      </c>
      <c r="E207" s="435">
        <v>650</v>
      </c>
      <c r="F207" s="435">
        <v>672</v>
      </c>
      <c r="G207" s="435">
        <v>672</v>
      </c>
      <c r="H207" s="706">
        <f>G207/F207*100</f>
        <v>100</v>
      </c>
    </row>
    <row r="208" spans="1:12" ht="14.25" x14ac:dyDescent="0.2">
      <c r="A208" s="1739"/>
      <c r="B208" s="1740"/>
      <c r="C208" s="552" t="s">
        <v>570</v>
      </c>
      <c r="D208" s="548" t="s">
        <v>1088</v>
      </c>
      <c r="E208" s="435">
        <v>1774</v>
      </c>
      <c r="F208" s="435">
        <v>2057</v>
      </c>
      <c r="G208" s="435">
        <v>2057</v>
      </c>
      <c r="H208" s="706">
        <f>G208/F208*100</f>
        <v>100</v>
      </c>
    </row>
    <row r="209" spans="1:9" ht="15" thickBot="1" x14ac:dyDescent="0.25">
      <c r="A209" s="1739"/>
      <c r="B209" s="1740"/>
      <c r="C209" s="552" t="s">
        <v>665</v>
      </c>
      <c r="D209" s="569" t="s">
        <v>707</v>
      </c>
      <c r="E209" s="435">
        <v>2860</v>
      </c>
      <c r="F209" s="435">
        <v>2660</v>
      </c>
      <c r="G209" s="435">
        <v>2660</v>
      </c>
      <c r="H209" s="706">
        <f>G209/F209*100</f>
        <v>100</v>
      </c>
    </row>
    <row r="210" spans="1:9" s="367" customFormat="1" ht="20.25" customHeight="1" thickTop="1" thickBot="1" x14ac:dyDescent="0.3">
      <c r="A210" s="708" t="s">
        <v>1105</v>
      </c>
      <c r="B210" s="709"/>
      <c r="C210" s="710"/>
      <c r="D210" s="711"/>
      <c r="E210" s="712">
        <f>SUM(E206)</f>
        <v>5284</v>
      </c>
      <c r="F210" s="712">
        <f>SUM(F206)</f>
        <v>5389</v>
      </c>
      <c r="G210" s="712">
        <f>SUM(G206)</f>
        <v>5389</v>
      </c>
      <c r="H210" s="721">
        <f>G210/F210*100</f>
        <v>100</v>
      </c>
    </row>
    <row r="211" spans="1:9" ht="13.5" thickTop="1" x14ac:dyDescent="0.2"/>
    <row r="212" spans="1:9" s="367" customFormat="1" ht="27.75" customHeight="1" thickBot="1" x14ac:dyDescent="0.3">
      <c r="A212" s="758" t="s">
        <v>1246</v>
      </c>
      <c r="B212" s="725"/>
      <c r="C212" s="726"/>
      <c r="D212" s="727"/>
      <c r="E212" s="728">
        <f>SUM(E210)</f>
        <v>5284</v>
      </c>
      <c r="F212" s="728">
        <f>SUM(F210)</f>
        <v>5389</v>
      </c>
      <c r="G212" s="728">
        <f>SUM(G210)</f>
        <v>5389</v>
      </c>
      <c r="H212" s="759">
        <f>(G212/F212)*100</f>
        <v>100</v>
      </c>
    </row>
    <row r="213" spans="1:9" ht="13.5" thickTop="1" x14ac:dyDescent="0.2">
      <c r="A213" s="1729"/>
    </row>
    <row r="214" spans="1:9" x14ac:dyDescent="0.2">
      <c r="A214" s="1729"/>
    </row>
    <row r="215" spans="1:9" x14ac:dyDescent="0.2">
      <c r="A215" s="1729"/>
    </row>
    <row r="216" spans="1:9" x14ac:dyDescent="0.2">
      <c r="A216" s="1729"/>
    </row>
    <row r="217" spans="1:9" x14ac:dyDescent="0.2">
      <c r="A217" s="1729"/>
    </row>
    <row r="218" spans="1:9" s="501" customFormat="1" ht="15.75" x14ac:dyDescent="0.25">
      <c r="A218" s="695" t="s">
        <v>1889</v>
      </c>
      <c r="B218" s="735"/>
      <c r="C218" s="736"/>
      <c r="E218" s="583" t="s">
        <v>840</v>
      </c>
      <c r="F218" s="583"/>
      <c r="G218" s="583"/>
      <c r="H218" s="729"/>
    </row>
    <row r="219" spans="1:9" ht="13.5" thickBot="1" x14ac:dyDescent="0.25">
      <c r="A219" s="754"/>
      <c r="H219" s="1735" t="s">
        <v>161</v>
      </c>
    </row>
    <row r="220" spans="1:9" s="703" customFormat="1" ht="20.25" customHeight="1" thickTop="1" thickBot="1" x14ac:dyDescent="0.25">
      <c r="A220" s="755" t="s">
        <v>162</v>
      </c>
      <c r="B220" s="698" t="s">
        <v>163</v>
      </c>
      <c r="C220" s="699" t="s">
        <v>705</v>
      </c>
      <c r="D220" s="700" t="s">
        <v>164</v>
      </c>
      <c r="E220" s="701" t="s">
        <v>165</v>
      </c>
      <c r="F220" s="701" t="s">
        <v>881</v>
      </c>
      <c r="G220" s="701" t="s">
        <v>882</v>
      </c>
      <c r="H220" s="702" t="s">
        <v>883</v>
      </c>
    </row>
    <row r="221" spans="1:9" s="383" customFormat="1" ht="13.5" thickTop="1" thickBot="1" x14ac:dyDescent="0.25">
      <c r="A221" s="566">
        <v>1</v>
      </c>
      <c r="B221" s="567">
        <v>2</v>
      </c>
      <c r="C221" s="567">
        <v>3</v>
      </c>
      <c r="D221" s="567">
        <v>4</v>
      </c>
      <c r="E221" s="567">
        <v>5</v>
      </c>
      <c r="F221" s="541">
        <v>6</v>
      </c>
      <c r="G221" s="541">
        <v>7</v>
      </c>
      <c r="H221" s="636" t="s">
        <v>61</v>
      </c>
      <c r="I221" s="107"/>
    </row>
    <row r="222" spans="1:9" ht="15.75" thickTop="1" x14ac:dyDescent="0.25">
      <c r="A222" s="1782">
        <v>3315</v>
      </c>
      <c r="B222" s="2425">
        <v>5331</v>
      </c>
      <c r="C222" s="704"/>
      <c r="D222" s="624" t="s">
        <v>236</v>
      </c>
      <c r="E222" s="388">
        <f>E223+E224+E225</f>
        <v>12562</v>
      </c>
      <c r="F222" s="388">
        <f>F223+F224+F225</f>
        <v>12763</v>
      </c>
      <c r="G222" s="388">
        <f>G223+G224+G225</f>
        <v>12763</v>
      </c>
      <c r="H222" s="705">
        <f t="shared" ref="H222:H226" si="8">G222/F222*100</f>
        <v>100</v>
      </c>
    </row>
    <row r="223" spans="1:9" ht="14.25" x14ac:dyDescent="0.2">
      <c r="A223" s="1739"/>
      <c r="B223" s="1740"/>
      <c r="C223" s="707" t="s">
        <v>575</v>
      </c>
      <c r="D223" s="1392" t="s">
        <v>1260</v>
      </c>
      <c r="E223" s="435">
        <v>1353</v>
      </c>
      <c r="F223" s="435">
        <v>1354</v>
      </c>
      <c r="G223" s="435">
        <v>1354</v>
      </c>
      <c r="H223" s="706">
        <f t="shared" si="8"/>
        <v>100</v>
      </c>
    </row>
    <row r="224" spans="1:9" ht="14.25" x14ac:dyDescent="0.2">
      <c r="A224" s="1739"/>
      <c r="B224" s="1740"/>
      <c r="C224" s="552" t="s">
        <v>570</v>
      </c>
      <c r="D224" s="548" t="s">
        <v>1088</v>
      </c>
      <c r="E224" s="435">
        <v>4507</v>
      </c>
      <c r="F224" s="435">
        <v>4507</v>
      </c>
      <c r="G224" s="435">
        <v>4507</v>
      </c>
      <c r="H224" s="706">
        <f t="shared" si="8"/>
        <v>100</v>
      </c>
    </row>
    <row r="225" spans="1:9" ht="15" thickBot="1" x14ac:dyDescent="0.25">
      <c r="A225" s="1739"/>
      <c r="B225" s="1740"/>
      <c r="C225" s="552" t="s">
        <v>665</v>
      </c>
      <c r="D225" s="569" t="s">
        <v>707</v>
      </c>
      <c r="E225" s="435">
        <v>6702</v>
      </c>
      <c r="F225" s="435">
        <v>6902</v>
      </c>
      <c r="G225" s="435">
        <v>6902</v>
      </c>
      <c r="H225" s="706">
        <f t="shared" si="8"/>
        <v>100</v>
      </c>
    </row>
    <row r="226" spans="1:9" s="367" customFormat="1" ht="20.25" customHeight="1" thickTop="1" thickBot="1" x14ac:dyDescent="0.3">
      <c r="A226" s="708" t="s">
        <v>1105</v>
      </c>
      <c r="B226" s="709"/>
      <c r="C226" s="710"/>
      <c r="D226" s="711"/>
      <c r="E226" s="712">
        <f>SUM(E222)</f>
        <v>12562</v>
      </c>
      <c r="F226" s="712">
        <f>SUM(F222)</f>
        <v>12763</v>
      </c>
      <c r="G226" s="712">
        <f>SUM(G222)</f>
        <v>12763</v>
      </c>
      <c r="H226" s="721">
        <f t="shared" si="8"/>
        <v>100</v>
      </c>
    </row>
    <row r="227" spans="1:9" ht="14.25" customHeight="1" thickTop="1" x14ac:dyDescent="0.25">
      <c r="A227" s="361"/>
      <c r="B227" s="362"/>
      <c r="C227" s="363"/>
      <c r="D227" s="364"/>
      <c r="E227" s="723"/>
      <c r="F227" s="723"/>
      <c r="G227" s="723"/>
      <c r="H227" s="764"/>
    </row>
    <row r="228" spans="1:9" s="367" customFormat="1" ht="27.75" customHeight="1" thickBot="1" x14ac:dyDescent="0.3">
      <c r="A228" s="758" t="s">
        <v>907</v>
      </c>
      <c r="B228" s="725"/>
      <c r="C228" s="726"/>
      <c r="D228" s="727"/>
      <c r="E228" s="728">
        <f>E226</f>
        <v>12562</v>
      </c>
      <c r="F228" s="728">
        <f>F226</f>
        <v>12763</v>
      </c>
      <c r="G228" s="728">
        <f>G226</f>
        <v>12763</v>
      </c>
      <c r="H228" s="759">
        <f>(G228/F228)*100</f>
        <v>100</v>
      </c>
    </row>
    <row r="229" spans="1:9" s="367" customFormat="1" ht="16.5" customHeight="1" thickTop="1" x14ac:dyDescent="0.25">
      <c r="A229" s="361"/>
      <c r="B229" s="362"/>
      <c r="C229" s="363"/>
      <c r="D229" s="364"/>
      <c r="E229" s="723"/>
      <c r="F229" s="723"/>
      <c r="G229" s="723"/>
      <c r="H229" s="764"/>
    </row>
    <row r="230" spans="1:9" s="367" customFormat="1" ht="16.5" customHeight="1" x14ac:dyDescent="0.25">
      <c r="A230" s="361"/>
      <c r="B230" s="362"/>
      <c r="C230" s="363"/>
      <c r="D230" s="364"/>
      <c r="E230" s="723"/>
      <c r="F230" s="723"/>
      <c r="G230" s="723"/>
      <c r="H230" s="764"/>
    </row>
    <row r="231" spans="1:9" s="367" customFormat="1" ht="16.5" customHeight="1" x14ac:dyDescent="0.25">
      <c r="A231" s="361"/>
      <c r="B231" s="362"/>
      <c r="C231" s="363"/>
      <c r="D231" s="364"/>
      <c r="E231" s="723"/>
      <c r="F231" s="723"/>
      <c r="G231" s="723"/>
      <c r="H231" s="764"/>
    </row>
    <row r="232" spans="1:9" s="501" customFormat="1" ht="15.75" x14ac:dyDescent="0.25">
      <c r="A232" s="695" t="s">
        <v>908</v>
      </c>
      <c r="B232" s="735"/>
      <c r="C232" s="736"/>
      <c r="E232" s="583" t="s">
        <v>841</v>
      </c>
      <c r="F232" s="583"/>
      <c r="G232" s="583"/>
      <c r="H232" s="729"/>
    </row>
    <row r="233" spans="1:9" ht="13.5" thickBot="1" x14ac:dyDescent="0.25">
      <c r="A233" s="754"/>
      <c r="H233" s="1735" t="s">
        <v>161</v>
      </c>
    </row>
    <row r="234" spans="1:9" s="703" customFormat="1" ht="20.25" customHeight="1" thickTop="1" thickBot="1" x14ac:dyDescent="0.25">
      <c r="A234" s="755" t="s">
        <v>162</v>
      </c>
      <c r="B234" s="698" t="s">
        <v>163</v>
      </c>
      <c r="C234" s="699" t="s">
        <v>705</v>
      </c>
      <c r="D234" s="700" t="s">
        <v>164</v>
      </c>
      <c r="E234" s="701" t="s">
        <v>165</v>
      </c>
      <c r="F234" s="701" t="s">
        <v>881</v>
      </c>
      <c r="G234" s="701" t="s">
        <v>882</v>
      </c>
      <c r="H234" s="702" t="s">
        <v>883</v>
      </c>
    </row>
    <row r="235" spans="1:9" s="383" customFormat="1" ht="13.5" thickTop="1" thickBot="1" x14ac:dyDescent="0.25">
      <c r="A235" s="566">
        <v>1</v>
      </c>
      <c r="B235" s="567">
        <v>2</v>
      </c>
      <c r="C235" s="567">
        <v>3</v>
      </c>
      <c r="D235" s="567">
        <v>4</v>
      </c>
      <c r="E235" s="567">
        <v>5</v>
      </c>
      <c r="F235" s="541">
        <v>6</v>
      </c>
      <c r="G235" s="541">
        <v>7</v>
      </c>
      <c r="H235" s="636" t="s">
        <v>61</v>
      </c>
      <c r="I235" s="107"/>
    </row>
    <row r="236" spans="1:9" ht="15.75" thickTop="1" x14ac:dyDescent="0.25">
      <c r="A236" s="1782">
        <v>3315</v>
      </c>
      <c r="B236" s="2425">
        <v>5331</v>
      </c>
      <c r="C236" s="704"/>
      <c r="D236" s="624" t="s">
        <v>236</v>
      </c>
      <c r="E236" s="388">
        <f>E237+E238+E239</f>
        <v>17366</v>
      </c>
      <c r="F236" s="388">
        <f>F237+F238+F239</f>
        <v>17433</v>
      </c>
      <c r="G236" s="388">
        <f>G237+G238+G239</f>
        <v>17433</v>
      </c>
      <c r="H236" s="705">
        <f t="shared" ref="H236:H242" si="9">G236/F236*100</f>
        <v>100</v>
      </c>
    </row>
    <row r="237" spans="1:9" ht="14.25" x14ac:dyDescent="0.2">
      <c r="A237" s="1739"/>
      <c r="B237" s="1740"/>
      <c r="C237" s="707" t="s">
        <v>575</v>
      </c>
      <c r="D237" s="1392" t="s">
        <v>1260</v>
      </c>
      <c r="E237" s="435">
        <v>917</v>
      </c>
      <c r="F237" s="435">
        <v>904</v>
      </c>
      <c r="G237" s="435">
        <v>904</v>
      </c>
      <c r="H237" s="706">
        <f t="shared" si="9"/>
        <v>100</v>
      </c>
    </row>
    <row r="238" spans="1:9" ht="14.25" x14ac:dyDescent="0.2">
      <c r="A238" s="1739"/>
      <c r="B238" s="1740"/>
      <c r="C238" s="552" t="s">
        <v>570</v>
      </c>
      <c r="D238" s="548" t="s">
        <v>71</v>
      </c>
      <c r="E238" s="435">
        <v>6255</v>
      </c>
      <c r="F238" s="435">
        <v>6335</v>
      </c>
      <c r="G238" s="435">
        <v>6335</v>
      </c>
      <c r="H238" s="706">
        <f t="shared" si="9"/>
        <v>100</v>
      </c>
    </row>
    <row r="239" spans="1:9" ht="14.25" x14ac:dyDescent="0.2">
      <c r="A239" s="1739"/>
      <c r="B239" s="1740"/>
      <c r="C239" s="552" t="s">
        <v>665</v>
      </c>
      <c r="D239" s="569" t="s">
        <v>707</v>
      </c>
      <c r="E239" s="435">
        <v>10194</v>
      </c>
      <c r="F239" s="435">
        <v>10194</v>
      </c>
      <c r="G239" s="435">
        <v>10194</v>
      </c>
      <c r="H239" s="706">
        <f t="shared" si="9"/>
        <v>100</v>
      </c>
    </row>
    <row r="240" spans="1:9" ht="15" x14ac:dyDescent="0.25">
      <c r="A240" s="1739">
        <v>3315</v>
      </c>
      <c r="B240" s="1740">
        <v>5336</v>
      </c>
      <c r="C240" s="1068"/>
      <c r="D240" s="1726" t="s">
        <v>1659</v>
      </c>
      <c r="E240" s="2096"/>
      <c r="F240" s="389">
        <v>235</v>
      </c>
      <c r="G240" s="389">
        <v>235</v>
      </c>
      <c r="H240" s="1388">
        <f t="shared" si="9"/>
        <v>100</v>
      </c>
    </row>
    <row r="241" spans="1:9" ht="15" thickBot="1" x14ac:dyDescent="0.25">
      <c r="A241" s="1739"/>
      <c r="B241" s="1740"/>
      <c r="C241" s="1068" t="s">
        <v>1890</v>
      </c>
      <c r="D241" s="548" t="s">
        <v>1891</v>
      </c>
      <c r="E241" s="461"/>
      <c r="F241" s="435">
        <v>235</v>
      </c>
      <c r="G241" s="435">
        <v>235</v>
      </c>
      <c r="H241" s="706">
        <f t="shared" si="9"/>
        <v>100</v>
      </c>
    </row>
    <row r="242" spans="1:9" s="367" customFormat="1" ht="20.25" customHeight="1" thickTop="1" thickBot="1" x14ac:dyDescent="0.3">
      <c r="A242" s="708" t="s">
        <v>1105</v>
      </c>
      <c r="B242" s="709"/>
      <c r="C242" s="710"/>
      <c r="D242" s="711"/>
      <c r="E242" s="712">
        <f>SUM(E236)</f>
        <v>17366</v>
      </c>
      <c r="F242" s="712">
        <f>F236+F240</f>
        <v>17668</v>
      </c>
      <c r="G242" s="712">
        <f>G236+G240</f>
        <v>17668</v>
      </c>
      <c r="H242" s="721">
        <f t="shared" si="9"/>
        <v>100</v>
      </c>
    </row>
    <row r="243" spans="1:9" ht="15" thickTop="1" x14ac:dyDescent="0.2">
      <c r="A243" s="1729"/>
      <c r="H243" s="765"/>
    </row>
    <row r="244" spans="1:9" s="367" customFormat="1" ht="27.75" customHeight="1" thickBot="1" x14ac:dyDescent="0.3">
      <c r="A244" s="758" t="s">
        <v>537</v>
      </c>
      <c r="B244" s="725"/>
      <c r="C244" s="726"/>
      <c r="D244" s="727"/>
      <c r="E244" s="728">
        <f>E242</f>
        <v>17366</v>
      </c>
      <c r="F244" s="728">
        <f>F242</f>
        <v>17668</v>
      </c>
      <c r="G244" s="728">
        <f>G242</f>
        <v>17668</v>
      </c>
      <c r="H244" s="766">
        <f>G244/F244*100</f>
        <v>100</v>
      </c>
    </row>
    <row r="245" spans="1:9" ht="13.5" thickTop="1" x14ac:dyDescent="0.2"/>
    <row r="248" spans="1:9" s="501" customFormat="1" ht="15.75" x14ac:dyDescent="0.25">
      <c r="A248" s="695" t="s">
        <v>909</v>
      </c>
      <c r="B248" s="735"/>
      <c r="C248" s="736"/>
      <c r="E248" s="583" t="s">
        <v>842</v>
      </c>
      <c r="F248" s="583"/>
      <c r="G248" s="583"/>
      <c r="H248" s="729"/>
    </row>
    <row r="249" spans="1:9" ht="13.5" thickBot="1" x14ac:dyDescent="0.25">
      <c r="A249" s="754"/>
      <c r="H249" s="1735" t="s">
        <v>161</v>
      </c>
    </row>
    <row r="250" spans="1:9" s="703" customFormat="1" ht="20.25" customHeight="1" thickTop="1" thickBot="1" x14ac:dyDescent="0.25">
      <c r="A250" s="755" t="s">
        <v>162</v>
      </c>
      <c r="B250" s="698" t="s">
        <v>163</v>
      </c>
      <c r="C250" s="699" t="s">
        <v>705</v>
      </c>
      <c r="D250" s="700" t="s">
        <v>164</v>
      </c>
      <c r="E250" s="701" t="s">
        <v>165</v>
      </c>
      <c r="F250" s="701" t="s">
        <v>881</v>
      </c>
      <c r="G250" s="701" t="s">
        <v>882</v>
      </c>
      <c r="H250" s="702" t="s">
        <v>883</v>
      </c>
    </row>
    <row r="251" spans="1:9" s="383" customFormat="1" ht="13.5" thickTop="1" thickBot="1" x14ac:dyDescent="0.25">
      <c r="A251" s="566">
        <v>1</v>
      </c>
      <c r="B251" s="567">
        <v>2</v>
      </c>
      <c r="C251" s="567">
        <v>3</v>
      </c>
      <c r="D251" s="567">
        <v>4</v>
      </c>
      <c r="E251" s="567">
        <v>5</v>
      </c>
      <c r="F251" s="541">
        <v>6</v>
      </c>
      <c r="G251" s="541">
        <v>7</v>
      </c>
      <c r="H251" s="636" t="s">
        <v>61</v>
      </c>
      <c r="I251" s="107"/>
    </row>
    <row r="252" spans="1:9" ht="15.75" thickTop="1" x14ac:dyDescent="0.25">
      <c r="A252" s="1782">
        <v>3315</v>
      </c>
      <c r="B252" s="2425">
        <v>5331</v>
      </c>
      <c r="C252" s="704"/>
      <c r="D252" s="624" t="s">
        <v>236</v>
      </c>
      <c r="E252" s="388">
        <f>E253+E254+E255</f>
        <v>20184</v>
      </c>
      <c r="F252" s="388">
        <f>F253+F254+F255</f>
        <v>20279</v>
      </c>
      <c r="G252" s="388">
        <f>G253+G254+G255</f>
        <v>20279</v>
      </c>
      <c r="H252" s="705">
        <f t="shared" ref="H252:H257" si="10">G252/F252*100</f>
        <v>100</v>
      </c>
    </row>
    <row r="253" spans="1:9" ht="14.25" x14ac:dyDescent="0.2">
      <c r="A253" s="1739"/>
      <c r="B253" s="1740"/>
      <c r="C253" s="707" t="s">
        <v>575</v>
      </c>
      <c r="D253" s="1392" t="s">
        <v>1260</v>
      </c>
      <c r="E253" s="435">
        <v>992</v>
      </c>
      <c r="F253" s="435">
        <v>1087</v>
      </c>
      <c r="G253" s="435">
        <v>1087</v>
      </c>
      <c r="H253" s="706">
        <f t="shared" si="10"/>
        <v>100</v>
      </c>
    </row>
    <row r="254" spans="1:9" ht="12.75" customHeight="1" x14ac:dyDescent="0.2">
      <c r="A254" s="1739"/>
      <c r="B254" s="1740"/>
      <c r="C254" s="552" t="s">
        <v>570</v>
      </c>
      <c r="D254" s="548" t="s">
        <v>143</v>
      </c>
      <c r="E254" s="316">
        <v>8526</v>
      </c>
      <c r="F254" s="316">
        <v>8526</v>
      </c>
      <c r="G254" s="316">
        <v>8526</v>
      </c>
      <c r="H254" s="706">
        <f t="shared" si="10"/>
        <v>100</v>
      </c>
    </row>
    <row r="255" spans="1:9" ht="12.75" customHeight="1" x14ac:dyDescent="0.2">
      <c r="A255" s="1739"/>
      <c r="B255" s="1740"/>
      <c r="C255" s="552" t="s">
        <v>665</v>
      </c>
      <c r="D255" s="569" t="s">
        <v>707</v>
      </c>
      <c r="E255" s="316">
        <v>10666</v>
      </c>
      <c r="F255" s="316">
        <v>10666</v>
      </c>
      <c r="G255" s="316">
        <v>10666</v>
      </c>
      <c r="H255" s="706">
        <f t="shared" si="10"/>
        <v>100</v>
      </c>
    </row>
    <row r="256" spans="1:9" ht="12.75" customHeight="1" x14ac:dyDescent="0.25">
      <c r="A256" s="1739">
        <v>3315</v>
      </c>
      <c r="B256" s="1740">
        <v>5336</v>
      </c>
      <c r="C256" s="552"/>
      <c r="D256" s="1726" t="s">
        <v>1659</v>
      </c>
      <c r="E256" s="315"/>
      <c r="F256" s="315">
        <v>27</v>
      </c>
      <c r="G256" s="315">
        <v>27</v>
      </c>
      <c r="H256" s="551">
        <f t="shared" si="10"/>
        <v>100</v>
      </c>
    </row>
    <row r="257" spans="1:9" ht="12.75" customHeight="1" thickBot="1" x14ac:dyDescent="0.25">
      <c r="A257" s="1739"/>
      <c r="B257" s="1740"/>
      <c r="C257" s="1068" t="s">
        <v>1887</v>
      </c>
      <c r="D257" s="548" t="s">
        <v>1888</v>
      </c>
      <c r="E257" s="316"/>
      <c r="F257" s="316">
        <v>27</v>
      </c>
      <c r="G257" s="316">
        <v>27</v>
      </c>
      <c r="H257" s="706">
        <f t="shared" si="10"/>
        <v>100</v>
      </c>
    </row>
    <row r="258" spans="1:9" s="367" customFormat="1" ht="20.25" customHeight="1" thickTop="1" thickBot="1" x14ac:dyDescent="0.3">
      <c r="A258" s="708" t="s">
        <v>1105</v>
      </c>
      <c r="B258" s="709"/>
      <c r="C258" s="710"/>
      <c r="D258" s="711"/>
      <c r="E258" s="712">
        <f>E252+E256</f>
        <v>20184</v>
      </c>
      <c r="F258" s="712">
        <f>F252+F256</f>
        <v>20306</v>
      </c>
      <c r="G258" s="712">
        <f>G252+G256</f>
        <v>20306</v>
      </c>
      <c r="H258" s="767">
        <f>(G258/F258)*100</f>
        <v>100</v>
      </c>
    </row>
    <row r="259" spans="1:9" ht="15" thickTop="1" x14ac:dyDescent="0.2">
      <c r="A259" s="1729"/>
      <c r="H259" s="765"/>
    </row>
    <row r="260" spans="1:9" s="367" customFormat="1" ht="27.75" customHeight="1" thickBot="1" x14ac:dyDescent="0.3">
      <c r="A260" s="758" t="s">
        <v>910</v>
      </c>
      <c r="B260" s="725"/>
      <c r="C260" s="726"/>
      <c r="D260" s="727"/>
      <c r="E260" s="728">
        <f>SUM(E258)</f>
        <v>20184</v>
      </c>
      <c r="F260" s="728">
        <f>SUM(F258)</f>
        <v>20306</v>
      </c>
      <c r="G260" s="728">
        <f>SUM(G258)</f>
        <v>20306</v>
      </c>
      <c r="H260" s="759">
        <f>(G260/F260)*100</f>
        <v>100</v>
      </c>
    </row>
    <row r="261" spans="1:9" s="367" customFormat="1" ht="22.5" customHeight="1" thickTop="1" x14ac:dyDescent="0.25">
      <c r="A261" s="361"/>
      <c r="B261" s="362"/>
      <c r="C261" s="363"/>
      <c r="D261" s="364"/>
      <c r="E261" s="723"/>
      <c r="F261" s="723"/>
      <c r="G261" s="723"/>
      <c r="H261" s="764"/>
    </row>
    <row r="262" spans="1:9" s="367" customFormat="1" ht="22.5" customHeight="1" x14ac:dyDescent="0.25">
      <c r="A262" s="361"/>
      <c r="B262" s="362"/>
      <c r="C262" s="363"/>
      <c r="D262" s="364"/>
      <c r="E262" s="723"/>
      <c r="F262" s="723"/>
      <c r="G262" s="723"/>
      <c r="H262" s="764"/>
    </row>
    <row r="263" spans="1:9" s="367" customFormat="1" ht="22.5" customHeight="1" x14ac:dyDescent="0.25">
      <c r="A263" s="361"/>
      <c r="B263" s="362"/>
      <c r="C263" s="363"/>
      <c r="D263" s="364"/>
      <c r="E263" s="723"/>
      <c r="F263" s="723"/>
      <c r="G263" s="723"/>
      <c r="H263" s="764"/>
    </row>
    <row r="264" spans="1:9" s="501" customFormat="1" ht="15.75" customHeight="1" x14ac:dyDescent="0.25">
      <c r="A264" s="695" t="s">
        <v>865</v>
      </c>
      <c r="B264" s="735"/>
      <c r="C264" s="736"/>
      <c r="E264" s="583" t="s">
        <v>843</v>
      </c>
      <c r="F264" s="583"/>
      <c r="G264" s="583"/>
      <c r="H264" s="729"/>
    </row>
    <row r="265" spans="1:9" ht="13.5" thickBot="1" x14ac:dyDescent="0.25">
      <c r="A265" s="754"/>
      <c r="H265" s="1735" t="s">
        <v>161</v>
      </c>
    </row>
    <row r="266" spans="1:9" s="703" customFormat="1" ht="20.25" customHeight="1" thickTop="1" thickBot="1" x14ac:dyDescent="0.25">
      <c r="A266" s="755" t="s">
        <v>162</v>
      </c>
      <c r="B266" s="698" t="s">
        <v>163</v>
      </c>
      <c r="C266" s="699" t="s">
        <v>705</v>
      </c>
      <c r="D266" s="700" t="s">
        <v>164</v>
      </c>
      <c r="E266" s="701" t="s">
        <v>165</v>
      </c>
      <c r="F266" s="701" t="s">
        <v>881</v>
      </c>
      <c r="G266" s="701" t="s">
        <v>882</v>
      </c>
      <c r="H266" s="702" t="s">
        <v>883</v>
      </c>
    </row>
    <row r="267" spans="1:9" s="383" customFormat="1" ht="13.5" thickTop="1" thickBot="1" x14ac:dyDescent="0.25">
      <c r="A267" s="566">
        <v>1</v>
      </c>
      <c r="B267" s="567">
        <v>2</v>
      </c>
      <c r="C267" s="567">
        <v>3</v>
      </c>
      <c r="D267" s="567">
        <v>4</v>
      </c>
      <c r="E267" s="567">
        <v>5</v>
      </c>
      <c r="F267" s="541">
        <v>6</v>
      </c>
      <c r="G267" s="541">
        <v>7</v>
      </c>
      <c r="H267" s="636" t="s">
        <v>61</v>
      </c>
      <c r="I267" s="107"/>
    </row>
    <row r="268" spans="1:9" ht="15.75" thickTop="1" x14ac:dyDescent="0.25">
      <c r="A268" s="1782">
        <v>3315</v>
      </c>
      <c r="B268" s="2425">
        <v>5331</v>
      </c>
      <c r="C268" s="704"/>
      <c r="D268" s="624" t="s">
        <v>236</v>
      </c>
      <c r="E268" s="388">
        <f>E269+E270+E271</f>
        <v>2408</v>
      </c>
      <c r="F268" s="388">
        <f>F269+F270+F271</f>
        <v>2577</v>
      </c>
      <c r="G268" s="388">
        <f>G269+G270+G271</f>
        <v>2577</v>
      </c>
      <c r="H268" s="705">
        <f>G268/F268*100</f>
        <v>100</v>
      </c>
    </row>
    <row r="269" spans="1:9" ht="14.25" x14ac:dyDescent="0.2">
      <c r="A269" s="1739"/>
      <c r="B269" s="1740"/>
      <c r="C269" s="707" t="s">
        <v>575</v>
      </c>
      <c r="D269" s="1392" t="s">
        <v>1260</v>
      </c>
      <c r="E269" s="435">
        <v>1281</v>
      </c>
      <c r="F269" s="435">
        <v>1265</v>
      </c>
      <c r="G269" s="435">
        <v>1265</v>
      </c>
      <c r="H269" s="706">
        <f>G269/F269*100</f>
        <v>100</v>
      </c>
    </row>
    <row r="270" spans="1:9" ht="14.25" x14ac:dyDescent="0.2">
      <c r="A270" s="1739"/>
      <c r="B270" s="1740"/>
      <c r="C270" s="552" t="s">
        <v>570</v>
      </c>
      <c r="D270" s="548" t="s">
        <v>143</v>
      </c>
      <c r="E270" s="435">
        <v>1127</v>
      </c>
      <c r="F270" s="435">
        <v>1127</v>
      </c>
      <c r="G270" s="435">
        <v>1127</v>
      </c>
      <c r="H270" s="706">
        <f>G270/F270*100</f>
        <v>100</v>
      </c>
    </row>
    <row r="271" spans="1:9" ht="15" thickBot="1" x14ac:dyDescent="0.25">
      <c r="A271" s="1739"/>
      <c r="B271" s="1740"/>
      <c r="C271" s="1187" t="s">
        <v>1426</v>
      </c>
      <c r="D271" s="1751" t="s">
        <v>1425</v>
      </c>
      <c r="E271" s="435"/>
      <c r="F271" s="435">
        <v>185</v>
      </c>
      <c r="G271" s="435">
        <v>185</v>
      </c>
      <c r="H271" s="706">
        <f>G271/F271*100</f>
        <v>100</v>
      </c>
    </row>
    <row r="272" spans="1:9" s="367" customFormat="1" ht="20.25" customHeight="1" thickTop="1" thickBot="1" x14ac:dyDescent="0.3">
      <c r="A272" s="708" t="s">
        <v>1105</v>
      </c>
      <c r="B272" s="709"/>
      <c r="C272" s="710"/>
      <c r="D272" s="711"/>
      <c r="E272" s="712">
        <f>SUM(E268)</f>
        <v>2408</v>
      </c>
      <c r="F272" s="712">
        <f>F268</f>
        <v>2577</v>
      </c>
      <c r="G272" s="712">
        <f>G268</f>
        <v>2577</v>
      </c>
      <c r="H272" s="767">
        <f>(G272/F272)*100</f>
        <v>100</v>
      </c>
    </row>
    <row r="273" spans="1:19" ht="15" thickTop="1" x14ac:dyDescent="0.2">
      <c r="H273" s="765"/>
    </row>
    <row r="274" spans="1:19" s="367" customFormat="1" ht="27.75" customHeight="1" thickBot="1" x14ac:dyDescent="0.3">
      <c r="A274" s="758" t="s">
        <v>481</v>
      </c>
      <c r="B274" s="725"/>
      <c r="C274" s="726"/>
      <c r="D274" s="727"/>
      <c r="E274" s="728">
        <f>SUM(E272)</f>
        <v>2408</v>
      </c>
      <c r="F274" s="728">
        <f>SUM(F272)</f>
        <v>2577</v>
      </c>
      <c r="G274" s="728">
        <f>SUM(G272)</f>
        <v>2577</v>
      </c>
      <c r="H274" s="759">
        <f>(G274/F274)*100</f>
        <v>100</v>
      </c>
    </row>
    <row r="275" spans="1:19" ht="13.5" thickTop="1" x14ac:dyDescent="0.2"/>
    <row r="278" spans="1:19" s="501" customFormat="1" ht="15.75" x14ac:dyDescent="0.25">
      <c r="A278" s="805" t="s">
        <v>1089</v>
      </c>
      <c r="B278" s="1483"/>
      <c r="C278" s="1483"/>
      <c r="D278" s="1483"/>
      <c r="E278" s="487"/>
      <c r="F278" s="487"/>
      <c r="G278" s="487"/>
      <c r="H278" s="789"/>
    </row>
    <row r="279" spans="1:19" ht="15" thickBot="1" x14ac:dyDescent="0.25">
      <c r="E279" s="1728"/>
      <c r="F279" s="1728"/>
      <c r="G279" s="1728"/>
      <c r="H279" s="1735" t="s">
        <v>161</v>
      </c>
    </row>
    <row r="280" spans="1:19" ht="14.25" thickTop="1" thickBot="1" x14ac:dyDescent="0.25">
      <c r="A280" s="631" t="s">
        <v>162</v>
      </c>
      <c r="B280" s="632" t="s">
        <v>163</v>
      </c>
      <c r="C280" s="670" t="s">
        <v>705</v>
      </c>
      <c r="D280" s="634" t="s">
        <v>164</v>
      </c>
      <c r="E280" s="634" t="s">
        <v>165</v>
      </c>
      <c r="F280" s="634" t="s">
        <v>881</v>
      </c>
      <c r="G280" s="634" t="s">
        <v>882</v>
      </c>
      <c r="H280" s="635" t="s">
        <v>883</v>
      </c>
    </row>
    <row r="281" spans="1:19" ht="14.25" thickTop="1" thickBot="1" x14ac:dyDescent="0.25">
      <c r="A281" s="566">
        <v>1</v>
      </c>
      <c r="B281" s="567">
        <v>2</v>
      </c>
      <c r="C281" s="567">
        <v>3</v>
      </c>
      <c r="D281" s="567">
        <v>4</v>
      </c>
      <c r="E281" s="567">
        <v>5</v>
      </c>
      <c r="F281" s="541">
        <v>6</v>
      </c>
      <c r="G281" s="541">
        <v>7</v>
      </c>
      <c r="H281" s="636" t="s">
        <v>61</v>
      </c>
    </row>
    <row r="282" spans="1:19" s="1056" customFormat="1" ht="15.75" thickTop="1" x14ac:dyDescent="0.25">
      <c r="A282" s="34">
        <v>3319</v>
      </c>
      <c r="B282" s="1088">
        <v>5331</v>
      </c>
      <c r="C282" s="122"/>
      <c r="D282" s="1080" t="s">
        <v>836</v>
      </c>
      <c r="E282" s="48">
        <f>E283</f>
        <v>285</v>
      </c>
      <c r="F282" s="1287">
        <v>0</v>
      </c>
      <c r="G282" s="315">
        <v>0</v>
      </c>
      <c r="H282" s="212">
        <v>0</v>
      </c>
    </row>
    <row r="283" spans="1:19" ht="15.75" thickBot="1" x14ac:dyDescent="0.3">
      <c r="A283" s="1345"/>
      <c r="B283" s="1080"/>
      <c r="C283" s="1069" t="s">
        <v>1426</v>
      </c>
      <c r="D283" s="85" t="s">
        <v>1425</v>
      </c>
      <c r="E283" s="55">
        <v>285</v>
      </c>
      <c r="F283" s="314">
        <v>0</v>
      </c>
      <c r="G283" s="316">
        <v>0</v>
      </c>
      <c r="H283" s="1074">
        <v>0</v>
      </c>
    </row>
    <row r="284" spans="1:19" s="795" customFormat="1" ht="20.25" customHeight="1" thickTop="1" thickBot="1" x14ac:dyDescent="0.3">
      <c r="A284" s="708" t="s">
        <v>1090</v>
      </c>
      <c r="B284" s="709"/>
      <c r="C284" s="710"/>
      <c r="D284" s="711"/>
      <c r="E284" s="720">
        <f>E282</f>
        <v>285</v>
      </c>
      <c r="F284" s="720">
        <f>SUM(F282)</f>
        <v>0</v>
      </c>
      <c r="G284" s="720">
        <f>SUM(G282)</f>
        <v>0</v>
      </c>
      <c r="H284" s="794">
        <f>SUM(H282)</f>
        <v>0</v>
      </c>
      <c r="J284" s="524"/>
      <c r="K284" s="524"/>
      <c r="L284" s="524"/>
      <c r="M284" s="523"/>
      <c r="S284" s="795">
        <v>0</v>
      </c>
    </row>
    <row r="285" spans="1:19" ht="13.5" thickTop="1" x14ac:dyDescent="0.2"/>
    <row r="287" spans="1:19" ht="16.5" x14ac:dyDescent="0.25">
      <c r="A287" s="361" t="s">
        <v>351</v>
      </c>
      <c r="B287" s="362"/>
      <c r="C287" s="363"/>
      <c r="D287" s="364"/>
      <c r="E287" s="583">
        <f>E288+E289+E290+E291</f>
        <v>61155</v>
      </c>
      <c r="F287" s="583">
        <f>F288+F289+F290+F291</f>
        <v>71181</v>
      </c>
      <c r="G287" s="583">
        <f>G288+G289+G290+G291</f>
        <v>71155</v>
      </c>
      <c r="H287" s="768">
        <f>H288</f>
        <v>99.962633477529778</v>
      </c>
    </row>
    <row r="288" spans="1:19" ht="15" x14ac:dyDescent="0.2">
      <c r="A288" s="555" t="s">
        <v>263</v>
      </c>
      <c r="B288" s="809"/>
      <c r="C288" s="1452"/>
      <c r="D288" s="810"/>
      <c r="E288" s="588">
        <f>J129</f>
        <v>61155</v>
      </c>
      <c r="F288" s="588">
        <f>K129</f>
        <v>69581</v>
      </c>
      <c r="G288" s="588">
        <f>L129</f>
        <v>69555</v>
      </c>
      <c r="H288" s="605">
        <f>G288/F288*100</f>
        <v>99.962633477529778</v>
      </c>
    </row>
    <row r="289" spans="1:13" ht="15" x14ac:dyDescent="0.2">
      <c r="A289" s="555" t="s">
        <v>264</v>
      </c>
      <c r="B289" s="1453"/>
      <c r="C289" s="1452"/>
      <c r="D289" s="1454"/>
      <c r="E289" s="588">
        <f>E149</f>
        <v>0</v>
      </c>
      <c r="F289" s="588">
        <f>F149</f>
        <v>1600</v>
      </c>
      <c r="G289" s="588">
        <f>G149</f>
        <v>1600</v>
      </c>
      <c r="H289" s="605">
        <f>G289/F289*100</f>
        <v>100</v>
      </c>
    </row>
    <row r="290" spans="1:13" ht="15" x14ac:dyDescent="0.2">
      <c r="A290" s="555" t="s">
        <v>208</v>
      </c>
      <c r="B290" s="1453"/>
      <c r="C290" s="1452"/>
      <c r="D290" s="1454"/>
      <c r="E290" s="588">
        <v>0</v>
      </c>
      <c r="F290" s="588">
        <v>0</v>
      </c>
      <c r="G290" s="588">
        <v>0</v>
      </c>
      <c r="H290" s="769">
        <v>0</v>
      </c>
    </row>
    <row r="291" spans="1:13" ht="15" x14ac:dyDescent="0.2">
      <c r="A291" s="555" t="s">
        <v>1147</v>
      </c>
      <c r="B291" s="1453"/>
      <c r="C291" s="1452"/>
      <c r="D291" s="1454"/>
      <c r="E291" s="588">
        <v>0</v>
      </c>
      <c r="F291" s="588">
        <v>0</v>
      </c>
      <c r="G291" s="588">
        <v>0</v>
      </c>
      <c r="H291" s="769">
        <v>0</v>
      </c>
    </row>
    <row r="292" spans="1:13" ht="15" x14ac:dyDescent="0.2">
      <c r="A292" s="555"/>
      <c r="B292" s="1453"/>
      <c r="C292" s="1452"/>
      <c r="D292" s="1454"/>
    </row>
    <row r="293" spans="1:13" ht="16.5" x14ac:dyDescent="0.25">
      <c r="A293" s="741" t="s">
        <v>265</v>
      </c>
      <c r="B293" s="1453"/>
      <c r="C293" s="1452"/>
      <c r="D293" s="1454"/>
      <c r="E293" s="583">
        <f>E294+E295+E296+E297</f>
        <v>123966</v>
      </c>
      <c r="F293" s="583">
        <f>F294+F295+F296+F297</f>
        <v>127340</v>
      </c>
      <c r="G293" s="583">
        <f>G294+G295+G296+G297</f>
        <v>127329</v>
      </c>
      <c r="H293" s="625">
        <f>G293/F293*100</f>
        <v>99.991361708811056</v>
      </c>
    </row>
    <row r="294" spans="1:13" ht="15" x14ac:dyDescent="0.2">
      <c r="A294" s="555" t="s">
        <v>1148</v>
      </c>
      <c r="B294" s="1453"/>
      <c r="C294" s="1452"/>
      <c r="D294" s="1454"/>
      <c r="E294" s="588">
        <f>E170+E191+E210+E226+E242+E258+E272-E296+E284</f>
        <v>123966</v>
      </c>
      <c r="F294" s="588">
        <f>F170+F191+F210+F226+F242+F258+F272-F296+F284</f>
        <v>126521</v>
      </c>
      <c r="G294" s="588">
        <f>G170+G191+G210+G226+G242+G258+G272-G296+G284</f>
        <v>126510</v>
      </c>
      <c r="H294" s="605">
        <f>G294/F294*100</f>
        <v>99.991305791133485</v>
      </c>
      <c r="J294" s="382"/>
      <c r="K294" s="382"/>
      <c r="L294" s="382"/>
    </row>
    <row r="295" spans="1:13" ht="15" x14ac:dyDescent="0.2">
      <c r="A295" s="555" t="s">
        <v>1149</v>
      </c>
      <c r="B295" s="1453"/>
      <c r="C295" s="1452"/>
      <c r="D295" s="1454"/>
      <c r="E295" s="588">
        <f>E194</f>
        <v>0</v>
      </c>
      <c r="F295" s="588">
        <f>F194</f>
        <v>200</v>
      </c>
      <c r="G295" s="588">
        <f>G194</f>
        <v>200</v>
      </c>
      <c r="H295" s="605">
        <f>G295/F295*100</f>
        <v>100</v>
      </c>
    </row>
    <row r="296" spans="1:13" ht="15" x14ac:dyDescent="0.2">
      <c r="A296" s="555" t="s">
        <v>208</v>
      </c>
      <c r="E296" s="588">
        <v>0</v>
      </c>
      <c r="F296" s="588">
        <f>F168+F169+F190+F257+F241+F189</f>
        <v>619</v>
      </c>
      <c r="G296" s="588">
        <f>G168+G169+G190+G257+G241+G189</f>
        <v>619</v>
      </c>
      <c r="H296" s="605">
        <f>G296/F296*100</f>
        <v>100</v>
      </c>
      <c r="K296" s="382">
        <f>F296+F297</f>
        <v>619</v>
      </c>
      <c r="L296" s="382">
        <f>G296+G297</f>
        <v>619</v>
      </c>
      <c r="M296" s="381" t="s">
        <v>589</v>
      </c>
    </row>
    <row r="297" spans="1:13" ht="15" x14ac:dyDescent="0.2">
      <c r="A297" s="555" t="s">
        <v>1147</v>
      </c>
      <c r="E297" s="588">
        <v>0</v>
      </c>
      <c r="F297" s="588">
        <v>0</v>
      </c>
      <c r="G297" s="588">
        <v>0</v>
      </c>
      <c r="H297" s="605">
        <v>0</v>
      </c>
      <c r="K297" s="382"/>
    </row>
    <row r="298" spans="1:13" x14ac:dyDescent="0.2">
      <c r="K298" s="382"/>
    </row>
    <row r="301" spans="1:13" s="58" customFormat="1" ht="47.25" customHeight="1" thickBot="1" x14ac:dyDescent="0.4">
      <c r="A301" s="2713" t="s">
        <v>1154</v>
      </c>
      <c r="B301" s="2714"/>
      <c r="C301" s="2714"/>
      <c r="D301" s="2714"/>
      <c r="E301" s="659">
        <f>E287+E293</f>
        <v>185121</v>
      </c>
      <c r="F301" s="659">
        <f>F287+F293</f>
        <v>198521</v>
      </c>
      <c r="G301" s="659">
        <f>G287+G293</f>
        <v>198484</v>
      </c>
      <c r="H301" s="660">
        <f>(G301/F301)*100</f>
        <v>99.981362173271336</v>
      </c>
    </row>
    <row r="302" spans="1:13" ht="13.5" thickTop="1" x14ac:dyDescent="0.2"/>
  </sheetData>
  <mergeCells count="1">
    <mergeCell ref="A301:D301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108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 enableFormatConditionsCalculation="0">
    <tabColor rgb="FFFF0000"/>
  </sheetPr>
  <dimension ref="A1:S173"/>
  <sheetViews>
    <sheetView showGridLines="0" view="pageBreakPreview" topLeftCell="A145" zoomScaleNormal="100" zoomScaleSheetLayoutView="100" workbookViewId="0">
      <selection activeCell="I10" sqref="I10"/>
    </sheetView>
  </sheetViews>
  <sheetFormatPr defaultRowHeight="14.25" x14ac:dyDescent="0.2"/>
  <cols>
    <col min="1" max="2" width="4.7109375" style="1730" customWidth="1"/>
    <col min="3" max="3" width="9" style="663" customWidth="1"/>
    <col min="4" max="4" width="45.85546875" style="381" customWidth="1"/>
    <col min="5" max="6" width="14.5703125" style="382" customWidth="1"/>
    <col min="7" max="7" width="14.85546875" style="382" customWidth="1"/>
    <col min="8" max="8" width="8.42578125" style="2455" customWidth="1"/>
    <col min="9" max="9" width="9.140625" style="381"/>
    <col min="10" max="10" width="11" style="523" bestFit="1" customWidth="1"/>
    <col min="11" max="11" width="11" style="523" customWidth="1"/>
    <col min="12" max="12" width="11.5703125" style="523" customWidth="1"/>
    <col min="13" max="13" width="10" style="523" bestFit="1" customWidth="1"/>
    <col min="14" max="15" width="9.140625" style="523"/>
    <col min="16" max="18" width="9.140625" style="381"/>
    <col min="19" max="19" width="9.28515625" style="381" bestFit="1" customWidth="1"/>
    <col min="20" max="16384" width="9.140625" style="381"/>
  </cols>
  <sheetData>
    <row r="1" spans="1:15" s="662" customFormat="1" ht="18.75" thickBot="1" x14ac:dyDescent="0.3">
      <c r="A1" s="477" t="s">
        <v>1185</v>
      </c>
      <c r="B1" s="478"/>
      <c r="C1" s="479"/>
      <c r="D1" s="480"/>
      <c r="E1" s="481"/>
      <c r="F1" s="481" t="s">
        <v>85</v>
      </c>
      <c r="G1" s="482"/>
      <c r="H1" s="1460"/>
      <c r="J1" s="523"/>
      <c r="K1" s="523"/>
      <c r="L1" s="523"/>
      <c r="M1" s="523"/>
      <c r="N1" s="523"/>
      <c r="O1" s="523"/>
    </row>
    <row r="2" spans="1:15" x14ac:dyDescent="0.2">
      <c r="A2" s="1729"/>
    </row>
    <row r="3" spans="1:15" s="523" customFormat="1" x14ac:dyDescent="0.2">
      <c r="A3" s="1731" t="s">
        <v>367</v>
      </c>
      <c r="B3" s="1732"/>
      <c r="C3" s="2718" t="s">
        <v>1662</v>
      </c>
      <c r="D3" s="2719"/>
      <c r="E3" s="524"/>
      <c r="F3" s="524"/>
      <c r="G3" s="524"/>
      <c r="H3" s="2467"/>
    </row>
    <row r="4" spans="1:15" x14ac:dyDescent="0.2">
      <c r="A4" s="1729"/>
      <c r="C4" s="1731" t="s">
        <v>1663</v>
      </c>
      <c r="D4" s="1732"/>
      <c r="E4" s="2468"/>
      <c r="F4" s="381"/>
    </row>
    <row r="5" spans="1:15" ht="12.75" customHeight="1" x14ac:dyDescent="0.2">
      <c r="A5" s="1729"/>
      <c r="C5" s="2468"/>
    </row>
    <row r="6" spans="1:15" ht="15.75" x14ac:dyDescent="0.25">
      <c r="A6" s="669" t="s">
        <v>884</v>
      </c>
    </row>
    <row r="7" spans="1:15" ht="15" thickBot="1" x14ac:dyDescent="0.25">
      <c r="H7" s="2455" t="s">
        <v>161</v>
      </c>
    </row>
    <row r="8" spans="1:15" s="107" customFormat="1" ht="20.25" customHeight="1" thickTop="1" thickBot="1" x14ac:dyDescent="0.25">
      <c r="A8" s="631" t="s">
        <v>162</v>
      </c>
      <c r="B8" s="632" t="s">
        <v>163</v>
      </c>
      <c r="C8" s="670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1461" t="s">
        <v>883</v>
      </c>
      <c r="J8" s="671"/>
      <c r="K8" s="671"/>
      <c r="L8" s="671"/>
      <c r="M8" s="671"/>
      <c r="N8" s="671"/>
      <c r="O8" s="671"/>
    </row>
    <row r="9" spans="1:15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1462" t="s">
        <v>61</v>
      </c>
      <c r="I9" s="107"/>
    </row>
    <row r="10" spans="1:15" s="1056" customFormat="1" ht="15.75" thickTop="1" x14ac:dyDescent="0.25">
      <c r="A10" s="222">
        <v>3513</v>
      </c>
      <c r="B10" s="241">
        <v>5169</v>
      </c>
      <c r="C10" s="1191"/>
      <c r="D10" s="1189" t="s">
        <v>852</v>
      </c>
      <c r="E10" s="88">
        <f>E11+E12</f>
        <v>9938</v>
      </c>
      <c r="F10" s="88">
        <f>F11+F12</f>
        <v>9929</v>
      </c>
      <c r="G10" s="88">
        <f>G11+G12</f>
        <v>9906</v>
      </c>
      <c r="H10" s="240">
        <f>G10/F10*100</f>
        <v>99.76835532279182</v>
      </c>
    </row>
    <row r="11" spans="1:15" s="1056" customFormat="1" x14ac:dyDescent="0.2">
      <c r="A11" s="50"/>
      <c r="B11" s="31"/>
      <c r="C11" s="1084" t="s">
        <v>144</v>
      </c>
      <c r="D11" s="1063" t="s">
        <v>145</v>
      </c>
      <c r="E11" s="55">
        <v>9597</v>
      </c>
      <c r="F11" s="314">
        <v>9597</v>
      </c>
      <c r="G11" s="316">
        <v>9597</v>
      </c>
      <c r="H11" s="1074">
        <f t="shared" ref="H11:H33" si="0">(G11/F11)*100</f>
        <v>100</v>
      </c>
    </row>
    <row r="12" spans="1:15" s="1056" customFormat="1" x14ac:dyDescent="0.2">
      <c r="A12" s="50"/>
      <c r="B12" s="31"/>
      <c r="C12" s="1084" t="s">
        <v>146</v>
      </c>
      <c r="D12" s="1063" t="s">
        <v>147</v>
      </c>
      <c r="E12" s="55">
        <v>341</v>
      </c>
      <c r="F12" s="314">
        <v>332</v>
      </c>
      <c r="G12" s="316">
        <v>309</v>
      </c>
      <c r="H12" s="1074">
        <f t="shared" si="0"/>
        <v>93.07228915662651</v>
      </c>
    </row>
    <row r="13" spans="1:15" s="1056" customFormat="1" ht="15" x14ac:dyDescent="0.25">
      <c r="A13" s="50">
        <v>3522</v>
      </c>
      <c r="B13" s="31">
        <v>5169</v>
      </c>
      <c r="C13" s="1115"/>
      <c r="D13" s="87" t="s">
        <v>852</v>
      </c>
      <c r="E13" s="71">
        <v>6099</v>
      </c>
      <c r="F13" s="315">
        <f>F15+F14</f>
        <v>6105</v>
      </c>
      <c r="G13" s="315">
        <f>G15+G14</f>
        <v>6105</v>
      </c>
      <c r="H13" s="212">
        <f t="shared" si="0"/>
        <v>100</v>
      </c>
    </row>
    <row r="14" spans="1:15" s="1056" customFormat="1" ht="15" x14ac:dyDescent="0.25">
      <c r="A14" s="50"/>
      <c r="B14" s="31"/>
      <c r="C14" s="1069" t="s">
        <v>812</v>
      </c>
      <c r="D14" s="1064" t="s">
        <v>813</v>
      </c>
      <c r="E14" s="71"/>
      <c r="F14" s="314">
        <v>6</v>
      </c>
      <c r="G14" s="316">
        <v>6</v>
      </c>
      <c r="H14" s="1074">
        <f t="shared" si="0"/>
        <v>100</v>
      </c>
    </row>
    <row r="15" spans="1:15" s="1056" customFormat="1" x14ac:dyDescent="0.2">
      <c r="A15" s="50"/>
      <c r="B15" s="31"/>
      <c r="C15" s="1084" t="s">
        <v>148</v>
      </c>
      <c r="D15" s="1063" t="s">
        <v>149</v>
      </c>
      <c r="E15" s="55">
        <v>6099</v>
      </c>
      <c r="F15" s="314">
        <v>6099</v>
      </c>
      <c r="G15" s="316">
        <v>6099</v>
      </c>
      <c r="H15" s="1074">
        <f t="shared" si="0"/>
        <v>100</v>
      </c>
    </row>
    <row r="16" spans="1:15" s="1056" customFormat="1" ht="15" x14ac:dyDescent="0.25">
      <c r="A16" s="50">
        <v>3522</v>
      </c>
      <c r="B16" s="31">
        <v>5171</v>
      </c>
      <c r="C16" s="1084"/>
      <c r="D16" s="87" t="s">
        <v>896</v>
      </c>
      <c r="E16" s="55"/>
      <c r="F16" s="313">
        <v>1059</v>
      </c>
      <c r="G16" s="315">
        <v>1059</v>
      </c>
      <c r="H16" s="212">
        <f t="shared" si="0"/>
        <v>100</v>
      </c>
    </row>
    <row r="17" spans="1:8" s="1056" customFormat="1" x14ac:dyDescent="0.2">
      <c r="A17" s="50"/>
      <c r="B17" s="31"/>
      <c r="C17" s="1069" t="s">
        <v>812</v>
      </c>
      <c r="D17" s="1064" t="s">
        <v>813</v>
      </c>
      <c r="E17" s="55"/>
      <c r="F17" s="314">
        <v>1059</v>
      </c>
      <c r="G17" s="316">
        <v>1059</v>
      </c>
      <c r="H17" s="1074">
        <f t="shared" si="0"/>
        <v>100</v>
      </c>
    </row>
    <row r="18" spans="1:8" s="1056" customFormat="1" ht="15" x14ac:dyDescent="0.25">
      <c r="A18" s="50">
        <v>3522</v>
      </c>
      <c r="B18" s="31">
        <v>5213</v>
      </c>
      <c r="C18" s="1069"/>
      <c r="D18" s="2668" t="s">
        <v>223</v>
      </c>
      <c r="E18" s="55"/>
      <c r="F18" s="313">
        <v>25</v>
      </c>
      <c r="G18" s="315">
        <v>25</v>
      </c>
      <c r="H18" s="212">
        <f t="shared" si="0"/>
        <v>100</v>
      </c>
    </row>
    <row r="19" spans="1:8" s="1056" customFormat="1" x14ac:dyDescent="0.2">
      <c r="A19" s="50"/>
      <c r="B19" s="31"/>
      <c r="C19" s="1069"/>
      <c r="D19" s="2668"/>
      <c r="E19" s="55"/>
      <c r="F19" s="314">
        <v>25</v>
      </c>
      <c r="G19" s="316">
        <v>25</v>
      </c>
      <c r="H19" s="1074">
        <f t="shared" si="0"/>
        <v>100</v>
      </c>
    </row>
    <row r="20" spans="1:8" s="1056" customFormat="1" x14ac:dyDescent="0.2">
      <c r="A20" s="50"/>
      <c r="B20" s="31"/>
      <c r="C20" s="1084" t="s">
        <v>1202</v>
      </c>
      <c r="D20" s="1063" t="s">
        <v>1635</v>
      </c>
      <c r="E20" s="55"/>
      <c r="F20" s="314"/>
      <c r="G20" s="316"/>
      <c r="H20" s="1074"/>
    </row>
    <row r="21" spans="1:8" s="1056" customFormat="1" ht="15" x14ac:dyDescent="0.25">
      <c r="A21" s="50">
        <v>3532</v>
      </c>
      <c r="B21" s="31">
        <v>5169</v>
      </c>
      <c r="C21" s="1084"/>
      <c r="D21" s="87" t="s">
        <v>852</v>
      </c>
      <c r="E21" s="71">
        <v>20</v>
      </c>
      <c r="F21" s="313">
        <v>20</v>
      </c>
      <c r="G21" s="315">
        <v>16</v>
      </c>
      <c r="H21" s="212">
        <f t="shared" si="0"/>
        <v>80</v>
      </c>
    </row>
    <row r="22" spans="1:8" s="1056" customFormat="1" ht="15" x14ac:dyDescent="0.25">
      <c r="A22" s="50">
        <v>3541</v>
      </c>
      <c r="B22" s="31">
        <v>5221</v>
      </c>
      <c r="C22" s="1084"/>
      <c r="D22" s="1143" t="s">
        <v>1197</v>
      </c>
      <c r="E22" s="71">
        <v>250</v>
      </c>
      <c r="F22" s="313">
        <v>1315</v>
      </c>
      <c r="G22" s="315">
        <v>1315</v>
      </c>
      <c r="H22" s="212">
        <f t="shared" si="0"/>
        <v>100</v>
      </c>
    </row>
    <row r="23" spans="1:8" s="1056" customFormat="1" x14ac:dyDescent="0.2">
      <c r="A23" s="50"/>
      <c r="B23" s="31"/>
      <c r="C23" s="1084" t="s">
        <v>150</v>
      </c>
      <c r="D23" s="1063" t="s">
        <v>151</v>
      </c>
      <c r="E23" s="55">
        <v>250</v>
      </c>
      <c r="F23" s="314">
        <v>1315</v>
      </c>
      <c r="G23" s="316">
        <v>1315</v>
      </c>
      <c r="H23" s="1074">
        <f t="shared" si="0"/>
        <v>100</v>
      </c>
    </row>
    <row r="24" spans="1:8" s="1056" customFormat="1" ht="15.75" customHeight="1" x14ac:dyDescent="0.25">
      <c r="A24" s="50">
        <v>3541</v>
      </c>
      <c r="B24" s="31">
        <v>5222</v>
      </c>
      <c r="C24" s="1084"/>
      <c r="D24" s="87" t="s">
        <v>610</v>
      </c>
      <c r="E24" s="71">
        <v>2250</v>
      </c>
      <c r="F24" s="313">
        <v>1185</v>
      </c>
      <c r="G24" s="315">
        <v>1185</v>
      </c>
      <c r="H24" s="212">
        <f t="shared" si="0"/>
        <v>100</v>
      </c>
    </row>
    <row r="25" spans="1:8" s="1056" customFormat="1" ht="15.75" customHeight="1" x14ac:dyDescent="0.2">
      <c r="A25" s="50"/>
      <c r="B25" s="31"/>
      <c r="C25" s="1084" t="s">
        <v>150</v>
      </c>
      <c r="D25" s="1063" t="s">
        <v>151</v>
      </c>
      <c r="E25" s="55">
        <v>2250</v>
      </c>
      <c r="F25" s="314">
        <v>1185</v>
      </c>
      <c r="G25" s="316">
        <v>1185</v>
      </c>
      <c r="H25" s="1074">
        <f t="shared" si="0"/>
        <v>100</v>
      </c>
    </row>
    <row r="26" spans="1:8" s="1056" customFormat="1" ht="15.75" customHeight="1" x14ac:dyDescent="0.25">
      <c r="A26" s="50">
        <v>3543</v>
      </c>
      <c r="B26" s="31">
        <v>5222</v>
      </c>
      <c r="C26" s="1084"/>
      <c r="D26" s="87" t="s">
        <v>610</v>
      </c>
      <c r="E26" s="55"/>
      <c r="F26" s="315">
        <f>F27+F28</f>
        <v>175</v>
      </c>
      <c r="G26" s="315">
        <f>G27+G28</f>
        <v>175</v>
      </c>
      <c r="H26" s="212">
        <f t="shared" si="0"/>
        <v>100</v>
      </c>
    </row>
    <row r="27" spans="1:8" s="1056" customFormat="1" ht="15.75" customHeight="1" x14ac:dyDescent="0.2">
      <c r="A27" s="50"/>
      <c r="B27" s="31"/>
      <c r="C27" s="1084" t="s">
        <v>249</v>
      </c>
      <c r="D27" s="1063" t="s">
        <v>318</v>
      </c>
      <c r="E27" s="55"/>
      <c r="F27" s="314">
        <v>100</v>
      </c>
      <c r="G27" s="316">
        <v>100</v>
      </c>
      <c r="H27" s="1074">
        <f t="shared" si="0"/>
        <v>100</v>
      </c>
    </row>
    <row r="28" spans="1:8" s="1056" customFormat="1" ht="15.75" customHeight="1" x14ac:dyDescent="0.2">
      <c r="A28" s="50"/>
      <c r="B28" s="31"/>
      <c r="C28" s="1084" t="s">
        <v>1202</v>
      </c>
      <c r="D28" s="1063" t="s">
        <v>1635</v>
      </c>
      <c r="E28" s="55"/>
      <c r="F28" s="314">
        <v>75</v>
      </c>
      <c r="G28" s="316">
        <v>75</v>
      </c>
      <c r="H28" s="1074">
        <f t="shared" si="0"/>
        <v>100</v>
      </c>
    </row>
    <row r="29" spans="1:8" s="1056" customFormat="1" ht="15.75" customHeight="1" x14ac:dyDescent="0.25">
      <c r="A29" s="50">
        <v>3543</v>
      </c>
      <c r="B29" s="31">
        <v>5229</v>
      </c>
      <c r="C29" s="1084"/>
      <c r="D29" s="2668" t="s">
        <v>969</v>
      </c>
      <c r="E29" s="55"/>
      <c r="F29" s="313">
        <v>25</v>
      </c>
      <c r="G29" s="315">
        <v>25</v>
      </c>
      <c r="H29" s="212">
        <f t="shared" si="0"/>
        <v>100</v>
      </c>
    </row>
    <row r="30" spans="1:8" s="1056" customFormat="1" ht="15.75" customHeight="1" x14ac:dyDescent="0.2">
      <c r="A30" s="50"/>
      <c r="B30" s="31"/>
      <c r="C30" s="1084"/>
      <c r="D30" s="2633"/>
      <c r="E30" s="55"/>
      <c r="F30" s="314"/>
      <c r="G30" s="316"/>
      <c r="H30" s="1074"/>
    </row>
    <row r="31" spans="1:8" s="1056" customFormat="1" ht="15.75" customHeight="1" x14ac:dyDescent="0.2">
      <c r="A31" s="50"/>
      <c r="B31" s="31"/>
      <c r="C31" s="1084" t="s">
        <v>1202</v>
      </c>
      <c r="D31" s="1063" t="s">
        <v>1635</v>
      </c>
      <c r="E31" s="55"/>
      <c r="F31" s="314">
        <v>25</v>
      </c>
      <c r="G31" s="316">
        <v>25</v>
      </c>
      <c r="H31" s="1074">
        <f t="shared" si="0"/>
        <v>100</v>
      </c>
    </row>
    <row r="32" spans="1:8" s="1056" customFormat="1" ht="15" x14ac:dyDescent="0.25">
      <c r="A32" s="50">
        <v>3544</v>
      </c>
      <c r="B32" s="31">
        <v>5169</v>
      </c>
      <c r="C32" s="122"/>
      <c r="D32" s="87" t="s">
        <v>852</v>
      </c>
      <c r="E32" s="71">
        <v>94</v>
      </c>
      <c r="F32" s="313">
        <v>12</v>
      </c>
      <c r="G32" s="315">
        <v>12</v>
      </c>
      <c r="H32" s="212">
        <f t="shared" si="0"/>
        <v>100</v>
      </c>
    </row>
    <row r="33" spans="1:8" s="1056" customFormat="1" x14ac:dyDescent="0.2">
      <c r="A33" s="50"/>
      <c r="B33" s="31"/>
      <c r="C33" s="1084" t="s">
        <v>152</v>
      </c>
      <c r="D33" s="312" t="s">
        <v>153</v>
      </c>
      <c r="E33" s="55">
        <v>94</v>
      </c>
      <c r="F33" s="314">
        <v>12</v>
      </c>
      <c r="G33" s="316">
        <v>12</v>
      </c>
      <c r="H33" s="1074">
        <f t="shared" si="0"/>
        <v>100</v>
      </c>
    </row>
    <row r="34" spans="1:8" s="1056" customFormat="1" ht="15" x14ac:dyDescent="0.25">
      <c r="A34" s="50">
        <v>3544</v>
      </c>
      <c r="B34" s="31">
        <v>5311</v>
      </c>
      <c r="C34" s="1084"/>
      <c r="D34" s="309" t="s">
        <v>1869</v>
      </c>
      <c r="E34" s="55"/>
      <c r="F34" s="313">
        <v>82</v>
      </c>
      <c r="G34" s="315">
        <v>82</v>
      </c>
      <c r="H34" s="212">
        <f t="shared" ref="H34:H35" si="1">(G34/F34)*100</f>
        <v>100</v>
      </c>
    </row>
    <row r="35" spans="1:8" s="1056" customFormat="1" x14ac:dyDescent="0.2">
      <c r="A35" s="50"/>
      <c r="B35" s="31"/>
      <c r="C35" s="1084" t="s">
        <v>152</v>
      </c>
      <c r="D35" s="312" t="s">
        <v>153</v>
      </c>
      <c r="E35" s="55"/>
      <c r="F35" s="314">
        <v>82</v>
      </c>
      <c r="G35" s="316">
        <v>82</v>
      </c>
      <c r="H35" s="1074">
        <f t="shared" si="1"/>
        <v>100</v>
      </c>
    </row>
    <row r="36" spans="1:8" s="1056" customFormat="1" ht="15" x14ac:dyDescent="0.25">
      <c r="A36" s="50">
        <v>3592</v>
      </c>
      <c r="B36" s="31">
        <v>5212</v>
      </c>
      <c r="C36" s="1084"/>
      <c r="D36" s="379" t="s">
        <v>674</v>
      </c>
      <c r="E36" s="71">
        <v>100</v>
      </c>
      <c r="F36" s="313">
        <v>0</v>
      </c>
      <c r="G36" s="315">
        <v>0</v>
      </c>
      <c r="H36" s="212">
        <v>0</v>
      </c>
    </row>
    <row r="37" spans="1:8" s="1056" customFormat="1" x14ac:dyDescent="0.2">
      <c r="A37" s="50"/>
      <c r="B37" s="31"/>
      <c r="C37" s="1084" t="s">
        <v>1428</v>
      </c>
      <c r="D37" s="312" t="s">
        <v>1427</v>
      </c>
      <c r="E37" s="55">
        <v>100</v>
      </c>
      <c r="F37" s="314">
        <v>0</v>
      </c>
      <c r="G37" s="316">
        <v>0</v>
      </c>
      <c r="H37" s="1074">
        <v>0</v>
      </c>
    </row>
    <row r="38" spans="1:8" s="1056" customFormat="1" ht="15" customHeight="1" x14ac:dyDescent="0.25">
      <c r="A38" s="50">
        <v>3592</v>
      </c>
      <c r="B38" s="31">
        <v>5213</v>
      </c>
      <c r="C38" s="1084"/>
      <c r="D38" s="2668" t="s">
        <v>223</v>
      </c>
      <c r="E38" s="55"/>
      <c r="F38" s="313"/>
      <c r="G38" s="315"/>
      <c r="H38" s="212"/>
    </row>
    <row r="39" spans="1:8" s="1056" customFormat="1" ht="15" x14ac:dyDescent="0.25">
      <c r="A39" s="50"/>
      <c r="B39" s="31"/>
      <c r="C39" s="1084"/>
      <c r="D39" s="2668"/>
      <c r="E39" s="71">
        <v>400</v>
      </c>
      <c r="F39" s="313">
        <v>275</v>
      </c>
      <c r="G39" s="315">
        <v>0</v>
      </c>
      <c r="H39" s="212">
        <f>(G39/F39)*100</f>
        <v>0</v>
      </c>
    </row>
    <row r="40" spans="1:8" s="1056" customFormat="1" x14ac:dyDescent="0.2">
      <c r="A40" s="50"/>
      <c r="B40" s="31"/>
      <c r="C40" s="1084" t="s">
        <v>1428</v>
      </c>
      <c r="D40" s="312" t="s">
        <v>1427</v>
      </c>
      <c r="E40" s="55">
        <v>400</v>
      </c>
      <c r="F40" s="314">
        <v>275</v>
      </c>
      <c r="G40" s="316">
        <v>0</v>
      </c>
      <c r="H40" s="1074">
        <f>(G40/F40)*100</f>
        <v>0</v>
      </c>
    </row>
    <row r="41" spans="1:8" s="1056" customFormat="1" ht="15" x14ac:dyDescent="0.25">
      <c r="A41" s="50">
        <v>3599</v>
      </c>
      <c r="B41" s="31">
        <v>5166</v>
      </c>
      <c r="C41" s="1084"/>
      <c r="D41" s="309" t="s">
        <v>609</v>
      </c>
      <c r="E41" s="71">
        <v>40</v>
      </c>
      <c r="F41" s="313">
        <v>20</v>
      </c>
      <c r="G41" s="315">
        <v>10</v>
      </c>
      <c r="H41" s="212">
        <f t="shared" ref="H41:H52" si="2">(G41/F41)*100</f>
        <v>50</v>
      </c>
    </row>
    <row r="42" spans="1:8" s="1056" customFormat="1" ht="15" x14ac:dyDescent="0.25">
      <c r="A42" s="50">
        <v>3599</v>
      </c>
      <c r="B42" s="19">
        <v>5169</v>
      </c>
      <c r="C42" s="1115"/>
      <c r="D42" s="87" t="s">
        <v>852</v>
      </c>
      <c r="E42" s="71">
        <f>E43+E44</f>
        <v>600</v>
      </c>
      <c r="F42" s="71">
        <f>F43+F44</f>
        <v>2432</v>
      </c>
      <c r="G42" s="71">
        <f>G43+G44</f>
        <v>2432</v>
      </c>
      <c r="H42" s="212">
        <f t="shared" si="2"/>
        <v>100</v>
      </c>
    </row>
    <row r="43" spans="1:8" s="1056" customFormat="1" x14ac:dyDescent="0.2">
      <c r="A43" s="50"/>
      <c r="B43" s="19"/>
      <c r="C43" s="1069" t="s">
        <v>1018</v>
      </c>
      <c r="D43" s="1091" t="s">
        <v>154</v>
      </c>
      <c r="E43" s="55">
        <v>100</v>
      </c>
      <c r="F43" s="314">
        <v>513</v>
      </c>
      <c r="G43" s="316">
        <v>513</v>
      </c>
      <c r="H43" s="1074">
        <f t="shared" si="2"/>
        <v>100</v>
      </c>
    </row>
    <row r="44" spans="1:8" s="1056" customFormat="1" x14ac:dyDescent="0.2">
      <c r="A44" s="50"/>
      <c r="B44" s="19"/>
      <c r="C44" s="1069" t="s">
        <v>1019</v>
      </c>
      <c r="D44" s="1190" t="s">
        <v>525</v>
      </c>
      <c r="E44" s="55">
        <v>500</v>
      </c>
      <c r="F44" s="314">
        <v>1919</v>
      </c>
      <c r="G44" s="316">
        <v>1919</v>
      </c>
      <c r="H44" s="1074">
        <f t="shared" si="2"/>
        <v>100</v>
      </c>
    </row>
    <row r="45" spans="1:8" s="1056" customFormat="1" ht="15" x14ac:dyDescent="0.25">
      <c r="A45" s="50">
        <v>3599</v>
      </c>
      <c r="B45" s="19">
        <v>5213</v>
      </c>
      <c r="C45" s="1069"/>
      <c r="D45" s="2668" t="s">
        <v>223</v>
      </c>
      <c r="E45" s="55"/>
      <c r="F45" s="313">
        <v>250</v>
      </c>
      <c r="G45" s="315">
        <v>250</v>
      </c>
      <c r="H45" s="212">
        <f t="shared" si="2"/>
        <v>100</v>
      </c>
    </row>
    <row r="46" spans="1:8" s="1056" customFormat="1" x14ac:dyDescent="0.2">
      <c r="A46" s="50"/>
      <c r="B46" s="19"/>
      <c r="C46" s="1069"/>
      <c r="D46" s="2668"/>
      <c r="E46" s="55"/>
      <c r="F46" s="314"/>
      <c r="G46" s="316"/>
      <c r="H46" s="1074"/>
    </row>
    <row r="47" spans="1:8" s="1056" customFormat="1" x14ac:dyDescent="0.2">
      <c r="A47" s="50"/>
      <c r="B47" s="19"/>
      <c r="C47" s="1084" t="s">
        <v>249</v>
      </c>
      <c r="D47" s="1063" t="s">
        <v>318</v>
      </c>
      <c r="E47" s="55"/>
      <c r="F47" s="314">
        <v>250</v>
      </c>
      <c r="G47" s="316">
        <v>250</v>
      </c>
      <c r="H47" s="1074">
        <f t="shared" si="2"/>
        <v>100</v>
      </c>
    </row>
    <row r="48" spans="1:8" s="1056" customFormat="1" ht="15" x14ac:dyDescent="0.25">
      <c r="A48" s="50">
        <v>3599</v>
      </c>
      <c r="B48" s="19">
        <v>5221</v>
      </c>
      <c r="C48" s="1069"/>
      <c r="D48" s="1143" t="s">
        <v>1197</v>
      </c>
      <c r="E48" s="71">
        <v>250</v>
      </c>
      <c r="F48" s="313">
        <v>250</v>
      </c>
      <c r="G48" s="315">
        <v>250</v>
      </c>
      <c r="H48" s="212">
        <f t="shared" si="2"/>
        <v>100</v>
      </c>
    </row>
    <row r="49" spans="1:19" s="1056" customFormat="1" x14ac:dyDescent="0.2">
      <c r="A49" s="50"/>
      <c r="B49" s="19"/>
      <c r="C49" s="1084" t="s">
        <v>249</v>
      </c>
      <c r="D49" s="1063" t="s">
        <v>318</v>
      </c>
      <c r="E49" s="55">
        <v>250</v>
      </c>
      <c r="F49" s="314">
        <v>250</v>
      </c>
      <c r="G49" s="316">
        <v>250</v>
      </c>
      <c r="H49" s="1074">
        <f t="shared" si="2"/>
        <v>100</v>
      </c>
    </row>
    <row r="50" spans="1:19" s="1056" customFormat="1" ht="15" x14ac:dyDescent="0.25">
      <c r="A50" s="50">
        <v>3599</v>
      </c>
      <c r="B50" s="19">
        <v>5222</v>
      </c>
      <c r="C50" s="1084"/>
      <c r="D50" s="87" t="s">
        <v>610</v>
      </c>
      <c r="E50" s="55"/>
      <c r="F50" s="315">
        <f>F51+F52</f>
        <v>195</v>
      </c>
      <c r="G50" s="315">
        <f>G51+G52</f>
        <v>195</v>
      </c>
      <c r="H50" s="212">
        <f t="shared" si="2"/>
        <v>100</v>
      </c>
    </row>
    <row r="51" spans="1:19" s="1056" customFormat="1" x14ac:dyDescent="0.2">
      <c r="A51" s="50"/>
      <c r="B51" s="19"/>
      <c r="C51" s="1084" t="s">
        <v>249</v>
      </c>
      <c r="D51" s="1063" t="s">
        <v>318</v>
      </c>
      <c r="E51" s="55"/>
      <c r="F51" s="314">
        <v>80</v>
      </c>
      <c r="G51" s="316">
        <v>80</v>
      </c>
      <c r="H51" s="1074">
        <f t="shared" si="2"/>
        <v>100</v>
      </c>
    </row>
    <row r="52" spans="1:19" s="1056" customFormat="1" x14ac:dyDescent="0.2">
      <c r="A52" s="50"/>
      <c r="B52" s="19"/>
      <c r="C52" s="1084" t="s">
        <v>1202</v>
      </c>
      <c r="D52" s="1063" t="s">
        <v>1635</v>
      </c>
      <c r="E52" s="55"/>
      <c r="F52" s="314">
        <v>115</v>
      </c>
      <c r="G52" s="316">
        <v>115</v>
      </c>
      <c r="H52" s="1074">
        <f t="shared" si="2"/>
        <v>100</v>
      </c>
    </row>
    <row r="53" spans="1:19" s="1056" customFormat="1" ht="15.75" thickBot="1" x14ac:dyDescent="0.3">
      <c r="A53" s="1076">
        <v>6172</v>
      </c>
      <c r="B53" s="1082">
        <v>5169</v>
      </c>
      <c r="C53" s="1116"/>
      <c r="D53" s="1158" t="s">
        <v>852</v>
      </c>
      <c r="E53" s="1123">
        <v>10</v>
      </c>
      <c r="F53" s="444">
        <v>0</v>
      </c>
      <c r="G53" s="442">
        <v>0</v>
      </c>
      <c r="H53" s="267">
        <v>0</v>
      </c>
    </row>
    <row r="54" spans="1:19" s="360" customFormat="1" ht="35.25" customHeight="1" thickTop="1" thickBot="1" x14ac:dyDescent="0.3">
      <c r="A54" s="637" t="s">
        <v>243</v>
      </c>
      <c r="B54" s="640"/>
      <c r="C54" s="675"/>
      <c r="D54" s="640"/>
      <c r="E54" s="641">
        <f>E10+E13+E16+E18+E21+E22+E24+E26+E29+E32+E36+E39+E41+E42+E45+E48+E50+E53</f>
        <v>20051</v>
      </c>
      <c r="F54" s="641">
        <f>F10+F13+F16+F18+F21+F22+F24+F26+F29+F32+F36+F39+F41+F42+F45+F48+F50+F53+F34</f>
        <v>23354</v>
      </c>
      <c r="G54" s="641">
        <f>G10+G13+G16+G18+G21+G22+G24+G26+G29+G32+G36+G39+G41+G42+G45+G48+G50+G53+G34</f>
        <v>23042</v>
      </c>
      <c r="H54" s="1041">
        <f>(G54/F54)*100</f>
        <v>98.664040421341099</v>
      </c>
      <c r="J54" s="671"/>
      <c r="K54" s="671"/>
      <c r="L54" s="671"/>
      <c r="M54" s="671"/>
      <c r="N54" s="671"/>
      <c r="O54" s="671"/>
    </row>
    <row r="55" spans="1:19" s="360" customFormat="1" ht="18" customHeight="1" thickTop="1" x14ac:dyDescent="0.25">
      <c r="A55" s="358"/>
      <c r="B55" s="359"/>
      <c r="C55" s="142"/>
      <c r="D55" s="359"/>
      <c r="E55" s="17"/>
      <c r="F55" s="17"/>
      <c r="G55" s="17"/>
      <c r="H55" s="372"/>
      <c r="J55" s="671"/>
      <c r="K55" s="671"/>
      <c r="L55" s="671"/>
      <c r="M55" s="671"/>
      <c r="N55" s="671"/>
      <c r="O55" s="671"/>
    </row>
    <row r="56" spans="1:19" s="360" customFormat="1" ht="18" customHeight="1" x14ac:dyDescent="0.25">
      <c r="A56" s="358"/>
      <c r="B56" s="359"/>
      <c r="C56" s="142"/>
      <c r="D56" s="359"/>
      <c r="E56" s="17"/>
      <c r="F56" s="17"/>
      <c r="G56" s="17"/>
      <c r="H56" s="372"/>
      <c r="J56" s="671"/>
      <c r="K56" s="671"/>
      <c r="L56" s="671"/>
      <c r="M56" s="671"/>
      <c r="N56" s="671"/>
      <c r="O56" s="671"/>
    </row>
    <row r="57" spans="1:19" ht="15.75" x14ac:dyDescent="0.25">
      <c r="A57" s="33" t="s">
        <v>1248</v>
      </c>
      <c r="B57" s="643"/>
      <c r="C57" s="676"/>
      <c r="D57" s="677"/>
      <c r="E57" s="678"/>
      <c r="F57" s="679"/>
      <c r="G57" s="680"/>
      <c r="H57" s="1463"/>
      <c r="J57" s="381"/>
      <c r="K57" s="381"/>
      <c r="L57" s="381"/>
      <c r="M57" s="381"/>
      <c r="N57" s="381"/>
      <c r="O57" s="381"/>
    </row>
    <row r="58" spans="1:19" ht="15.75" thickBot="1" x14ac:dyDescent="0.3">
      <c r="A58" s="643"/>
      <c r="B58" s="643"/>
      <c r="C58" s="676"/>
      <c r="D58" s="677"/>
      <c r="E58" s="678"/>
      <c r="F58" s="679"/>
      <c r="G58" s="680"/>
      <c r="H58" s="2455" t="s">
        <v>161</v>
      </c>
      <c r="J58" s="381"/>
      <c r="K58" s="381"/>
      <c r="L58" s="381"/>
      <c r="M58" s="381"/>
      <c r="N58" s="381"/>
      <c r="O58" s="381"/>
    </row>
    <row r="59" spans="1:19" s="107" customFormat="1" ht="20.25" customHeight="1" thickTop="1" thickBot="1" x14ac:dyDescent="0.25">
      <c r="A59" s="682" t="s">
        <v>162</v>
      </c>
      <c r="B59" s="683" t="s">
        <v>163</v>
      </c>
      <c r="C59" s="684" t="s">
        <v>705</v>
      </c>
      <c r="D59" s="685" t="s">
        <v>164</v>
      </c>
      <c r="E59" s="686" t="s">
        <v>165</v>
      </c>
      <c r="F59" s="686" t="s">
        <v>881</v>
      </c>
      <c r="G59" s="686" t="s">
        <v>882</v>
      </c>
      <c r="H59" s="1464" t="s">
        <v>883</v>
      </c>
    </row>
    <row r="60" spans="1:19" s="383" customFormat="1" ht="13.5" thickTop="1" thickBot="1" x14ac:dyDescent="0.25">
      <c r="A60" s="566">
        <v>1</v>
      </c>
      <c r="B60" s="567">
        <v>2</v>
      </c>
      <c r="C60" s="567">
        <v>3</v>
      </c>
      <c r="D60" s="567">
        <v>4</v>
      </c>
      <c r="E60" s="567">
        <v>5</v>
      </c>
      <c r="F60" s="541">
        <v>6</v>
      </c>
      <c r="G60" s="541">
        <v>7</v>
      </c>
      <c r="H60" s="1462" t="s">
        <v>61</v>
      </c>
      <c r="I60" s="107"/>
    </row>
    <row r="61" spans="1:19" s="1056" customFormat="1" ht="15.75" thickTop="1" x14ac:dyDescent="0.25">
      <c r="A61" s="34">
        <v>3526</v>
      </c>
      <c r="B61" s="31">
        <v>6322</v>
      </c>
      <c r="C61" s="1084"/>
      <c r="D61" s="72" t="s">
        <v>1855</v>
      </c>
      <c r="E61" s="1444"/>
      <c r="F61" s="313">
        <v>400</v>
      </c>
      <c r="G61" s="315">
        <v>400</v>
      </c>
      <c r="H61" s="212">
        <f>(G61/F61)*100</f>
        <v>100</v>
      </c>
    </row>
    <row r="62" spans="1:19" s="1056" customFormat="1" ht="15.75" thickBot="1" x14ac:dyDescent="0.3">
      <c r="A62" s="1095"/>
      <c r="B62" s="1087"/>
      <c r="C62" s="1446" t="s">
        <v>249</v>
      </c>
      <c r="D62" s="1784" t="s">
        <v>318</v>
      </c>
      <c r="E62" s="1443"/>
      <c r="F62" s="440">
        <v>400</v>
      </c>
      <c r="G62" s="441">
        <v>400</v>
      </c>
      <c r="H62" s="1096">
        <f>(G62/F62)*100</f>
        <v>100</v>
      </c>
    </row>
    <row r="63" spans="1:19" s="360" customFormat="1" ht="35.25" customHeight="1" thickTop="1" thickBot="1" x14ac:dyDescent="0.3">
      <c r="A63" s="688" t="s">
        <v>244</v>
      </c>
      <c r="B63" s="689"/>
      <c r="C63" s="690"/>
      <c r="D63" s="689"/>
      <c r="E63" s="691">
        <v>0</v>
      </c>
      <c r="F63" s="691">
        <f>F61</f>
        <v>400</v>
      </c>
      <c r="G63" s="691">
        <f>G61</f>
        <v>400</v>
      </c>
      <c r="H63" s="1465">
        <f>(G63/F63)*100</f>
        <v>100</v>
      </c>
      <c r="J63" s="693">
        <f>E54+E63</f>
        <v>20051</v>
      </c>
      <c r="K63" s="693">
        <f>F54+F63</f>
        <v>23754</v>
      </c>
      <c r="L63" s="693">
        <f>G54+G63</f>
        <v>23442</v>
      </c>
      <c r="M63" s="693"/>
      <c r="N63" s="693"/>
      <c r="O63" s="693"/>
      <c r="P63" s="693"/>
      <c r="Q63" s="693"/>
      <c r="R63" s="693"/>
      <c r="S63" s="693"/>
    </row>
    <row r="64" spans="1:19" s="360" customFormat="1" ht="18.75" customHeight="1" thickTop="1" x14ac:dyDescent="0.25">
      <c r="A64" s="358"/>
      <c r="B64" s="359"/>
      <c r="C64" s="142"/>
      <c r="D64" s="359"/>
      <c r="E64" s="17"/>
      <c r="F64" s="17"/>
      <c r="G64" s="17"/>
      <c r="H64" s="1026"/>
      <c r="J64" s="693"/>
      <c r="K64" s="693"/>
      <c r="L64" s="693"/>
      <c r="M64" s="693"/>
      <c r="N64" s="693"/>
      <c r="O64" s="693"/>
      <c r="P64" s="693"/>
      <c r="Q64" s="693"/>
      <c r="R64" s="693"/>
      <c r="S64" s="693"/>
    </row>
    <row r="65" spans="1:15" ht="15.75" x14ac:dyDescent="0.25">
      <c r="A65" s="669" t="s">
        <v>623</v>
      </c>
    </row>
    <row r="66" spans="1:15" ht="15.75" x14ac:dyDescent="0.25">
      <c r="A66" s="695" t="s">
        <v>1244</v>
      </c>
      <c r="E66" s="583" t="s">
        <v>312</v>
      </c>
    </row>
    <row r="67" spans="1:15" ht="15" thickBot="1" x14ac:dyDescent="0.25">
      <c r="A67" s="696"/>
      <c r="H67" s="2455" t="s">
        <v>161</v>
      </c>
    </row>
    <row r="68" spans="1:15" s="703" customFormat="1" ht="20.25" customHeight="1" thickTop="1" thickBot="1" x14ac:dyDescent="0.25">
      <c r="A68" s="697" t="s">
        <v>162</v>
      </c>
      <c r="B68" s="698" t="s">
        <v>163</v>
      </c>
      <c r="C68" s="699" t="s">
        <v>705</v>
      </c>
      <c r="D68" s="700" t="s">
        <v>164</v>
      </c>
      <c r="E68" s="701" t="s">
        <v>165</v>
      </c>
      <c r="F68" s="701" t="s">
        <v>881</v>
      </c>
      <c r="G68" s="701" t="s">
        <v>882</v>
      </c>
      <c r="H68" s="1466" t="s">
        <v>883</v>
      </c>
      <c r="J68" s="523"/>
      <c r="K68" s="523"/>
      <c r="L68" s="523"/>
      <c r="M68" s="523"/>
      <c r="N68" s="523"/>
      <c r="O68" s="523"/>
    </row>
    <row r="69" spans="1:15" s="383" customFormat="1" ht="13.5" thickTop="1" thickBot="1" x14ac:dyDescent="0.25">
      <c r="A69" s="566">
        <v>1</v>
      </c>
      <c r="B69" s="567">
        <v>2</v>
      </c>
      <c r="C69" s="567">
        <v>3</v>
      </c>
      <c r="D69" s="567">
        <v>4</v>
      </c>
      <c r="E69" s="567">
        <v>5</v>
      </c>
      <c r="F69" s="541">
        <v>6</v>
      </c>
      <c r="G69" s="541">
        <v>7</v>
      </c>
      <c r="H69" s="1462" t="s">
        <v>61</v>
      </c>
      <c r="I69" s="107"/>
    </row>
    <row r="70" spans="1:15" ht="15.75" thickTop="1" x14ac:dyDescent="0.25">
      <c r="A70" s="1739">
        <v>3523</v>
      </c>
      <c r="B70" s="2425">
        <v>5331</v>
      </c>
      <c r="C70" s="704"/>
      <c r="D70" s="624" t="s">
        <v>236</v>
      </c>
      <c r="E70" s="388">
        <f>E71</f>
        <v>16020</v>
      </c>
      <c r="F70" s="388">
        <f>F71</f>
        <v>15540</v>
      </c>
      <c r="G70" s="388">
        <f>G71</f>
        <v>15540</v>
      </c>
      <c r="H70" s="1467">
        <f t="shared" ref="H70:H79" si="3">G70/F70*100</f>
        <v>100</v>
      </c>
    </row>
    <row r="71" spans="1:15" x14ac:dyDescent="0.2">
      <c r="A71" s="1739"/>
      <c r="B71" s="1740"/>
      <c r="C71" s="552" t="s">
        <v>570</v>
      </c>
      <c r="D71" s="548" t="s">
        <v>1088</v>
      </c>
      <c r="E71" s="435">
        <v>16020</v>
      </c>
      <c r="F71" s="435">
        <v>15540</v>
      </c>
      <c r="G71" s="435">
        <v>15540</v>
      </c>
      <c r="H71" s="706">
        <f t="shared" si="3"/>
        <v>100</v>
      </c>
    </row>
    <row r="72" spans="1:15" ht="15" x14ac:dyDescent="0.25">
      <c r="A72" s="1739">
        <v>4358</v>
      </c>
      <c r="B72" s="1740">
        <v>5336</v>
      </c>
      <c r="C72" s="552"/>
      <c r="D72" s="1725" t="s">
        <v>1659</v>
      </c>
      <c r="E72" s="389"/>
      <c r="F72" s="389">
        <v>12</v>
      </c>
      <c r="G72" s="389">
        <v>12</v>
      </c>
      <c r="H72" s="2409">
        <f t="shared" si="3"/>
        <v>100</v>
      </c>
    </row>
    <row r="73" spans="1:15" ht="15" thickBot="1" x14ac:dyDescent="0.25">
      <c r="A73" s="1739"/>
      <c r="B73" s="1740"/>
      <c r="C73" s="552" t="s">
        <v>1870</v>
      </c>
      <c r="D73" s="2408" t="s">
        <v>1871</v>
      </c>
      <c r="E73" s="435"/>
      <c r="F73" s="435">
        <v>12</v>
      </c>
      <c r="G73" s="435">
        <v>12</v>
      </c>
      <c r="H73" s="706">
        <f t="shared" si="3"/>
        <v>100</v>
      </c>
    </row>
    <row r="74" spans="1:15" s="367" customFormat="1" ht="20.25" customHeight="1" thickTop="1" thickBot="1" x14ac:dyDescent="0.3">
      <c r="A74" s="708" t="s">
        <v>1105</v>
      </c>
      <c r="B74" s="709"/>
      <c r="C74" s="710"/>
      <c r="D74" s="711"/>
      <c r="E74" s="712">
        <f>SUM(E70)</f>
        <v>16020</v>
      </c>
      <c r="F74" s="712">
        <f>SUM(F70,F72)</f>
        <v>15552</v>
      </c>
      <c r="G74" s="712">
        <f>SUM(G70,G72)</f>
        <v>15552</v>
      </c>
      <c r="H74" s="713">
        <f t="shared" si="3"/>
        <v>100</v>
      </c>
      <c r="J74" s="524"/>
      <c r="K74" s="524"/>
      <c r="L74" s="524"/>
      <c r="M74" s="523"/>
      <c r="N74" s="523"/>
      <c r="O74" s="523"/>
    </row>
    <row r="75" spans="1:15" ht="15.75" thickTop="1" x14ac:dyDescent="0.25">
      <c r="A75" s="1782">
        <v>3523</v>
      </c>
      <c r="B75" s="2425">
        <v>6351</v>
      </c>
      <c r="C75" s="704"/>
      <c r="D75" s="624" t="s">
        <v>1175</v>
      </c>
      <c r="E75" s="714">
        <f>E76</f>
        <v>4000</v>
      </c>
      <c r="F75" s="714">
        <f>F76</f>
        <v>4000</v>
      </c>
      <c r="G75" s="714">
        <f>G76</f>
        <v>4000</v>
      </c>
      <c r="H75" s="1467">
        <f t="shared" si="3"/>
        <v>100</v>
      </c>
      <c r="J75" s="381"/>
      <c r="K75" s="381"/>
      <c r="L75" s="381"/>
      <c r="M75" s="381"/>
      <c r="N75" s="381"/>
      <c r="O75" s="381"/>
    </row>
    <row r="76" spans="1:15" x14ac:dyDescent="0.2">
      <c r="A76" s="1739"/>
      <c r="B76" s="1740"/>
      <c r="C76" s="552" t="s">
        <v>1123</v>
      </c>
      <c r="D76" s="569" t="s">
        <v>344</v>
      </c>
      <c r="E76" s="731">
        <v>4000</v>
      </c>
      <c r="F76" s="731">
        <v>4000</v>
      </c>
      <c r="G76" s="731">
        <v>4000</v>
      </c>
      <c r="H76" s="706">
        <f t="shared" si="3"/>
        <v>100</v>
      </c>
      <c r="J76" s="381"/>
      <c r="K76" s="381"/>
      <c r="L76" s="381"/>
      <c r="M76" s="381"/>
      <c r="N76" s="381"/>
      <c r="O76" s="381"/>
    </row>
    <row r="77" spans="1:15" ht="15" x14ac:dyDescent="0.25">
      <c r="A77" s="1739">
        <v>3523</v>
      </c>
      <c r="B77" s="1740">
        <v>6351</v>
      </c>
      <c r="C77" s="552"/>
      <c r="D77" s="426" t="s">
        <v>1175</v>
      </c>
      <c r="E77" s="1429"/>
      <c r="F77" s="1429">
        <v>6500</v>
      </c>
      <c r="G77" s="1429">
        <v>6500</v>
      </c>
      <c r="H77" s="1388">
        <f t="shared" si="3"/>
        <v>100</v>
      </c>
      <c r="J77" s="381"/>
      <c r="K77" s="381"/>
      <c r="L77" s="381"/>
      <c r="M77" s="381"/>
      <c r="N77" s="381"/>
      <c r="O77" s="381"/>
    </row>
    <row r="78" spans="1:15" ht="15" thickBot="1" x14ac:dyDescent="0.25">
      <c r="A78" s="1739"/>
      <c r="B78" s="1740"/>
      <c r="C78" s="552" t="s">
        <v>1183</v>
      </c>
      <c r="D78" s="569" t="s">
        <v>1873</v>
      </c>
      <c r="E78" s="731"/>
      <c r="F78" s="731">
        <v>6500</v>
      </c>
      <c r="G78" s="731">
        <v>6500</v>
      </c>
      <c r="H78" s="706">
        <f t="shared" si="3"/>
        <v>100</v>
      </c>
      <c r="J78" s="381"/>
      <c r="K78" s="381"/>
      <c r="L78" s="381"/>
      <c r="M78" s="381"/>
      <c r="N78" s="381"/>
      <c r="O78" s="381"/>
    </row>
    <row r="79" spans="1:15" ht="20.25" customHeight="1" thickTop="1" thickBot="1" x14ac:dyDescent="0.3">
      <c r="A79" s="708" t="s">
        <v>1106</v>
      </c>
      <c r="B79" s="709"/>
      <c r="C79" s="710"/>
      <c r="D79" s="711"/>
      <c r="E79" s="720">
        <f>E75</f>
        <v>4000</v>
      </c>
      <c r="F79" s="720">
        <f>SUM(F75,F77)</f>
        <v>10500</v>
      </c>
      <c r="G79" s="720">
        <f>SUM(G75,G77)</f>
        <v>10500</v>
      </c>
      <c r="H79" s="721">
        <f t="shared" si="3"/>
        <v>100</v>
      </c>
      <c r="J79" s="381"/>
      <c r="K79" s="381"/>
      <c r="L79" s="381"/>
      <c r="M79" s="381"/>
      <c r="N79" s="381"/>
      <c r="O79" s="381"/>
    </row>
    <row r="80" spans="1:15" ht="14.25" customHeight="1" thickTop="1" x14ac:dyDescent="0.25">
      <c r="A80" s="722"/>
      <c r="B80" s="362"/>
      <c r="C80" s="363"/>
      <c r="D80" s="364"/>
      <c r="E80" s="723"/>
      <c r="F80" s="723"/>
      <c r="G80" s="723"/>
      <c r="H80" s="1468"/>
    </row>
    <row r="81" spans="1:15" s="367" customFormat="1" ht="27.75" customHeight="1" thickBot="1" x14ac:dyDescent="0.3">
      <c r="A81" s="724" t="s">
        <v>1245</v>
      </c>
      <c r="B81" s="725"/>
      <c r="C81" s="726"/>
      <c r="D81" s="727"/>
      <c r="E81" s="728">
        <f>E74+E79</f>
        <v>20020</v>
      </c>
      <c r="F81" s="728">
        <f>F74+F79</f>
        <v>26052</v>
      </c>
      <c r="G81" s="728">
        <f>G74+G79</f>
        <v>26052</v>
      </c>
      <c r="H81" s="1469">
        <f>(G81/F81)*100</f>
        <v>100</v>
      </c>
      <c r="J81" s="523"/>
      <c r="K81" s="523"/>
      <c r="L81" s="523"/>
      <c r="M81" s="523"/>
      <c r="N81" s="523"/>
      <c r="O81" s="523"/>
    </row>
    <row r="82" spans="1:15" ht="15" thickTop="1" x14ac:dyDescent="0.2">
      <c r="A82" s="1729"/>
    </row>
    <row r="83" spans="1:15" x14ac:dyDescent="0.2">
      <c r="A83" s="2727" t="s">
        <v>1153</v>
      </c>
      <c r="B83" s="2666"/>
      <c r="C83" s="2666"/>
      <c r="D83" s="2666"/>
    </row>
    <row r="84" spans="1:15" s="501" customFormat="1" ht="15.75" customHeight="1" x14ac:dyDescent="0.25">
      <c r="A84" s="2666"/>
      <c r="B84" s="2666"/>
      <c r="C84" s="2666"/>
      <c r="D84" s="2666"/>
      <c r="E84" s="583" t="s">
        <v>313</v>
      </c>
      <c r="F84" s="583"/>
      <c r="G84" s="583"/>
      <c r="H84" s="2723" t="s">
        <v>161</v>
      </c>
      <c r="J84" s="523"/>
      <c r="K84" s="523"/>
      <c r="L84" s="523"/>
      <c r="M84" s="523"/>
      <c r="N84" s="523"/>
      <c r="O84" s="523"/>
    </row>
    <row r="85" spans="1:15" s="501" customFormat="1" ht="8.25" customHeight="1" thickBot="1" x14ac:dyDescent="0.3">
      <c r="A85" s="730"/>
      <c r="B85" s="2440"/>
      <c r="C85" s="2440"/>
      <c r="D85" s="2440"/>
      <c r="E85" s="583"/>
      <c r="F85" s="583"/>
      <c r="G85" s="583"/>
      <c r="H85" s="2724"/>
      <c r="J85" s="523"/>
      <c r="K85" s="523"/>
      <c r="L85" s="523"/>
      <c r="M85" s="523"/>
      <c r="N85" s="523"/>
      <c r="O85" s="523"/>
    </row>
    <row r="86" spans="1:15" s="703" customFormat="1" ht="20.25" customHeight="1" thickTop="1" thickBot="1" x14ac:dyDescent="0.25">
      <c r="A86" s="697" t="s">
        <v>162</v>
      </c>
      <c r="B86" s="698" t="s">
        <v>163</v>
      </c>
      <c r="C86" s="699" t="s">
        <v>705</v>
      </c>
      <c r="D86" s="700" t="s">
        <v>164</v>
      </c>
      <c r="E86" s="701" t="s">
        <v>165</v>
      </c>
      <c r="F86" s="701" t="s">
        <v>881</v>
      </c>
      <c r="G86" s="701" t="s">
        <v>882</v>
      </c>
      <c r="H86" s="1466" t="s">
        <v>883</v>
      </c>
      <c r="J86" s="523"/>
      <c r="K86" s="523"/>
      <c r="L86" s="523"/>
      <c r="M86" s="523"/>
      <c r="N86" s="523"/>
      <c r="O86" s="523"/>
    </row>
    <row r="87" spans="1:15" s="383" customFormat="1" ht="13.5" thickTop="1" thickBot="1" x14ac:dyDescent="0.25">
      <c r="A87" s="566">
        <v>1</v>
      </c>
      <c r="B87" s="567">
        <v>2</v>
      </c>
      <c r="C87" s="567">
        <v>3</v>
      </c>
      <c r="D87" s="567">
        <v>4</v>
      </c>
      <c r="E87" s="567">
        <v>5</v>
      </c>
      <c r="F87" s="541">
        <v>6</v>
      </c>
      <c r="G87" s="541">
        <v>7</v>
      </c>
      <c r="H87" s="1462" t="s">
        <v>61</v>
      </c>
      <c r="I87" s="107"/>
    </row>
    <row r="88" spans="1:15" ht="15.75" thickTop="1" x14ac:dyDescent="0.25">
      <c r="A88" s="1739">
        <v>3523</v>
      </c>
      <c r="B88" s="2425">
        <v>5331</v>
      </c>
      <c r="C88" s="704"/>
      <c r="D88" s="624" t="s">
        <v>236</v>
      </c>
      <c r="E88" s="388">
        <f>E89</f>
        <v>8620</v>
      </c>
      <c r="F88" s="388">
        <f>F89</f>
        <v>8361</v>
      </c>
      <c r="G88" s="388">
        <f>G89</f>
        <v>8361</v>
      </c>
      <c r="H88" s="1467">
        <f t="shared" ref="H88:H95" si="4">G88/F88*100</f>
        <v>100</v>
      </c>
    </row>
    <row r="89" spans="1:15" ht="15" thickBot="1" x14ac:dyDescent="0.25">
      <c r="A89" s="1739"/>
      <c r="B89" s="1740"/>
      <c r="C89" s="552" t="s">
        <v>570</v>
      </c>
      <c r="D89" s="548" t="s">
        <v>1088</v>
      </c>
      <c r="E89" s="435">
        <v>8620</v>
      </c>
      <c r="F89" s="435">
        <v>8361</v>
      </c>
      <c r="G89" s="435">
        <v>8361</v>
      </c>
      <c r="H89" s="706">
        <f t="shared" si="4"/>
        <v>100</v>
      </c>
    </row>
    <row r="90" spans="1:15" s="367" customFormat="1" ht="20.25" customHeight="1" thickTop="1" thickBot="1" x14ac:dyDescent="0.3">
      <c r="A90" s="708" t="s">
        <v>1105</v>
      </c>
      <c r="B90" s="709"/>
      <c r="C90" s="710"/>
      <c r="D90" s="711"/>
      <c r="E90" s="712">
        <f>SUM(E88)</f>
        <v>8620</v>
      </c>
      <c r="F90" s="712">
        <f>SUM(F88)</f>
        <v>8361</v>
      </c>
      <c r="G90" s="712">
        <f>SUM(G88)</f>
        <v>8361</v>
      </c>
      <c r="H90" s="713">
        <f t="shared" si="4"/>
        <v>100</v>
      </c>
      <c r="J90" s="524"/>
      <c r="K90" s="524"/>
      <c r="L90" s="524"/>
      <c r="M90" s="523"/>
      <c r="N90" s="523"/>
      <c r="O90" s="523"/>
    </row>
    <row r="91" spans="1:15" ht="15.75" thickTop="1" x14ac:dyDescent="0.25">
      <c r="A91" s="1782">
        <v>3523</v>
      </c>
      <c r="B91" s="2425">
        <v>6351</v>
      </c>
      <c r="C91" s="704"/>
      <c r="D91" s="624" t="s">
        <v>1175</v>
      </c>
      <c r="E91" s="714">
        <f>E92</f>
        <v>1356</v>
      </c>
      <c r="F91" s="714">
        <f>F92</f>
        <v>1356</v>
      </c>
      <c r="G91" s="714">
        <f>G92</f>
        <v>1356</v>
      </c>
      <c r="H91" s="1467">
        <f t="shared" si="4"/>
        <v>100</v>
      </c>
      <c r="J91" s="381"/>
      <c r="K91" s="381"/>
      <c r="L91" s="381"/>
      <c r="M91" s="381"/>
      <c r="N91" s="381"/>
      <c r="O91" s="381"/>
    </row>
    <row r="92" spans="1:15" x14ac:dyDescent="0.2">
      <c r="A92" s="1739"/>
      <c r="B92" s="1740"/>
      <c r="C92" s="552" t="s">
        <v>1123</v>
      </c>
      <c r="D92" s="569" t="s">
        <v>344</v>
      </c>
      <c r="E92" s="716">
        <v>1356</v>
      </c>
      <c r="F92" s="717">
        <v>1356</v>
      </c>
      <c r="G92" s="717">
        <v>1356</v>
      </c>
      <c r="H92" s="706">
        <f t="shared" si="4"/>
        <v>100</v>
      </c>
      <c r="J92" s="381"/>
      <c r="K92" s="381"/>
      <c r="L92" s="381"/>
      <c r="M92" s="381"/>
      <c r="N92" s="381"/>
      <c r="O92" s="381"/>
    </row>
    <row r="93" spans="1:15" ht="15" x14ac:dyDescent="0.25">
      <c r="A93" s="1739">
        <v>3523</v>
      </c>
      <c r="B93" s="1740">
        <v>6351</v>
      </c>
      <c r="C93" s="552"/>
      <c r="D93" s="426" t="s">
        <v>1175</v>
      </c>
      <c r="E93" s="2412"/>
      <c r="F93" s="2412">
        <v>5950</v>
      </c>
      <c r="G93" s="2412">
        <v>5950</v>
      </c>
      <c r="H93" s="1388">
        <f t="shared" si="4"/>
        <v>100</v>
      </c>
      <c r="J93" s="381"/>
      <c r="K93" s="381"/>
      <c r="L93" s="381"/>
      <c r="M93" s="381"/>
      <c r="N93" s="381"/>
      <c r="O93" s="381"/>
    </row>
    <row r="94" spans="1:15" ht="15" thickBot="1" x14ac:dyDescent="0.25">
      <c r="A94" s="2469"/>
      <c r="B94" s="2470"/>
      <c r="C94" s="718" t="s">
        <v>1875</v>
      </c>
      <c r="D94" s="2471" t="s">
        <v>1874</v>
      </c>
      <c r="E94" s="2410"/>
      <c r="F94" s="2411">
        <v>5950</v>
      </c>
      <c r="G94" s="2411">
        <v>5950</v>
      </c>
      <c r="H94" s="706">
        <f t="shared" si="4"/>
        <v>100</v>
      </c>
      <c r="I94" s="2472"/>
      <c r="J94" s="2473"/>
      <c r="K94" s="2473"/>
      <c r="L94" s="381"/>
      <c r="M94" s="381"/>
      <c r="N94" s="381"/>
      <c r="O94" s="381"/>
    </row>
    <row r="95" spans="1:15" ht="20.25" customHeight="1" thickTop="1" thickBot="1" x14ac:dyDescent="0.3">
      <c r="A95" s="708" t="s">
        <v>1106</v>
      </c>
      <c r="B95" s="709"/>
      <c r="C95" s="710"/>
      <c r="D95" s="711"/>
      <c r="E95" s="720">
        <f>E91+E93</f>
        <v>1356</v>
      </c>
      <c r="F95" s="720">
        <f>F91+F93</f>
        <v>7306</v>
      </c>
      <c r="G95" s="720">
        <f>G91+G93</f>
        <v>7306</v>
      </c>
      <c r="H95" s="721">
        <f t="shared" si="4"/>
        <v>100</v>
      </c>
      <c r="J95" s="381"/>
      <c r="K95" s="381"/>
      <c r="L95" s="381"/>
      <c r="M95" s="381"/>
      <c r="N95" s="381"/>
      <c r="O95" s="381"/>
    </row>
    <row r="96" spans="1:15" ht="17.25" thickTop="1" x14ac:dyDescent="0.25">
      <c r="A96" s="732"/>
      <c r="B96" s="2474"/>
      <c r="C96" s="733"/>
      <c r="D96" s="2475"/>
      <c r="E96" s="2476"/>
      <c r="F96" s="2476"/>
      <c r="G96" s="2476"/>
      <c r="H96" s="1471"/>
    </row>
    <row r="97" spans="1:15" x14ac:dyDescent="0.2">
      <c r="A97" s="2720" t="s">
        <v>478</v>
      </c>
      <c r="B97" s="2721"/>
      <c r="C97" s="2721"/>
      <c r="D97" s="2721"/>
      <c r="E97" s="2725"/>
      <c r="F97" s="2726"/>
      <c r="G97" s="2726"/>
      <c r="H97" s="2726"/>
    </row>
    <row r="98" spans="1:15" s="367" customFormat="1" ht="22.5" customHeight="1" thickBot="1" x14ac:dyDescent="0.3">
      <c r="A98" s="2722"/>
      <c r="B98" s="2722"/>
      <c r="C98" s="2722"/>
      <c r="D98" s="2722"/>
      <c r="E98" s="734">
        <f>E90+E95</f>
        <v>9976</v>
      </c>
      <c r="F98" s="734">
        <f>F90+F95</f>
        <v>15667</v>
      </c>
      <c r="G98" s="734">
        <f>G90+G95</f>
        <v>15667</v>
      </c>
      <c r="H98" s="1472">
        <f>(G98/F98)*100</f>
        <v>100</v>
      </c>
      <c r="J98" s="523"/>
      <c r="K98" s="523"/>
      <c r="L98" s="523"/>
      <c r="M98" s="523"/>
      <c r="N98" s="523"/>
      <c r="O98" s="523"/>
    </row>
    <row r="99" spans="1:15" s="367" customFormat="1" ht="18" customHeight="1" thickTop="1" x14ac:dyDescent="0.25">
      <c r="A99" s="361"/>
      <c r="B99" s="362"/>
      <c r="C99" s="363"/>
      <c r="D99" s="364"/>
      <c r="E99" s="723"/>
      <c r="F99" s="723"/>
      <c r="G99" s="723"/>
      <c r="H99" s="1473"/>
      <c r="J99" s="523"/>
      <c r="K99" s="523"/>
      <c r="L99" s="523"/>
      <c r="M99" s="523"/>
      <c r="N99" s="523"/>
      <c r="O99" s="523"/>
    </row>
    <row r="100" spans="1:15" s="367" customFormat="1" ht="15.75" customHeight="1" x14ac:dyDescent="0.25">
      <c r="A100" s="695" t="s">
        <v>1664</v>
      </c>
      <c r="B100" s="362"/>
      <c r="C100" s="363"/>
      <c r="D100" s="364"/>
      <c r="E100" s="583" t="s">
        <v>314</v>
      </c>
      <c r="F100" s="723"/>
      <c r="G100" s="723"/>
      <c r="H100" s="2723" t="s">
        <v>161</v>
      </c>
      <c r="J100" s="523"/>
      <c r="K100" s="523"/>
      <c r="L100" s="523"/>
      <c r="M100" s="523"/>
      <c r="N100" s="523"/>
      <c r="O100" s="523"/>
    </row>
    <row r="101" spans="1:15" s="501" customFormat="1" ht="11.25" customHeight="1" thickBot="1" x14ac:dyDescent="0.3">
      <c r="A101" s="730"/>
      <c r="B101" s="735"/>
      <c r="C101" s="736"/>
      <c r="E101" s="583"/>
      <c r="F101" s="583"/>
      <c r="G101" s="583"/>
      <c r="H101" s="2724"/>
      <c r="J101" s="523"/>
      <c r="K101" s="523"/>
      <c r="L101" s="523"/>
      <c r="M101" s="523"/>
      <c r="N101" s="523"/>
      <c r="O101" s="523"/>
    </row>
    <row r="102" spans="1:15" s="703" customFormat="1" ht="20.25" customHeight="1" thickTop="1" thickBot="1" x14ac:dyDescent="0.25">
      <c r="A102" s="697" t="s">
        <v>162</v>
      </c>
      <c r="B102" s="698" t="s">
        <v>163</v>
      </c>
      <c r="C102" s="699" t="s">
        <v>705</v>
      </c>
      <c r="D102" s="700" t="s">
        <v>164</v>
      </c>
      <c r="E102" s="701" t="s">
        <v>165</v>
      </c>
      <c r="F102" s="701" t="s">
        <v>881</v>
      </c>
      <c r="G102" s="701" t="s">
        <v>882</v>
      </c>
      <c r="H102" s="1466" t="s">
        <v>883</v>
      </c>
      <c r="J102" s="523"/>
      <c r="K102" s="523"/>
      <c r="L102" s="523"/>
      <c r="M102" s="523"/>
      <c r="N102" s="523"/>
      <c r="O102" s="523"/>
    </row>
    <row r="103" spans="1:15" s="383" customFormat="1" ht="13.5" thickTop="1" thickBot="1" x14ac:dyDescent="0.25">
      <c r="A103" s="566">
        <v>1</v>
      </c>
      <c r="B103" s="567">
        <v>2</v>
      </c>
      <c r="C103" s="567">
        <v>3</v>
      </c>
      <c r="D103" s="567">
        <v>4</v>
      </c>
      <c r="E103" s="567">
        <v>5</v>
      </c>
      <c r="F103" s="541">
        <v>6</v>
      </c>
      <c r="G103" s="541">
        <v>7</v>
      </c>
      <c r="H103" s="1462" t="s">
        <v>61</v>
      </c>
      <c r="I103" s="107"/>
    </row>
    <row r="104" spans="1:15" ht="15.75" thickTop="1" x14ac:dyDescent="0.25">
      <c r="A104" s="1739">
        <v>3529</v>
      </c>
      <c r="B104" s="2425">
        <v>5331</v>
      </c>
      <c r="C104" s="704"/>
      <c r="D104" s="624" t="s">
        <v>236</v>
      </c>
      <c r="E104" s="388">
        <f>E105+E106+E107</f>
        <v>29900</v>
      </c>
      <c r="F104" s="388">
        <f>F105+F106+F107</f>
        <v>29668</v>
      </c>
      <c r="G104" s="388">
        <f>G105+G106+G107</f>
        <v>29668</v>
      </c>
      <c r="H104" s="551">
        <f t="shared" ref="H104:H109" si="5">G104/F104*100</f>
        <v>100</v>
      </c>
    </row>
    <row r="105" spans="1:15" x14ac:dyDescent="0.2">
      <c r="A105" s="1739"/>
      <c r="B105" s="1740"/>
      <c r="C105" s="707" t="s">
        <v>575</v>
      </c>
      <c r="D105" s="1392" t="s">
        <v>1260</v>
      </c>
      <c r="E105" s="435">
        <v>1160</v>
      </c>
      <c r="F105" s="435">
        <v>1160</v>
      </c>
      <c r="G105" s="435">
        <v>1160</v>
      </c>
      <c r="H105" s="706">
        <f t="shared" si="5"/>
        <v>100</v>
      </c>
    </row>
    <row r="106" spans="1:15" x14ac:dyDescent="0.2">
      <c r="A106" s="1739"/>
      <c r="B106" s="1740"/>
      <c r="C106" s="552" t="s">
        <v>570</v>
      </c>
      <c r="D106" s="548" t="s">
        <v>71</v>
      </c>
      <c r="E106" s="435">
        <v>7740</v>
      </c>
      <c r="F106" s="2465">
        <v>7508</v>
      </c>
      <c r="G106" s="435">
        <v>7508</v>
      </c>
      <c r="H106" s="706">
        <f t="shared" si="5"/>
        <v>100</v>
      </c>
    </row>
    <row r="107" spans="1:15" x14ac:dyDescent="0.2">
      <c r="A107" s="1739"/>
      <c r="B107" s="1740"/>
      <c r="C107" s="552" t="s">
        <v>665</v>
      </c>
      <c r="D107" s="719" t="s">
        <v>1294</v>
      </c>
      <c r="E107" s="435">
        <v>21000</v>
      </c>
      <c r="F107" s="461">
        <v>21000</v>
      </c>
      <c r="G107" s="435">
        <v>21000</v>
      </c>
      <c r="H107" s="706">
        <f t="shared" si="5"/>
        <v>100</v>
      </c>
    </row>
    <row r="108" spans="1:15" ht="15" x14ac:dyDescent="0.25">
      <c r="A108" s="1739">
        <v>4324</v>
      </c>
      <c r="B108" s="1740">
        <v>5336</v>
      </c>
      <c r="C108" s="552"/>
      <c r="D108" s="1725" t="s">
        <v>1659</v>
      </c>
      <c r="E108" s="389"/>
      <c r="F108" s="2096">
        <v>392</v>
      </c>
      <c r="G108" s="389">
        <v>392</v>
      </c>
      <c r="H108" s="1388">
        <f t="shared" si="5"/>
        <v>100</v>
      </c>
    </row>
    <row r="109" spans="1:15" x14ac:dyDescent="0.2">
      <c r="A109" s="1739"/>
      <c r="B109" s="1740"/>
      <c r="C109" s="552" t="s">
        <v>576</v>
      </c>
      <c r="D109" s="2717" t="s">
        <v>1020</v>
      </c>
      <c r="E109" s="737"/>
      <c r="F109" s="738">
        <v>392</v>
      </c>
      <c r="G109" s="435">
        <v>392</v>
      </c>
      <c r="H109" s="706">
        <f t="shared" si="5"/>
        <v>100</v>
      </c>
    </row>
    <row r="110" spans="1:15" ht="15" thickBot="1" x14ac:dyDescent="0.25">
      <c r="A110" s="1739"/>
      <c r="B110" s="1740"/>
      <c r="C110" s="552"/>
      <c r="D110" s="2717"/>
      <c r="E110" s="737"/>
      <c r="F110" s="738"/>
      <c r="G110" s="435"/>
      <c r="H110" s="706"/>
    </row>
    <row r="111" spans="1:15" s="367" customFormat="1" ht="20.25" customHeight="1" thickTop="1" thickBot="1" x14ac:dyDescent="0.3">
      <c r="A111" s="708" t="s">
        <v>1105</v>
      </c>
      <c r="B111" s="709"/>
      <c r="C111" s="710"/>
      <c r="D111" s="711"/>
      <c r="E111" s="712">
        <f>SUM(E104)</f>
        <v>29900</v>
      </c>
      <c r="F111" s="712">
        <f>SUM(F104,F108)</f>
        <v>30060</v>
      </c>
      <c r="G111" s="712">
        <f>SUM(G104,G108)</f>
        <v>30060</v>
      </c>
      <c r="H111" s="1474">
        <f>(G111/F111)*100</f>
        <v>100</v>
      </c>
      <c r="J111" s="524"/>
      <c r="K111" s="524"/>
      <c r="L111" s="524"/>
      <c r="M111" s="523"/>
      <c r="N111" s="523"/>
      <c r="O111" s="523"/>
    </row>
    <row r="112" spans="1:15" s="367" customFormat="1" ht="27.75" customHeight="1" thickTop="1" thickBot="1" x14ac:dyDescent="0.3">
      <c r="A112" s="724" t="s">
        <v>1665</v>
      </c>
      <c r="B112" s="725"/>
      <c r="C112" s="726"/>
      <c r="D112" s="727"/>
      <c r="E112" s="728">
        <f>E111</f>
        <v>29900</v>
      </c>
      <c r="F112" s="728">
        <f>F111</f>
        <v>30060</v>
      </c>
      <c r="G112" s="728">
        <f>G111</f>
        <v>30060</v>
      </c>
      <c r="H112" s="1469">
        <f>(G112/F112)*100</f>
        <v>100</v>
      </c>
      <c r="J112" s="523"/>
      <c r="K112" s="523"/>
      <c r="L112" s="523"/>
      <c r="M112" s="523"/>
      <c r="N112" s="523"/>
      <c r="O112" s="523"/>
    </row>
    <row r="113" spans="1:15" ht="15" thickTop="1" x14ac:dyDescent="0.2"/>
    <row r="114" spans="1:15" ht="15.75" x14ac:dyDescent="0.25">
      <c r="A114" s="695" t="s">
        <v>538</v>
      </c>
      <c r="E114" s="583" t="s">
        <v>59</v>
      </c>
    </row>
    <row r="115" spans="1:15" s="501" customFormat="1" ht="16.5" thickBot="1" x14ac:dyDescent="0.3">
      <c r="A115" s="730"/>
      <c r="B115" s="735"/>
      <c r="C115" s="736"/>
      <c r="E115" s="583"/>
      <c r="F115" s="583"/>
      <c r="G115" s="583"/>
      <c r="H115" s="2455" t="s">
        <v>161</v>
      </c>
      <c r="J115" s="523"/>
      <c r="K115" s="523"/>
      <c r="L115" s="523"/>
      <c r="M115" s="523"/>
      <c r="N115" s="523"/>
      <c r="O115" s="523"/>
    </row>
    <row r="116" spans="1:15" s="703" customFormat="1" ht="20.25" customHeight="1" thickTop="1" thickBot="1" x14ac:dyDescent="0.25">
      <c r="A116" s="697" t="s">
        <v>162</v>
      </c>
      <c r="B116" s="698" t="s">
        <v>163</v>
      </c>
      <c r="C116" s="699" t="s">
        <v>705</v>
      </c>
      <c r="D116" s="700" t="s">
        <v>164</v>
      </c>
      <c r="E116" s="701" t="s">
        <v>165</v>
      </c>
      <c r="F116" s="701" t="s">
        <v>881</v>
      </c>
      <c r="G116" s="701" t="s">
        <v>882</v>
      </c>
      <c r="H116" s="1466" t="s">
        <v>883</v>
      </c>
      <c r="J116" s="523"/>
      <c r="K116" s="523"/>
      <c r="L116" s="523"/>
      <c r="M116" s="523"/>
      <c r="N116" s="523"/>
      <c r="O116" s="523"/>
    </row>
    <row r="117" spans="1:15" s="383" customFormat="1" ht="13.5" thickTop="1" thickBot="1" x14ac:dyDescent="0.25">
      <c r="A117" s="566">
        <v>1</v>
      </c>
      <c r="B117" s="567">
        <v>2</v>
      </c>
      <c r="C117" s="567">
        <v>3</v>
      </c>
      <c r="D117" s="567">
        <v>4</v>
      </c>
      <c r="E117" s="567">
        <v>5</v>
      </c>
      <c r="F117" s="541">
        <v>6</v>
      </c>
      <c r="G117" s="541">
        <v>7</v>
      </c>
      <c r="H117" s="1462" t="s">
        <v>61</v>
      </c>
      <c r="I117" s="107"/>
    </row>
    <row r="118" spans="1:15" ht="15.75" thickTop="1" x14ac:dyDescent="0.25">
      <c r="A118" s="1739">
        <v>3529</v>
      </c>
      <c r="B118" s="2425">
        <v>5331</v>
      </c>
      <c r="C118" s="704"/>
      <c r="D118" s="624" t="s">
        <v>236</v>
      </c>
      <c r="E118" s="388">
        <f>E119+E120+E121</f>
        <v>19808</v>
      </c>
      <c r="F118" s="388">
        <f>F119+F120+F121</f>
        <v>20508</v>
      </c>
      <c r="G118" s="388">
        <f>G119+G120+G121</f>
        <v>20508</v>
      </c>
      <c r="H118" s="1467">
        <f t="shared" ref="H118:H123" si="6">G118/F118*100</f>
        <v>100</v>
      </c>
    </row>
    <row r="119" spans="1:15" x14ac:dyDescent="0.2">
      <c r="A119" s="1739"/>
      <c r="B119" s="1740"/>
      <c r="C119" s="707" t="s">
        <v>575</v>
      </c>
      <c r="D119" s="1392" t="s">
        <v>1260</v>
      </c>
      <c r="E119" s="435">
        <v>308</v>
      </c>
      <c r="F119" s="435">
        <v>388</v>
      </c>
      <c r="G119" s="435">
        <v>388</v>
      </c>
      <c r="H119" s="706">
        <f t="shared" si="6"/>
        <v>100</v>
      </c>
    </row>
    <row r="120" spans="1:15" x14ac:dyDescent="0.2">
      <c r="A120" s="1739"/>
      <c r="B120" s="1740"/>
      <c r="C120" s="552" t="s">
        <v>570</v>
      </c>
      <c r="D120" s="548" t="s">
        <v>1088</v>
      </c>
      <c r="E120" s="2465">
        <v>6300</v>
      </c>
      <c r="F120" s="435">
        <v>6316</v>
      </c>
      <c r="G120" s="435">
        <v>6316</v>
      </c>
      <c r="H120" s="706">
        <f t="shared" si="6"/>
        <v>100</v>
      </c>
    </row>
    <row r="121" spans="1:15" x14ac:dyDescent="0.2">
      <c r="A121" s="1739"/>
      <c r="B121" s="1740"/>
      <c r="C121" s="552" t="s">
        <v>665</v>
      </c>
      <c r="D121" s="548" t="s">
        <v>1294</v>
      </c>
      <c r="E121" s="2465">
        <v>13200</v>
      </c>
      <c r="F121" s="435">
        <v>13804</v>
      </c>
      <c r="G121" s="435">
        <v>13804</v>
      </c>
      <c r="H121" s="706">
        <f t="shared" si="6"/>
        <v>100</v>
      </c>
    </row>
    <row r="122" spans="1:15" ht="15" x14ac:dyDescent="0.25">
      <c r="A122" s="1739">
        <v>4324</v>
      </c>
      <c r="B122" s="1740">
        <v>5336</v>
      </c>
      <c r="C122" s="552"/>
      <c r="D122" s="1726" t="s">
        <v>1659</v>
      </c>
      <c r="E122" s="2413"/>
      <c r="F122" s="389">
        <v>3140</v>
      </c>
      <c r="G122" s="389">
        <v>3140</v>
      </c>
      <c r="H122" s="1388">
        <f t="shared" si="6"/>
        <v>100</v>
      </c>
    </row>
    <row r="123" spans="1:15" s="2480" customFormat="1" x14ac:dyDescent="0.2">
      <c r="A123" s="2477"/>
      <c r="B123" s="2478"/>
      <c r="C123" s="552" t="s">
        <v>576</v>
      </c>
      <c r="D123" s="2717" t="s">
        <v>1020</v>
      </c>
      <c r="E123" s="2479"/>
      <c r="F123" s="2479">
        <v>3140</v>
      </c>
      <c r="G123" s="2479">
        <v>3140</v>
      </c>
      <c r="H123" s="739">
        <f t="shared" si="6"/>
        <v>100</v>
      </c>
      <c r="J123" s="2481"/>
      <c r="K123" s="2481"/>
      <c r="L123" s="2481"/>
      <c r="M123" s="2481"/>
      <c r="N123" s="2481"/>
      <c r="O123" s="2481"/>
    </row>
    <row r="124" spans="1:15" s="2480" customFormat="1" ht="15" thickBot="1" x14ac:dyDescent="0.25">
      <c r="A124" s="2482"/>
      <c r="B124" s="2483"/>
      <c r="C124" s="552"/>
      <c r="D124" s="2717"/>
      <c r="E124" s="2479"/>
      <c r="F124" s="2479"/>
      <c r="G124" s="2479"/>
      <c r="H124" s="739"/>
      <c r="J124" s="2481"/>
      <c r="K124" s="2481"/>
      <c r="L124" s="2481"/>
      <c r="M124" s="2481"/>
      <c r="N124" s="2481"/>
      <c r="O124" s="2481"/>
    </row>
    <row r="125" spans="1:15" s="367" customFormat="1" ht="20.25" customHeight="1" thickTop="1" thickBot="1" x14ac:dyDescent="0.3">
      <c r="A125" s="708" t="s">
        <v>1105</v>
      </c>
      <c r="B125" s="709"/>
      <c r="C125" s="710"/>
      <c r="D125" s="711"/>
      <c r="E125" s="712">
        <f>SUM(E118)</f>
        <v>19808</v>
      </c>
      <c r="F125" s="712">
        <f>SUM(F118,F122)</f>
        <v>23648</v>
      </c>
      <c r="G125" s="712">
        <f>SUM(G118,G122)</f>
        <v>23648</v>
      </c>
      <c r="H125" s="1474">
        <f>(G125/F125)*100</f>
        <v>100</v>
      </c>
      <c r="J125" s="524"/>
      <c r="K125" s="524"/>
      <c r="L125" s="524"/>
      <c r="M125" s="523"/>
      <c r="N125" s="523"/>
      <c r="O125" s="523"/>
    </row>
    <row r="126" spans="1:15" s="1397" customFormat="1" ht="17.25" thickTop="1" x14ac:dyDescent="0.25">
      <c r="A126" s="361"/>
      <c r="B126" s="2585"/>
      <c r="C126" s="1748"/>
      <c r="E126" s="307"/>
      <c r="F126" s="307"/>
      <c r="G126" s="307"/>
      <c r="H126" s="2586"/>
      <c r="J126" s="2587"/>
      <c r="K126" s="2587"/>
      <c r="L126" s="2587"/>
      <c r="M126" s="2587"/>
      <c r="N126" s="2587"/>
      <c r="O126" s="2587"/>
    </row>
    <row r="127" spans="1:15" s="367" customFormat="1" ht="27.75" customHeight="1" thickBot="1" x14ac:dyDescent="0.3">
      <c r="A127" s="724" t="s">
        <v>479</v>
      </c>
      <c r="B127" s="1147"/>
      <c r="C127" s="1148"/>
      <c r="D127" s="1149"/>
      <c r="E127" s="734">
        <f>E125</f>
        <v>19808</v>
      </c>
      <c r="F127" s="734">
        <f>F125</f>
        <v>23648</v>
      </c>
      <c r="G127" s="734">
        <f>G125</f>
        <v>23648</v>
      </c>
      <c r="H127" s="1472">
        <f>(G127/F127)*100</f>
        <v>100</v>
      </c>
      <c r="J127" s="523"/>
      <c r="K127" s="523"/>
      <c r="L127" s="523"/>
      <c r="M127" s="523"/>
      <c r="N127" s="523"/>
      <c r="O127" s="523"/>
    </row>
    <row r="128" spans="1:15" s="367" customFormat="1" ht="15" customHeight="1" thickTop="1" x14ac:dyDescent="0.25">
      <c r="A128" s="361"/>
      <c r="B128" s="362"/>
      <c r="C128" s="363"/>
      <c r="D128" s="364"/>
      <c r="E128" s="723"/>
      <c r="F128" s="723"/>
      <c r="G128" s="723"/>
      <c r="H128" s="1468"/>
      <c r="J128" s="523"/>
      <c r="K128" s="523"/>
      <c r="L128" s="523"/>
      <c r="M128" s="523"/>
      <c r="N128" s="523"/>
      <c r="O128" s="523"/>
    </row>
    <row r="129" spans="1:15" s="367" customFormat="1" ht="15" customHeight="1" x14ac:dyDescent="0.25">
      <c r="A129" s="695" t="s">
        <v>737</v>
      </c>
      <c r="B129" s="362"/>
      <c r="C129" s="363"/>
      <c r="D129" s="364"/>
      <c r="E129" s="583" t="s">
        <v>60</v>
      </c>
      <c r="F129" s="723"/>
      <c r="G129" s="723"/>
      <c r="H129" s="1468"/>
      <c r="J129" s="523"/>
      <c r="K129" s="523"/>
      <c r="L129" s="523"/>
      <c r="M129" s="523"/>
      <c r="N129" s="523"/>
      <c r="O129" s="523"/>
    </row>
    <row r="130" spans="1:15" s="501" customFormat="1" ht="13.5" customHeight="1" thickBot="1" x14ac:dyDescent="0.3">
      <c r="A130" s="730"/>
      <c r="B130" s="735"/>
      <c r="C130" s="736"/>
      <c r="E130" s="583"/>
      <c r="F130" s="583"/>
      <c r="G130" s="583"/>
      <c r="H130" s="2455" t="s">
        <v>161</v>
      </c>
      <c r="J130" s="523"/>
      <c r="K130" s="523"/>
      <c r="L130" s="523"/>
      <c r="M130" s="523"/>
      <c r="N130" s="523"/>
      <c r="O130" s="523"/>
    </row>
    <row r="131" spans="1:15" s="703" customFormat="1" ht="20.25" customHeight="1" thickTop="1" thickBot="1" x14ac:dyDescent="0.25">
      <c r="A131" s="697" t="s">
        <v>162</v>
      </c>
      <c r="B131" s="698" t="s">
        <v>163</v>
      </c>
      <c r="C131" s="699" t="s">
        <v>705</v>
      </c>
      <c r="D131" s="700" t="s">
        <v>164</v>
      </c>
      <c r="E131" s="701" t="s">
        <v>165</v>
      </c>
      <c r="F131" s="701" t="s">
        <v>881</v>
      </c>
      <c r="G131" s="701" t="s">
        <v>882</v>
      </c>
      <c r="H131" s="1466" t="s">
        <v>883</v>
      </c>
      <c r="J131" s="523"/>
      <c r="K131" s="523"/>
      <c r="L131" s="523"/>
      <c r="M131" s="523"/>
      <c r="N131" s="523"/>
      <c r="O131" s="523"/>
    </row>
    <row r="132" spans="1:15" s="383" customFormat="1" ht="13.5" thickTop="1" thickBot="1" x14ac:dyDescent="0.25">
      <c r="A132" s="566">
        <v>1</v>
      </c>
      <c r="B132" s="567">
        <v>2</v>
      </c>
      <c r="C132" s="567">
        <v>3</v>
      </c>
      <c r="D132" s="567">
        <v>4</v>
      </c>
      <c r="E132" s="567">
        <v>5</v>
      </c>
      <c r="F132" s="541">
        <v>6</v>
      </c>
      <c r="G132" s="541">
        <v>7</v>
      </c>
      <c r="H132" s="1462" t="s">
        <v>61</v>
      </c>
      <c r="I132" s="107"/>
    </row>
    <row r="133" spans="1:15" ht="15.75" thickTop="1" x14ac:dyDescent="0.25">
      <c r="A133" s="1739">
        <v>3533</v>
      </c>
      <c r="B133" s="2425">
        <v>5331</v>
      </c>
      <c r="C133" s="704"/>
      <c r="D133" s="624" t="s">
        <v>236</v>
      </c>
      <c r="E133" s="388">
        <f>E134+E135+E136</f>
        <v>145018</v>
      </c>
      <c r="F133" s="388">
        <f>F134+F135+F136+F137</f>
        <v>155876</v>
      </c>
      <c r="G133" s="388">
        <f>G134+G135+G136+G137</f>
        <v>155876</v>
      </c>
      <c r="H133" s="1467">
        <f t="shared" ref="H133:H139" si="7">G133/F133*100</f>
        <v>100</v>
      </c>
    </row>
    <row r="134" spans="1:15" x14ac:dyDescent="0.2">
      <c r="A134" s="1739"/>
      <c r="B134" s="1740"/>
      <c r="C134" s="707" t="s">
        <v>575</v>
      </c>
      <c r="D134" s="1392" t="s">
        <v>1260</v>
      </c>
      <c r="E134" s="435">
        <v>17500</v>
      </c>
      <c r="F134" s="435">
        <v>17100</v>
      </c>
      <c r="G134" s="435">
        <v>17100</v>
      </c>
      <c r="H134" s="706">
        <f t="shared" si="7"/>
        <v>100</v>
      </c>
    </row>
    <row r="135" spans="1:15" x14ac:dyDescent="0.2">
      <c r="A135" s="1739"/>
      <c r="B135" s="1740"/>
      <c r="C135" s="552" t="s">
        <v>570</v>
      </c>
      <c r="D135" s="548" t="s">
        <v>1088</v>
      </c>
      <c r="E135" s="435">
        <v>124730</v>
      </c>
      <c r="F135" s="435">
        <v>120988</v>
      </c>
      <c r="G135" s="435">
        <v>120988</v>
      </c>
      <c r="H135" s="706">
        <f t="shared" si="7"/>
        <v>100</v>
      </c>
    </row>
    <row r="136" spans="1:15" x14ac:dyDescent="0.2">
      <c r="A136" s="1739"/>
      <c r="B136" s="1740"/>
      <c r="C136" s="552" t="s">
        <v>1123</v>
      </c>
      <c r="D136" s="569" t="s">
        <v>344</v>
      </c>
      <c r="E136" s="435">
        <v>2788</v>
      </c>
      <c r="F136" s="435">
        <v>2788</v>
      </c>
      <c r="G136" s="435">
        <v>2788</v>
      </c>
      <c r="H136" s="706">
        <f t="shared" si="7"/>
        <v>100</v>
      </c>
    </row>
    <row r="137" spans="1:15" x14ac:dyDescent="0.2">
      <c r="A137" s="1739"/>
      <c r="B137" s="1740"/>
      <c r="C137" s="1164" t="s">
        <v>22</v>
      </c>
      <c r="D137" s="166" t="s">
        <v>1203</v>
      </c>
      <c r="E137" s="435"/>
      <c r="F137" s="435">
        <v>15000</v>
      </c>
      <c r="G137" s="435">
        <v>15000</v>
      </c>
      <c r="H137" s="706">
        <f t="shared" si="7"/>
        <v>100</v>
      </c>
    </row>
    <row r="138" spans="1:15" ht="15" x14ac:dyDescent="0.25">
      <c r="A138" s="1739">
        <v>3533</v>
      </c>
      <c r="B138" s="1740">
        <v>5336</v>
      </c>
      <c r="C138" s="552"/>
      <c r="D138" s="1726" t="s">
        <v>1659</v>
      </c>
      <c r="E138" s="389"/>
      <c r="F138" s="389">
        <v>6364</v>
      </c>
      <c r="G138" s="389">
        <v>6364</v>
      </c>
      <c r="H138" s="1388">
        <f t="shared" si="7"/>
        <v>100</v>
      </c>
    </row>
    <row r="139" spans="1:15" x14ac:dyDescent="0.2">
      <c r="A139" s="1739"/>
      <c r="B139" s="1740"/>
      <c r="C139" s="552" t="s">
        <v>1666</v>
      </c>
      <c r="D139" s="2715" t="s">
        <v>1872</v>
      </c>
      <c r="E139" s="435"/>
      <c r="F139" s="435">
        <v>6364</v>
      </c>
      <c r="G139" s="435">
        <v>6364</v>
      </c>
      <c r="H139" s="706">
        <f t="shared" si="7"/>
        <v>100</v>
      </c>
    </row>
    <row r="140" spans="1:15" ht="15" thickBot="1" x14ac:dyDescent="0.25">
      <c r="A140" s="1739"/>
      <c r="B140" s="1740"/>
      <c r="C140" s="552"/>
      <c r="D140" s="2716"/>
      <c r="E140" s="435"/>
      <c r="F140" s="435"/>
      <c r="G140" s="435"/>
      <c r="H140" s="706"/>
    </row>
    <row r="141" spans="1:15" s="367" customFormat="1" ht="20.25" customHeight="1" thickTop="1" thickBot="1" x14ac:dyDescent="0.3">
      <c r="A141" s="708" t="s">
        <v>1105</v>
      </c>
      <c r="B141" s="709"/>
      <c r="C141" s="710"/>
      <c r="D141" s="711"/>
      <c r="E141" s="712">
        <f>SUM(E133)</f>
        <v>145018</v>
      </c>
      <c r="F141" s="712">
        <f>SUM(F133,F138)</f>
        <v>162240</v>
      </c>
      <c r="G141" s="712">
        <f>SUM(G133,G138)</f>
        <v>162240</v>
      </c>
      <c r="H141" s="1474">
        <f>(G141/F141)*100</f>
        <v>100</v>
      </c>
      <c r="J141" s="524"/>
      <c r="K141" s="524"/>
      <c r="L141" s="524"/>
      <c r="M141" s="523"/>
      <c r="N141" s="523"/>
      <c r="O141" s="523"/>
    </row>
    <row r="142" spans="1:15" ht="15.75" thickTop="1" x14ac:dyDescent="0.25">
      <c r="A142" s="1739">
        <v>3533</v>
      </c>
      <c r="B142" s="1740">
        <v>6351</v>
      </c>
      <c r="C142" s="1069"/>
      <c r="D142" s="426" t="s">
        <v>1175</v>
      </c>
      <c r="E142" s="2412"/>
      <c r="F142" s="2412">
        <v>1200</v>
      </c>
      <c r="G142" s="2412">
        <v>1200</v>
      </c>
      <c r="H142" s="1388">
        <f t="shared" ref="H142:H143" si="8">G142/F142*100</f>
        <v>100</v>
      </c>
      <c r="J142" s="381"/>
      <c r="K142" s="381"/>
      <c r="L142" s="381"/>
      <c r="M142" s="381"/>
      <c r="N142" s="381"/>
      <c r="O142" s="381"/>
    </row>
    <row r="143" spans="1:15" ht="15" thickBot="1" x14ac:dyDescent="0.25">
      <c r="A143" s="1739"/>
      <c r="B143" s="1740"/>
      <c r="C143" s="1069" t="s">
        <v>755</v>
      </c>
      <c r="D143" s="1063" t="s">
        <v>780</v>
      </c>
      <c r="E143" s="716"/>
      <c r="F143" s="717">
        <v>1200</v>
      </c>
      <c r="G143" s="717">
        <v>1200</v>
      </c>
      <c r="H143" s="706">
        <f t="shared" si="8"/>
        <v>100</v>
      </c>
      <c r="J143" s="381"/>
      <c r="K143" s="381"/>
      <c r="L143" s="381"/>
      <c r="M143" s="381"/>
      <c r="N143" s="381"/>
      <c r="O143" s="381"/>
    </row>
    <row r="144" spans="1:15" ht="20.25" customHeight="1" thickTop="1" thickBot="1" x14ac:dyDescent="0.3">
      <c r="A144" s="708" t="s">
        <v>1106</v>
      </c>
      <c r="B144" s="709"/>
      <c r="C144" s="710"/>
      <c r="D144" s="711"/>
      <c r="E144" s="720">
        <f>E142</f>
        <v>0</v>
      </c>
      <c r="F144" s="720">
        <f>F142</f>
        <v>1200</v>
      </c>
      <c r="G144" s="720">
        <f>G142</f>
        <v>1200</v>
      </c>
      <c r="H144" s="721">
        <f>G144/F144*100</f>
        <v>100</v>
      </c>
      <c r="J144" s="381"/>
      <c r="K144" s="381"/>
      <c r="L144" s="381"/>
      <c r="M144" s="381"/>
      <c r="N144" s="381"/>
      <c r="O144" s="381"/>
    </row>
    <row r="145" spans="1:19" ht="17.25" thickTop="1" x14ac:dyDescent="0.25">
      <c r="A145" s="732"/>
    </row>
    <row r="146" spans="1:19" s="367" customFormat="1" ht="27.75" customHeight="1" thickBot="1" x14ac:dyDescent="0.3">
      <c r="A146" s="724" t="s">
        <v>480</v>
      </c>
      <c r="B146" s="725"/>
      <c r="C146" s="726"/>
      <c r="D146" s="727"/>
      <c r="E146" s="728">
        <f>E141+E144</f>
        <v>145018</v>
      </c>
      <c r="F146" s="728">
        <f>F141+F144</f>
        <v>163440</v>
      </c>
      <c r="G146" s="728">
        <f>G141+G144</f>
        <v>163440</v>
      </c>
      <c r="H146" s="1469">
        <f>(G146/F146)*100</f>
        <v>100</v>
      </c>
      <c r="J146" s="523"/>
      <c r="K146" s="523"/>
      <c r="L146" s="523"/>
      <c r="M146" s="523"/>
      <c r="N146" s="523"/>
      <c r="O146" s="523"/>
    </row>
    <row r="147" spans="1:19" s="367" customFormat="1" ht="20.25" customHeight="1" thickTop="1" x14ac:dyDescent="0.25">
      <c r="A147" s="361"/>
      <c r="B147" s="362"/>
      <c r="C147" s="363"/>
      <c r="D147" s="364"/>
      <c r="E147" s="723"/>
      <c r="F147" s="723"/>
      <c r="G147" s="723"/>
      <c r="H147" s="1473"/>
      <c r="J147" s="523"/>
      <c r="K147" s="523"/>
      <c r="L147" s="523"/>
      <c r="M147" s="523"/>
      <c r="N147" s="523"/>
      <c r="O147" s="523"/>
    </row>
    <row r="148" spans="1:19" s="367" customFormat="1" ht="20.25" customHeight="1" x14ac:dyDescent="0.25">
      <c r="A148" s="361"/>
      <c r="B148" s="362"/>
      <c r="C148" s="363"/>
      <c r="D148" s="364"/>
      <c r="E148" s="723"/>
      <c r="F148" s="723"/>
      <c r="G148" s="723"/>
      <c r="H148" s="1473"/>
      <c r="J148" s="523"/>
      <c r="K148" s="523"/>
      <c r="L148" s="523"/>
      <c r="M148" s="523"/>
      <c r="N148" s="523"/>
      <c r="O148" s="523"/>
    </row>
    <row r="149" spans="1:19" s="367" customFormat="1" ht="20.25" customHeight="1" x14ac:dyDescent="0.25">
      <c r="A149" s="361"/>
      <c r="B149" s="362"/>
      <c r="C149" s="363"/>
      <c r="D149" s="364"/>
      <c r="E149" s="723"/>
      <c r="F149" s="723"/>
      <c r="G149" s="723"/>
      <c r="H149" s="1473"/>
      <c r="J149" s="523"/>
      <c r="K149" s="523"/>
      <c r="L149" s="523"/>
      <c r="M149" s="523"/>
      <c r="N149" s="523"/>
      <c r="O149" s="523"/>
    </row>
    <row r="150" spans="1:19" s="501" customFormat="1" ht="15.75" x14ac:dyDescent="0.25">
      <c r="A150" s="805" t="s">
        <v>1089</v>
      </c>
      <c r="B150" s="1483"/>
      <c r="C150" s="1483"/>
      <c r="D150" s="1483"/>
      <c r="E150" s="487"/>
      <c r="F150" s="487"/>
      <c r="G150" s="487"/>
      <c r="H150" s="1475"/>
    </row>
    <row r="151" spans="1:19" ht="15" thickBot="1" x14ac:dyDescent="0.25">
      <c r="E151" s="1728"/>
      <c r="F151" s="1728"/>
      <c r="G151" s="1728"/>
      <c r="H151" s="2455" t="s">
        <v>161</v>
      </c>
      <c r="J151" s="381"/>
      <c r="K151" s="381"/>
      <c r="L151" s="381"/>
      <c r="M151" s="381"/>
      <c r="N151" s="381"/>
      <c r="O151" s="381"/>
    </row>
    <row r="152" spans="1:19" thickTop="1" thickBot="1" x14ac:dyDescent="0.25">
      <c r="A152" s="631" t="s">
        <v>162</v>
      </c>
      <c r="B152" s="632" t="s">
        <v>163</v>
      </c>
      <c r="C152" s="670" t="s">
        <v>705</v>
      </c>
      <c r="D152" s="634" t="s">
        <v>164</v>
      </c>
      <c r="E152" s="634" t="s">
        <v>165</v>
      </c>
      <c r="F152" s="634" t="s">
        <v>881</v>
      </c>
      <c r="G152" s="634" t="s">
        <v>882</v>
      </c>
      <c r="H152" s="1461" t="s">
        <v>883</v>
      </c>
      <c r="J152" s="381"/>
      <c r="K152" s="381"/>
      <c r="L152" s="381"/>
      <c r="M152" s="381"/>
      <c r="N152" s="381"/>
      <c r="O152" s="381"/>
    </row>
    <row r="153" spans="1:19" thickTop="1" thickBot="1" x14ac:dyDescent="0.25">
      <c r="A153" s="566">
        <v>1</v>
      </c>
      <c r="B153" s="567">
        <v>2</v>
      </c>
      <c r="C153" s="567">
        <v>3</v>
      </c>
      <c r="D153" s="567">
        <v>4</v>
      </c>
      <c r="E153" s="567">
        <v>5</v>
      </c>
      <c r="F153" s="541">
        <v>6</v>
      </c>
      <c r="G153" s="541">
        <v>7</v>
      </c>
      <c r="H153" s="1462" t="s">
        <v>61</v>
      </c>
      <c r="J153" s="381"/>
      <c r="K153" s="381"/>
      <c r="L153" s="381"/>
      <c r="M153" s="381"/>
      <c r="N153" s="381"/>
      <c r="O153" s="381"/>
    </row>
    <row r="154" spans="1:19" s="1056" customFormat="1" ht="15.75" thickTop="1" x14ac:dyDescent="0.25">
      <c r="A154" s="34">
        <v>3599</v>
      </c>
      <c r="B154" s="1088">
        <v>5331</v>
      </c>
      <c r="C154" s="122"/>
      <c r="D154" s="1080" t="s">
        <v>836</v>
      </c>
      <c r="E154" s="48">
        <f>E155</f>
        <v>940</v>
      </c>
      <c r="F154" s="48">
        <f>F155</f>
        <v>1</v>
      </c>
      <c r="G154" s="315">
        <v>0</v>
      </c>
      <c r="H154" s="212">
        <v>0</v>
      </c>
    </row>
    <row r="155" spans="1:19" ht="15.75" thickBot="1" x14ac:dyDescent="0.3">
      <c r="A155" s="1345"/>
      <c r="B155" s="1080"/>
      <c r="C155" s="1069" t="s">
        <v>570</v>
      </c>
      <c r="D155" s="85" t="s">
        <v>590</v>
      </c>
      <c r="E155" s="55">
        <v>940</v>
      </c>
      <c r="F155" s="314">
        <v>1</v>
      </c>
      <c r="G155" s="316">
        <v>0</v>
      </c>
      <c r="H155" s="1074">
        <v>0</v>
      </c>
      <c r="J155" s="314">
        <v>886</v>
      </c>
      <c r="K155" s="382">
        <v>0</v>
      </c>
      <c r="L155" s="382">
        <v>0</v>
      </c>
      <c r="M155" s="382">
        <v>0</v>
      </c>
      <c r="N155" s="381"/>
      <c r="O155" s="381"/>
    </row>
    <row r="156" spans="1:19" s="795" customFormat="1" ht="20.25" customHeight="1" thickTop="1" thickBot="1" x14ac:dyDescent="0.3">
      <c r="A156" s="708" t="s">
        <v>1090</v>
      </c>
      <c r="B156" s="709"/>
      <c r="C156" s="710"/>
      <c r="D156" s="711"/>
      <c r="E156" s="720">
        <f>SUM(E154)</f>
        <v>940</v>
      </c>
      <c r="F156" s="720">
        <f>SUM(F154)</f>
        <v>1</v>
      </c>
      <c r="G156" s="720">
        <f>SUM(G154)</f>
        <v>0</v>
      </c>
      <c r="H156" s="1476">
        <f>SUM(H154)</f>
        <v>0</v>
      </c>
      <c r="J156" s="1531" t="s">
        <v>1501</v>
      </c>
      <c r="K156" s="524" t="e">
        <f>#REF!+#REF!</f>
        <v>#REF!</v>
      </c>
      <c r="L156" s="524" t="e">
        <f>#REF!+#REF!</f>
        <v>#REF!</v>
      </c>
      <c r="M156" s="524" t="e">
        <f>#REF!+#REF!</f>
        <v>#REF!</v>
      </c>
      <c r="S156" s="795">
        <v>0</v>
      </c>
    </row>
    <row r="157" spans="1:19" s="367" customFormat="1" ht="20.25" customHeight="1" thickTop="1" x14ac:dyDescent="0.25">
      <c r="A157" s="361"/>
      <c r="B157" s="362"/>
      <c r="C157" s="363"/>
      <c r="D157" s="364"/>
      <c r="E157" s="723"/>
      <c r="F157" s="723"/>
      <c r="G157" s="723"/>
      <c r="H157" s="1473"/>
      <c r="J157" s="523"/>
      <c r="K157" s="523"/>
      <c r="L157" s="523"/>
      <c r="M157" s="523"/>
      <c r="N157" s="523"/>
      <c r="O157" s="523"/>
    </row>
    <row r="158" spans="1:19" s="367" customFormat="1" ht="20.25" customHeight="1" x14ac:dyDescent="0.25">
      <c r="A158" s="361"/>
      <c r="B158" s="362"/>
      <c r="C158" s="363"/>
      <c r="D158" s="364"/>
      <c r="E158" s="723"/>
      <c r="F158" s="723"/>
      <c r="G158" s="723"/>
      <c r="H158" s="1473"/>
      <c r="J158" s="523"/>
      <c r="K158" s="523"/>
      <c r="L158" s="523"/>
      <c r="M158" s="523"/>
      <c r="N158" s="523"/>
      <c r="O158" s="523"/>
    </row>
    <row r="159" spans="1:19" s="367" customFormat="1" ht="18" customHeight="1" x14ac:dyDescent="0.25">
      <c r="A159" s="361" t="s">
        <v>262</v>
      </c>
      <c r="B159" s="362"/>
      <c r="C159" s="363"/>
      <c r="D159" s="364"/>
      <c r="E159" s="723">
        <f>E160+E161+E162+E163</f>
        <v>20051</v>
      </c>
      <c r="F159" s="723">
        <f>F160+F161+F162+F163</f>
        <v>23754</v>
      </c>
      <c r="G159" s="723">
        <f>G160+G161+G162+G163</f>
        <v>23442</v>
      </c>
      <c r="H159" s="1470">
        <f>G159/F159*100</f>
        <v>98.686537004294024</v>
      </c>
      <c r="J159" s="523"/>
      <c r="K159" s="523"/>
      <c r="L159" s="523"/>
      <c r="M159" s="523"/>
      <c r="N159" s="523"/>
      <c r="O159" s="523"/>
    </row>
    <row r="160" spans="1:19" s="367" customFormat="1" ht="18" customHeight="1" x14ac:dyDescent="0.25">
      <c r="A160" s="555" t="s">
        <v>263</v>
      </c>
      <c r="B160" s="362"/>
      <c r="C160" s="363"/>
      <c r="D160" s="364"/>
      <c r="E160" s="740">
        <f>E54-E162</f>
        <v>19451</v>
      </c>
      <c r="F160" s="740">
        <f>F54-F162</f>
        <v>20922</v>
      </c>
      <c r="G160" s="740">
        <f>G54-G162</f>
        <v>20610</v>
      </c>
      <c r="H160" s="2484">
        <f>G160/F160*100</f>
        <v>98.508746773731005</v>
      </c>
      <c r="J160" s="523"/>
      <c r="K160" s="523"/>
      <c r="L160" s="523"/>
      <c r="M160" s="523"/>
      <c r="N160" s="523"/>
      <c r="O160" s="523"/>
    </row>
    <row r="161" spans="1:15" s="501" customFormat="1" ht="15.75" x14ac:dyDescent="0.25">
      <c r="A161" s="555" t="s">
        <v>264</v>
      </c>
      <c r="B161" s="809"/>
      <c r="C161" s="1452"/>
      <c r="D161" s="810"/>
      <c r="E161" s="588">
        <f>E63</f>
        <v>0</v>
      </c>
      <c r="F161" s="588">
        <f>F63</f>
        <v>400</v>
      </c>
      <c r="G161" s="588">
        <f>G63</f>
        <v>400</v>
      </c>
      <c r="H161" s="2484">
        <f>G161/F161*100</f>
        <v>100</v>
      </c>
      <c r="J161" s="523"/>
      <c r="K161" s="523"/>
      <c r="L161" s="523"/>
      <c r="M161" s="523"/>
      <c r="N161" s="523"/>
      <c r="O161" s="523"/>
    </row>
    <row r="162" spans="1:15" s="501" customFormat="1" ht="15.75" x14ac:dyDescent="0.25">
      <c r="A162" s="555" t="s">
        <v>208</v>
      </c>
      <c r="B162" s="1453"/>
      <c r="C162" s="1452"/>
      <c r="D162" s="1454"/>
      <c r="E162" s="588">
        <f>E43+E44</f>
        <v>600</v>
      </c>
      <c r="F162" s="588">
        <f>F43+F44</f>
        <v>2432</v>
      </c>
      <c r="G162" s="588">
        <f>G43+G44</f>
        <v>2432</v>
      </c>
      <c r="H162" s="2484">
        <f>G162/F162*100</f>
        <v>100</v>
      </c>
      <c r="J162" s="523"/>
      <c r="K162" s="523"/>
      <c r="L162" s="523"/>
      <c r="M162" s="523"/>
      <c r="N162" s="523"/>
      <c r="O162" s="523"/>
    </row>
    <row r="163" spans="1:15" s="1447" customFormat="1" ht="15.75" x14ac:dyDescent="0.2">
      <c r="A163" s="1439" t="s">
        <v>1147</v>
      </c>
      <c r="B163" s="2485"/>
      <c r="C163" s="2486"/>
      <c r="D163" s="2487"/>
      <c r="E163" s="2488">
        <v>0</v>
      </c>
      <c r="F163" s="2488">
        <v>0</v>
      </c>
      <c r="G163" s="2488">
        <v>0</v>
      </c>
      <c r="H163" s="2489">
        <v>0</v>
      </c>
      <c r="J163" s="1448"/>
      <c r="K163" s="1448"/>
      <c r="L163" s="1448"/>
      <c r="M163" s="1448"/>
      <c r="N163" s="1448"/>
      <c r="O163" s="1448"/>
    </row>
    <row r="164" spans="1:15" s="501" customFormat="1" ht="15.75" x14ac:dyDescent="0.25">
      <c r="A164" s="555"/>
      <c r="B164" s="1453"/>
      <c r="C164" s="1452"/>
      <c r="D164" s="1454"/>
      <c r="E164" s="588"/>
      <c r="F164" s="588"/>
      <c r="G164" s="588"/>
      <c r="H164" s="2484"/>
      <c r="J164" s="523"/>
      <c r="K164" s="523"/>
      <c r="L164" s="523"/>
      <c r="M164" s="523"/>
      <c r="N164" s="523"/>
      <c r="O164" s="523"/>
    </row>
    <row r="165" spans="1:15" s="501" customFormat="1" ht="16.5" x14ac:dyDescent="0.25">
      <c r="A165" s="741" t="s">
        <v>265</v>
      </c>
      <c r="B165" s="2485"/>
      <c r="C165" s="1452"/>
      <c r="D165" s="1454"/>
      <c r="E165" s="583">
        <f>E166+E167+E168+E169</f>
        <v>225662</v>
      </c>
      <c r="F165" s="583">
        <f>F166+F167+F168+F169</f>
        <v>258868</v>
      </c>
      <c r="G165" s="583">
        <f>G166+G167+G168+G169</f>
        <v>258867</v>
      </c>
      <c r="H165" s="1470">
        <f>G165/F165*100</f>
        <v>99.999613702736539</v>
      </c>
      <c r="J165" s="523"/>
      <c r="K165" s="523"/>
      <c r="L165" s="523"/>
      <c r="M165" s="523"/>
      <c r="N165" s="523"/>
      <c r="O165" s="523"/>
    </row>
    <row r="166" spans="1:15" s="501" customFormat="1" ht="15.75" x14ac:dyDescent="0.25">
      <c r="A166" s="555" t="s">
        <v>1148</v>
      </c>
      <c r="B166" s="1453"/>
      <c r="C166" s="1452"/>
      <c r="D166" s="1454"/>
      <c r="E166" s="588">
        <f>E141+E125+E111+E90+E74+E156-E168</f>
        <v>220306</v>
      </c>
      <c r="F166" s="588">
        <f>F141+F125+F111+F90+F74+F156-F168</f>
        <v>229954</v>
      </c>
      <c r="G166" s="588">
        <f>G141+G125+G111+G90+G74+G156-G168</f>
        <v>229953</v>
      </c>
      <c r="H166" s="2484">
        <f>G166/F166*100</f>
        <v>99.999565130417395</v>
      </c>
      <c r="J166" s="523"/>
      <c r="K166" s="523"/>
      <c r="L166" s="523"/>
      <c r="M166" s="523"/>
      <c r="N166" s="523"/>
      <c r="O166" s="523"/>
    </row>
    <row r="167" spans="1:15" s="501" customFormat="1" ht="15.75" x14ac:dyDescent="0.25">
      <c r="A167" s="555" t="s">
        <v>1149</v>
      </c>
      <c r="B167" s="1453"/>
      <c r="C167" s="1452"/>
      <c r="D167" s="1454"/>
      <c r="E167" s="588">
        <f>E95+E79+E144</f>
        <v>5356</v>
      </c>
      <c r="F167" s="588">
        <f>F95+F79+F144</f>
        <v>19006</v>
      </c>
      <c r="G167" s="588">
        <f>G95+G79+G144</f>
        <v>19006</v>
      </c>
      <c r="H167" s="2484">
        <f>G167/F167*100</f>
        <v>100</v>
      </c>
      <c r="J167" s="524"/>
      <c r="K167" s="524"/>
      <c r="L167" s="524"/>
      <c r="M167" s="523"/>
      <c r="N167" s="523"/>
      <c r="O167" s="523"/>
    </row>
    <row r="168" spans="1:15" s="501" customFormat="1" ht="15.75" x14ac:dyDescent="0.25">
      <c r="A168" s="555" t="s">
        <v>208</v>
      </c>
      <c r="B168" s="1453"/>
      <c r="C168" s="1452"/>
      <c r="D168" s="1454"/>
      <c r="E168" s="588">
        <f>E109+E123</f>
        <v>0</v>
      </c>
      <c r="F168" s="588">
        <f>F109+F123+F139+F73</f>
        <v>9908</v>
      </c>
      <c r="G168" s="588">
        <f>G109+G123+G139+G73</f>
        <v>9908</v>
      </c>
      <c r="H168" s="2484">
        <f>G168/F168*100</f>
        <v>100</v>
      </c>
      <c r="I168" s="810" t="s">
        <v>589</v>
      </c>
      <c r="J168" s="524">
        <f>E162+E163+E168+E169</f>
        <v>600</v>
      </c>
      <c r="K168" s="524">
        <f>F162+F163+F168+F169</f>
        <v>12340</v>
      </c>
      <c r="L168" s="524">
        <f>G162+G163+G168+G169</f>
        <v>12340</v>
      </c>
      <c r="M168" s="524"/>
      <c r="N168" s="523"/>
      <c r="O168" s="523"/>
    </row>
    <row r="169" spans="1:15" ht="15" x14ac:dyDescent="0.2">
      <c r="A169" s="555" t="s">
        <v>1147</v>
      </c>
      <c r="E169" s="588">
        <v>0</v>
      </c>
      <c r="F169" s="588">
        <v>0</v>
      </c>
      <c r="G169" s="588">
        <v>0</v>
      </c>
      <c r="H169" s="2484">
        <v>0</v>
      </c>
      <c r="J169" s="524"/>
      <c r="K169" s="524"/>
      <c r="L169" s="524"/>
    </row>
    <row r="170" spans="1:15" ht="15" x14ac:dyDescent="0.2">
      <c r="A170" s="743"/>
      <c r="E170" s="588"/>
      <c r="F170" s="588"/>
      <c r="G170" s="588"/>
      <c r="H170" s="2484"/>
      <c r="J170" s="524"/>
      <c r="K170" s="524"/>
      <c r="L170" s="524"/>
    </row>
    <row r="171" spans="1:15" x14ac:dyDescent="0.2">
      <c r="A171" s="2490"/>
      <c r="J171" s="524"/>
      <c r="K171" s="524"/>
      <c r="L171" s="524"/>
    </row>
    <row r="172" spans="1:15" s="58" customFormat="1" ht="47.25" customHeight="1" thickBot="1" x14ac:dyDescent="0.4">
      <c r="A172" s="744" t="s">
        <v>1253</v>
      </c>
      <c r="B172" s="2491"/>
      <c r="C172" s="2491"/>
      <c r="D172" s="2491"/>
      <c r="E172" s="593">
        <f>SUM(E159,E165)</f>
        <v>245713</v>
      </c>
      <c r="F172" s="593">
        <f>SUM(F159,F165)</f>
        <v>282622</v>
      </c>
      <c r="G172" s="593">
        <f>SUM(G159,G165)</f>
        <v>282309</v>
      </c>
      <c r="H172" s="594">
        <f>(G172/F172)*100</f>
        <v>99.889251367550997</v>
      </c>
      <c r="J172" s="559"/>
      <c r="K172" s="559"/>
      <c r="L172" s="559"/>
      <c r="M172" s="559"/>
      <c r="N172" s="559"/>
      <c r="O172" s="559"/>
    </row>
    <row r="173" spans="1:15" ht="15" thickTop="1" x14ac:dyDescent="0.2"/>
  </sheetData>
  <mergeCells count="13">
    <mergeCell ref="H100:H101"/>
    <mergeCell ref="H84:H85"/>
    <mergeCell ref="E97:H97"/>
    <mergeCell ref="A83:D84"/>
    <mergeCell ref="D38:D39"/>
    <mergeCell ref="D45:D46"/>
    <mergeCell ref="D139:D140"/>
    <mergeCell ref="D109:D110"/>
    <mergeCell ref="D123:D124"/>
    <mergeCell ref="C3:D3"/>
    <mergeCell ref="A97:D98"/>
    <mergeCell ref="D18:D19"/>
    <mergeCell ref="D29:D30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69" firstPageNumber="113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2" manualBreakCount="2">
    <brk id="64" max="7" man="1"/>
    <brk id="127" max="7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 enableFormatConditionsCalculation="0">
    <tabColor rgb="FFFF0000"/>
  </sheetPr>
  <dimension ref="A1:I16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349" customWidth="1"/>
    <col min="2" max="2" width="4.85546875" style="349" customWidth="1"/>
    <col min="3" max="3" width="6.140625" style="349" customWidth="1"/>
    <col min="4" max="4" width="46.42578125" style="349" customWidth="1"/>
    <col min="5" max="6" width="13.85546875" style="349" customWidth="1"/>
    <col min="7" max="7" width="14.140625" style="349" customWidth="1"/>
    <col min="8" max="8" width="6.28515625" style="628" customWidth="1"/>
    <col min="9" max="16384" width="9.140625" style="349"/>
  </cols>
  <sheetData>
    <row r="1" spans="1:9" ht="21.75" customHeight="1" thickBot="1" x14ac:dyDescent="0.3">
      <c r="A1" s="463" t="s">
        <v>391</v>
      </c>
      <c r="B1" s="464"/>
      <c r="C1" s="464"/>
      <c r="D1" s="475"/>
      <c r="E1" s="476"/>
      <c r="F1" s="467" t="s">
        <v>392</v>
      </c>
      <c r="G1" s="436"/>
      <c r="I1" s="17"/>
    </row>
    <row r="2" spans="1:9" ht="12.75" customHeight="1" x14ac:dyDescent="0.25">
      <c r="A2" s="6"/>
      <c r="B2" s="28"/>
      <c r="C2" s="28"/>
      <c r="D2" s="10"/>
      <c r="E2" s="15"/>
      <c r="F2" s="15"/>
      <c r="G2" s="16"/>
      <c r="H2" s="194"/>
      <c r="I2" s="17"/>
    </row>
    <row r="3" spans="1:9" ht="12.75" customHeight="1" x14ac:dyDescent="0.25">
      <c r="A3" s="67" t="s">
        <v>367</v>
      </c>
      <c r="B3" s="28"/>
      <c r="C3" s="502" t="s">
        <v>393</v>
      </c>
      <c r="D3" s="627"/>
      <c r="E3" s="15"/>
      <c r="F3" s="16"/>
      <c r="G3" s="17"/>
      <c r="H3" s="194"/>
    </row>
    <row r="4" spans="1:9" ht="12.75" customHeight="1" x14ac:dyDescent="0.25">
      <c r="A4" s="6"/>
      <c r="B4" s="28"/>
      <c r="C4" s="502" t="s">
        <v>394</v>
      </c>
      <c r="D4" s="436"/>
      <c r="E4" s="15"/>
      <c r="F4" s="16"/>
      <c r="G4" s="17"/>
      <c r="H4" s="194"/>
    </row>
    <row r="5" spans="1:9" ht="12.75" customHeight="1" x14ac:dyDescent="0.25">
      <c r="A5" s="6"/>
      <c r="B5" s="28"/>
      <c r="C5" s="28"/>
      <c r="D5" s="10"/>
      <c r="E5" s="15"/>
      <c r="F5" s="15"/>
      <c r="G5" s="16"/>
      <c r="H5" s="194"/>
      <c r="I5" s="17"/>
    </row>
    <row r="6" spans="1:9" ht="18" x14ac:dyDescent="0.25">
      <c r="A6" s="33" t="s">
        <v>884</v>
      </c>
      <c r="B6" s="28"/>
      <c r="C6" s="28"/>
      <c r="D6" s="10"/>
      <c r="E6" s="15"/>
      <c r="F6" s="15"/>
      <c r="G6" s="16"/>
      <c r="H6" s="194"/>
      <c r="I6" s="17"/>
    </row>
    <row r="7" spans="1:9" ht="13.5" thickBot="1" x14ac:dyDescent="0.25">
      <c r="A7" s="629"/>
      <c r="B7" s="629"/>
      <c r="C7" s="629"/>
      <c r="D7" s="630"/>
      <c r="E7" s="436"/>
      <c r="F7" s="436"/>
      <c r="G7" s="423"/>
      <c r="H7" s="628" t="s">
        <v>161</v>
      </c>
    </row>
    <row r="8" spans="1:9" s="107" customFormat="1" ht="20.25" customHeight="1" thickTop="1" thickBot="1" x14ac:dyDescent="0.25">
      <c r="A8" s="631" t="s">
        <v>162</v>
      </c>
      <c r="B8" s="632" t="s">
        <v>163</v>
      </c>
      <c r="C8" s="634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635" t="s">
        <v>883</v>
      </c>
    </row>
    <row r="9" spans="1:9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636" t="s">
        <v>61</v>
      </c>
      <c r="I9" s="107"/>
    </row>
    <row r="10" spans="1:9" s="1056" customFormat="1" ht="16.5" thickTop="1" thickBot="1" x14ac:dyDescent="0.3">
      <c r="A10" s="1076">
        <v>6172</v>
      </c>
      <c r="B10" s="1087">
        <v>5192</v>
      </c>
      <c r="C10" s="1177"/>
      <c r="D10" s="1170" t="s">
        <v>798</v>
      </c>
      <c r="E10" s="1175">
        <v>15</v>
      </c>
      <c r="F10" s="1171">
        <v>5</v>
      </c>
      <c r="G10" s="1174">
        <v>1</v>
      </c>
      <c r="H10" s="1173">
        <f>(G10/F10)*100</f>
        <v>20</v>
      </c>
      <c r="I10" s="1168"/>
    </row>
    <row r="11" spans="1:9" s="360" customFormat="1" ht="35.25" customHeight="1" thickTop="1" thickBot="1" x14ac:dyDescent="0.3">
      <c r="A11" s="637" t="s">
        <v>245</v>
      </c>
      <c r="B11" s="638"/>
      <c r="C11" s="639"/>
      <c r="D11" s="640"/>
      <c r="E11" s="641">
        <f>E10</f>
        <v>15</v>
      </c>
      <c r="F11" s="641">
        <f>F10</f>
        <v>5</v>
      </c>
      <c r="G11" s="641">
        <f>G10</f>
        <v>1</v>
      </c>
      <c r="H11" s="1172">
        <f>(G11/F11)*100</f>
        <v>20</v>
      </c>
    </row>
    <row r="12" spans="1:9" ht="15.75" thickTop="1" x14ac:dyDescent="0.25">
      <c r="A12" s="643"/>
      <c r="B12" s="643"/>
      <c r="C12" s="643"/>
      <c r="D12" s="644"/>
      <c r="E12" s="644"/>
      <c r="F12" s="645"/>
      <c r="G12" s="646"/>
      <c r="H12" s="657"/>
    </row>
    <row r="13" spans="1:9" x14ac:dyDescent="0.2">
      <c r="A13" s="643"/>
      <c r="H13" s="658"/>
    </row>
    <row r="14" spans="1:9" x14ac:dyDescent="0.2">
      <c r="A14" s="643"/>
      <c r="H14" s="658"/>
    </row>
    <row r="15" spans="1:9" s="58" customFormat="1" ht="47.25" customHeight="1" thickBot="1" x14ac:dyDescent="0.4">
      <c r="A15" s="648" t="s">
        <v>395</v>
      </c>
      <c r="B15" s="649"/>
      <c r="C15" s="650"/>
      <c r="D15" s="651"/>
      <c r="E15" s="659">
        <f>SUM(E11)</f>
        <v>15</v>
      </c>
      <c r="F15" s="659">
        <f>SUM(F11)</f>
        <v>5</v>
      </c>
      <c r="G15" s="659">
        <f>SUM(G11)</f>
        <v>1</v>
      </c>
      <c r="H15" s="660">
        <f>(G15/F15)*100</f>
        <v>20</v>
      </c>
      <c r="I15" s="653"/>
    </row>
    <row r="16" spans="1:9" ht="13.5" thickTop="1" x14ac:dyDescent="0.2"/>
  </sheetData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116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 enableFormatConditionsCalculation="0">
    <tabColor rgb="FFFF0000"/>
  </sheetPr>
  <dimension ref="A1:U16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349" customWidth="1"/>
    <col min="2" max="2" width="4.85546875" style="349" customWidth="1"/>
    <col min="3" max="3" width="6.140625" style="349" customWidth="1"/>
    <col min="4" max="4" width="46.42578125" style="349" customWidth="1"/>
    <col min="5" max="6" width="13.85546875" style="349" customWidth="1"/>
    <col min="7" max="7" width="12.85546875" style="349" customWidth="1"/>
    <col min="8" max="8" width="8" style="628" customWidth="1"/>
    <col min="9" max="16384" width="9.140625" style="349"/>
  </cols>
  <sheetData>
    <row r="1" spans="1:21" ht="21.75" customHeight="1" thickBot="1" x14ac:dyDescent="0.3">
      <c r="A1" s="463" t="s">
        <v>373</v>
      </c>
      <c r="B1" s="464"/>
      <c r="C1" s="464"/>
      <c r="D1" s="475"/>
      <c r="E1" s="476"/>
      <c r="F1" s="467" t="s">
        <v>374</v>
      </c>
      <c r="G1" s="436"/>
      <c r="I1" s="17"/>
    </row>
    <row r="2" spans="1:21" ht="12.75" customHeight="1" x14ac:dyDescent="0.25">
      <c r="A2" s="6"/>
      <c r="B2" s="28"/>
      <c r="C2" s="28"/>
      <c r="D2" s="10"/>
      <c r="E2" s="15"/>
      <c r="F2" s="15"/>
      <c r="G2" s="16"/>
      <c r="H2" s="194"/>
      <c r="I2" s="17"/>
    </row>
    <row r="3" spans="1:21" ht="12.75" customHeight="1" x14ac:dyDescent="0.25">
      <c r="A3" s="67" t="s">
        <v>367</v>
      </c>
      <c r="B3" s="28"/>
      <c r="C3" s="502" t="s">
        <v>1091</v>
      </c>
      <c r="D3" s="627"/>
      <c r="E3" s="15"/>
      <c r="F3" s="16"/>
      <c r="G3" s="17"/>
      <c r="H3" s="194"/>
    </row>
    <row r="4" spans="1:21" ht="16.5" customHeight="1" x14ac:dyDescent="0.25">
      <c r="A4" s="6"/>
      <c r="B4" s="28"/>
      <c r="C4" s="502" t="s">
        <v>1092</v>
      </c>
      <c r="D4" s="436"/>
      <c r="E4" s="15"/>
      <c r="F4" s="16"/>
      <c r="G4" s="17"/>
      <c r="H4" s="194"/>
    </row>
    <row r="5" spans="1:21" ht="12.75" customHeight="1" x14ac:dyDescent="0.25">
      <c r="A5" s="6"/>
      <c r="B5" s="28"/>
      <c r="C5" s="28"/>
      <c r="D5" s="10"/>
      <c r="E5" s="15"/>
      <c r="F5" s="15"/>
      <c r="G5" s="16"/>
      <c r="H5" s="194"/>
      <c r="I5" s="17"/>
    </row>
    <row r="6" spans="1:21" ht="18" x14ac:dyDescent="0.25">
      <c r="A6" s="33" t="s">
        <v>884</v>
      </c>
      <c r="B6" s="28"/>
      <c r="C6" s="28"/>
      <c r="D6" s="10"/>
      <c r="E6" s="15"/>
      <c r="F6" s="15"/>
      <c r="G6" s="16"/>
      <c r="H6" s="194"/>
      <c r="I6" s="17"/>
    </row>
    <row r="7" spans="1:21" ht="13.5" thickBot="1" x14ac:dyDescent="0.25">
      <c r="A7" s="629"/>
      <c r="B7" s="629"/>
      <c r="C7" s="629"/>
      <c r="D7" s="630"/>
      <c r="E7" s="436"/>
      <c r="F7" s="436"/>
      <c r="G7" s="423"/>
      <c r="H7" s="534" t="s">
        <v>161</v>
      </c>
    </row>
    <row r="8" spans="1:21" s="107" customFormat="1" ht="20.25" customHeight="1" thickTop="1" thickBot="1" x14ac:dyDescent="0.25">
      <c r="A8" s="631" t="s">
        <v>162</v>
      </c>
      <c r="B8" s="632" t="s">
        <v>163</v>
      </c>
      <c r="C8" s="633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635" t="s">
        <v>883</v>
      </c>
    </row>
    <row r="9" spans="1:21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636" t="s">
        <v>61</v>
      </c>
      <c r="I9" s="107"/>
    </row>
    <row r="10" spans="1:21" s="1056" customFormat="1" ht="19.5" thickTop="1" thickBot="1" x14ac:dyDescent="0.3">
      <c r="A10" s="1185">
        <v>6172</v>
      </c>
      <c r="B10" s="1178">
        <v>5166</v>
      </c>
      <c r="C10" s="1184"/>
      <c r="D10" s="1179" t="s">
        <v>609</v>
      </c>
      <c r="E10" s="1183">
        <v>20</v>
      </c>
      <c r="F10" s="1180">
        <v>0</v>
      </c>
      <c r="G10" s="1182">
        <v>0</v>
      </c>
      <c r="H10" s="1181">
        <v>0</v>
      </c>
      <c r="I10" s="166"/>
      <c r="J10" s="166"/>
      <c r="K10" s="166"/>
      <c r="L10" s="166"/>
      <c r="M10" s="166"/>
      <c r="N10" s="166"/>
      <c r="O10" s="166"/>
      <c r="P10" s="166"/>
      <c r="Q10" s="166"/>
      <c r="R10" s="166"/>
      <c r="S10" s="166"/>
      <c r="T10" s="166"/>
      <c r="U10" s="166"/>
    </row>
    <row r="11" spans="1:21" s="360" customFormat="1" ht="35.25" customHeight="1" thickTop="1" thickBot="1" x14ac:dyDescent="0.3">
      <c r="A11" s="637" t="s">
        <v>245</v>
      </c>
      <c r="B11" s="638"/>
      <c r="C11" s="639"/>
      <c r="D11" s="640"/>
      <c r="E11" s="641">
        <f>SUM(E10)</f>
        <v>20</v>
      </c>
      <c r="F11" s="641">
        <f>SUM(F10)</f>
        <v>0</v>
      </c>
      <c r="G11" s="641">
        <f>SUM(G10)</f>
        <v>0</v>
      </c>
      <c r="H11" s="642">
        <v>0</v>
      </c>
    </row>
    <row r="12" spans="1:21" ht="15.75" thickTop="1" x14ac:dyDescent="0.25">
      <c r="A12" s="643"/>
      <c r="B12" s="643"/>
      <c r="C12" s="643"/>
      <c r="D12" s="644"/>
      <c r="E12" s="644"/>
      <c r="F12" s="645"/>
      <c r="G12" s="646"/>
      <c r="H12" s="647"/>
    </row>
    <row r="13" spans="1:21" x14ac:dyDescent="0.2">
      <c r="A13" s="643"/>
    </row>
    <row r="14" spans="1:21" x14ac:dyDescent="0.2">
      <c r="A14" s="643"/>
    </row>
    <row r="15" spans="1:21" s="58" customFormat="1" ht="47.25" customHeight="1" thickBot="1" x14ac:dyDescent="0.4">
      <c r="A15" s="648" t="s">
        <v>1333</v>
      </c>
      <c r="B15" s="649"/>
      <c r="C15" s="650"/>
      <c r="D15" s="651"/>
      <c r="E15" s="593">
        <f>SUM(E11)</f>
        <v>20</v>
      </c>
      <c r="F15" s="593">
        <f>SUM(F11)</f>
        <v>0</v>
      </c>
      <c r="G15" s="593">
        <f>SUM(G11)</f>
        <v>0</v>
      </c>
      <c r="H15" s="652">
        <v>0</v>
      </c>
      <c r="I15" s="653"/>
    </row>
    <row r="16" spans="1:21" ht="13.5" thickTop="1" x14ac:dyDescent="0.2"/>
  </sheetData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117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 enableFormatConditionsCalculation="0">
    <tabColor rgb="FFFF0000"/>
  </sheetPr>
  <dimension ref="A1:U127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643" customWidth="1"/>
    <col min="2" max="2" width="4.7109375" style="532" customWidth="1"/>
    <col min="3" max="3" width="9.140625" style="995" customWidth="1"/>
    <col min="4" max="4" width="46.140625" style="532" customWidth="1"/>
    <col min="5" max="5" width="13.28515625" style="493" customWidth="1"/>
    <col min="6" max="6" width="15.28515625" style="493" customWidth="1"/>
    <col min="7" max="7" width="14.5703125" style="493" customWidth="1"/>
    <col min="8" max="8" width="8.7109375" style="664" customWidth="1"/>
    <col min="9" max="9" width="9.140625" style="493"/>
    <col min="10" max="10" width="11.42578125" style="493" bestFit="1" customWidth="1"/>
    <col min="11" max="16384" width="9.140625" style="532"/>
  </cols>
  <sheetData>
    <row r="1" spans="1:21" s="665" customFormat="1" ht="18.75" thickBot="1" x14ac:dyDescent="0.3">
      <c r="A1" s="494" t="s">
        <v>638</v>
      </c>
      <c r="B1" s="495"/>
      <c r="C1" s="498"/>
      <c r="D1" s="497"/>
      <c r="E1" s="496"/>
      <c r="F1" s="497"/>
      <c r="G1" s="481" t="s">
        <v>911</v>
      </c>
      <c r="H1" s="668"/>
      <c r="I1" s="667"/>
    </row>
    <row r="2" spans="1:21" s="665" customFormat="1" ht="18" x14ac:dyDescent="0.25">
      <c r="A2" s="1192"/>
      <c r="B2" s="1193"/>
      <c r="C2" s="1194"/>
      <c r="D2" s="138"/>
      <c r="E2" s="1195"/>
      <c r="F2" s="138"/>
      <c r="G2" s="1196"/>
      <c r="H2" s="668"/>
      <c r="I2" s="667"/>
    </row>
    <row r="3" spans="1:21" ht="12.75" customHeight="1" x14ac:dyDescent="0.25">
      <c r="A3" s="67" t="s">
        <v>367</v>
      </c>
      <c r="B3" s="28"/>
      <c r="C3" s="562" t="s">
        <v>347</v>
      </c>
      <c r="D3" s="627"/>
      <c r="E3" s="137"/>
      <c r="F3" s="16"/>
      <c r="G3" s="17"/>
      <c r="H3" s="194"/>
      <c r="I3" s="532"/>
      <c r="J3" s="532"/>
    </row>
    <row r="4" spans="1:21" ht="12.75" customHeight="1" x14ac:dyDescent="0.25">
      <c r="A4" s="6"/>
      <c r="B4" s="28"/>
      <c r="C4" s="562" t="s">
        <v>348</v>
      </c>
      <c r="D4" s="667"/>
      <c r="E4" s="138"/>
      <c r="F4" s="16"/>
      <c r="G4" s="17"/>
      <c r="H4" s="194"/>
      <c r="I4" s="532"/>
      <c r="J4" s="532"/>
    </row>
    <row r="5" spans="1:21" ht="12.75" customHeight="1" x14ac:dyDescent="0.25">
      <c r="A5" s="6"/>
      <c r="B5" s="28"/>
      <c r="C5" s="562"/>
      <c r="D5" s="667"/>
      <c r="E5" s="138"/>
      <c r="F5" s="16"/>
      <c r="G5" s="17"/>
      <c r="H5" s="194"/>
      <c r="I5" s="532"/>
      <c r="J5" s="532"/>
    </row>
    <row r="6" spans="1:21" ht="12.75" customHeight="1" x14ac:dyDescent="0.25">
      <c r="A6" s="6"/>
      <c r="B6" s="28"/>
      <c r="C6" s="562"/>
      <c r="D6" s="667"/>
      <c r="E6" s="138"/>
      <c r="F6" s="16"/>
      <c r="G6" s="17"/>
      <c r="H6" s="194"/>
      <c r="I6" s="532"/>
      <c r="J6" s="532"/>
    </row>
    <row r="7" spans="1:21" ht="16.5" customHeight="1" x14ac:dyDescent="0.25">
      <c r="A7" s="33" t="s">
        <v>884</v>
      </c>
      <c r="B7" s="28"/>
      <c r="C7" s="562"/>
      <c r="D7" s="667"/>
      <c r="E7" s="138"/>
      <c r="F7" s="16"/>
      <c r="G7" s="17"/>
      <c r="H7" s="194"/>
      <c r="I7" s="532"/>
      <c r="J7" s="532"/>
    </row>
    <row r="8" spans="1:21" ht="12.75" customHeight="1" thickBot="1" x14ac:dyDescent="0.3">
      <c r="A8" s="33"/>
      <c r="B8" s="28"/>
      <c r="C8" s="562"/>
      <c r="D8" s="667"/>
      <c r="E8" s="138"/>
      <c r="F8" s="16"/>
      <c r="G8" s="17"/>
      <c r="H8" s="664" t="s">
        <v>161</v>
      </c>
      <c r="I8" s="532"/>
      <c r="J8" s="532"/>
    </row>
    <row r="9" spans="1:21" s="990" customFormat="1" ht="20.25" customHeight="1" thickTop="1" thickBot="1" x14ac:dyDescent="0.25">
      <c r="A9" s="984" t="s">
        <v>162</v>
      </c>
      <c r="B9" s="985" t="s">
        <v>163</v>
      </c>
      <c r="C9" s="986" t="s">
        <v>705</v>
      </c>
      <c r="D9" s="986" t="s">
        <v>164</v>
      </c>
      <c r="E9" s="986" t="s">
        <v>165</v>
      </c>
      <c r="F9" s="986" t="s">
        <v>881</v>
      </c>
      <c r="G9" s="987" t="s">
        <v>882</v>
      </c>
      <c r="H9" s="988" t="s">
        <v>883</v>
      </c>
      <c r="I9" s="989"/>
      <c r="J9" s="989"/>
    </row>
    <row r="10" spans="1:21" s="383" customFormat="1" ht="13.5" thickTop="1" thickBot="1" x14ac:dyDescent="0.25">
      <c r="A10" s="566">
        <v>1</v>
      </c>
      <c r="B10" s="567">
        <v>2</v>
      </c>
      <c r="C10" s="567">
        <v>3</v>
      </c>
      <c r="D10" s="567">
        <v>4</v>
      </c>
      <c r="E10" s="567">
        <v>5</v>
      </c>
      <c r="F10" s="541">
        <v>6</v>
      </c>
      <c r="G10" s="541">
        <v>7</v>
      </c>
      <c r="H10" s="636" t="s">
        <v>61</v>
      </c>
      <c r="I10" s="107"/>
    </row>
    <row r="11" spans="1:21" s="383" customFormat="1" ht="15.75" thickTop="1" x14ac:dyDescent="0.25">
      <c r="A11" s="1166">
        <v>2212</v>
      </c>
      <c r="B11" s="268">
        <v>5169</v>
      </c>
      <c r="C11" s="1069"/>
      <c r="D11" s="68" t="s">
        <v>852</v>
      </c>
      <c r="E11" s="124"/>
      <c r="F11" s="315">
        <v>50</v>
      </c>
      <c r="G11" s="315">
        <v>41</v>
      </c>
      <c r="H11" s="203">
        <f t="shared" ref="H11:H12" si="0">(G11/F11)*100</f>
        <v>82</v>
      </c>
      <c r="I11" s="107"/>
    </row>
    <row r="12" spans="1:21" s="383" customFormat="1" ht="14.25" x14ac:dyDescent="0.2">
      <c r="A12" s="1166"/>
      <c r="B12" s="268"/>
      <c r="C12" s="1069" t="s">
        <v>183</v>
      </c>
      <c r="D12" s="1063" t="s">
        <v>776</v>
      </c>
      <c r="E12" s="124"/>
      <c r="F12" s="314">
        <v>50</v>
      </c>
      <c r="G12" s="316">
        <v>41</v>
      </c>
      <c r="H12" s="1065">
        <f t="shared" si="0"/>
        <v>82</v>
      </c>
      <c r="I12" s="107"/>
    </row>
    <row r="13" spans="1:21" s="1056" customFormat="1" ht="15" x14ac:dyDescent="0.25">
      <c r="A13" s="1166">
        <v>3122</v>
      </c>
      <c r="B13" s="268">
        <v>5137</v>
      </c>
      <c r="C13" s="1069"/>
      <c r="D13" s="128" t="s">
        <v>155</v>
      </c>
      <c r="E13" s="124"/>
      <c r="F13" s="315">
        <v>7</v>
      </c>
      <c r="G13" s="315">
        <v>7</v>
      </c>
      <c r="H13" s="203">
        <f t="shared" ref="H13:H16" si="1">(G13/F13)*100</f>
        <v>100</v>
      </c>
      <c r="I13" s="166"/>
      <c r="J13" s="166"/>
      <c r="K13" s="166"/>
      <c r="L13" s="166"/>
      <c r="M13" s="166"/>
      <c r="N13" s="166"/>
      <c r="O13" s="166"/>
      <c r="P13" s="166"/>
      <c r="Q13" s="166"/>
      <c r="R13" s="166"/>
      <c r="S13" s="166"/>
      <c r="T13" s="166"/>
      <c r="U13" s="166"/>
    </row>
    <row r="14" spans="1:21" s="1056" customFormat="1" ht="14.25" x14ac:dyDescent="0.2">
      <c r="A14" s="1166"/>
      <c r="B14" s="268"/>
      <c r="C14" s="1069" t="s">
        <v>184</v>
      </c>
      <c r="D14" s="1063" t="s">
        <v>712</v>
      </c>
      <c r="E14" s="124"/>
      <c r="F14" s="314">
        <v>7</v>
      </c>
      <c r="G14" s="316">
        <v>7</v>
      </c>
      <c r="H14" s="1065">
        <f t="shared" si="1"/>
        <v>100</v>
      </c>
      <c r="I14" s="166"/>
      <c r="J14" s="166"/>
      <c r="K14" s="166"/>
      <c r="L14" s="166"/>
      <c r="M14" s="166"/>
      <c r="N14" s="166"/>
      <c r="O14" s="166"/>
      <c r="P14" s="166"/>
      <c r="Q14" s="166"/>
      <c r="R14" s="166"/>
      <c r="S14" s="166"/>
      <c r="T14" s="166"/>
      <c r="U14" s="166"/>
    </row>
    <row r="15" spans="1:21" s="1056" customFormat="1" ht="15" x14ac:dyDescent="0.25">
      <c r="A15" s="1166">
        <v>3122</v>
      </c>
      <c r="B15" s="268">
        <v>5172</v>
      </c>
      <c r="C15" s="1069"/>
      <c r="D15" s="87" t="s">
        <v>897</v>
      </c>
      <c r="E15" s="124"/>
      <c r="F15" s="313">
        <v>150</v>
      </c>
      <c r="G15" s="315">
        <v>150</v>
      </c>
      <c r="H15" s="203">
        <f t="shared" si="1"/>
        <v>100</v>
      </c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</row>
    <row r="16" spans="1:21" s="1056" customFormat="1" ht="14.25" x14ac:dyDescent="0.2">
      <c r="A16" s="1166"/>
      <c r="B16" s="268"/>
      <c r="C16" s="1069" t="s">
        <v>777</v>
      </c>
      <c r="D16" s="1063" t="s">
        <v>778</v>
      </c>
      <c r="E16" s="124"/>
      <c r="F16" s="314">
        <v>150</v>
      </c>
      <c r="G16" s="316">
        <v>150</v>
      </c>
      <c r="H16" s="1065">
        <f t="shared" si="1"/>
        <v>100</v>
      </c>
      <c r="I16" s="166"/>
      <c r="J16" s="166"/>
      <c r="K16" s="166"/>
      <c r="L16" s="166"/>
      <c r="M16" s="166"/>
      <c r="N16" s="166"/>
      <c r="O16" s="166"/>
      <c r="P16" s="166"/>
      <c r="Q16" s="166"/>
      <c r="R16" s="166"/>
      <c r="S16" s="166"/>
      <c r="T16" s="166"/>
      <c r="U16" s="166"/>
    </row>
    <row r="17" spans="1:21" s="1056" customFormat="1" ht="15" x14ac:dyDescent="0.25">
      <c r="A17" s="1166">
        <v>3315</v>
      </c>
      <c r="B17" s="268">
        <v>5137</v>
      </c>
      <c r="C17" s="1069"/>
      <c r="D17" s="128" t="s">
        <v>155</v>
      </c>
      <c r="E17" s="124"/>
      <c r="F17" s="315">
        <v>347</v>
      </c>
      <c r="G17" s="315">
        <v>347</v>
      </c>
      <c r="H17" s="203">
        <f t="shared" ref="H17:H33" si="2">(G17/F17)*100</f>
        <v>100</v>
      </c>
      <c r="I17" s="166"/>
      <c r="J17" s="166"/>
      <c r="K17" s="166"/>
      <c r="L17" s="166"/>
      <c r="M17" s="166"/>
      <c r="N17" s="166"/>
      <c r="O17" s="166"/>
      <c r="P17" s="166"/>
      <c r="Q17" s="166"/>
      <c r="R17" s="166"/>
      <c r="S17" s="166"/>
      <c r="T17" s="166"/>
      <c r="U17" s="166"/>
    </row>
    <row r="18" spans="1:21" s="1056" customFormat="1" ht="14.25" x14ac:dyDescent="0.2">
      <c r="A18" s="1166"/>
      <c r="B18" s="268"/>
      <c r="C18" s="1069" t="s">
        <v>185</v>
      </c>
      <c r="D18" s="1063" t="s">
        <v>889</v>
      </c>
      <c r="E18" s="124"/>
      <c r="F18" s="314">
        <v>347</v>
      </c>
      <c r="G18" s="316">
        <v>347</v>
      </c>
      <c r="H18" s="1065">
        <f t="shared" si="2"/>
        <v>100</v>
      </c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</row>
    <row r="19" spans="1:21" s="1056" customFormat="1" ht="15" x14ac:dyDescent="0.25">
      <c r="A19" s="1166">
        <v>3315</v>
      </c>
      <c r="B19" s="268">
        <v>5169</v>
      </c>
      <c r="C19" s="1069"/>
      <c r="D19" s="68" t="s">
        <v>852</v>
      </c>
      <c r="E19" s="124"/>
      <c r="F19" s="313">
        <v>387</v>
      </c>
      <c r="G19" s="315">
        <v>387</v>
      </c>
      <c r="H19" s="203">
        <f t="shared" si="2"/>
        <v>100</v>
      </c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</row>
    <row r="20" spans="1:21" s="1056" customFormat="1" ht="14.25" x14ac:dyDescent="0.2">
      <c r="A20" s="1166"/>
      <c r="B20" s="268"/>
      <c r="C20" s="1069" t="s">
        <v>185</v>
      </c>
      <c r="D20" s="1063" t="s">
        <v>889</v>
      </c>
      <c r="E20" s="124"/>
      <c r="F20" s="314">
        <v>387</v>
      </c>
      <c r="G20" s="316">
        <v>387</v>
      </c>
      <c r="H20" s="1065">
        <f t="shared" si="2"/>
        <v>100</v>
      </c>
      <c r="I20" s="166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</row>
    <row r="21" spans="1:21" s="1056" customFormat="1" ht="15" x14ac:dyDescent="0.25">
      <c r="A21" s="1166">
        <v>3315</v>
      </c>
      <c r="B21" s="268">
        <v>5171</v>
      </c>
      <c r="C21" s="1069"/>
      <c r="D21" s="128" t="s">
        <v>896</v>
      </c>
      <c r="E21" s="60"/>
      <c r="F21" s="313">
        <v>127</v>
      </c>
      <c r="G21" s="315">
        <v>99</v>
      </c>
      <c r="H21" s="1355">
        <f t="shared" si="2"/>
        <v>77.952755905511808</v>
      </c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</row>
    <row r="22" spans="1:21" s="1056" customFormat="1" ht="15" x14ac:dyDescent="0.25">
      <c r="A22" s="1166"/>
      <c r="B22" s="268"/>
      <c r="C22" s="1069" t="s">
        <v>185</v>
      </c>
      <c r="D22" s="1063" t="s">
        <v>889</v>
      </c>
      <c r="E22" s="60"/>
      <c r="F22" s="314">
        <v>127</v>
      </c>
      <c r="G22" s="316">
        <v>99</v>
      </c>
      <c r="H22" s="1065">
        <f t="shared" si="2"/>
        <v>77.952755905511808</v>
      </c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</row>
    <row r="23" spans="1:21" s="1056" customFormat="1" ht="15" x14ac:dyDescent="0.25">
      <c r="A23" s="1166">
        <v>3315</v>
      </c>
      <c r="B23" s="268">
        <v>5901</v>
      </c>
      <c r="C23" s="1069"/>
      <c r="D23" s="87" t="s">
        <v>602</v>
      </c>
      <c r="E23" s="60">
        <v>650</v>
      </c>
      <c r="F23" s="313">
        <v>650</v>
      </c>
      <c r="G23" s="315">
        <v>0</v>
      </c>
      <c r="H23" s="203">
        <f t="shared" si="2"/>
        <v>0</v>
      </c>
      <c r="I23" s="166"/>
      <c r="J23" s="166"/>
      <c r="K23" s="166"/>
      <c r="L23" s="166"/>
      <c r="M23" s="166"/>
      <c r="N23" s="166"/>
      <c r="O23" s="166"/>
      <c r="P23" s="166"/>
      <c r="Q23" s="166"/>
      <c r="R23" s="166"/>
      <c r="S23" s="166"/>
      <c r="T23" s="166"/>
      <c r="U23" s="166"/>
    </row>
    <row r="24" spans="1:21" s="1056" customFormat="1" ht="15" x14ac:dyDescent="0.25">
      <c r="A24" s="1166">
        <v>3529</v>
      </c>
      <c r="B24" s="268">
        <v>5137</v>
      </c>
      <c r="C24" s="1069"/>
      <c r="D24" s="72" t="s">
        <v>155</v>
      </c>
      <c r="E24" s="60"/>
      <c r="F24" s="313">
        <v>39</v>
      </c>
      <c r="G24" s="315">
        <v>38</v>
      </c>
      <c r="H24" s="1355">
        <f t="shared" si="2"/>
        <v>97.435897435897431</v>
      </c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</row>
    <row r="25" spans="1:21" s="1056" customFormat="1" ht="15" x14ac:dyDescent="0.25">
      <c r="A25" s="1166"/>
      <c r="B25" s="268"/>
      <c r="C25" s="1069" t="s">
        <v>755</v>
      </c>
      <c r="D25" s="1063" t="s">
        <v>780</v>
      </c>
      <c r="E25" s="60"/>
      <c r="F25" s="314">
        <v>39</v>
      </c>
      <c r="G25" s="316">
        <v>38</v>
      </c>
      <c r="H25" s="1065">
        <f t="shared" si="2"/>
        <v>97.435897435897431</v>
      </c>
      <c r="I25" s="166"/>
      <c r="J25" s="166"/>
      <c r="K25" s="166"/>
      <c r="L25" s="166"/>
      <c r="M25" s="166"/>
      <c r="N25" s="166"/>
      <c r="O25" s="166"/>
      <c r="P25" s="166"/>
      <c r="Q25" s="166"/>
      <c r="R25" s="166"/>
      <c r="S25" s="166"/>
      <c r="T25" s="166"/>
      <c r="U25" s="166"/>
    </row>
    <row r="26" spans="1:21" s="1056" customFormat="1" ht="15" x14ac:dyDescent="0.25">
      <c r="A26" s="1166">
        <v>3533</v>
      </c>
      <c r="B26" s="268">
        <v>5169</v>
      </c>
      <c r="C26" s="1069"/>
      <c r="D26" s="68" t="s">
        <v>852</v>
      </c>
      <c r="E26" s="60"/>
      <c r="F26" s="313">
        <v>10</v>
      </c>
      <c r="G26" s="315">
        <v>10</v>
      </c>
      <c r="H26" s="1355">
        <f t="shared" si="2"/>
        <v>100</v>
      </c>
      <c r="I26" s="166"/>
      <c r="J26" s="166"/>
      <c r="K26" s="166"/>
      <c r="L26" s="166"/>
      <c r="M26" s="166"/>
      <c r="N26" s="166"/>
      <c r="O26" s="166"/>
      <c r="P26" s="166"/>
      <c r="Q26" s="166"/>
      <c r="R26" s="166"/>
      <c r="S26" s="166"/>
      <c r="T26" s="166"/>
      <c r="U26" s="166"/>
    </row>
    <row r="27" spans="1:21" s="1056" customFormat="1" ht="15" x14ac:dyDescent="0.25">
      <c r="A27" s="1166"/>
      <c r="B27" s="268"/>
      <c r="C27" s="1069" t="s">
        <v>755</v>
      </c>
      <c r="D27" s="1063" t="s">
        <v>780</v>
      </c>
      <c r="E27" s="60"/>
      <c r="F27" s="314">
        <v>10</v>
      </c>
      <c r="G27" s="316">
        <v>10</v>
      </c>
      <c r="H27" s="1065">
        <f t="shared" si="2"/>
        <v>100</v>
      </c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</row>
    <row r="28" spans="1:21" s="1056" customFormat="1" ht="15" x14ac:dyDescent="0.25">
      <c r="A28" s="1166">
        <v>4350</v>
      </c>
      <c r="B28" s="268">
        <v>5171</v>
      </c>
      <c r="C28" s="1069"/>
      <c r="D28" s="128" t="s">
        <v>896</v>
      </c>
      <c r="E28" s="60"/>
      <c r="F28" s="313">
        <v>450</v>
      </c>
      <c r="G28" s="315">
        <v>9</v>
      </c>
      <c r="H28" s="1355">
        <f t="shared" si="2"/>
        <v>2</v>
      </c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</row>
    <row r="29" spans="1:21" s="1056" customFormat="1" ht="15" x14ac:dyDescent="0.25">
      <c r="A29" s="1166"/>
      <c r="B29" s="268"/>
      <c r="C29" s="1069" t="s">
        <v>754</v>
      </c>
      <c r="D29" s="1063" t="s">
        <v>712</v>
      </c>
      <c r="E29" s="60"/>
      <c r="F29" s="314">
        <v>450</v>
      </c>
      <c r="G29" s="316">
        <v>9</v>
      </c>
      <c r="H29" s="1065">
        <f t="shared" si="2"/>
        <v>2</v>
      </c>
      <c r="I29" s="166"/>
      <c r="J29" s="166"/>
      <c r="K29" s="166"/>
      <c r="L29" s="166"/>
      <c r="M29" s="166"/>
      <c r="N29" s="166"/>
      <c r="O29" s="166"/>
      <c r="P29" s="166"/>
      <c r="Q29" s="166"/>
      <c r="R29" s="166"/>
      <c r="S29" s="166"/>
      <c r="T29" s="166"/>
      <c r="U29" s="166"/>
    </row>
    <row r="30" spans="1:21" s="1056" customFormat="1" ht="15" x14ac:dyDescent="0.25">
      <c r="A30" s="1166">
        <v>4351</v>
      </c>
      <c r="B30" s="268">
        <v>5166</v>
      </c>
      <c r="C30" s="1069"/>
      <c r="D30" s="68" t="s">
        <v>671</v>
      </c>
      <c r="E30" s="60"/>
      <c r="F30" s="313">
        <v>35</v>
      </c>
      <c r="G30" s="315">
        <v>35</v>
      </c>
      <c r="H30" s="203">
        <f t="shared" si="2"/>
        <v>100</v>
      </c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</row>
    <row r="31" spans="1:21" s="1056" customFormat="1" ht="15" x14ac:dyDescent="0.25">
      <c r="A31" s="1166"/>
      <c r="B31" s="268"/>
      <c r="C31" s="1069" t="s">
        <v>754</v>
      </c>
      <c r="D31" s="1063" t="s">
        <v>712</v>
      </c>
      <c r="E31" s="60"/>
      <c r="F31" s="314">
        <v>35</v>
      </c>
      <c r="G31" s="316">
        <v>35</v>
      </c>
      <c r="H31" s="1065">
        <f t="shared" si="2"/>
        <v>100</v>
      </c>
      <c r="I31" s="166"/>
      <c r="J31" s="166"/>
      <c r="K31" s="166"/>
      <c r="L31" s="166"/>
      <c r="M31" s="166"/>
      <c r="N31" s="166"/>
      <c r="O31" s="166"/>
      <c r="P31" s="166"/>
      <c r="Q31" s="166"/>
      <c r="R31" s="166"/>
      <c r="S31" s="166"/>
      <c r="T31" s="166"/>
      <c r="U31" s="166"/>
    </row>
    <row r="32" spans="1:21" s="1056" customFormat="1" ht="15" x14ac:dyDescent="0.25">
      <c r="A32" s="1166">
        <v>4351</v>
      </c>
      <c r="B32" s="268">
        <v>5171</v>
      </c>
      <c r="C32" s="1069"/>
      <c r="D32" s="128" t="s">
        <v>896</v>
      </c>
      <c r="E32" s="60"/>
      <c r="F32" s="313">
        <v>69</v>
      </c>
      <c r="G32" s="315">
        <v>51</v>
      </c>
      <c r="H32" s="203">
        <f t="shared" si="2"/>
        <v>73.91304347826086</v>
      </c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</row>
    <row r="33" spans="1:21" s="1056" customFormat="1" ht="15" x14ac:dyDescent="0.25">
      <c r="A33" s="1166"/>
      <c r="B33" s="268"/>
      <c r="C33" s="1069" t="s">
        <v>754</v>
      </c>
      <c r="D33" s="1063" t="s">
        <v>712</v>
      </c>
      <c r="E33" s="60"/>
      <c r="F33" s="314">
        <v>69</v>
      </c>
      <c r="G33" s="316">
        <v>51</v>
      </c>
      <c r="H33" s="1065">
        <f t="shared" si="2"/>
        <v>73.91304347826086</v>
      </c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</row>
    <row r="34" spans="1:21" s="1056" customFormat="1" ht="15" x14ac:dyDescent="0.25">
      <c r="A34" s="223">
        <v>4357</v>
      </c>
      <c r="B34" s="96">
        <v>5137</v>
      </c>
      <c r="C34" s="1069"/>
      <c r="D34" s="72" t="s">
        <v>155</v>
      </c>
      <c r="E34" s="124"/>
      <c r="F34" s="315">
        <f>F35+F36</f>
        <v>14592</v>
      </c>
      <c r="G34" s="315">
        <f>G35+G36</f>
        <v>14590</v>
      </c>
      <c r="H34" s="1355">
        <f t="shared" ref="H34:H43" si="3">(G34/F34)*100</f>
        <v>99.986293859649123</v>
      </c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</row>
    <row r="35" spans="1:21" s="1056" customFormat="1" ht="14.25" x14ac:dyDescent="0.2">
      <c r="A35" s="223"/>
      <c r="B35" s="96"/>
      <c r="C35" s="1069" t="s">
        <v>754</v>
      </c>
      <c r="D35" s="1063" t="s">
        <v>712</v>
      </c>
      <c r="E35" s="124"/>
      <c r="F35" s="316">
        <v>9822</v>
      </c>
      <c r="G35" s="316">
        <v>9822</v>
      </c>
      <c r="H35" s="1353">
        <f t="shared" si="3"/>
        <v>100</v>
      </c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</row>
    <row r="36" spans="1:21" s="1056" customFormat="1" ht="14.25" x14ac:dyDescent="0.2">
      <c r="A36" s="223"/>
      <c r="B36" s="96"/>
      <c r="C36" s="1069" t="s">
        <v>777</v>
      </c>
      <c r="D36" s="117" t="s">
        <v>778</v>
      </c>
      <c r="E36" s="124"/>
      <c r="F36" s="316">
        <v>4770</v>
      </c>
      <c r="G36" s="316">
        <v>4768</v>
      </c>
      <c r="H36" s="1353">
        <f t="shared" si="3"/>
        <v>99.958071278825997</v>
      </c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</row>
    <row r="37" spans="1:21" s="1056" customFormat="1" ht="15" x14ac:dyDescent="0.25">
      <c r="A37" s="223">
        <v>4357</v>
      </c>
      <c r="B37" s="96">
        <v>5171</v>
      </c>
      <c r="C37" s="1069"/>
      <c r="D37" s="128" t="s">
        <v>896</v>
      </c>
      <c r="E37" s="60">
        <f>E38+E39</f>
        <v>11593</v>
      </c>
      <c r="F37" s="60">
        <f>F38+F39</f>
        <v>10446</v>
      </c>
      <c r="G37" s="60">
        <f>G38+G39</f>
        <v>10103</v>
      </c>
      <c r="H37" s="1355">
        <f t="shared" si="3"/>
        <v>96.716446486693471</v>
      </c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</row>
    <row r="38" spans="1:21" s="1056" customFormat="1" ht="14.25" x14ac:dyDescent="0.2">
      <c r="A38" s="223"/>
      <c r="B38" s="96"/>
      <c r="C38" s="1069" t="s">
        <v>754</v>
      </c>
      <c r="D38" s="1063" t="s">
        <v>712</v>
      </c>
      <c r="E38" s="124">
        <v>11593</v>
      </c>
      <c r="F38" s="316">
        <v>7818</v>
      </c>
      <c r="G38" s="316">
        <v>7475</v>
      </c>
      <c r="H38" s="1353">
        <v>0</v>
      </c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</row>
    <row r="39" spans="1:21" s="1056" customFormat="1" ht="14.25" x14ac:dyDescent="0.2">
      <c r="A39" s="223"/>
      <c r="B39" s="96"/>
      <c r="C39" s="1069" t="s">
        <v>1350</v>
      </c>
      <c r="D39" s="2134" t="s">
        <v>1351</v>
      </c>
      <c r="E39" s="124"/>
      <c r="F39" s="316">
        <v>2628</v>
      </c>
      <c r="G39" s="316">
        <v>2628</v>
      </c>
      <c r="H39" s="1353">
        <f t="shared" si="3"/>
        <v>100</v>
      </c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</row>
    <row r="40" spans="1:21" s="1056" customFormat="1" ht="15" x14ac:dyDescent="0.25">
      <c r="A40" s="223">
        <v>4399</v>
      </c>
      <c r="B40" s="96">
        <v>5166</v>
      </c>
      <c r="C40" s="1069"/>
      <c r="D40" s="68" t="s">
        <v>671</v>
      </c>
      <c r="E40" s="60">
        <v>200</v>
      </c>
      <c r="F40" s="315">
        <v>235</v>
      </c>
      <c r="G40" s="315">
        <v>235</v>
      </c>
      <c r="H40" s="1355">
        <v>0</v>
      </c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</row>
    <row r="41" spans="1:21" s="1056" customFormat="1" ht="14.25" x14ac:dyDescent="0.2">
      <c r="A41" s="223"/>
      <c r="B41" s="96"/>
      <c r="C41" s="1069" t="s">
        <v>754</v>
      </c>
      <c r="D41" s="1063" t="s">
        <v>712</v>
      </c>
      <c r="E41" s="124">
        <v>200</v>
      </c>
      <c r="F41" s="316">
        <v>235</v>
      </c>
      <c r="G41" s="316">
        <v>235</v>
      </c>
      <c r="H41" s="1353">
        <v>0</v>
      </c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</row>
    <row r="42" spans="1:21" s="1056" customFormat="1" ht="15" x14ac:dyDescent="0.25">
      <c r="A42" s="223">
        <v>6172</v>
      </c>
      <c r="B42" s="96">
        <v>5164</v>
      </c>
      <c r="C42" s="1101"/>
      <c r="D42" s="68" t="s">
        <v>170</v>
      </c>
      <c r="E42" s="60">
        <v>400</v>
      </c>
      <c r="F42" s="315">
        <v>62</v>
      </c>
      <c r="G42" s="315">
        <v>12</v>
      </c>
      <c r="H42" s="203">
        <f t="shared" si="3"/>
        <v>19.35483870967742</v>
      </c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</row>
    <row r="43" spans="1:21" s="1056" customFormat="1" ht="15" x14ac:dyDescent="0.25">
      <c r="A43" s="223">
        <v>6172</v>
      </c>
      <c r="B43" s="96">
        <v>5166</v>
      </c>
      <c r="C43" s="1101"/>
      <c r="D43" s="68" t="s">
        <v>671</v>
      </c>
      <c r="E43" s="60">
        <v>350</v>
      </c>
      <c r="F43" s="315">
        <v>1376</v>
      </c>
      <c r="G43" s="315">
        <v>240</v>
      </c>
      <c r="H43" s="203">
        <f t="shared" si="3"/>
        <v>17.441860465116278</v>
      </c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</row>
    <row r="44" spans="1:21" s="1056" customFormat="1" ht="15" x14ac:dyDescent="0.25">
      <c r="A44" s="223">
        <v>6172</v>
      </c>
      <c r="B44" s="96">
        <v>5169</v>
      </c>
      <c r="C44" s="1101"/>
      <c r="D44" s="68" t="s">
        <v>852</v>
      </c>
      <c r="E44" s="60">
        <v>200</v>
      </c>
      <c r="F44" s="315">
        <v>163</v>
      </c>
      <c r="G44" s="315">
        <v>67</v>
      </c>
      <c r="H44" s="203">
        <f>(G44/F44)*100</f>
        <v>41.104294478527606</v>
      </c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</row>
    <row r="45" spans="1:21" s="1056" customFormat="1" ht="15" x14ac:dyDescent="0.25">
      <c r="A45" s="223">
        <v>6172</v>
      </c>
      <c r="B45" s="96">
        <v>5175</v>
      </c>
      <c r="C45" s="1101"/>
      <c r="D45" s="68" t="s">
        <v>1859</v>
      </c>
      <c r="E45" s="60"/>
      <c r="F45" s="315">
        <v>7</v>
      </c>
      <c r="G45" s="315">
        <v>0</v>
      </c>
      <c r="H45" s="203">
        <v>0</v>
      </c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</row>
    <row r="46" spans="1:21" s="1056" customFormat="1" ht="15" x14ac:dyDescent="0.25">
      <c r="A46" s="223">
        <v>6172</v>
      </c>
      <c r="B46" s="96">
        <v>5192</v>
      </c>
      <c r="C46" s="1101"/>
      <c r="D46" s="68" t="s">
        <v>1848</v>
      </c>
      <c r="E46" s="60"/>
      <c r="F46" s="315">
        <v>80</v>
      </c>
      <c r="G46" s="315">
        <v>80</v>
      </c>
      <c r="H46" s="203">
        <f>(G46/F46)*100</f>
        <v>100</v>
      </c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</row>
    <row r="47" spans="1:21" s="1056" customFormat="1" ht="15" x14ac:dyDescent="0.25">
      <c r="A47" s="223">
        <v>6172</v>
      </c>
      <c r="B47" s="96">
        <v>5362</v>
      </c>
      <c r="C47" s="1101"/>
      <c r="D47" s="68" t="s">
        <v>757</v>
      </c>
      <c r="E47" s="60">
        <v>50</v>
      </c>
      <c r="F47" s="315">
        <v>41</v>
      </c>
      <c r="G47" s="315">
        <v>3</v>
      </c>
      <c r="H47" s="1355">
        <v>0</v>
      </c>
      <c r="I47" s="166"/>
      <c r="J47" s="166" t="s">
        <v>535</v>
      </c>
      <c r="K47" s="166"/>
      <c r="L47" s="166">
        <v>0</v>
      </c>
      <c r="M47" s="1352">
        <f>F16+F36</f>
        <v>4920</v>
      </c>
      <c r="N47" s="1352">
        <f>G16+G36</f>
        <v>4918</v>
      </c>
      <c r="O47" s="166"/>
      <c r="P47" s="166"/>
      <c r="Q47" s="166"/>
      <c r="R47" s="166"/>
      <c r="S47" s="166"/>
      <c r="T47" s="166"/>
      <c r="U47" s="166"/>
    </row>
    <row r="48" spans="1:21" s="1056" customFormat="1" ht="15.75" thickBot="1" x14ac:dyDescent="0.3">
      <c r="A48" s="2399">
        <v>6172</v>
      </c>
      <c r="B48" s="250">
        <v>5365</v>
      </c>
      <c r="C48" s="2400"/>
      <c r="D48" s="2401" t="s">
        <v>1860</v>
      </c>
      <c r="E48" s="266"/>
      <c r="F48" s="442">
        <v>2</v>
      </c>
      <c r="G48" s="442">
        <v>2</v>
      </c>
      <c r="H48" s="2138">
        <f t="shared" ref="H48" si="4">(G48/F48)*100</f>
        <v>100</v>
      </c>
      <c r="I48" s="166"/>
      <c r="J48" s="166"/>
      <c r="K48" s="166"/>
      <c r="L48" s="166"/>
      <c r="M48" s="1352"/>
      <c r="N48" s="1352"/>
      <c r="O48" s="166"/>
      <c r="P48" s="166"/>
      <c r="Q48" s="166"/>
      <c r="R48" s="166"/>
      <c r="S48" s="166"/>
      <c r="T48" s="166"/>
      <c r="U48" s="166"/>
    </row>
    <row r="49" spans="1:14" s="360" customFormat="1" ht="35.85" customHeight="1" thickTop="1" thickBot="1" x14ac:dyDescent="0.35">
      <c r="A49" s="991" t="s">
        <v>245</v>
      </c>
      <c r="B49" s="992"/>
      <c r="C49" s="993"/>
      <c r="D49" s="994"/>
      <c r="E49" s="641">
        <f>E23+E37+E40+E42+E43+E44+E47</f>
        <v>13443</v>
      </c>
      <c r="F49" s="641">
        <f>F11+F13+F15+F17+F19+F21+F23+F24+F26+F28+F30+F32+F34+F37+F40+F42+F43+F44+F45+F47+F48+F46</f>
        <v>29325</v>
      </c>
      <c r="G49" s="641">
        <f>G11+G13+G15+G17+G19+G21+G23+G24+G26+G28+G30+G32+G34+G37+G40+G42+G43+G44+G45+G47+G48+G46</f>
        <v>26506</v>
      </c>
      <c r="H49" s="642">
        <f>G49/F49*100</f>
        <v>90.387041773231033</v>
      </c>
      <c r="J49" s="671" t="s">
        <v>1352</v>
      </c>
      <c r="K49" s="671"/>
      <c r="L49" s="914">
        <f>E38</f>
        <v>11593</v>
      </c>
      <c r="M49" s="914">
        <f>F38</f>
        <v>7818</v>
      </c>
      <c r="N49" s="914">
        <f>G38</f>
        <v>7475</v>
      </c>
    </row>
    <row r="50" spans="1:14" ht="13.5" thickTop="1" x14ac:dyDescent="0.2">
      <c r="E50" s="1715"/>
      <c r="F50" s="1715"/>
      <c r="G50" s="1715"/>
    </row>
    <row r="71" spans="1:21" ht="18" x14ac:dyDescent="0.25">
      <c r="A71" s="33" t="s">
        <v>1248</v>
      </c>
      <c r="B71" s="28"/>
      <c r="C71" s="132"/>
      <c r="D71" s="139"/>
      <c r="E71" s="137"/>
      <c r="F71" s="16"/>
      <c r="G71" s="17"/>
      <c r="H71" s="194"/>
      <c r="I71" s="532"/>
      <c r="J71" s="532"/>
    </row>
    <row r="72" spans="1:21" ht="13.5" thickBot="1" x14ac:dyDescent="0.25">
      <c r="A72" s="629"/>
      <c r="B72" s="629"/>
      <c r="C72" s="630"/>
      <c r="F72" s="940"/>
      <c r="H72" s="664" t="s">
        <v>161</v>
      </c>
      <c r="I72" s="532"/>
      <c r="J72" s="532"/>
    </row>
    <row r="73" spans="1:21" s="990" customFormat="1" ht="20.25" customHeight="1" thickTop="1" thickBot="1" x14ac:dyDescent="0.25">
      <c r="A73" s="984" t="s">
        <v>162</v>
      </c>
      <c r="B73" s="985" t="s">
        <v>163</v>
      </c>
      <c r="C73" s="986" t="s">
        <v>705</v>
      </c>
      <c r="D73" s="986" t="s">
        <v>164</v>
      </c>
      <c r="E73" s="986" t="s">
        <v>165</v>
      </c>
      <c r="F73" s="986" t="s">
        <v>881</v>
      </c>
      <c r="G73" s="987" t="s">
        <v>882</v>
      </c>
      <c r="H73" s="988" t="s">
        <v>883</v>
      </c>
      <c r="I73" s="989"/>
      <c r="J73" s="989"/>
    </row>
    <row r="74" spans="1:21" s="383" customFormat="1" ht="13.5" thickTop="1" thickBot="1" x14ac:dyDescent="0.25">
      <c r="A74" s="566">
        <v>1</v>
      </c>
      <c r="B74" s="567">
        <v>2</v>
      </c>
      <c r="C74" s="567">
        <v>3</v>
      </c>
      <c r="D74" s="567">
        <v>4</v>
      </c>
      <c r="E74" s="567">
        <v>5</v>
      </c>
      <c r="F74" s="541">
        <v>6</v>
      </c>
      <c r="G74" s="541">
        <v>7</v>
      </c>
      <c r="H74" s="636" t="s">
        <v>61</v>
      </c>
      <c r="I74" s="107"/>
    </row>
    <row r="75" spans="1:21" s="1056" customFormat="1" ht="15.75" thickTop="1" x14ac:dyDescent="0.25">
      <c r="A75" s="235">
        <v>2212</v>
      </c>
      <c r="B75" s="219">
        <v>6121</v>
      </c>
      <c r="C75" s="1100"/>
      <c r="D75" s="1113" t="s">
        <v>603</v>
      </c>
      <c r="E75" s="148">
        <v>16322</v>
      </c>
      <c r="F75" s="148">
        <f>F76+F77</f>
        <v>16441</v>
      </c>
      <c r="G75" s="148">
        <f>G76+G77</f>
        <v>14870</v>
      </c>
      <c r="H75" s="1330">
        <f t="shared" ref="H75:H84" si="5">(G75/F75)*100</f>
        <v>90.444620156924756</v>
      </c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</row>
    <row r="76" spans="1:21" s="1056" customFormat="1" ht="14.25" x14ac:dyDescent="0.2">
      <c r="A76" s="223"/>
      <c r="B76" s="96"/>
      <c r="C76" s="1069" t="s">
        <v>183</v>
      </c>
      <c r="D76" s="1063" t="s">
        <v>776</v>
      </c>
      <c r="E76" s="124">
        <v>16322</v>
      </c>
      <c r="F76" s="314">
        <v>16001</v>
      </c>
      <c r="G76" s="316">
        <v>14687</v>
      </c>
      <c r="H76" s="1065">
        <f t="shared" si="5"/>
        <v>91.788013249171925</v>
      </c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</row>
    <row r="77" spans="1:21" s="1056" customFormat="1" ht="14.25" x14ac:dyDescent="0.2">
      <c r="A77" s="223"/>
      <c r="B77" s="96"/>
      <c r="C77" s="1069" t="s">
        <v>1861</v>
      </c>
      <c r="D77" s="1063" t="s">
        <v>1862</v>
      </c>
      <c r="E77" s="124"/>
      <c r="F77" s="314">
        <v>440</v>
      </c>
      <c r="G77" s="316">
        <v>183</v>
      </c>
      <c r="H77" s="1065">
        <v>0</v>
      </c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</row>
    <row r="78" spans="1:21" s="1056" customFormat="1" ht="15" x14ac:dyDescent="0.25">
      <c r="A78" s="223">
        <v>2212</v>
      </c>
      <c r="B78" s="96">
        <v>6130</v>
      </c>
      <c r="C78" s="1069"/>
      <c r="D78" s="87" t="s">
        <v>856</v>
      </c>
      <c r="E78" s="60">
        <v>6200</v>
      </c>
      <c r="F78" s="315">
        <v>463</v>
      </c>
      <c r="G78" s="315">
        <v>334</v>
      </c>
      <c r="H78" s="203">
        <f t="shared" si="5"/>
        <v>72.138228941684673</v>
      </c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</row>
    <row r="79" spans="1:21" s="1056" customFormat="1" ht="14.25" x14ac:dyDescent="0.2">
      <c r="A79" s="223"/>
      <c r="B79" s="96"/>
      <c r="C79" s="1069" t="s">
        <v>183</v>
      </c>
      <c r="D79" s="1063" t="s">
        <v>776</v>
      </c>
      <c r="E79" s="124">
        <v>6200</v>
      </c>
      <c r="F79" s="314">
        <v>463</v>
      </c>
      <c r="G79" s="316">
        <v>334</v>
      </c>
      <c r="H79" s="1065">
        <f t="shared" si="5"/>
        <v>72.138228941684673</v>
      </c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</row>
    <row r="80" spans="1:21" s="1056" customFormat="1" ht="15" x14ac:dyDescent="0.25">
      <c r="A80" s="223">
        <v>3122</v>
      </c>
      <c r="B80" s="96">
        <v>6111</v>
      </c>
      <c r="C80" s="1069"/>
      <c r="D80" s="1716" t="s">
        <v>897</v>
      </c>
      <c r="E80" s="124"/>
      <c r="F80" s="313">
        <v>638</v>
      </c>
      <c r="G80" s="315">
        <v>638</v>
      </c>
      <c r="H80" s="203">
        <f t="shared" si="5"/>
        <v>100</v>
      </c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</row>
    <row r="81" spans="1:21" s="1056" customFormat="1" ht="14.25" x14ac:dyDescent="0.2">
      <c r="A81" s="223"/>
      <c r="B81" s="96"/>
      <c r="C81" s="1069" t="s">
        <v>777</v>
      </c>
      <c r="D81" s="1063" t="s">
        <v>778</v>
      </c>
      <c r="E81" s="124"/>
      <c r="F81" s="314">
        <v>638</v>
      </c>
      <c r="G81" s="316">
        <v>638</v>
      </c>
      <c r="H81" s="1065">
        <f t="shared" si="5"/>
        <v>100</v>
      </c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</row>
    <row r="82" spans="1:21" s="1056" customFormat="1" ht="15" x14ac:dyDescent="0.25">
      <c r="A82" s="223">
        <v>3122</v>
      </c>
      <c r="B82" s="96">
        <v>6121</v>
      </c>
      <c r="C82" s="1069"/>
      <c r="D82" s="128" t="s">
        <v>603</v>
      </c>
      <c r="E82" s="60">
        <f>E83+E84</f>
        <v>79</v>
      </c>
      <c r="F82" s="60">
        <f>F83+F84</f>
        <v>2919</v>
      </c>
      <c r="G82" s="60">
        <f>G83+G84</f>
        <v>2825</v>
      </c>
      <c r="H82" s="203">
        <f t="shared" si="5"/>
        <v>96.77971908187736</v>
      </c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</row>
    <row r="83" spans="1:21" s="1056" customFormat="1" ht="14.25" x14ac:dyDescent="0.2">
      <c r="A83" s="223"/>
      <c r="B83" s="96"/>
      <c r="C83" s="1069" t="s">
        <v>184</v>
      </c>
      <c r="D83" s="1063" t="s">
        <v>712</v>
      </c>
      <c r="E83" s="124">
        <v>79</v>
      </c>
      <c r="F83" s="314">
        <v>2870</v>
      </c>
      <c r="G83" s="316">
        <v>2776</v>
      </c>
      <c r="H83" s="1065">
        <f t="shared" si="5"/>
        <v>96.724738675958193</v>
      </c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</row>
    <row r="84" spans="1:21" s="1056" customFormat="1" ht="14.25" x14ac:dyDescent="0.2">
      <c r="A84" s="223"/>
      <c r="B84" s="96"/>
      <c r="C84" s="1069" t="s">
        <v>777</v>
      </c>
      <c r="D84" s="1063" t="s">
        <v>778</v>
      </c>
      <c r="E84" s="124"/>
      <c r="F84" s="314">
        <v>49</v>
      </c>
      <c r="G84" s="316">
        <v>49</v>
      </c>
      <c r="H84" s="1065">
        <f t="shared" si="5"/>
        <v>100</v>
      </c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</row>
    <row r="85" spans="1:21" s="1056" customFormat="1" ht="15" x14ac:dyDescent="0.25">
      <c r="A85" s="223">
        <v>3147</v>
      </c>
      <c r="B85" s="96">
        <v>6121</v>
      </c>
      <c r="C85" s="1069"/>
      <c r="D85" s="128" t="s">
        <v>603</v>
      </c>
      <c r="E85" s="60"/>
      <c r="F85" s="313">
        <v>1</v>
      </c>
      <c r="G85" s="315">
        <v>1</v>
      </c>
      <c r="H85" s="203">
        <f t="shared" ref="H85:H89" si="6">(G85/F85)*100</f>
        <v>100</v>
      </c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</row>
    <row r="86" spans="1:21" s="1056" customFormat="1" ht="14.25" x14ac:dyDescent="0.2">
      <c r="A86" s="223"/>
      <c r="B86" s="96"/>
      <c r="C86" s="1069" t="s">
        <v>184</v>
      </c>
      <c r="D86" s="1063" t="s">
        <v>712</v>
      </c>
      <c r="E86" s="124"/>
      <c r="F86" s="314">
        <v>1</v>
      </c>
      <c r="G86" s="316">
        <v>1</v>
      </c>
      <c r="H86" s="1065">
        <f t="shared" si="6"/>
        <v>100</v>
      </c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</row>
    <row r="87" spans="1:21" s="1056" customFormat="1" ht="15" x14ac:dyDescent="0.25">
      <c r="A87" s="223">
        <v>3315</v>
      </c>
      <c r="B87" s="96">
        <v>6121</v>
      </c>
      <c r="C87" s="1069"/>
      <c r="D87" s="128" t="s">
        <v>603</v>
      </c>
      <c r="E87" s="60">
        <f>E88+E89</f>
        <v>3499</v>
      </c>
      <c r="F87" s="60">
        <f>F88+F89</f>
        <v>4481</v>
      </c>
      <c r="G87" s="60">
        <f>G88+G89</f>
        <v>4481</v>
      </c>
      <c r="H87" s="203">
        <f t="shared" si="6"/>
        <v>100</v>
      </c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</row>
    <row r="88" spans="1:21" s="1056" customFormat="1" ht="14.25" x14ac:dyDescent="0.2">
      <c r="A88" s="223"/>
      <c r="B88" s="96"/>
      <c r="C88" s="1069" t="s">
        <v>185</v>
      </c>
      <c r="D88" s="1063" t="s">
        <v>889</v>
      </c>
      <c r="E88" s="124">
        <v>3499</v>
      </c>
      <c r="F88" s="314">
        <v>4401</v>
      </c>
      <c r="G88" s="316">
        <v>4401</v>
      </c>
      <c r="H88" s="1065">
        <f t="shared" si="6"/>
        <v>100</v>
      </c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</row>
    <row r="89" spans="1:21" s="1056" customFormat="1" ht="14.25" x14ac:dyDescent="0.2">
      <c r="A89" s="223"/>
      <c r="B89" s="96"/>
      <c r="C89" s="1069" t="s">
        <v>1861</v>
      </c>
      <c r="D89" s="1063" t="s">
        <v>1862</v>
      </c>
      <c r="E89" s="124"/>
      <c r="F89" s="314">
        <v>80</v>
      </c>
      <c r="G89" s="316">
        <v>80</v>
      </c>
      <c r="H89" s="1065">
        <f t="shared" si="6"/>
        <v>100</v>
      </c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</row>
    <row r="90" spans="1:21" s="1056" customFormat="1" ht="15" x14ac:dyDescent="0.25">
      <c r="A90" s="223">
        <v>3315</v>
      </c>
      <c r="B90" s="96">
        <v>6122</v>
      </c>
      <c r="C90" s="1069"/>
      <c r="D90" s="128" t="s">
        <v>604</v>
      </c>
      <c r="E90" s="124"/>
      <c r="F90" s="315">
        <v>335</v>
      </c>
      <c r="G90" s="315">
        <v>335</v>
      </c>
      <c r="H90" s="203">
        <f>(G90/F90)*100</f>
        <v>100</v>
      </c>
      <c r="I90" s="166"/>
      <c r="J90" s="166"/>
      <c r="K90" s="1352"/>
      <c r="L90" s="1352"/>
      <c r="M90" s="166"/>
      <c r="N90" s="166"/>
      <c r="O90" s="166"/>
      <c r="P90" s="166"/>
      <c r="Q90" s="166"/>
      <c r="R90" s="166"/>
      <c r="S90" s="166"/>
      <c r="T90" s="166"/>
      <c r="U90" s="166"/>
    </row>
    <row r="91" spans="1:21" s="1056" customFormat="1" ht="14.25" x14ac:dyDescent="0.2">
      <c r="A91" s="223"/>
      <c r="B91" s="96"/>
      <c r="C91" s="1069" t="s">
        <v>185</v>
      </c>
      <c r="D91" s="1063" t="s">
        <v>889</v>
      </c>
      <c r="E91" s="124"/>
      <c r="F91" s="314">
        <v>335</v>
      </c>
      <c r="G91" s="316">
        <v>335</v>
      </c>
      <c r="H91" s="1065">
        <f>(G91/F91)*100</f>
        <v>100</v>
      </c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</row>
    <row r="92" spans="1:21" s="1056" customFormat="1" ht="15" x14ac:dyDescent="0.25">
      <c r="A92" s="223">
        <v>3522</v>
      </c>
      <c r="B92" s="96">
        <v>6121</v>
      </c>
      <c r="C92" s="1101"/>
      <c r="D92" s="128" t="s">
        <v>603</v>
      </c>
      <c r="E92" s="60">
        <v>57575</v>
      </c>
      <c r="F92" s="60">
        <v>57808</v>
      </c>
      <c r="G92" s="60">
        <v>41321</v>
      </c>
      <c r="H92" s="203">
        <f>(G92/F92)*100</f>
        <v>71.479725989482418</v>
      </c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</row>
    <row r="93" spans="1:21" s="1056" customFormat="1" ht="14.25" x14ac:dyDescent="0.2">
      <c r="A93" s="223"/>
      <c r="B93" s="96"/>
      <c r="C93" s="1069" t="s">
        <v>446</v>
      </c>
      <c r="D93" s="1063" t="s">
        <v>756</v>
      </c>
      <c r="E93" s="124">
        <v>57575</v>
      </c>
      <c r="F93" s="314">
        <v>57808</v>
      </c>
      <c r="G93" s="316">
        <v>41321</v>
      </c>
      <c r="H93" s="1065">
        <f t="shared" ref="H93:H107" si="7">(G93/F93)*100</f>
        <v>71.479725989482418</v>
      </c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</row>
    <row r="94" spans="1:21" s="1056" customFormat="1" ht="15" x14ac:dyDescent="0.25">
      <c r="A94" s="223">
        <v>3523</v>
      </c>
      <c r="B94" s="96">
        <v>6121</v>
      </c>
      <c r="C94" s="1069"/>
      <c r="D94" s="128" t="s">
        <v>603</v>
      </c>
      <c r="E94" s="60"/>
      <c r="F94" s="60">
        <v>1</v>
      </c>
      <c r="G94" s="60">
        <v>1</v>
      </c>
      <c r="H94" s="203">
        <f t="shared" si="7"/>
        <v>100</v>
      </c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</row>
    <row r="95" spans="1:21" s="1056" customFormat="1" ht="14.25" x14ac:dyDescent="0.2">
      <c r="A95" s="223"/>
      <c r="B95" s="96"/>
      <c r="C95" s="1069" t="s">
        <v>755</v>
      </c>
      <c r="D95" s="1063" t="s">
        <v>780</v>
      </c>
      <c r="E95" s="124"/>
      <c r="F95" s="314">
        <v>1</v>
      </c>
      <c r="G95" s="316">
        <v>1</v>
      </c>
      <c r="H95" s="1065">
        <f t="shared" si="7"/>
        <v>100</v>
      </c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</row>
    <row r="96" spans="1:21" s="1056" customFormat="1" ht="15" x14ac:dyDescent="0.25">
      <c r="A96" s="223">
        <v>3529</v>
      </c>
      <c r="B96" s="96">
        <v>6121</v>
      </c>
      <c r="C96" s="1069"/>
      <c r="D96" s="128" t="s">
        <v>603</v>
      </c>
      <c r="E96" s="124"/>
      <c r="F96" s="313">
        <v>912</v>
      </c>
      <c r="G96" s="315">
        <v>891</v>
      </c>
      <c r="H96" s="203">
        <f t="shared" si="7"/>
        <v>97.69736842105263</v>
      </c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</row>
    <row r="97" spans="1:21" s="1056" customFormat="1" ht="14.25" x14ac:dyDescent="0.2">
      <c r="A97" s="223"/>
      <c r="B97" s="96"/>
      <c r="C97" s="1069" t="s">
        <v>755</v>
      </c>
      <c r="D97" s="1063" t="s">
        <v>780</v>
      </c>
      <c r="E97" s="124"/>
      <c r="F97" s="314">
        <v>912</v>
      </c>
      <c r="G97" s="316">
        <v>891</v>
      </c>
      <c r="H97" s="1065">
        <f t="shared" si="7"/>
        <v>97.69736842105263</v>
      </c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</row>
    <row r="98" spans="1:21" s="1056" customFormat="1" ht="15" x14ac:dyDescent="0.25">
      <c r="A98" s="223">
        <v>3533</v>
      </c>
      <c r="B98" s="96">
        <v>6121</v>
      </c>
      <c r="C98" s="1069"/>
      <c r="D98" s="128" t="s">
        <v>603</v>
      </c>
      <c r="E98" s="60">
        <v>18227</v>
      </c>
      <c r="F98" s="60">
        <v>16751</v>
      </c>
      <c r="G98" s="60">
        <v>16623</v>
      </c>
      <c r="H98" s="1355">
        <f t="shared" si="7"/>
        <v>99.235866515431908</v>
      </c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</row>
    <row r="99" spans="1:21" s="1056" customFormat="1" ht="14.25" x14ac:dyDescent="0.2">
      <c r="A99" s="223"/>
      <c r="B99" s="96"/>
      <c r="C99" s="1069" t="s">
        <v>755</v>
      </c>
      <c r="D99" s="1063" t="s">
        <v>780</v>
      </c>
      <c r="E99" s="124">
        <v>18227</v>
      </c>
      <c r="F99" s="314">
        <v>16751</v>
      </c>
      <c r="G99" s="316">
        <v>16623</v>
      </c>
      <c r="H99" s="1065">
        <f t="shared" si="7"/>
        <v>99.235866515431908</v>
      </c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</row>
    <row r="100" spans="1:21" s="1056" customFormat="1" ht="15" x14ac:dyDescent="0.25">
      <c r="A100" s="223">
        <v>4322</v>
      </c>
      <c r="B100" s="96">
        <v>6121</v>
      </c>
      <c r="C100" s="1069"/>
      <c r="D100" s="128" t="s">
        <v>603</v>
      </c>
      <c r="E100" s="124"/>
      <c r="F100" s="313">
        <v>1</v>
      </c>
      <c r="G100" s="315">
        <v>1</v>
      </c>
      <c r="H100" s="203">
        <f t="shared" si="7"/>
        <v>100</v>
      </c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</row>
    <row r="101" spans="1:21" s="1056" customFormat="1" ht="14.25" x14ac:dyDescent="0.2">
      <c r="A101" s="223"/>
      <c r="B101" s="96"/>
      <c r="C101" s="1069" t="s">
        <v>184</v>
      </c>
      <c r="D101" s="1063" t="s">
        <v>712</v>
      </c>
      <c r="E101" s="124"/>
      <c r="F101" s="314">
        <v>1</v>
      </c>
      <c r="G101" s="316">
        <v>1</v>
      </c>
      <c r="H101" s="1065">
        <f t="shared" si="7"/>
        <v>100</v>
      </c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</row>
    <row r="102" spans="1:21" s="1056" customFormat="1" ht="15" x14ac:dyDescent="0.25">
      <c r="A102" s="223">
        <v>4350</v>
      </c>
      <c r="B102" s="96">
        <v>6121</v>
      </c>
      <c r="C102" s="1069"/>
      <c r="D102" s="128" t="s">
        <v>603</v>
      </c>
      <c r="E102" s="124"/>
      <c r="F102" s="313">
        <v>502</v>
      </c>
      <c r="G102" s="315">
        <v>198</v>
      </c>
      <c r="H102" s="203">
        <f t="shared" si="7"/>
        <v>39.442231075697208</v>
      </c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</row>
    <row r="103" spans="1:21" s="1056" customFormat="1" ht="14.25" x14ac:dyDescent="0.2">
      <c r="A103" s="223"/>
      <c r="B103" s="96"/>
      <c r="C103" s="1069" t="s">
        <v>754</v>
      </c>
      <c r="D103" s="1063" t="s">
        <v>712</v>
      </c>
      <c r="E103" s="124"/>
      <c r="F103" s="314">
        <v>502</v>
      </c>
      <c r="G103" s="316">
        <v>198</v>
      </c>
      <c r="H103" s="1065">
        <f t="shared" si="7"/>
        <v>39.442231075697208</v>
      </c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</row>
    <row r="104" spans="1:21" s="1056" customFormat="1" ht="15" x14ac:dyDescent="0.25">
      <c r="A104" s="223">
        <v>4351</v>
      </c>
      <c r="B104" s="96">
        <v>6121</v>
      </c>
      <c r="C104" s="1069"/>
      <c r="D104" s="128" t="s">
        <v>603</v>
      </c>
      <c r="E104" s="124"/>
      <c r="F104" s="313">
        <v>2</v>
      </c>
      <c r="G104" s="315">
        <v>2</v>
      </c>
      <c r="H104" s="203">
        <f t="shared" si="7"/>
        <v>100</v>
      </c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</row>
    <row r="105" spans="1:21" s="1056" customFormat="1" ht="14.25" x14ac:dyDescent="0.2">
      <c r="A105" s="223"/>
      <c r="B105" s="96"/>
      <c r="C105" s="1069" t="s">
        <v>754</v>
      </c>
      <c r="D105" s="1063" t="s">
        <v>712</v>
      </c>
      <c r="E105" s="124"/>
      <c r="F105" s="314">
        <v>2</v>
      </c>
      <c r="G105" s="316">
        <v>2</v>
      </c>
      <c r="H105" s="1065">
        <f t="shared" si="7"/>
        <v>100</v>
      </c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</row>
    <row r="106" spans="1:21" s="1056" customFormat="1" ht="15" x14ac:dyDescent="0.25">
      <c r="A106" s="223">
        <v>4357</v>
      </c>
      <c r="B106" s="96">
        <v>6121</v>
      </c>
      <c r="C106" s="1069"/>
      <c r="D106" s="128" t="s">
        <v>603</v>
      </c>
      <c r="E106" s="60">
        <f>E107+E108</f>
        <v>49872</v>
      </c>
      <c r="F106" s="60">
        <f>F107+F108</f>
        <v>89760</v>
      </c>
      <c r="G106" s="60">
        <f>G107+G108</f>
        <v>89210</v>
      </c>
      <c r="H106" s="203">
        <f t="shared" ref="H106:H113" si="8">(G106/F106)*100</f>
        <v>99.387254901960787</v>
      </c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</row>
    <row r="107" spans="1:21" s="1056" customFormat="1" ht="14.25" x14ac:dyDescent="0.2">
      <c r="A107" s="223"/>
      <c r="B107" s="96"/>
      <c r="C107" s="1069" t="s">
        <v>754</v>
      </c>
      <c r="D107" s="1063" t="s">
        <v>712</v>
      </c>
      <c r="E107" s="124">
        <v>22112</v>
      </c>
      <c r="F107" s="123">
        <v>51178</v>
      </c>
      <c r="G107" s="124">
        <v>50628</v>
      </c>
      <c r="H107" s="1065">
        <f t="shared" si="7"/>
        <v>98.925319473211147</v>
      </c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</row>
    <row r="108" spans="1:21" s="1056" customFormat="1" ht="14.25" x14ac:dyDescent="0.2">
      <c r="A108" s="223"/>
      <c r="B108" s="96"/>
      <c r="C108" s="1069" t="s">
        <v>777</v>
      </c>
      <c r="D108" s="1063" t="s">
        <v>778</v>
      </c>
      <c r="E108" s="124">
        <v>27760</v>
      </c>
      <c r="F108" s="314">
        <v>38582</v>
      </c>
      <c r="G108" s="316">
        <v>38582</v>
      </c>
      <c r="H108" s="1065">
        <f t="shared" si="8"/>
        <v>100</v>
      </c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</row>
    <row r="109" spans="1:21" s="1056" customFormat="1" ht="15" x14ac:dyDescent="0.25">
      <c r="A109" s="223">
        <v>4357</v>
      </c>
      <c r="B109" s="96">
        <v>6122</v>
      </c>
      <c r="C109" s="1069"/>
      <c r="D109" s="128" t="s">
        <v>604</v>
      </c>
      <c r="E109" s="124"/>
      <c r="F109" s="315">
        <f>F110+F111</f>
        <v>11550</v>
      </c>
      <c r="G109" s="315">
        <f>G110+G111</f>
        <v>11403</v>
      </c>
      <c r="H109" s="203">
        <f t="shared" si="8"/>
        <v>98.727272727272734</v>
      </c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</row>
    <row r="110" spans="1:21" s="1056" customFormat="1" ht="14.25" x14ac:dyDescent="0.2">
      <c r="A110" s="223"/>
      <c r="B110" s="96"/>
      <c r="C110" s="1069" t="s">
        <v>754</v>
      </c>
      <c r="D110" s="1063" t="s">
        <v>712</v>
      </c>
      <c r="E110" s="124"/>
      <c r="F110" s="314">
        <v>8550</v>
      </c>
      <c r="G110" s="316">
        <v>8550</v>
      </c>
      <c r="H110" s="1065">
        <f t="shared" si="8"/>
        <v>100</v>
      </c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</row>
    <row r="111" spans="1:21" s="1056" customFormat="1" ht="14.25" x14ac:dyDescent="0.2">
      <c r="A111" s="223"/>
      <c r="B111" s="96"/>
      <c r="C111" s="1069" t="s">
        <v>777</v>
      </c>
      <c r="D111" s="1063" t="s">
        <v>778</v>
      </c>
      <c r="E111" s="124"/>
      <c r="F111" s="314">
        <v>3000</v>
      </c>
      <c r="G111" s="316">
        <v>2853</v>
      </c>
      <c r="H111" s="1065">
        <f t="shared" si="8"/>
        <v>95.1</v>
      </c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</row>
    <row r="112" spans="1:21" s="1056" customFormat="1" ht="15" x14ac:dyDescent="0.25">
      <c r="A112" s="223">
        <v>6172</v>
      </c>
      <c r="B112" s="96">
        <v>6121</v>
      </c>
      <c r="C112" s="1069"/>
      <c r="D112" s="128" t="s">
        <v>603</v>
      </c>
      <c r="E112" s="60"/>
      <c r="F112" s="315">
        <f>F113</f>
        <v>100</v>
      </c>
      <c r="G112" s="315">
        <f>G113</f>
        <v>98</v>
      </c>
      <c r="H112" s="203">
        <f t="shared" si="8"/>
        <v>98</v>
      </c>
      <c r="I112" s="166"/>
      <c r="J112" s="166" t="s">
        <v>535</v>
      </c>
      <c r="K112" s="1352" t="e">
        <f>E77+E81+E84+#REF!+E108+E110</f>
        <v>#REF!</v>
      </c>
      <c r="L112" s="1352" t="e">
        <f>F77+F81+F84+#REF!+F108+F110+#REF!</f>
        <v>#REF!</v>
      </c>
      <c r="M112" s="1352" t="e">
        <f>G77+G81+G84+#REF!+G108+G110+#REF!</f>
        <v>#REF!</v>
      </c>
      <c r="N112" s="166"/>
      <c r="O112" s="166"/>
      <c r="P112" s="166"/>
      <c r="Q112" s="166"/>
      <c r="R112" s="166"/>
      <c r="S112" s="166"/>
      <c r="T112" s="166"/>
      <c r="U112" s="166"/>
    </row>
    <row r="113" spans="1:21" s="1056" customFormat="1" ht="15.75" thickBot="1" x14ac:dyDescent="0.3">
      <c r="A113" s="223"/>
      <c r="B113" s="96"/>
      <c r="C113" s="1069" t="s">
        <v>1490</v>
      </c>
      <c r="D113" s="166" t="s">
        <v>1491</v>
      </c>
      <c r="E113" s="60"/>
      <c r="F113" s="314">
        <v>100</v>
      </c>
      <c r="G113" s="316">
        <v>98</v>
      </c>
      <c r="H113" s="1065">
        <f t="shared" si="8"/>
        <v>98</v>
      </c>
      <c r="I113" s="166"/>
      <c r="J113" s="166"/>
      <c r="K113" s="1352"/>
      <c r="L113" s="1352"/>
      <c r="M113" s="1352"/>
      <c r="N113" s="166"/>
      <c r="O113" s="166"/>
      <c r="P113" s="166"/>
      <c r="Q113" s="166"/>
      <c r="R113" s="166"/>
      <c r="S113" s="166"/>
      <c r="T113" s="166"/>
      <c r="U113" s="166"/>
    </row>
    <row r="114" spans="1:21" s="360" customFormat="1" ht="23.25" customHeight="1" thickTop="1" thickBot="1" x14ac:dyDescent="0.35">
      <c r="A114" s="637" t="s">
        <v>244</v>
      </c>
      <c r="B114" s="992"/>
      <c r="C114" s="996"/>
      <c r="D114" s="994"/>
      <c r="E114" s="641">
        <f>E75+E78+E82+E87+E92+E98+E106</f>
        <v>151774</v>
      </c>
      <c r="F114" s="641">
        <f>F75+F78+F80+F82+F85+F87+F90+F92+F94+F96+F98+F100+F102+F104+F106+F109+F112</f>
        <v>202665</v>
      </c>
      <c r="G114" s="641">
        <f>G75+G78+G80+G82+G85+G87+G90+G92+G94+G96+G98+G100+G102+G104+G106+G109+G112</f>
        <v>183232</v>
      </c>
      <c r="H114" s="642">
        <f>G114/F114*100</f>
        <v>90.411269829521629</v>
      </c>
      <c r="J114" s="914" t="s">
        <v>1353</v>
      </c>
      <c r="K114" s="914" t="e">
        <f>K112</f>
        <v>#REF!</v>
      </c>
      <c r="L114" s="1724" t="e">
        <f>L112+M47</f>
        <v>#REF!</v>
      </c>
      <c r="M114" s="1724" t="e">
        <f>M112+N47</f>
        <v>#REF!</v>
      </c>
      <c r="N114" s="1723"/>
    </row>
    <row r="115" spans="1:21" ht="15.75" thickTop="1" x14ac:dyDescent="0.25">
      <c r="A115" s="746"/>
      <c r="B115" s="746"/>
      <c r="C115" s="997"/>
      <c r="D115" s="119"/>
      <c r="E115" s="1721"/>
      <c r="F115" s="1722"/>
      <c r="G115" s="1722"/>
      <c r="H115" s="999"/>
      <c r="J115" s="961" t="s">
        <v>1354</v>
      </c>
      <c r="K115" s="382" t="e">
        <f>#REF!+L49</f>
        <v>#REF!</v>
      </c>
      <c r="L115" s="382" t="e">
        <f>#REF!+M49</f>
        <v>#REF!</v>
      </c>
      <c r="M115" s="382" t="e">
        <f>#REF!+N49</f>
        <v>#REF!</v>
      </c>
    </row>
    <row r="116" spans="1:21" s="665" customFormat="1" ht="15" customHeight="1" x14ac:dyDescent="0.25">
      <c r="A116" s="2732" t="s">
        <v>1864</v>
      </c>
      <c r="B116" s="2733"/>
      <c r="C116" s="2733"/>
      <c r="D116" s="2733"/>
      <c r="E116" s="934">
        <f>E118+E119+E120+E121</f>
        <v>165217</v>
      </c>
      <c r="F116" s="934">
        <f>F118+F119+F120+F121</f>
        <v>231990</v>
      </c>
      <c r="G116" s="934">
        <f>G118+G119+G120+G121</f>
        <v>209738</v>
      </c>
      <c r="H116" s="305">
        <f>G116/F116*100</f>
        <v>90.408207250312515</v>
      </c>
    </row>
    <row r="117" spans="1:21" s="665" customFormat="1" ht="15" customHeight="1" x14ac:dyDescent="0.25">
      <c r="A117" s="2733"/>
      <c r="B117" s="2733"/>
      <c r="C117" s="2733"/>
      <c r="D117" s="2733"/>
      <c r="E117" s="934"/>
      <c r="F117" s="934"/>
      <c r="G117" s="934"/>
      <c r="H117" s="305"/>
    </row>
    <row r="118" spans="1:21" s="1270" customFormat="1" ht="15" x14ac:dyDescent="0.2">
      <c r="A118" s="555" t="s">
        <v>263</v>
      </c>
      <c r="B118" s="585"/>
      <c r="C118" s="586"/>
      <c r="D118" s="586"/>
      <c r="E118" s="935">
        <f>E49</f>
        <v>13443</v>
      </c>
      <c r="F118" s="935">
        <f>F49-F120</f>
        <v>29325</v>
      </c>
      <c r="G118" s="935">
        <f>G49-G120</f>
        <v>26506</v>
      </c>
      <c r="H118" s="306">
        <f>G118/F118*100</f>
        <v>90.387041773231033</v>
      </c>
    </row>
    <row r="119" spans="1:21" s="1270" customFormat="1" ht="15" x14ac:dyDescent="0.2">
      <c r="A119" s="555" t="s">
        <v>264</v>
      </c>
      <c r="B119" s="590"/>
      <c r="C119" s="586"/>
      <c r="D119" s="586"/>
      <c r="E119" s="936">
        <f>E114</f>
        <v>151774</v>
      </c>
      <c r="F119" s="936">
        <f>F114-F121</f>
        <v>202665</v>
      </c>
      <c r="G119" s="936">
        <f>G114-G121</f>
        <v>183232</v>
      </c>
      <c r="H119" s="306">
        <f>G119/F119*100</f>
        <v>90.411269829521629</v>
      </c>
    </row>
    <row r="120" spans="1:21" s="1270" customFormat="1" ht="15" x14ac:dyDescent="0.2">
      <c r="A120" s="555" t="s">
        <v>208</v>
      </c>
      <c r="B120" s="590"/>
      <c r="C120" s="586"/>
      <c r="D120" s="586"/>
      <c r="E120" s="935">
        <v>0</v>
      </c>
      <c r="F120" s="588">
        <v>0</v>
      </c>
      <c r="G120" s="588">
        <v>0</v>
      </c>
      <c r="H120" s="306">
        <v>0</v>
      </c>
      <c r="J120" s="1271"/>
      <c r="K120" s="1271"/>
    </row>
    <row r="121" spans="1:21" s="1270" customFormat="1" ht="15" x14ac:dyDescent="0.2">
      <c r="A121" s="555" t="s">
        <v>1147</v>
      </c>
      <c r="B121" s="590"/>
      <c r="C121" s="586"/>
      <c r="D121" s="586"/>
      <c r="E121" s="935">
        <v>0</v>
      </c>
      <c r="F121" s="592">
        <v>0</v>
      </c>
      <c r="G121" s="592">
        <v>0</v>
      </c>
      <c r="H121" s="306">
        <v>0</v>
      </c>
    </row>
    <row r="122" spans="1:21" ht="15" x14ac:dyDescent="0.25">
      <c r="A122" s="746"/>
      <c r="B122" s="746"/>
      <c r="C122" s="997"/>
      <c r="D122" s="119"/>
      <c r="E122" s="998"/>
      <c r="F122" s="314"/>
      <c r="G122" s="314"/>
      <c r="H122" s="999"/>
    </row>
    <row r="123" spans="1:21" ht="18" x14ac:dyDescent="0.25">
      <c r="A123" s="1000"/>
      <c r="B123" s="1000"/>
      <c r="C123" s="1001"/>
      <c r="D123" s="228"/>
      <c r="E123" s="1002"/>
      <c r="F123" s="1003"/>
      <c r="G123" s="1004"/>
      <c r="H123" s="1005"/>
    </row>
    <row r="124" spans="1:21" s="981" customFormat="1" ht="46.5" customHeight="1" thickBot="1" x14ac:dyDescent="0.4">
      <c r="A124" s="2730" t="s">
        <v>1863</v>
      </c>
      <c r="B124" s="2731"/>
      <c r="C124" s="2731"/>
      <c r="D124" s="2731"/>
      <c r="E124" s="1006">
        <f>E49+E114</f>
        <v>165217</v>
      </c>
      <c r="F124" s="1006">
        <f>F49+F114</f>
        <v>231990</v>
      </c>
      <c r="G124" s="1006">
        <f>G49+G114</f>
        <v>209738</v>
      </c>
      <c r="H124" s="2142">
        <f>(G124/F124)*100</f>
        <v>90.408207250312515</v>
      </c>
      <c r="I124" s="1007"/>
    </row>
    <row r="125" spans="1:21" ht="13.5" thickTop="1" x14ac:dyDescent="0.2"/>
    <row r="126" spans="1:21" s="665" customFormat="1" x14ac:dyDescent="0.2">
      <c r="A126" s="2728"/>
      <c r="B126" s="2729"/>
      <c r="C126" s="2729"/>
      <c r="D126" s="2729"/>
      <c r="E126" s="2729"/>
      <c r="F126" s="2729"/>
      <c r="G126" s="2729"/>
      <c r="H126" s="2729"/>
      <c r="I126" s="1356"/>
      <c r="J126" s="667"/>
    </row>
    <row r="127" spans="1:21" s="665" customFormat="1" x14ac:dyDescent="0.2">
      <c r="A127" s="2729"/>
      <c r="B127" s="2729"/>
      <c r="C127" s="2729"/>
      <c r="D127" s="2729"/>
      <c r="E127" s="2729"/>
      <c r="F127" s="2729"/>
      <c r="G127" s="2729"/>
      <c r="H127" s="2729"/>
      <c r="I127" s="1356"/>
      <c r="J127" s="667"/>
    </row>
  </sheetData>
  <mergeCells count="3">
    <mergeCell ref="A126:H127"/>
    <mergeCell ref="A124:D124"/>
    <mergeCell ref="A116:D117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118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colBreaks count="1" manualBreakCount="1">
    <brk id="8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indexed="13"/>
  </sheetPr>
  <dimension ref="A1:O1234"/>
  <sheetViews>
    <sheetView showGridLines="0" topLeftCell="A88" zoomScaleNormal="100" zoomScaleSheetLayoutView="75" workbookViewId="0">
      <selection activeCell="D128" sqref="A128:E133"/>
    </sheetView>
  </sheetViews>
  <sheetFormatPr defaultRowHeight="12.75" x14ac:dyDescent="0.2"/>
  <cols>
    <col min="1" max="1" width="11.7109375" style="955" customWidth="1"/>
    <col min="2" max="2" width="5.140625" style="956" customWidth="1"/>
    <col min="3" max="3" width="5.28515625" style="665" customWidth="1"/>
    <col min="4" max="4" width="8.85546875" style="667" customWidth="1"/>
    <col min="5" max="5" width="41.28515625" style="665" customWidth="1"/>
    <col min="6" max="6" width="11.7109375" style="667" customWidth="1"/>
    <col min="7" max="7" width="13.85546875" style="667" customWidth="1"/>
    <col min="8" max="8" width="11.85546875" style="667" customWidth="1"/>
    <col min="9" max="9" width="7" style="954" customWidth="1"/>
    <col min="10" max="10" width="9.140625" style="665"/>
    <col min="11" max="11" width="12.140625" style="665" customWidth="1"/>
    <col min="12" max="12" width="11.42578125" style="665" bestFit="1" customWidth="1"/>
    <col min="13" max="16384" width="9.140625" style="665"/>
  </cols>
  <sheetData>
    <row r="1" spans="1:10" ht="18.75" thickBot="1" x14ac:dyDescent="0.3">
      <c r="A1" s="494" t="s">
        <v>638</v>
      </c>
      <c r="B1" s="495"/>
      <c r="C1" s="498"/>
      <c r="D1" s="497"/>
      <c r="E1" s="496"/>
      <c r="F1" s="497"/>
      <c r="G1" s="481" t="s">
        <v>911</v>
      </c>
      <c r="H1" s="668"/>
      <c r="I1" s="667"/>
    </row>
    <row r="2" spans="1:10" ht="18" x14ac:dyDescent="0.25">
      <c r="A2" s="1192"/>
      <c r="B2" s="1193"/>
      <c r="C2" s="1194"/>
      <c r="D2" s="138"/>
      <c r="E2" s="1195"/>
      <c r="F2" s="138"/>
      <c r="G2" s="1196"/>
      <c r="H2" s="668"/>
      <c r="I2" s="667"/>
    </row>
    <row r="3" spans="1:10" s="532" customFormat="1" ht="12.75" customHeight="1" x14ac:dyDescent="0.25">
      <c r="A3" s="6"/>
      <c r="B3" s="28"/>
      <c r="C3" s="131"/>
      <c r="D3" s="10"/>
      <c r="E3" s="137"/>
      <c r="F3" s="137"/>
      <c r="G3" s="16"/>
      <c r="H3" s="194"/>
      <c r="I3" s="17"/>
      <c r="J3" s="493"/>
    </row>
    <row r="4" spans="1:10" s="532" customFormat="1" ht="12.75" customHeight="1" x14ac:dyDescent="0.25">
      <c r="A4" s="67" t="s">
        <v>367</v>
      </c>
      <c r="B4" s="28"/>
      <c r="C4" s="562" t="s">
        <v>347</v>
      </c>
      <c r="D4" s="627"/>
      <c r="E4" s="137"/>
      <c r="F4" s="16"/>
      <c r="G4" s="17"/>
      <c r="H4" s="194"/>
    </row>
    <row r="5" spans="1:10" s="532" customFormat="1" ht="12.75" customHeight="1" x14ac:dyDescent="0.25">
      <c r="A5" s="6"/>
      <c r="B5" s="28"/>
      <c r="C5" s="562" t="s">
        <v>348</v>
      </c>
      <c r="D5" s="667"/>
      <c r="E5" s="138"/>
      <c r="F5" s="16"/>
      <c r="G5" s="17"/>
      <c r="H5" s="194"/>
    </row>
    <row r="7" spans="1:10" s="532" customFormat="1" ht="18" x14ac:dyDescent="0.25">
      <c r="A7" s="33" t="s">
        <v>598</v>
      </c>
      <c r="B7" s="33"/>
      <c r="C7" s="28"/>
      <c r="D7" s="63"/>
      <c r="E7" s="10"/>
      <c r="F7" s="137"/>
      <c r="G7" s="137"/>
      <c r="H7" s="16"/>
      <c r="I7" s="949"/>
      <c r="J7" s="17"/>
    </row>
    <row r="8" spans="1:10" s="532" customFormat="1" x14ac:dyDescent="0.2">
      <c r="B8" s="643"/>
      <c r="D8" s="814"/>
      <c r="F8" s="493"/>
      <c r="G8" s="493"/>
      <c r="H8" s="493"/>
      <c r="I8" s="949"/>
    </row>
    <row r="9" spans="1:10" s="532" customFormat="1" x14ac:dyDescent="0.2">
      <c r="B9" s="643"/>
      <c r="D9" s="814"/>
      <c r="F9" s="493"/>
      <c r="G9" s="493"/>
      <c r="H9" s="493"/>
      <c r="I9" s="949"/>
    </row>
    <row r="10" spans="1:10" s="532" customFormat="1" ht="13.5" thickBot="1" x14ac:dyDescent="0.25">
      <c r="A10" s="432" t="s">
        <v>1301</v>
      </c>
      <c r="B10" s="643"/>
      <c r="D10" s="814"/>
      <c r="F10" s="493"/>
      <c r="G10" s="493"/>
      <c r="H10" s="493"/>
      <c r="I10" s="949" t="s">
        <v>161</v>
      </c>
    </row>
    <row r="11" spans="1:10" s="107" customFormat="1" ht="20.25" customHeight="1" thickTop="1" thickBot="1" x14ac:dyDescent="0.25">
      <c r="A11" s="682" t="s">
        <v>624</v>
      </c>
      <c r="B11" s="685" t="s">
        <v>162</v>
      </c>
      <c r="C11" s="683" t="s">
        <v>163</v>
      </c>
      <c r="D11" s="634" t="s">
        <v>705</v>
      </c>
      <c r="E11" s="686" t="s">
        <v>164</v>
      </c>
      <c r="F11" s="686" t="s">
        <v>165</v>
      </c>
      <c r="G11" s="686" t="s">
        <v>881</v>
      </c>
      <c r="H11" s="686" t="s">
        <v>882</v>
      </c>
      <c r="I11" s="818" t="s">
        <v>883</v>
      </c>
    </row>
    <row r="12" spans="1:10" s="383" customFormat="1" ht="13.5" thickTop="1" thickBot="1" x14ac:dyDescent="0.25">
      <c r="A12" s="566">
        <v>1</v>
      </c>
      <c r="B12" s="567">
        <v>2</v>
      </c>
      <c r="C12" s="567">
        <v>3</v>
      </c>
      <c r="D12" s="567">
        <v>4</v>
      </c>
      <c r="E12" s="567">
        <v>5</v>
      </c>
      <c r="F12" s="541">
        <v>6</v>
      </c>
      <c r="G12" s="541">
        <v>7</v>
      </c>
      <c r="H12" s="542">
        <v>8</v>
      </c>
      <c r="I12" s="636" t="s">
        <v>762</v>
      </c>
    </row>
    <row r="13" spans="1:10" s="532" customFormat="1" ht="16.5" thickTop="1" thickBot="1" x14ac:dyDescent="0.3">
      <c r="A13" s="959">
        <v>60001100026</v>
      </c>
      <c r="B13" s="775">
        <v>3122</v>
      </c>
      <c r="C13" s="775">
        <v>6121</v>
      </c>
      <c r="D13" s="958">
        <v>10</v>
      </c>
      <c r="E13" s="790" t="s">
        <v>603</v>
      </c>
      <c r="F13" s="960"/>
      <c r="G13" s="960">
        <v>751</v>
      </c>
      <c r="H13" s="960">
        <v>640</v>
      </c>
      <c r="I13" s="853">
        <v>0</v>
      </c>
    </row>
    <row r="14" spans="1:10" s="532" customFormat="1" ht="18" customHeight="1" thickTop="1" thickBot="1" x14ac:dyDescent="0.3">
      <c r="A14" s="2672" t="s">
        <v>244</v>
      </c>
      <c r="B14" s="2673"/>
      <c r="C14" s="2673"/>
      <c r="D14" s="2673"/>
      <c r="E14" s="2673"/>
      <c r="F14" s="824">
        <v>0</v>
      </c>
      <c r="G14" s="824">
        <f>SUM(G13)</f>
        <v>751</v>
      </c>
      <c r="H14" s="824">
        <f>SUM(H13)</f>
        <v>640</v>
      </c>
      <c r="I14" s="825">
        <v>0</v>
      </c>
    </row>
    <row r="15" spans="1:10" s="532" customFormat="1" ht="13.5" thickTop="1" x14ac:dyDescent="0.2">
      <c r="B15" s="643"/>
      <c r="D15" s="814"/>
      <c r="F15" s="493"/>
      <c r="G15" s="493"/>
      <c r="H15" s="493"/>
      <c r="I15" s="949"/>
    </row>
    <row r="16" spans="1:10" s="532" customFormat="1" x14ac:dyDescent="0.2">
      <c r="B16" s="643"/>
      <c r="D16" s="814"/>
      <c r="F16" s="493"/>
      <c r="G16" s="493"/>
      <c r="H16" s="493"/>
      <c r="I16" s="949"/>
    </row>
    <row r="17" spans="1:9" s="532" customFormat="1" ht="13.5" thickBot="1" x14ac:dyDescent="0.25">
      <c r="A17" s="432" t="s">
        <v>1302</v>
      </c>
      <c r="B17" s="643"/>
      <c r="D17" s="814"/>
      <c r="F17" s="493"/>
      <c r="G17" s="493"/>
      <c r="H17" s="493"/>
      <c r="I17" s="949" t="s">
        <v>161</v>
      </c>
    </row>
    <row r="18" spans="1:9" s="107" customFormat="1" ht="20.25" customHeight="1" thickTop="1" thickBot="1" x14ac:dyDescent="0.25">
      <c r="A18" s="682" t="s">
        <v>624</v>
      </c>
      <c r="B18" s="685" t="s">
        <v>162</v>
      </c>
      <c r="C18" s="683" t="s">
        <v>163</v>
      </c>
      <c r="D18" s="634" t="s">
        <v>705</v>
      </c>
      <c r="E18" s="686" t="s">
        <v>164</v>
      </c>
      <c r="F18" s="686" t="s">
        <v>165</v>
      </c>
      <c r="G18" s="686" t="s">
        <v>881</v>
      </c>
      <c r="H18" s="686" t="s">
        <v>882</v>
      </c>
      <c r="I18" s="818" t="s">
        <v>883</v>
      </c>
    </row>
    <row r="19" spans="1:9" s="383" customFormat="1" ht="13.5" thickTop="1" thickBot="1" x14ac:dyDescent="0.25">
      <c r="A19" s="566">
        <v>1</v>
      </c>
      <c r="B19" s="567">
        <v>2</v>
      </c>
      <c r="C19" s="567">
        <v>3</v>
      </c>
      <c r="D19" s="567">
        <v>4</v>
      </c>
      <c r="E19" s="567">
        <v>5</v>
      </c>
      <c r="F19" s="541">
        <v>6</v>
      </c>
      <c r="G19" s="541">
        <v>7</v>
      </c>
      <c r="H19" s="542">
        <v>8</v>
      </c>
      <c r="I19" s="636" t="s">
        <v>762</v>
      </c>
    </row>
    <row r="20" spans="1:9" s="532" customFormat="1" ht="16.5" thickTop="1" thickBot="1" x14ac:dyDescent="0.3">
      <c r="A20" s="959">
        <v>60001100028</v>
      </c>
      <c r="B20" s="775">
        <v>3121</v>
      </c>
      <c r="C20" s="775">
        <v>6121</v>
      </c>
      <c r="D20" s="958">
        <v>10</v>
      </c>
      <c r="E20" s="790" t="s">
        <v>603</v>
      </c>
      <c r="F20" s="960">
        <v>2100</v>
      </c>
      <c r="G20" s="960">
        <v>1897</v>
      </c>
      <c r="H20" s="960">
        <v>1897</v>
      </c>
      <c r="I20" s="853">
        <f>(H20/G20)*100</f>
        <v>100</v>
      </c>
    </row>
    <row r="21" spans="1:9" s="532" customFormat="1" ht="18" customHeight="1" thickTop="1" thickBot="1" x14ac:dyDescent="0.3">
      <c r="A21" s="2672" t="s">
        <v>244</v>
      </c>
      <c r="B21" s="2673"/>
      <c r="C21" s="2673"/>
      <c r="D21" s="2673"/>
      <c r="E21" s="2673"/>
      <c r="F21" s="824">
        <v>2100</v>
      </c>
      <c r="G21" s="824">
        <f>SUM(G20)</f>
        <v>1897</v>
      </c>
      <c r="H21" s="824">
        <f>SUM(H20)</f>
        <v>1897</v>
      </c>
      <c r="I21" s="825">
        <f>(H21/G21)*100</f>
        <v>100</v>
      </c>
    </row>
    <row r="22" spans="1:9" s="532" customFormat="1" ht="13.5" thickTop="1" x14ac:dyDescent="0.2">
      <c r="B22" s="643"/>
      <c r="D22" s="814"/>
      <c r="F22" s="493"/>
      <c r="G22" s="493"/>
      <c r="H22" s="493"/>
      <c r="I22" s="949"/>
    </row>
    <row r="23" spans="1:9" s="532" customFormat="1" x14ac:dyDescent="0.2">
      <c r="B23" s="643"/>
      <c r="D23" s="814"/>
      <c r="F23" s="493"/>
      <c r="G23" s="493"/>
      <c r="H23" s="493"/>
      <c r="I23" s="949"/>
    </row>
    <row r="24" spans="1:9" s="532" customFormat="1" ht="13.5" thickBot="1" x14ac:dyDescent="0.25">
      <c r="A24" s="432" t="s">
        <v>1084</v>
      </c>
      <c r="B24" s="643"/>
      <c r="D24" s="814"/>
      <c r="F24" s="493"/>
      <c r="G24" s="493"/>
      <c r="H24" s="493"/>
      <c r="I24" s="949" t="s">
        <v>161</v>
      </c>
    </row>
    <row r="25" spans="1:9" s="107" customFormat="1" ht="20.25" customHeight="1" thickTop="1" thickBot="1" x14ac:dyDescent="0.25">
      <c r="A25" s="682" t="s">
        <v>624</v>
      </c>
      <c r="B25" s="685" t="s">
        <v>162</v>
      </c>
      <c r="C25" s="683" t="s">
        <v>163</v>
      </c>
      <c r="D25" s="634" t="s">
        <v>705</v>
      </c>
      <c r="E25" s="686" t="s">
        <v>164</v>
      </c>
      <c r="F25" s="686" t="s">
        <v>165</v>
      </c>
      <c r="G25" s="686" t="s">
        <v>881</v>
      </c>
      <c r="H25" s="686" t="s">
        <v>882</v>
      </c>
      <c r="I25" s="818" t="s">
        <v>883</v>
      </c>
    </row>
    <row r="26" spans="1:9" s="383" customFormat="1" ht="13.5" thickTop="1" thickBot="1" x14ac:dyDescent="0.25">
      <c r="A26" s="1199">
        <v>1</v>
      </c>
      <c r="B26" s="1200">
        <v>2</v>
      </c>
      <c r="C26" s="1200">
        <v>3</v>
      </c>
      <c r="D26" s="1200">
        <v>4</v>
      </c>
      <c r="E26" s="1200">
        <v>5</v>
      </c>
      <c r="F26" s="1201">
        <v>6</v>
      </c>
      <c r="G26" s="1201">
        <v>7</v>
      </c>
      <c r="H26" s="1202">
        <v>8</v>
      </c>
      <c r="I26" s="1203" t="s">
        <v>762</v>
      </c>
    </row>
    <row r="27" spans="1:9" s="383" customFormat="1" ht="15.75" thickTop="1" x14ac:dyDescent="0.25">
      <c r="A27" s="1254">
        <v>60001100030</v>
      </c>
      <c r="B27" s="1255">
        <v>3142</v>
      </c>
      <c r="C27" s="1256">
        <v>5137</v>
      </c>
      <c r="D27" s="973">
        <v>870</v>
      </c>
      <c r="E27" s="1205" t="s">
        <v>155</v>
      </c>
      <c r="F27" s="412"/>
      <c r="G27" s="1207">
        <v>5979</v>
      </c>
      <c r="H27" s="412">
        <v>5957</v>
      </c>
      <c r="I27" s="962">
        <f t="shared" ref="I27:I33" si="0">(H27/G27)*100</f>
        <v>99.632045492557282</v>
      </c>
    </row>
    <row r="28" spans="1:9" s="383" customFormat="1" ht="15.75" thickBot="1" x14ac:dyDescent="0.3">
      <c r="A28" s="1257">
        <v>60001100030</v>
      </c>
      <c r="B28" s="1258">
        <v>3142</v>
      </c>
      <c r="C28" s="1259">
        <v>5172</v>
      </c>
      <c r="D28" s="958">
        <v>870</v>
      </c>
      <c r="E28" s="1204" t="s">
        <v>897</v>
      </c>
      <c r="F28" s="413"/>
      <c r="G28" s="1208">
        <v>106</v>
      </c>
      <c r="H28" s="413">
        <v>101</v>
      </c>
      <c r="I28" s="836">
        <f t="shared" si="0"/>
        <v>95.283018867924525</v>
      </c>
    </row>
    <row r="29" spans="1:9" s="532" customFormat="1" ht="18" customHeight="1" thickTop="1" thickBot="1" x14ac:dyDescent="0.3">
      <c r="A29" s="2672" t="s">
        <v>245</v>
      </c>
      <c r="B29" s="2673"/>
      <c r="C29" s="2673"/>
      <c r="D29" s="2673"/>
      <c r="E29" s="2673"/>
      <c r="F29" s="824">
        <v>0</v>
      </c>
      <c r="G29" s="824">
        <f>G27+G28</f>
        <v>6085</v>
      </c>
      <c r="H29" s="824">
        <f>H27+H28</f>
        <v>6058</v>
      </c>
      <c r="I29" s="825">
        <f t="shared" si="0"/>
        <v>99.556285949055052</v>
      </c>
    </row>
    <row r="30" spans="1:9" s="532" customFormat="1" ht="18" customHeight="1" thickTop="1" x14ac:dyDescent="0.25">
      <c r="A30" s="1242">
        <v>60001100030</v>
      </c>
      <c r="B30" s="1243">
        <v>3142</v>
      </c>
      <c r="C30" s="1244">
        <v>6121</v>
      </c>
      <c r="D30" s="958">
        <v>10</v>
      </c>
      <c r="E30" s="1204" t="s">
        <v>603</v>
      </c>
      <c r="F30" s="820">
        <v>50100</v>
      </c>
      <c r="G30" s="181">
        <v>0</v>
      </c>
      <c r="H30" s="820">
        <v>0</v>
      </c>
      <c r="I30" s="836">
        <v>0</v>
      </c>
    </row>
    <row r="31" spans="1:9" s="383" customFormat="1" ht="15" x14ac:dyDescent="0.25">
      <c r="A31" s="1257">
        <v>60001100030</v>
      </c>
      <c r="B31" s="1258">
        <v>3142</v>
      </c>
      <c r="C31" s="1259">
        <v>6121</v>
      </c>
      <c r="D31" s="958">
        <v>870</v>
      </c>
      <c r="E31" s="1204" t="s">
        <v>603</v>
      </c>
      <c r="F31" s="413"/>
      <c r="G31" s="1208">
        <v>85669</v>
      </c>
      <c r="H31" s="413">
        <v>85083</v>
      </c>
      <c r="I31" s="836">
        <f t="shared" si="0"/>
        <v>99.315971938507502</v>
      </c>
    </row>
    <row r="32" spans="1:9" s="532" customFormat="1" ht="15.75" thickBot="1" x14ac:dyDescent="0.3">
      <c r="A32" s="963">
        <v>60001100030</v>
      </c>
      <c r="B32" s="891">
        <v>3142</v>
      </c>
      <c r="C32" s="749">
        <v>6122</v>
      </c>
      <c r="D32" s="964">
        <v>870</v>
      </c>
      <c r="E32" s="1206" t="s">
        <v>604</v>
      </c>
      <c r="F32" s="884"/>
      <c r="G32" s="965">
        <v>24343</v>
      </c>
      <c r="H32" s="884">
        <v>24343</v>
      </c>
      <c r="I32" s="972">
        <f t="shared" si="0"/>
        <v>100</v>
      </c>
    </row>
    <row r="33" spans="1:9" s="532" customFormat="1" ht="18" customHeight="1" thickTop="1" thickBot="1" x14ac:dyDescent="0.3">
      <c r="A33" s="2692" t="s">
        <v>244</v>
      </c>
      <c r="B33" s="2685"/>
      <c r="C33" s="2685"/>
      <c r="D33" s="2685"/>
      <c r="E33" s="2685"/>
      <c r="F33" s="873">
        <f>F30</f>
        <v>50100</v>
      </c>
      <c r="G33" s="873">
        <f>G30+G31+G32</f>
        <v>110012</v>
      </c>
      <c r="H33" s="873">
        <f>H30+H31+H32</f>
        <v>109426</v>
      </c>
      <c r="I33" s="825">
        <f t="shared" si="0"/>
        <v>99.467330836636009</v>
      </c>
    </row>
    <row r="34" spans="1:9" s="532" customFormat="1" ht="13.5" thickTop="1" x14ac:dyDescent="0.2">
      <c r="B34" s="643"/>
      <c r="D34" s="814"/>
      <c r="F34" s="493"/>
      <c r="G34" s="493"/>
      <c r="H34" s="493"/>
      <c r="I34" s="949"/>
    </row>
    <row r="35" spans="1:9" s="532" customFormat="1" x14ac:dyDescent="0.2">
      <c r="B35" s="643"/>
      <c r="D35" s="814"/>
      <c r="F35" s="493"/>
      <c r="G35" s="493"/>
      <c r="H35" s="493"/>
      <c r="I35" s="949"/>
    </row>
    <row r="36" spans="1:9" s="532" customFormat="1" ht="13.5" thickBot="1" x14ac:dyDescent="0.25">
      <c r="A36" s="432" t="s">
        <v>1085</v>
      </c>
      <c r="B36" s="643"/>
      <c r="D36" s="814"/>
      <c r="F36" s="493"/>
      <c r="G36" s="493"/>
      <c r="H36" s="493"/>
      <c r="I36" s="949" t="s">
        <v>161</v>
      </c>
    </row>
    <row r="37" spans="1:9" s="107" customFormat="1" ht="20.25" customHeight="1" thickTop="1" thickBot="1" x14ac:dyDescent="0.25">
      <c r="A37" s="682" t="s">
        <v>624</v>
      </c>
      <c r="B37" s="685" t="s">
        <v>162</v>
      </c>
      <c r="C37" s="683" t="s">
        <v>163</v>
      </c>
      <c r="D37" s="634" t="s">
        <v>705</v>
      </c>
      <c r="E37" s="686" t="s">
        <v>164</v>
      </c>
      <c r="F37" s="686" t="s">
        <v>165</v>
      </c>
      <c r="G37" s="686" t="s">
        <v>881</v>
      </c>
      <c r="H37" s="686" t="s">
        <v>882</v>
      </c>
      <c r="I37" s="818" t="s">
        <v>883</v>
      </c>
    </row>
    <row r="38" spans="1:9" s="383" customFormat="1" ht="13.5" thickTop="1" thickBot="1" x14ac:dyDescent="0.25">
      <c r="A38" s="1199">
        <v>1</v>
      </c>
      <c r="B38" s="1200">
        <v>2</v>
      </c>
      <c r="C38" s="1200">
        <v>3</v>
      </c>
      <c r="D38" s="1200">
        <v>4</v>
      </c>
      <c r="E38" s="1200">
        <v>5</v>
      </c>
      <c r="F38" s="1201">
        <v>6</v>
      </c>
      <c r="G38" s="1201">
        <v>7</v>
      </c>
      <c r="H38" s="1202">
        <v>8</v>
      </c>
      <c r="I38" s="1203" t="s">
        <v>762</v>
      </c>
    </row>
    <row r="39" spans="1:9" s="383" customFormat="1" ht="15.75" thickTop="1" x14ac:dyDescent="0.25">
      <c r="A39" s="1254">
        <v>60001100031</v>
      </c>
      <c r="B39" s="1255">
        <v>3121</v>
      </c>
      <c r="C39" s="1255">
        <v>6121</v>
      </c>
      <c r="D39" s="1227">
        <v>10</v>
      </c>
      <c r="E39" s="1226" t="s">
        <v>603</v>
      </c>
      <c r="F39" s="1245">
        <v>3900</v>
      </c>
      <c r="G39" s="1245">
        <v>0</v>
      </c>
      <c r="H39" s="1245">
        <v>0</v>
      </c>
      <c r="I39" s="1210">
        <v>0</v>
      </c>
    </row>
    <row r="40" spans="1:9" s="532" customFormat="1" ht="15.75" thickBot="1" x14ac:dyDescent="0.3">
      <c r="A40" s="1232">
        <v>60001100031</v>
      </c>
      <c r="B40" s="673">
        <v>3121</v>
      </c>
      <c r="C40" s="673">
        <v>6121</v>
      </c>
      <c r="D40" s="958">
        <v>870</v>
      </c>
      <c r="E40" s="380" t="s">
        <v>603</v>
      </c>
      <c r="F40" s="851"/>
      <c r="G40" s="851">
        <v>3900</v>
      </c>
      <c r="H40" s="851">
        <v>3683</v>
      </c>
      <c r="I40" s="853">
        <f>(H40/G40)*100</f>
        <v>94.435897435897431</v>
      </c>
    </row>
    <row r="41" spans="1:9" s="532" customFormat="1" ht="18" customHeight="1" thickTop="1" thickBot="1" x14ac:dyDescent="0.3">
      <c r="A41" s="2672" t="s">
        <v>244</v>
      </c>
      <c r="B41" s="2673"/>
      <c r="C41" s="2673"/>
      <c r="D41" s="2673"/>
      <c r="E41" s="2673"/>
      <c r="F41" s="824">
        <f>F39</f>
        <v>3900</v>
      </c>
      <c r="G41" s="824">
        <f>SUM(G40)</f>
        <v>3900</v>
      </c>
      <c r="H41" s="824">
        <f>SUM(H40)</f>
        <v>3683</v>
      </c>
      <c r="I41" s="825">
        <f>(H41/G41)*100</f>
        <v>94.435897435897431</v>
      </c>
    </row>
    <row r="42" spans="1:9" s="532" customFormat="1" ht="13.5" thickTop="1" x14ac:dyDescent="0.2">
      <c r="B42" s="643"/>
      <c r="D42" s="814"/>
      <c r="F42" s="493"/>
      <c r="G42" s="493"/>
      <c r="H42" s="493"/>
      <c r="I42" s="949"/>
    </row>
    <row r="43" spans="1:9" s="532" customFormat="1" x14ac:dyDescent="0.2">
      <c r="B43" s="643"/>
      <c r="D43" s="814"/>
      <c r="F43" s="493"/>
      <c r="G43" s="493"/>
      <c r="H43" s="493"/>
      <c r="I43" s="949"/>
    </row>
    <row r="44" spans="1:9" s="532" customFormat="1" ht="13.5" thickBot="1" x14ac:dyDescent="0.25">
      <c r="A44" s="432" t="s">
        <v>1086</v>
      </c>
      <c r="B44" s="643"/>
      <c r="D44" s="814"/>
      <c r="F44" s="493"/>
      <c r="G44" s="493"/>
      <c r="H44" s="493"/>
      <c r="I44" s="949" t="s">
        <v>161</v>
      </c>
    </row>
    <row r="45" spans="1:9" s="107" customFormat="1" ht="20.25" customHeight="1" thickTop="1" thickBot="1" x14ac:dyDescent="0.25">
      <c r="A45" s="682" t="s">
        <v>624</v>
      </c>
      <c r="B45" s="685" t="s">
        <v>162</v>
      </c>
      <c r="C45" s="683" t="s">
        <v>163</v>
      </c>
      <c r="D45" s="634" t="s">
        <v>705</v>
      </c>
      <c r="E45" s="686" t="s">
        <v>164</v>
      </c>
      <c r="F45" s="686" t="s">
        <v>165</v>
      </c>
      <c r="G45" s="686" t="s">
        <v>881</v>
      </c>
      <c r="H45" s="686" t="s">
        <v>882</v>
      </c>
      <c r="I45" s="818" t="s">
        <v>883</v>
      </c>
    </row>
    <row r="46" spans="1:9" s="383" customFormat="1" ht="13.5" thickTop="1" thickBot="1" x14ac:dyDescent="0.25">
      <c r="A46" s="566">
        <v>1</v>
      </c>
      <c r="B46" s="567">
        <v>2</v>
      </c>
      <c r="C46" s="567">
        <v>3</v>
      </c>
      <c r="D46" s="567">
        <v>4</v>
      </c>
      <c r="E46" s="567">
        <v>5</v>
      </c>
      <c r="F46" s="541">
        <v>6</v>
      </c>
      <c r="G46" s="541">
        <v>7</v>
      </c>
      <c r="H46" s="542">
        <v>8</v>
      </c>
      <c r="I46" s="636" t="s">
        <v>762</v>
      </c>
    </row>
    <row r="47" spans="1:9" s="532" customFormat="1" ht="16.5" thickTop="1" thickBot="1" x14ac:dyDescent="0.3">
      <c r="A47" s="966">
        <v>60001100039</v>
      </c>
      <c r="B47" s="967">
        <v>3145</v>
      </c>
      <c r="C47" s="967">
        <v>6121</v>
      </c>
      <c r="D47" s="968">
        <v>10</v>
      </c>
      <c r="E47" s="969" t="s">
        <v>603</v>
      </c>
      <c r="F47" s="889">
        <v>1900</v>
      </c>
      <c r="G47" s="889">
        <v>1937</v>
      </c>
      <c r="H47" s="889">
        <v>851</v>
      </c>
      <c r="I47" s="890">
        <f>(H47/G47)*100</f>
        <v>43.933918430562727</v>
      </c>
    </row>
    <row r="48" spans="1:9" s="532" customFormat="1" ht="18" customHeight="1" thickTop="1" thickBot="1" x14ac:dyDescent="0.3">
      <c r="A48" s="2692" t="s">
        <v>244</v>
      </c>
      <c r="B48" s="2685"/>
      <c r="C48" s="2685"/>
      <c r="D48" s="2685"/>
      <c r="E48" s="2685"/>
      <c r="F48" s="873">
        <f>F47</f>
        <v>1900</v>
      </c>
      <c r="G48" s="873">
        <f>G47</f>
        <v>1937</v>
      </c>
      <c r="H48" s="873">
        <f>H47</f>
        <v>851</v>
      </c>
      <c r="I48" s="856">
        <f>(H48/G48)*100</f>
        <v>43.933918430562727</v>
      </c>
    </row>
    <row r="49" spans="1:9" s="532" customFormat="1" ht="13.5" thickTop="1" x14ac:dyDescent="0.2">
      <c r="B49" s="643"/>
      <c r="D49" s="814"/>
      <c r="F49" s="493"/>
      <c r="G49" s="493"/>
      <c r="H49" s="493"/>
      <c r="I49" s="949"/>
    </row>
    <row r="50" spans="1:9" s="532" customFormat="1" x14ac:dyDescent="0.2">
      <c r="B50" s="643"/>
      <c r="D50" s="814"/>
      <c r="F50" s="493"/>
      <c r="G50" s="493"/>
      <c r="H50" s="493"/>
      <c r="I50" s="949"/>
    </row>
    <row r="51" spans="1:9" s="532" customFormat="1" ht="13.5" thickBot="1" x14ac:dyDescent="0.25">
      <c r="A51" s="432" t="s">
        <v>1087</v>
      </c>
      <c r="B51" s="643"/>
      <c r="D51" s="814"/>
      <c r="F51" s="493"/>
      <c r="G51" s="493"/>
      <c r="H51" s="493"/>
      <c r="I51" s="949" t="s">
        <v>161</v>
      </c>
    </row>
    <row r="52" spans="1:9" s="107" customFormat="1" ht="20.25" customHeight="1" thickTop="1" thickBot="1" x14ac:dyDescent="0.25">
      <c r="A52" s="682" t="s">
        <v>624</v>
      </c>
      <c r="B52" s="685" t="s">
        <v>162</v>
      </c>
      <c r="C52" s="683" t="s">
        <v>163</v>
      </c>
      <c r="D52" s="634" t="s">
        <v>705</v>
      </c>
      <c r="E52" s="686" t="s">
        <v>164</v>
      </c>
      <c r="F52" s="686" t="s">
        <v>165</v>
      </c>
      <c r="G52" s="686" t="s">
        <v>881</v>
      </c>
      <c r="H52" s="686" t="s">
        <v>882</v>
      </c>
      <c r="I52" s="818" t="s">
        <v>883</v>
      </c>
    </row>
    <row r="53" spans="1:9" s="383" customFormat="1" ht="13.5" thickTop="1" thickBot="1" x14ac:dyDescent="0.25">
      <c r="A53" s="1199">
        <v>1</v>
      </c>
      <c r="B53" s="1200">
        <v>2</v>
      </c>
      <c r="C53" s="1200">
        <v>3</v>
      </c>
      <c r="D53" s="1200">
        <v>4</v>
      </c>
      <c r="E53" s="1200">
        <v>5</v>
      </c>
      <c r="F53" s="1201">
        <v>6</v>
      </c>
      <c r="G53" s="1201">
        <v>7</v>
      </c>
      <c r="H53" s="1202">
        <v>8</v>
      </c>
      <c r="I53" s="1203" t="s">
        <v>762</v>
      </c>
    </row>
    <row r="54" spans="1:9" s="532" customFormat="1" ht="15.75" thickTop="1" x14ac:dyDescent="0.25">
      <c r="A54" s="957">
        <v>60001100042</v>
      </c>
      <c r="B54" s="775">
        <v>3123</v>
      </c>
      <c r="C54" s="654">
        <v>6121</v>
      </c>
      <c r="D54" s="973">
        <v>10</v>
      </c>
      <c r="E54" s="1188" t="s">
        <v>603</v>
      </c>
      <c r="F54" s="960">
        <v>4847</v>
      </c>
      <c r="G54" s="1209">
        <v>4324</v>
      </c>
      <c r="H54" s="960">
        <v>4350</v>
      </c>
      <c r="I54" s="1210">
        <f>(H54/G54)*100</f>
        <v>100.60129509713229</v>
      </c>
    </row>
    <row r="55" spans="1:9" s="532" customFormat="1" ht="15.75" thickBot="1" x14ac:dyDescent="0.3">
      <c r="A55" s="971">
        <v>60001100042</v>
      </c>
      <c r="B55" s="674">
        <v>3123</v>
      </c>
      <c r="C55" s="749">
        <v>6123</v>
      </c>
      <c r="D55" s="964">
        <v>10</v>
      </c>
      <c r="E55" s="1206" t="s">
        <v>1232</v>
      </c>
      <c r="F55" s="884"/>
      <c r="G55" s="965">
        <v>175</v>
      </c>
      <c r="H55" s="884">
        <v>175</v>
      </c>
      <c r="I55" s="974">
        <f>(H55/G55)*100</f>
        <v>100</v>
      </c>
    </row>
    <row r="56" spans="1:9" s="532" customFormat="1" ht="18" customHeight="1" thickTop="1" thickBot="1" x14ac:dyDescent="0.3">
      <c r="A56" s="2692" t="s">
        <v>244</v>
      </c>
      <c r="B56" s="2685"/>
      <c r="C56" s="2685"/>
      <c r="D56" s="2685"/>
      <c r="E56" s="2685"/>
      <c r="F56" s="873">
        <f>F54</f>
        <v>4847</v>
      </c>
      <c r="G56" s="873">
        <f>G54+G55</f>
        <v>4499</v>
      </c>
      <c r="H56" s="873">
        <f>H54+H55</f>
        <v>4525</v>
      </c>
      <c r="I56" s="856">
        <f>(H56/G56)*100</f>
        <v>100.57790620137807</v>
      </c>
    </row>
    <row r="57" spans="1:9" s="532" customFormat="1" ht="13.5" thickTop="1" x14ac:dyDescent="0.2">
      <c r="B57" s="643"/>
      <c r="D57" s="814"/>
      <c r="F57" s="493"/>
      <c r="G57" s="493"/>
      <c r="H57" s="493"/>
      <c r="I57" s="949"/>
    </row>
    <row r="58" spans="1:9" s="532" customFormat="1" x14ac:dyDescent="0.2">
      <c r="B58" s="643"/>
      <c r="D58" s="814"/>
      <c r="F58" s="493"/>
      <c r="G58" s="493"/>
      <c r="H58" s="493"/>
      <c r="I58" s="949"/>
    </row>
    <row r="59" spans="1:9" s="532" customFormat="1" ht="13.5" thickBot="1" x14ac:dyDescent="0.25">
      <c r="A59" s="432" t="s">
        <v>683</v>
      </c>
      <c r="B59" s="643"/>
      <c r="D59" s="814"/>
      <c r="F59" s="493"/>
      <c r="G59" s="493"/>
      <c r="H59" s="493"/>
      <c r="I59" s="949" t="s">
        <v>161</v>
      </c>
    </row>
    <row r="60" spans="1:9" s="107" customFormat="1" ht="20.25" customHeight="1" thickTop="1" thickBot="1" x14ac:dyDescent="0.25">
      <c r="A60" s="682" t="s">
        <v>624</v>
      </c>
      <c r="B60" s="685" t="s">
        <v>162</v>
      </c>
      <c r="C60" s="683" t="s">
        <v>163</v>
      </c>
      <c r="D60" s="634" t="s">
        <v>705</v>
      </c>
      <c r="E60" s="686" t="s">
        <v>164</v>
      </c>
      <c r="F60" s="686" t="s">
        <v>165</v>
      </c>
      <c r="G60" s="686" t="s">
        <v>881</v>
      </c>
      <c r="H60" s="686" t="s">
        <v>882</v>
      </c>
      <c r="I60" s="818" t="s">
        <v>883</v>
      </c>
    </row>
    <row r="61" spans="1:9" s="383" customFormat="1" ht="13.5" thickTop="1" thickBot="1" x14ac:dyDescent="0.25">
      <c r="A61" s="1199">
        <v>1</v>
      </c>
      <c r="B61" s="1200">
        <v>2</v>
      </c>
      <c r="C61" s="1200">
        <v>3</v>
      </c>
      <c r="D61" s="1200">
        <v>4</v>
      </c>
      <c r="E61" s="1200">
        <v>5</v>
      </c>
      <c r="F61" s="1201">
        <v>6</v>
      </c>
      <c r="G61" s="1201">
        <v>7</v>
      </c>
      <c r="H61" s="1202">
        <v>8</v>
      </c>
      <c r="I61" s="1203" t="s">
        <v>762</v>
      </c>
    </row>
    <row r="62" spans="1:9" s="532" customFormat="1" ht="16.5" thickTop="1" thickBot="1" x14ac:dyDescent="0.3">
      <c r="A62" s="1211">
        <v>60001100188</v>
      </c>
      <c r="B62" s="967">
        <v>3114</v>
      </c>
      <c r="C62" s="1212">
        <v>6121</v>
      </c>
      <c r="D62" s="968">
        <v>10</v>
      </c>
      <c r="E62" s="1213" t="s">
        <v>603</v>
      </c>
      <c r="F62" s="889"/>
      <c r="G62" s="1214">
        <v>1</v>
      </c>
      <c r="H62" s="889">
        <v>1</v>
      </c>
      <c r="I62" s="1215">
        <f>(H62/G62)*100</f>
        <v>100</v>
      </c>
    </row>
    <row r="63" spans="1:9" s="532" customFormat="1" ht="18" customHeight="1" thickTop="1" thickBot="1" x14ac:dyDescent="0.3">
      <c r="A63" s="2692" t="s">
        <v>244</v>
      </c>
      <c r="B63" s="2685"/>
      <c r="C63" s="2685"/>
      <c r="D63" s="2685"/>
      <c r="E63" s="2685"/>
      <c r="F63" s="873">
        <f>F62</f>
        <v>0</v>
      </c>
      <c r="G63" s="873">
        <f>G62</f>
        <v>1</v>
      </c>
      <c r="H63" s="873">
        <f>H62</f>
        <v>1</v>
      </c>
      <c r="I63" s="856">
        <f>(H63/G63)*100</f>
        <v>100</v>
      </c>
    </row>
    <row r="64" spans="1:9" s="532" customFormat="1" ht="13.5" thickTop="1" x14ac:dyDescent="0.2">
      <c r="B64" s="643"/>
      <c r="D64" s="814"/>
      <c r="F64" s="493"/>
      <c r="G64" s="493"/>
      <c r="H64" s="493"/>
      <c r="I64" s="949"/>
    </row>
    <row r="65" spans="1:9" s="532" customFormat="1" x14ac:dyDescent="0.2">
      <c r="B65" s="643"/>
      <c r="D65" s="814"/>
      <c r="F65" s="493"/>
      <c r="G65" s="493"/>
      <c r="H65" s="493"/>
      <c r="I65" s="949"/>
    </row>
    <row r="66" spans="1:9" s="532" customFormat="1" x14ac:dyDescent="0.2">
      <c r="B66" s="643"/>
      <c r="D66" s="814"/>
      <c r="F66" s="493"/>
      <c r="G66" s="493"/>
      <c r="H66" s="493"/>
      <c r="I66" s="949"/>
    </row>
    <row r="67" spans="1:9" s="532" customFormat="1" x14ac:dyDescent="0.2">
      <c r="B67" s="643"/>
      <c r="D67" s="814"/>
      <c r="F67" s="493"/>
      <c r="G67" s="493"/>
      <c r="H67" s="493"/>
      <c r="I67" s="949"/>
    </row>
    <row r="68" spans="1:9" s="532" customFormat="1" ht="13.5" thickBot="1" x14ac:dyDescent="0.25">
      <c r="A68" s="432" t="s">
        <v>684</v>
      </c>
      <c r="B68" s="643"/>
      <c r="D68" s="814"/>
      <c r="F68" s="493"/>
      <c r="G68" s="493"/>
      <c r="H68" s="493"/>
      <c r="I68" s="949" t="s">
        <v>161</v>
      </c>
    </row>
    <row r="69" spans="1:9" s="107" customFormat="1" ht="20.25" customHeight="1" thickTop="1" thickBot="1" x14ac:dyDescent="0.25">
      <c r="A69" s="682" t="s">
        <v>624</v>
      </c>
      <c r="B69" s="685" t="s">
        <v>162</v>
      </c>
      <c r="C69" s="683" t="s">
        <v>163</v>
      </c>
      <c r="D69" s="634" t="s">
        <v>705</v>
      </c>
      <c r="E69" s="686" t="s">
        <v>164</v>
      </c>
      <c r="F69" s="686" t="s">
        <v>165</v>
      </c>
      <c r="G69" s="686" t="s">
        <v>881</v>
      </c>
      <c r="H69" s="686" t="s">
        <v>882</v>
      </c>
      <c r="I69" s="818" t="s">
        <v>883</v>
      </c>
    </row>
    <row r="70" spans="1:9" s="383" customFormat="1" ht="13.5" thickTop="1" thickBot="1" x14ac:dyDescent="0.25">
      <c r="A70" s="1199">
        <v>1</v>
      </c>
      <c r="B70" s="1200">
        <v>2</v>
      </c>
      <c r="C70" s="1200">
        <v>3</v>
      </c>
      <c r="D70" s="1200">
        <v>4</v>
      </c>
      <c r="E70" s="1200">
        <v>5</v>
      </c>
      <c r="F70" s="1201">
        <v>6</v>
      </c>
      <c r="G70" s="1201">
        <v>7</v>
      </c>
      <c r="H70" s="1202">
        <v>8</v>
      </c>
      <c r="I70" s="1203" t="s">
        <v>762</v>
      </c>
    </row>
    <row r="71" spans="1:9" s="532" customFormat="1" ht="16.5" thickTop="1" thickBot="1" x14ac:dyDescent="0.3">
      <c r="A71" s="1211">
        <v>60001100191</v>
      </c>
      <c r="B71" s="967">
        <v>4322</v>
      </c>
      <c r="C71" s="1212">
        <v>6121</v>
      </c>
      <c r="D71" s="968">
        <v>870</v>
      </c>
      <c r="E71" s="1213" t="s">
        <v>603</v>
      </c>
      <c r="F71" s="889"/>
      <c r="G71" s="1214">
        <v>11692</v>
      </c>
      <c r="H71" s="889">
        <v>1207</v>
      </c>
      <c r="I71" s="1215">
        <f>(H71/G71)*100</f>
        <v>10.32329798152583</v>
      </c>
    </row>
    <row r="72" spans="1:9" s="532" customFormat="1" ht="18" customHeight="1" thickTop="1" thickBot="1" x14ac:dyDescent="0.3">
      <c r="A72" s="2692" t="s">
        <v>244</v>
      </c>
      <c r="B72" s="2685"/>
      <c r="C72" s="2685"/>
      <c r="D72" s="2685"/>
      <c r="E72" s="2685"/>
      <c r="F72" s="873">
        <f>F71</f>
        <v>0</v>
      </c>
      <c r="G72" s="873">
        <f>G71</f>
        <v>11692</v>
      </c>
      <c r="H72" s="873">
        <f>H71</f>
        <v>1207</v>
      </c>
      <c r="I72" s="856">
        <f>(H72/G72)*100</f>
        <v>10.32329798152583</v>
      </c>
    </row>
    <row r="73" spans="1:9" s="532" customFormat="1" ht="13.5" thickTop="1" x14ac:dyDescent="0.2">
      <c r="B73" s="643"/>
      <c r="D73" s="814"/>
      <c r="F73" s="493"/>
      <c r="G73" s="493"/>
      <c r="H73" s="493"/>
      <c r="I73" s="949"/>
    </row>
    <row r="74" spans="1:9" s="532" customFormat="1" x14ac:dyDescent="0.2">
      <c r="B74" s="643"/>
      <c r="D74" s="814"/>
      <c r="F74" s="493"/>
      <c r="G74" s="493"/>
      <c r="H74" s="493"/>
      <c r="I74" s="949"/>
    </row>
    <row r="75" spans="1:9" s="532" customFormat="1" ht="13.5" thickBot="1" x14ac:dyDescent="0.25">
      <c r="A75" s="432" t="s">
        <v>685</v>
      </c>
      <c r="B75" s="643"/>
      <c r="D75" s="814"/>
      <c r="F75" s="493"/>
      <c r="G75" s="493"/>
      <c r="H75" s="493"/>
      <c r="I75" s="949" t="s">
        <v>161</v>
      </c>
    </row>
    <row r="76" spans="1:9" s="107" customFormat="1" ht="20.25" customHeight="1" thickTop="1" thickBot="1" x14ac:dyDescent="0.25">
      <c r="A76" s="682" t="s">
        <v>624</v>
      </c>
      <c r="B76" s="685" t="s">
        <v>162</v>
      </c>
      <c r="C76" s="683" t="s">
        <v>163</v>
      </c>
      <c r="D76" s="634" t="s">
        <v>705</v>
      </c>
      <c r="E76" s="686" t="s">
        <v>164</v>
      </c>
      <c r="F76" s="686" t="s">
        <v>165</v>
      </c>
      <c r="G76" s="686" t="s">
        <v>881</v>
      </c>
      <c r="H76" s="686" t="s">
        <v>882</v>
      </c>
      <c r="I76" s="818" t="s">
        <v>883</v>
      </c>
    </row>
    <row r="77" spans="1:9" s="383" customFormat="1" ht="13.5" thickTop="1" thickBot="1" x14ac:dyDescent="0.25">
      <c r="A77" s="1199">
        <v>1</v>
      </c>
      <c r="B77" s="1200">
        <v>2</v>
      </c>
      <c r="C77" s="1200">
        <v>3</v>
      </c>
      <c r="D77" s="1200">
        <v>4</v>
      </c>
      <c r="E77" s="1200">
        <v>5</v>
      </c>
      <c r="F77" s="1201">
        <v>6</v>
      </c>
      <c r="G77" s="1201">
        <v>7</v>
      </c>
      <c r="H77" s="1202">
        <v>8</v>
      </c>
      <c r="I77" s="1203" t="s">
        <v>762</v>
      </c>
    </row>
    <row r="78" spans="1:9" s="532" customFormat="1" ht="16.5" thickTop="1" thickBot="1" x14ac:dyDescent="0.3">
      <c r="A78" s="1211">
        <v>60001100192</v>
      </c>
      <c r="B78" s="967">
        <v>3122</v>
      </c>
      <c r="C78" s="1212">
        <v>6121</v>
      </c>
      <c r="D78" s="968">
        <v>10</v>
      </c>
      <c r="E78" s="1213" t="s">
        <v>603</v>
      </c>
      <c r="F78" s="889"/>
      <c r="G78" s="1214">
        <v>1</v>
      </c>
      <c r="H78" s="889">
        <v>0</v>
      </c>
      <c r="I78" s="1215">
        <f>(H78/G78)*100</f>
        <v>0</v>
      </c>
    </row>
    <row r="79" spans="1:9" s="532" customFormat="1" ht="18" customHeight="1" thickTop="1" thickBot="1" x14ac:dyDescent="0.3">
      <c r="A79" s="2692" t="s">
        <v>244</v>
      </c>
      <c r="B79" s="2685"/>
      <c r="C79" s="2685"/>
      <c r="D79" s="2685"/>
      <c r="E79" s="2685"/>
      <c r="F79" s="873">
        <f>F78</f>
        <v>0</v>
      </c>
      <c r="G79" s="873">
        <f>G78</f>
        <v>1</v>
      </c>
      <c r="H79" s="873">
        <f>H78</f>
        <v>0</v>
      </c>
      <c r="I79" s="856">
        <f>(H79/G79)*100</f>
        <v>0</v>
      </c>
    </row>
    <row r="80" spans="1:9" s="532" customFormat="1" ht="13.5" thickTop="1" x14ac:dyDescent="0.2">
      <c r="B80" s="643"/>
      <c r="D80" s="814"/>
      <c r="F80" s="493"/>
      <c r="G80" s="493"/>
      <c r="H80" s="493"/>
      <c r="I80" s="949"/>
    </row>
    <row r="81" spans="1:9" s="532" customFormat="1" x14ac:dyDescent="0.2">
      <c r="B81" s="643"/>
      <c r="D81" s="814"/>
      <c r="F81" s="493"/>
      <c r="G81" s="493"/>
      <c r="H81" s="493"/>
      <c r="I81" s="949"/>
    </row>
    <row r="82" spans="1:9" s="532" customFormat="1" ht="13.5" thickBot="1" x14ac:dyDescent="0.25">
      <c r="A82" s="432" t="s">
        <v>686</v>
      </c>
      <c r="B82" s="643"/>
      <c r="D82" s="814"/>
      <c r="F82" s="493"/>
      <c r="G82" s="493"/>
      <c r="H82" s="493"/>
      <c r="I82" s="949" t="s">
        <v>161</v>
      </c>
    </row>
    <row r="83" spans="1:9" s="107" customFormat="1" ht="20.25" customHeight="1" thickTop="1" thickBot="1" x14ac:dyDescent="0.25">
      <c r="A83" s="682" t="s">
        <v>624</v>
      </c>
      <c r="B83" s="685" t="s">
        <v>162</v>
      </c>
      <c r="C83" s="683" t="s">
        <v>163</v>
      </c>
      <c r="D83" s="634" t="s">
        <v>705</v>
      </c>
      <c r="E83" s="686" t="s">
        <v>164</v>
      </c>
      <c r="F83" s="686" t="s">
        <v>165</v>
      </c>
      <c r="G83" s="686" t="s">
        <v>881</v>
      </c>
      <c r="H83" s="686" t="s">
        <v>882</v>
      </c>
      <c r="I83" s="818" t="s">
        <v>883</v>
      </c>
    </row>
    <row r="84" spans="1:9" s="383" customFormat="1" ht="13.5" thickTop="1" thickBot="1" x14ac:dyDescent="0.25">
      <c r="A84" s="1199">
        <v>1</v>
      </c>
      <c r="B84" s="1200">
        <v>2</v>
      </c>
      <c r="C84" s="1200">
        <v>3</v>
      </c>
      <c r="D84" s="1200">
        <v>4</v>
      </c>
      <c r="E84" s="1200">
        <v>5</v>
      </c>
      <c r="F84" s="1201">
        <v>6</v>
      </c>
      <c r="G84" s="1201">
        <v>7</v>
      </c>
      <c r="H84" s="1202">
        <v>8</v>
      </c>
      <c r="I84" s="1203" t="s">
        <v>762</v>
      </c>
    </row>
    <row r="85" spans="1:9" s="532" customFormat="1" ht="16.5" thickTop="1" thickBot="1" x14ac:dyDescent="0.3">
      <c r="A85" s="1211">
        <v>60001100201</v>
      </c>
      <c r="B85" s="967">
        <v>3122</v>
      </c>
      <c r="C85" s="1212">
        <v>6121</v>
      </c>
      <c r="D85" s="968">
        <v>870</v>
      </c>
      <c r="E85" s="1213" t="s">
        <v>603</v>
      </c>
      <c r="F85" s="889"/>
      <c r="G85" s="1214">
        <v>5965</v>
      </c>
      <c r="H85" s="889">
        <v>5895</v>
      </c>
      <c r="I85" s="1215">
        <f>(H85/G85)*100</f>
        <v>98.826487845766977</v>
      </c>
    </row>
    <row r="86" spans="1:9" s="532" customFormat="1" ht="18" customHeight="1" thickTop="1" thickBot="1" x14ac:dyDescent="0.3">
      <c r="A86" s="2692" t="s">
        <v>244</v>
      </c>
      <c r="B86" s="2685"/>
      <c r="C86" s="2685"/>
      <c r="D86" s="2685"/>
      <c r="E86" s="2685"/>
      <c r="F86" s="873">
        <f>F85</f>
        <v>0</v>
      </c>
      <c r="G86" s="873">
        <f>G85</f>
        <v>5965</v>
      </c>
      <c r="H86" s="873">
        <f>H85</f>
        <v>5895</v>
      </c>
      <c r="I86" s="856">
        <f>(H86/G86)*100</f>
        <v>98.826487845766977</v>
      </c>
    </row>
    <row r="87" spans="1:9" s="532" customFormat="1" ht="13.5" thickTop="1" x14ac:dyDescent="0.2">
      <c r="B87" s="643"/>
      <c r="D87" s="814"/>
      <c r="F87" s="493"/>
      <c r="G87" s="493"/>
      <c r="H87" s="493"/>
      <c r="I87" s="949"/>
    </row>
    <row r="88" spans="1:9" s="532" customFormat="1" x14ac:dyDescent="0.2">
      <c r="B88" s="643"/>
      <c r="D88" s="814"/>
      <c r="F88" s="493"/>
      <c r="G88" s="493"/>
      <c r="H88" s="493"/>
      <c r="I88" s="949"/>
    </row>
    <row r="89" spans="1:9" s="532" customFormat="1" ht="13.5" thickBot="1" x14ac:dyDescent="0.25">
      <c r="A89" s="432" t="s">
        <v>687</v>
      </c>
      <c r="B89" s="643"/>
      <c r="D89" s="814"/>
      <c r="F89" s="493"/>
      <c r="G89" s="493"/>
      <c r="H89" s="493"/>
      <c r="I89" s="949" t="s">
        <v>161</v>
      </c>
    </row>
    <row r="90" spans="1:9" s="107" customFormat="1" ht="20.25" customHeight="1" thickTop="1" thickBot="1" x14ac:dyDescent="0.25">
      <c r="A90" s="682" t="s">
        <v>624</v>
      </c>
      <c r="B90" s="685" t="s">
        <v>162</v>
      </c>
      <c r="C90" s="683" t="s">
        <v>163</v>
      </c>
      <c r="D90" s="634" t="s">
        <v>705</v>
      </c>
      <c r="E90" s="686" t="s">
        <v>164</v>
      </c>
      <c r="F90" s="686" t="s">
        <v>165</v>
      </c>
      <c r="G90" s="686" t="s">
        <v>881</v>
      </c>
      <c r="H90" s="686" t="s">
        <v>882</v>
      </c>
      <c r="I90" s="818" t="s">
        <v>883</v>
      </c>
    </row>
    <row r="91" spans="1:9" s="383" customFormat="1" ht="13.5" thickTop="1" thickBot="1" x14ac:dyDescent="0.25">
      <c r="A91" s="1199">
        <v>1</v>
      </c>
      <c r="B91" s="1200">
        <v>2</v>
      </c>
      <c r="C91" s="1200">
        <v>3</v>
      </c>
      <c r="D91" s="1200">
        <v>4</v>
      </c>
      <c r="E91" s="1200">
        <v>5</v>
      </c>
      <c r="F91" s="1201">
        <v>6</v>
      </c>
      <c r="G91" s="1201">
        <v>7</v>
      </c>
      <c r="H91" s="1202">
        <v>8</v>
      </c>
      <c r="I91" s="1203" t="s">
        <v>762</v>
      </c>
    </row>
    <row r="92" spans="1:9" s="532" customFormat="1" ht="15.75" thickTop="1" x14ac:dyDescent="0.25">
      <c r="A92" s="957">
        <v>60001100202</v>
      </c>
      <c r="B92" s="775">
        <v>3114</v>
      </c>
      <c r="C92" s="654">
        <v>6121</v>
      </c>
      <c r="D92" s="973">
        <v>870</v>
      </c>
      <c r="E92" s="1188" t="s">
        <v>603</v>
      </c>
      <c r="F92" s="960"/>
      <c r="G92" s="1209">
        <v>6130</v>
      </c>
      <c r="H92" s="960">
        <v>6086</v>
      </c>
      <c r="I92" s="1210">
        <f>(H92/G92)*100</f>
        <v>99.282218597063618</v>
      </c>
    </row>
    <row r="93" spans="1:9" s="532" customFormat="1" ht="15.75" thickBot="1" x14ac:dyDescent="0.3">
      <c r="A93" s="971">
        <v>60001100202</v>
      </c>
      <c r="B93" s="674">
        <v>3114</v>
      </c>
      <c r="C93" s="749">
        <v>6122</v>
      </c>
      <c r="D93" s="964">
        <v>870</v>
      </c>
      <c r="E93" s="1206" t="s">
        <v>604</v>
      </c>
      <c r="F93" s="884"/>
      <c r="G93" s="965">
        <v>1720</v>
      </c>
      <c r="H93" s="884">
        <v>1720</v>
      </c>
      <c r="I93" s="974">
        <f>(H93/G93)*100</f>
        <v>100</v>
      </c>
    </row>
    <row r="94" spans="1:9" s="532" customFormat="1" ht="18" customHeight="1" thickTop="1" thickBot="1" x14ac:dyDescent="0.3">
      <c r="A94" s="2692" t="s">
        <v>244</v>
      </c>
      <c r="B94" s="2685"/>
      <c r="C94" s="2685"/>
      <c r="D94" s="2685"/>
      <c r="E94" s="2685"/>
      <c r="F94" s="873">
        <f>F92</f>
        <v>0</v>
      </c>
      <c r="G94" s="873">
        <f>G92+G93</f>
        <v>7850</v>
      </c>
      <c r="H94" s="873">
        <f>H92+H93</f>
        <v>7806</v>
      </c>
      <c r="I94" s="856">
        <f>(H94/G94)*100</f>
        <v>99.439490445859875</v>
      </c>
    </row>
    <row r="95" spans="1:9" s="532" customFormat="1" ht="13.5" thickTop="1" x14ac:dyDescent="0.2">
      <c r="B95" s="643"/>
      <c r="D95" s="814"/>
      <c r="F95" s="493"/>
      <c r="G95" s="493"/>
      <c r="H95" s="493"/>
      <c r="I95" s="949"/>
    </row>
    <row r="96" spans="1:9" s="532" customFormat="1" x14ac:dyDescent="0.2">
      <c r="B96" s="643"/>
      <c r="D96" s="814"/>
      <c r="F96" s="493"/>
      <c r="G96" s="493"/>
      <c r="H96" s="493"/>
      <c r="I96" s="949"/>
    </row>
    <row r="97" spans="1:9" s="532" customFormat="1" ht="13.5" thickBot="1" x14ac:dyDescent="0.25">
      <c r="A97" s="432" t="s">
        <v>688</v>
      </c>
      <c r="B97" s="643"/>
      <c r="D97" s="814"/>
      <c r="F97" s="493"/>
      <c r="G97" s="493"/>
      <c r="H97" s="493"/>
      <c r="I97" s="949" t="s">
        <v>161</v>
      </c>
    </row>
    <row r="98" spans="1:9" s="107" customFormat="1" ht="20.25" customHeight="1" thickTop="1" thickBot="1" x14ac:dyDescent="0.25">
      <c r="A98" s="682" t="s">
        <v>624</v>
      </c>
      <c r="B98" s="685" t="s">
        <v>162</v>
      </c>
      <c r="C98" s="683" t="s">
        <v>163</v>
      </c>
      <c r="D98" s="634" t="s">
        <v>705</v>
      </c>
      <c r="E98" s="686" t="s">
        <v>164</v>
      </c>
      <c r="F98" s="686" t="s">
        <v>165</v>
      </c>
      <c r="G98" s="686" t="s">
        <v>881</v>
      </c>
      <c r="H98" s="686" t="s">
        <v>882</v>
      </c>
      <c r="I98" s="818" t="s">
        <v>883</v>
      </c>
    </row>
    <row r="99" spans="1:9" s="383" customFormat="1" ht="13.5" thickTop="1" thickBot="1" x14ac:dyDescent="0.25">
      <c r="A99" s="1199">
        <v>1</v>
      </c>
      <c r="B99" s="1200">
        <v>2</v>
      </c>
      <c r="C99" s="1200">
        <v>3</v>
      </c>
      <c r="D99" s="1200">
        <v>4</v>
      </c>
      <c r="E99" s="1200">
        <v>5</v>
      </c>
      <c r="F99" s="1201">
        <v>6</v>
      </c>
      <c r="G99" s="1201">
        <v>7</v>
      </c>
      <c r="H99" s="1202">
        <v>8</v>
      </c>
      <c r="I99" s="1203" t="s">
        <v>762</v>
      </c>
    </row>
    <row r="100" spans="1:9" s="532" customFormat="1" ht="16.5" thickTop="1" thickBot="1" x14ac:dyDescent="0.3">
      <c r="A100" s="1211">
        <v>60001100204</v>
      </c>
      <c r="B100" s="967">
        <v>3122</v>
      </c>
      <c r="C100" s="1212">
        <v>6121</v>
      </c>
      <c r="D100" s="968">
        <v>10</v>
      </c>
      <c r="E100" s="1213" t="s">
        <v>603</v>
      </c>
      <c r="F100" s="889"/>
      <c r="G100" s="1214">
        <v>597</v>
      </c>
      <c r="H100" s="889">
        <v>597</v>
      </c>
      <c r="I100" s="1215">
        <f>(H100/G100)*100</f>
        <v>100</v>
      </c>
    </row>
    <row r="101" spans="1:9" s="532" customFormat="1" ht="18" customHeight="1" thickTop="1" thickBot="1" x14ac:dyDescent="0.3">
      <c r="A101" s="2692" t="s">
        <v>244</v>
      </c>
      <c r="B101" s="2685"/>
      <c r="C101" s="2685"/>
      <c r="D101" s="2685"/>
      <c r="E101" s="2685"/>
      <c r="F101" s="873">
        <f>F100</f>
        <v>0</v>
      </c>
      <c r="G101" s="873">
        <f>G100</f>
        <v>597</v>
      </c>
      <c r="H101" s="873">
        <f>H100</f>
        <v>597</v>
      </c>
      <c r="I101" s="856">
        <f>(H101/G101)*100</f>
        <v>100</v>
      </c>
    </row>
    <row r="102" spans="1:9" s="532" customFormat="1" ht="13.5" thickTop="1" x14ac:dyDescent="0.2">
      <c r="B102" s="643"/>
      <c r="D102" s="814"/>
      <c r="F102" s="493"/>
      <c r="G102" s="493"/>
      <c r="H102" s="493"/>
      <c r="I102" s="949"/>
    </row>
    <row r="103" spans="1:9" s="532" customFormat="1" x14ac:dyDescent="0.2">
      <c r="B103" s="643"/>
      <c r="D103" s="814"/>
      <c r="F103" s="493"/>
      <c r="G103" s="493"/>
      <c r="H103" s="493"/>
      <c r="I103" s="949"/>
    </row>
    <row r="104" spans="1:9" s="532" customFormat="1" ht="13.5" thickBot="1" x14ac:dyDescent="0.25">
      <c r="A104" s="432" t="s">
        <v>689</v>
      </c>
      <c r="B104" s="643"/>
      <c r="D104" s="814"/>
      <c r="F104" s="493"/>
      <c r="G104" s="493"/>
      <c r="H104" s="493"/>
      <c r="I104" s="949" t="s">
        <v>161</v>
      </c>
    </row>
    <row r="105" spans="1:9" s="107" customFormat="1" ht="20.25" customHeight="1" thickTop="1" thickBot="1" x14ac:dyDescent="0.25">
      <c r="A105" s="682" t="s">
        <v>624</v>
      </c>
      <c r="B105" s="685" t="s">
        <v>162</v>
      </c>
      <c r="C105" s="683" t="s">
        <v>163</v>
      </c>
      <c r="D105" s="634" t="s">
        <v>705</v>
      </c>
      <c r="E105" s="686" t="s">
        <v>164</v>
      </c>
      <c r="F105" s="686" t="s">
        <v>165</v>
      </c>
      <c r="G105" s="686" t="s">
        <v>881</v>
      </c>
      <c r="H105" s="686" t="s">
        <v>882</v>
      </c>
      <c r="I105" s="818" t="s">
        <v>883</v>
      </c>
    </row>
    <row r="106" spans="1:9" s="383" customFormat="1" ht="13.5" thickTop="1" thickBot="1" x14ac:dyDescent="0.25">
      <c r="A106" s="1199">
        <v>1</v>
      </c>
      <c r="B106" s="1200">
        <v>2</v>
      </c>
      <c r="C106" s="1200">
        <v>3</v>
      </c>
      <c r="D106" s="1200">
        <v>4</v>
      </c>
      <c r="E106" s="1200">
        <v>5</v>
      </c>
      <c r="F106" s="1201">
        <v>6</v>
      </c>
      <c r="G106" s="1201">
        <v>7</v>
      </c>
      <c r="H106" s="1202">
        <v>8</v>
      </c>
      <c r="I106" s="1203" t="s">
        <v>762</v>
      </c>
    </row>
    <row r="107" spans="1:9" s="532" customFormat="1" ht="16.5" thickTop="1" thickBot="1" x14ac:dyDescent="0.3">
      <c r="A107" s="1211">
        <v>60001100210</v>
      </c>
      <c r="B107" s="967">
        <v>3122</v>
      </c>
      <c r="C107" s="1212">
        <v>6121</v>
      </c>
      <c r="D107" s="968">
        <v>10</v>
      </c>
      <c r="E107" s="1213" t="s">
        <v>603</v>
      </c>
      <c r="F107" s="889"/>
      <c r="G107" s="1214">
        <v>400</v>
      </c>
      <c r="H107" s="889">
        <v>0</v>
      </c>
      <c r="I107" s="1215">
        <f>(H107/G107)*100</f>
        <v>0</v>
      </c>
    </row>
    <row r="108" spans="1:9" s="532" customFormat="1" ht="18" customHeight="1" thickTop="1" thickBot="1" x14ac:dyDescent="0.3">
      <c r="A108" s="2692" t="s">
        <v>244</v>
      </c>
      <c r="B108" s="2685"/>
      <c r="C108" s="2685"/>
      <c r="D108" s="2685"/>
      <c r="E108" s="2685"/>
      <c r="F108" s="873">
        <f>F107</f>
        <v>0</v>
      </c>
      <c r="G108" s="873">
        <f>G107</f>
        <v>400</v>
      </c>
      <c r="H108" s="873">
        <f>H107</f>
        <v>0</v>
      </c>
      <c r="I108" s="856">
        <f>(H108/G108)*100</f>
        <v>0</v>
      </c>
    </row>
    <row r="109" spans="1:9" s="532" customFormat="1" ht="13.5" thickTop="1" x14ac:dyDescent="0.2">
      <c r="B109" s="643"/>
      <c r="D109" s="814"/>
      <c r="F109" s="493"/>
      <c r="G109" s="493"/>
      <c r="H109" s="493"/>
      <c r="I109" s="949"/>
    </row>
    <row r="110" spans="1:9" s="532" customFormat="1" x14ac:dyDescent="0.2">
      <c r="B110" s="643"/>
      <c r="D110" s="814"/>
      <c r="F110" s="493"/>
      <c r="G110" s="493"/>
      <c r="H110" s="493"/>
      <c r="I110" s="949"/>
    </row>
    <row r="111" spans="1:9" s="532" customFormat="1" ht="13.5" thickBot="1" x14ac:dyDescent="0.25">
      <c r="A111" s="432" t="s">
        <v>109</v>
      </c>
      <c r="B111" s="643"/>
      <c r="D111" s="814"/>
      <c r="F111" s="493"/>
      <c r="G111" s="493"/>
      <c r="H111" s="493"/>
      <c r="I111" s="949" t="s">
        <v>161</v>
      </c>
    </row>
    <row r="112" spans="1:9" s="107" customFormat="1" ht="20.25" customHeight="1" thickTop="1" thickBot="1" x14ac:dyDescent="0.25">
      <c r="A112" s="682" t="s">
        <v>624</v>
      </c>
      <c r="B112" s="685" t="s">
        <v>162</v>
      </c>
      <c r="C112" s="683" t="s">
        <v>163</v>
      </c>
      <c r="D112" s="634" t="s">
        <v>705</v>
      </c>
      <c r="E112" s="686" t="s">
        <v>164</v>
      </c>
      <c r="F112" s="686" t="s">
        <v>165</v>
      </c>
      <c r="G112" s="686" t="s">
        <v>881</v>
      </c>
      <c r="H112" s="686" t="s">
        <v>882</v>
      </c>
      <c r="I112" s="818" t="s">
        <v>883</v>
      </c>
    </row>
    <row r="113" spans="1:13" s="383" customFormat="1" ht="13.5" thickTop="1" thickBot="1" x14ac:dyDescent="0.25">
      <c r="A113" s="1199">
        <v>1</v>
      </c>
      <c r="B113" s="1200">
        <v>2</v>
      </c>
      <c r="C113" s="1200">
        <v>3</v>
      </c>
      <c r="D113" s="1200">
        <v>4</v>
      </c>
      <c r="E113" s="1200">
        <v>5</v>
      </c>
      <c r="F113" s="1201">
        <v>6</v>
      </c>
      <c r="G113" s="1201">
        <v>7</v>
      </c>
      <c r="H113" s="1202">
        <v>8</v>
      </c>
      <c r="I113" s="1203" t="s">
        <v>762</v>
      </c>
    </row>
    <row r="114" spans="1:13" s="532" customFormat="1" ht="16.5" thickTop="1" thickBot="1" x14ac:dyDescent="0.3">
      <c r="A114" s="1211">
        <v>60001100211</v>
      </c>
      <c r="B114" s="967">
        <v>4322</v>
      </c>
      <c r="C114" s="1212">
        <v>6121</v>
      </c>
      <c r="D114" s="968">
        <v>10</v>
      </c>
      <c r="E114" s="1213" t="s">
        <v>603</v>
      </c>
      <c r="F114" s="889"/>
      <c r="G114" s="1214">
        <v>150</v>
      </c>
      <c r="H114" s="889">
        <v>115</v>
      </c>
      <c r="I114" s="1215">
        <f>(H114/G114)*100</f>
        <v>76.666666666666671</v>
      </c>
    </row>
    <row r="115" spans="1:13" s="532" customFormat="1" ht="18" customHeight="1" thickTop="1" thickBot="1" x14ac:dyDescent="0.3">
      <c r="A115" s="2692" t="s">
        <v>244</v>
      </c>
      <c r="B115" s="2685"/>
      <c r="C115" s="2685"/>
      <c r="D115" s="2685"/>
      <c r="E115" s="2685"/>
      <c r="F115" s="873">
        <f>F114</f>
        <v>0</v>
      </c>
      <c r="G115" s="873">
        <f>G114</f>
        <v>150</v>
      </c>
      <c r="H115" s="873">
        <f>H114</f>
        <v>115</v>
      </c>
      <c r="I115" s="856">
        <f>(H115/G115)*100</f>
        <v>76.666666666666671</v>
      </c>
    </row>
    <row r="116" spans="1:13" s="532" customFormat="1" ht="13.5" thickTop="1" x14ac:dyDescent="0.2">
      <c r="B116" s="643"/>
      <c r="D116" s="814"/>
      <c r="F116" s="493"/>
      <c r="G116" s="493"/>
      <c r="H116" s="493"/>
      <c r="I116" s="949"/>
    </row>
    <row r="117" spans="1:13" s="532" customFormat="1" x14ac:dyDescent="0.2">
      <c r="B117" s="643"/>
      <c r="D117" s="814"/>
      <c r="F117" s="493"/>
      <c r="G117" s="493"/>
      <c r="H117" s="493"/>
      <c r="I117" s="949"/>
    </row>
    <row r="118" spans="1:13" s="532" customFormat="1" ht="13.5" thickBot="1" x14ac:dyDescent="0.25">
      <c r="A118" s="432" t="s">
        <v>110</v>
      </c>
      <c r="B118" s="643"/>
      <c r="D118" s="814"/>
      <c r="F118" s="493"/>
      <c r="G118" s="493"/>
      <c r="H118" s="493"/>
      <c r="I118" s="949" t="s">
        <v>161</v>
      </c>
    </row>
    <row r="119" spans="1:13" s="107" customFormat="1" ht="20.25" customHeight="1" thickTop="1" thickBot="1" x14ac:dyDescent="0.25">
      <c r="A119" s="682" t="s">
        <v>624</v>
      </c>
      <c r="B119" s="685" t="s">
        <v>162</v>
      </c>
      <c r="C119" s="683" t="s">
        <v>163</v>
      </c>
      <c r="D119" s="634" t="s">
        <v>705</v>
      </c>
      <c r="E119" s="686" t="s">
        <v>164</v>
      </c>
      <c r="F119" s="686" t="s">
        <v>165</v>
      </c>
      <c r="G119" s="686" t="s">
        <v>881</v>
      </c>
      <c r="H119" s="686" t="s">
        <v>882</v>
      </c>
      <c r="I119" s="818" t="s">
        <v>883</v>
      </c>
    </row>
    <row r="120" spans="1:13" s="383" customFormat="1" ht="13.5" thickTop="1" thickBot="1" x14ac:dyDescent="0.25">
      <c r="A120" s="1199">
        <v>1</v>
      </c>
      <c r="B120" s="1200">
        <v>2</v>
      </c>
      <c r="C120" s="1200">
        <v>3</v>
      </c>
      <c r="D120" s="1200">
        <v>4</v>
      </c>
      <c r="E120" s="1200">
        <v>5</v>
      </c>
      <c r="F120" s="1201">
        <v>6</v>
      </c>
      <c r="G120" s="1201">
        <v>7</v>
      </c>
      <c r="H120" s="1202">
        <v>8</v>
      </c>
      <c r="I120" s="1203" t="s">
        <v>762</v>
      </c>
    </row>
    <row r="121" spans="1:13" s="532" customFormat="1" ht="16.5" thickTop="1" thickBot="1" x14ac:dyDescent="0.3">
      <c r="A121" s="1211">
        <v>60001100212</v>
      </c>
      <c r="B121" s="967">
        <v>3123</v>
      </c>
      <c r="C121" s="1212">
        <v>6121</v>
      </c>
      <c r="D121" s="968">
        <v>10</v>
      </c>
      <c r="E121" s="1213" t="s">
        <v>603</v>
      </c>
      <c r="F121" s="889"/>
      <c r="G121" s="1214">
        <v>400</v>
      </c>
      <c r="H121" s="889">
        <v>397</v>
      </c>
      <c r="I121" s="1215">
        <f>(H121/G121)*100</f>
        <v>99.25</v>
      </c>
    </row>
    <row r="122" spans="1:13" s="532" customFormat="1" ht="18" customHeight="1" thickTop="1" thickBot="1" x14ac:dyDescent="0.3">
      <c r="A122" s="2692" t="s">
        <v>244</v>
      </c>
      <c r="B122" s="2685"/>
      <c r="C122" s="2685"/>
      <c r="D122" s="2685"/>
      <c r="E122" s="2685"/>
      <c r="F122" s="873">
        <f>F121</f>
        <v>0</v>
      </c>
      <c r="G122" s="873">
        <f>G121</f>
        <v>400</v>
      </c>
      <c r="H122" s="873">
        <f>H121</f>
        <v>397</v>
      </c>
      <c r="I122" s="856">
        <f>(H122/G122)*100</f>
        <v>99.25</v>
      </c>
      <c r="L122" s="493">
        <f>G14+G21+G29+G33+G41+G48+G56+G63+G72+G79+G86+G94+G101+G108+G115+G122</f>
        <v>156137</v>
      </c>
      <c r="M122" s="493">
        <f>H14+H21+H29+H33+H41+H48+H56+H63+H72+H79+H86+H94+H101+H108+H115+H122</f>
        <v>143098</v>
      </c>
    </row>
    <row r="123" spans="1:13" s="532" customFormat="1" ht="13.5" thickTop="1" x14ac:dyDescent="0.2">
      <c r="B123" s="643"/>
      <c r="D123" s="814"/>
      <c r="F123" s="493"/>
      <c r="G123" s="493"/>
      <c r="H123" s="493"/>
      <c r="I123" s="949"/>
    </row>
    <row r="124" spans="1:13" s="532" customFormat="1" x14ac:dyDescent="0.2">
      <c r="B124" s="643"/>
      <c r="D124" s="814"/>
      <c r="F124" s="493"/>
      <c r="G124" s="493"/>
      <c r="H124" s="493"/>
      <c r="I124" s="949"/>
    </row>
    <row r="125" spans="1:13" s="532" customFormat="1" ht="13.5" thickBot="1" x14ac:dyDescent="0.25">
      <c r="A125" s="432" t="s">
        <v>111</v>
      </c>
      <c r="B125" s="643"/>
      <c r="D125" s="814"/>
      <c r="F125" s="493"/>
      <c r="G125" s="493"/>
      <c r="H125" s="493"/>
      <c r="I125" s="949" t="s">
        <v>161</v>
      </c>
    </row>
    <row r="126" spans="1:13" s="107" customFormat="1" ht="20.25" customHeight="1" thickTop="1" thickBot="1" x14ac:dyDescent="0.25">
      <c r="A126" s="682" t="s">
        <v>624</v>
      </c>
      <c r="B126" s="685" t="s">
        <v>162</v>
      </c>
      <c r="C126" s="683" t="s">
        <v>163</v>
      </c>
      <c r="D126" s="634" t="s">
        <v>705</v>
      </c>
      <c r="E126" s="686" t="s">
        <v>164</v>
      </c>
      <c r="F126" s="686" t="s">
        <v>165</v>
      </c>
      <c r="G126" s="686" t="s">
        <v>881</v>
      </c>
      <c r="H126" s="686" t="s">
        <v>882</v>
      </c>
      <c r="I126" s="818" t="s">
        <v>883</v>
      </c>
    </row>
    <row r="127" spans="1:13" s="383" customFormat="1" ht="13.5" thickTop="1" thickBot="1" x14ac:dyDescent="0.25">
      <c r="A127" s="1199">
        <v>1</v>
      </c>
      <c r="B127" s="1200">
        <v>2</v>
      </c>
      <c r="C127" s="1200">
        <v>3</v>
      </c>
      <c r="D127" s="1200">
        <v>4</v>
      </c>
      <c r="E127" s="1200">
        <v>5</v>
      </c>
      <c r="F127" s="1201">
        <v>6</v>
      </c>
      <c r="G127" s="1201">
        <v>7</v>
      </c>
      <c r="H127" s="1202">
        <v>8</v>
      </c>
      <c r="I127" s="1203" t="s">
        <v>762</v>
      </c>
    </row>
    <row r="128" spans="1:13" s="532" customFormat="1" ht="16.5" thickTop="1" thickBot="1" x14ac:dyDescent="0.3">
      <c r="A128" s="1211">
        <v>60001100213</v>
      </c>
      <c r="B128" s="967">
        <v>3122</v>
      </c>
      <c r="C128" s="1212">
        <v>6121</v>
      </c>
      <c r="D128" s="968">
        <v>10</v>
      </c>
      <c r="E128" s="1213" t="s">
        <v>603</v>
      </c>
      <c r="F128" s="889"/>
      <c r="G128" s="1214">
        <v>300</v>
      </c>
      <c r="H128" s="889">
        <v>0</v>
      </c>
      <c r="I128" s="1215">
        <f>(H128/G128)*100</f>
        <v>0</v>
      </c>
    </row>
    <row r="129" spans="1:9" s="532" customFormat="1" ht="18" customHeight="1" thickTop="1" thickBot="1" x14ac:dyDescent="0.3">
      <c r="A129" s="2692" t="s">
        <v>244</v>
      </c>
      <c r="B129" s="2685"/>
      <c r="C129" s="2685"/>
      <c r="D129" s="2685"/>
      <c r="E129" s="2685"/>
      <c r="F129" s="873">
        <f>F128</f>
        <v>0</v>
      </c>
      <c r="G129" s="873">
        <f>G128</f>
        <v>300</v>
      </c>
      <c r="H129" s="873">
        <f>H128</f>
        <v>0</v>
      </c>
      <c r="I129" s="856">
        <f>(H129/G129)*100</f>
        <v>0</v>
      </c>
    </row>
    <row r="130" spans="1:9" s="532" customFormat="1" ht="13.5" thickTop="1" x14ac:dyDescent="0.2">
      <c r="B130" s="643"/>
      <c r="D130" s="814"/>
      <c r="F130" s="493"/>
      <c r="G130" s="493"/>
      <c r="H130" s="493"/>
      <c r="I130" s="949"/>
    </row>
    <row r="131" spans="1:9" s="532" customFormat="1" x14ac:dyDescent="0.2">
      <c r="B131" s="643"/>
      <c r="D131" s="814"/>
      <c r="F131" s="493"/>
      <c r="G131" s="493"/>
      <c r="H131" s="493"/>
      <c r="I131" s="949"/>
    </row>
    <row r="132" spans="1:9" s="532" customFormat="1" x14ac:dyDescent="0.2">
      <c r="B132" s="643"/>
      <c r="D132" s="814"/>
      <c r="F132" s="493"/>
      <c r="G132" s="493"/>
      <c r="H132" s="493"/>
      <c r="I132" s="949"/>
    </row>
    <row r="133" spans="1:9" s="532" customFormat="1" x14ac:dyDescent="0.2">
      <c r="B133" s="643"/>
      <c r="D133" s="814"/>
      <c r="F133" s="493"/>
      <c r="G133" s="493"/>
      <c r="H133" s="493"/>
      <c r="I133" s="949"/>
    </row>
    <row r="134" spans="1:9" s="532" customFormat="1" x14ac:dyDescent="0.2">
      <c r="B134" s="643"/>
      <c r="D134" s="814"/>
      <c r="F134" s="493"/>
      <c r="G134" s="493"/>
      <c r="H134" s="493"/>
      <c r="I134" s="949"/>
    </row>
    <row r="135" spans="1:9" s="532" customFormat="1" ht="13.5" thickBot="1" x14ac:dyDescent="0.25">
      <c r="A135" s="432" t="s">
        <v>112</v>
      </c>
      <c r="B135" s="643"/>
      <c r="D135" s="814"/>
      <c r="F135" s="493"/>
      <c r="G135" s="493"/>
      <c r="H135" s="493"/>
      <c r="I135" s="949" t="s">
        <v>161</v>
      </c>
    </row>
    <row r="136" spans="1:9" s="107" customFormat="1" ht="20.25" customHeight="1" thickTop="1" thickBot="1" x14ac:dyDescent="0.25">
      <c r="A136" s="682" t="s">
        <v>624</v>
      </c>
      <c r="B136" s="685" t="s">
        <v>162</v>
      </c>
      <c r="C136" s="683" t="s">
        <v>163</v>
      </c>
      <c r="D136" s="634" t="s">
        <v>705</v>
      </c>
      <c r="E136" s="686" t="s">
        <v>164</v>
      </c>
      <c r="F136" s="686" t="s">
        <v>165</v>
      </c>
      <c r="G136" s="686" t="s">
        <v>881</v>
      </c>
      <c r="H136" s="686" t="s">
        <v>882</v>
      </c>
      <c r="I136" s="818" t="s">
        <v>883</v>
      </c>
    </row>
    <row r="137" spans="1:9" s="383" customFormat="1" ht="13.5" thickTop="1" thickBot="1" x14ac:dyDescent="0.25">
      <c r="A137" s="1199">
        <v>1</v>
      </c>
      <c r="B137" s="1200">
        <v>2</v>
      </c>
      <c r="C137" s="1200">
        <v>3</v>
      </c>
      <c r="D137" s="1200">
        <v>4</v>
      </c>
      <c r="E137" s="1200">
        <v>5</v>
      </c>
      <c r="F137" s="1201">
        <v>6</v>
      </c>
      <c r="G137" s="1201">
        <v>7</v>
      </c>
      <c r="H137" s="1202">
        <v>8</v>
      </c>
      <c r="I137" s="1203" t="s">
        <v>762</v>
      </c>
    </row>
    <row r="138" spans="1:9" s="532" customFormat="1" ht="16.5" thickTop="1" thickBot="1" x14ac:dyDescent="0.3">
      <c r="A138" s="1211">
        <v>60001100214</v>
      </c>
      <c r="B138" s="967">
        <v>3114</v>
      </c>
      <c r="C138" s="1212">
        <v>6121</v>
      </c>
      <c r="D138" s="968">
        <v>10</v>
      </c>
      <c r="E138" s="1213" t="s">
        <v>603</v>
      </c>
      <c r="F138" s="889"/>
      <c r="G138" s="1214">
        <v>100</v>
      </c>
      <c r="H138" s="889">
        <v>88</v>
      </c>
      <c r="I138" s="1215">
        <f>(H138/G138)*100</f>
        <v>88</v>
      </c>
    </row>
    <row r="139" spans="1:9" s="532" customFormat="1" ht="18" customHeight="1" thickTop="1" thickBot="1" x14ac:dyDescent="0.3">
      <c r="A139" s="2692" t="s">
        <v>244</v>
      </c>
      <c r="B139" s="2685"/>
      <c r="C139" s="2685"/>
      <c r="D139" s="2685"/>
      <c r="E139" s="2685"/>
      <c r="F139" s="873">
        <f>F138</f>
        <v>0</v>
      </c>
      <c r="G139" s="873">
        <f>G138</f>
        <v>100</v>
      </c>
      <c r="H139" s="873">
        <f>H138</f>
        <v>88</v>
      </c>
      <c r="I139" s="856">
        <f>(H139/G139)*100</f>
        <v>88</v>
      </c>
    </row>
    <row r="140" spans="1:9" s="532" customFormat="1" ht="13.5" thickTop="1" x14ac:dyDescent="0.2">
      <c r="B140" s="643"/>
      <c r="D140" s="814"/>
      <c r="F140" s="493"/>
      <c r="G140" s="493"/>
      <c r="H140" s="493"/>
      <c r="I140" s="949"/>
    </row>
    <row r="141" spans="1:9" s="532" customFormat="1" x14ac:dyDescent="0.2">
      <c r="B141" s="643"/>
      <c r="D141" s="814"/>
      <c r="F141" s="493"/>
      <c r="G141" s="493"/>
      <c r="H141" s="493"/>
      <c r="I141" s="949"/>
    </row>
    <row r="142" spans="1:9" s="532" customFormat="1" ht="13.5" thickBot="1" x14ac:dyDescent="0.25">
      <c r="A142" s="432" t="s">
        <v>874</v>
      </c>
      <c r="B142" s="643"/>
      <c r="D142" s="814"/>
      <c r="F142" s="493"/>
      <c r="G142" s="493"/>
      <c r="H142" s="493"/>
      <c r="I142" s="949" t="s">
        <v>161</v>
      </c>
    </row>
    <row r="143" spans="1:9" s="107" customFormat="1" ht="20.25" customHeight="1" thickTop="1" thickBot="1" x14ac:dyDescent="0.25">
      <c r="A143" s="682" t="s">
        <v>624</v>
      </c>
      <c r="B143" s="685" t="s">
        <v>162</v>
      </c>
      <c r="C143" s="683" t="s">
        <v>163</v>
      </c>
      <c r="D143" s="634" t="s">
        <v>705</v>
      </c>
      <c r="E143" s="686" t="s">
        <v>164</v>
      </c>
      <c r="F143" s="686" t="s">
        <v>165</v>
      </c>
      <c r="G143" s="686" t="s">
        <v>881</v>
      </c>
      <c r="H143" s="686" t="s">
        <v>882</v>
      </c>
      <c r="I143" s="818" t="s">
        <v>883</v>
      </c>
    </row>
    <row r="144" spans="1:9" s="383" customFormat="1" ht="13.5" thickTop="1" thickBot="1" x14ac:dyDescent="0.25">
      <c r="A144" s="1199">
        <v>1</v>
      </c>
      <c r="B144" s="1200">
        <v>2</v>
      </c>
      <c r="C144" s="1200">
        <v>3</v>
      </c>
      <c r="D144" s="1200">
        <v>4</v>
      </c>
      <c r="E144" s="1200">
        <v>5</v>
      </c>
      <c r="F144" s="1201">
        <v>6</v>
      </c>
      <c r="G144" s="1201">
        <v>7</v>
      </c>
      <c r="H144" s="1202">
        <v>8</v>
      </c>
      <c r="I144" s="1203" t="s">
        <v>762</v>
      </c>
    </row>
    <row r="145" spans="1:14" s="532" customFormat="1" ht="16.5" thickTop="1" thickBot="1" x14ac:dyDescent="0.3">
      <c r="A145" s="1211">
        <v>60001100215</v>
      </c>
      <c r="B145" s="967">
        <v>3122</v>
      </c>
      <c r="C145" s="1212">
        <v>6121</v>
      </c>
      <c r="D145" s="968">
        <v>10</v>
      </c>
      <c r="E145" s="1213" t="s">
        <v>603</v>
      </c>
      <c r="F145" s="889"/>
      <c r="G145" s="1214">
        <v>250</v>
      </c>
      <c r="H145" s="889">
        <v>0</v>
      </c>
      <c r="I145" s="1215">
        <f>(H145/G145)*100</f>
        <v>0</v>
      </c>
    </row>
    <row r="146" spans="1:14" s="532" customFormat="1" ht="18" customHeight="1" thickTop="1" thickBot="1" x14ac:dyDescent="0.3">
      <c r="A146" s="2692" t="s">
        <v>244</v>
      </c>
      <c r="B146" s="2685"/>
      <c r="C146" s="2685"/>
      <c r="D146" s="2685"/>
      <c r="E146" s="2685"/>
      <c r="F146" s="873">
        <f>F145</f>
        <v>0</v>
      </c>
      <c r="G146" s="873">
        <f>G145</f>
        <v>250</v>
      </c>
      <c r="H146" s="873">
        <f>H145</f>
        <v>0</v>
      </c>
      <c r="I146" s="856">
        <f>(H146/G146)*100</f>
        <v>0</v>
      </c>
    </row>
    <row r="147" spans="1:14" ht="13.5" thickTop="1" x14ac:dyDescent="0.2">
      <c r="K147" s="911"/>
      <c r="L147" s="911"/>
      <c r="M147" s="911"/>
      <c r="N147" s="432"/>
    </row>
    <row r="148" spans="1:14" x14ac:dyDescent="0.2">
      <c r="K148" s="911"/>
      <c r="L148" s="911"/>
      <c r="M148" s="911"/>
      <c r="N148" s="432"/>
    </row>
    <row r="149" spans="1:14" s="532" customFormat="1" ht="13.5" thickBot="1" x14ac:dyDescent="0.25">
      <c r="A149" s="432" t="s">
        <v>875</v>
      </c>
      <c r="B149" s="643"/>
      <c r="D149" s="814"/>
      <c r="F149" s="493"/>
      <c r="G149" s="493"/>
      <c r="H149" s="493"/>
      <c r="I149" s="949" t="s">
        <v>161</v>
      </c>
    </row>
    <row r="150" spans="1:14" s="107" customFormat="1" ht="20.25" customHeight="1" thickTop="1" thickBot="1" x14ac:dyDescent="0.25">
      <c r="A150" s="682" t="s">
        <v>624</v>
      </c>
      <c r="B150" s="685" t="s">
        <v>162</v>
      </c>
      <c r="C150" s="683" t="s">
        <v>163</v>
      </c>
      <c r="D150" s="634" t="s">
        <v>705</v>
      </c>
      <c r="E150" s="686" t="s">
        <v>164</v>
      </c>
      <c r="F150" s="686" t="s">
        <v>165</v>
      </c>
      <c r="G150" s="686" t="s">
        <v>881</v>
      </c>
      <c r="H150" s="686" t="s">
        <v>882</v>
      </c>
      <c r="I150" s="818" t="s">
        <v>883</v>
      </c>
    </row>
    <row r="151" spans="1:14" s="383" customFormat="1" ht="13.5" thickTop="1" thickBot="1" x14ac:dyDescent="0.25">
      <c r="A151" s="1199">
        <v>1</v>
      </c>
      <c r="B151" s="1200">
        <v>2</v>
      </c>
      <c r="C151" s="1200">
        <v>3</v>
      </c>
      <c r="D151" s="1200">
        <v>4</v>
      </c>
      <c r="E151" s="1200">
        <v>5</v>
      </c>
      <c r="F151" s="1201">
        <v>6</v>
      </c>
      <c r="G151" s="1201">
        <v>7</v>
      </c>
      <c r="H151" s="1202">
        <v>8</v>
      </c>
      <c r="I151" s="1203" t="s">
        <v>762</v>
      </c>
    </row>
    <row r="152" spans="1:14" s="532" customFormat="1" ht="16.5" thickTop="1" thickBot="1" x14ac:dyDescent="0.3">
      <c r="A152" s="1211">
        <v>60001100216</v>
      </c>
      <c r="B152" s="967">
        <v>3114</v>
      </c>
      <c r="C152" s="1212">
        <v>6121</v>
      </c>
      <c r="D152" s="968">
        <v>10</v>
      </c>
      <c r="E152" s="1213" t="s">
        <v>603</v>
      </c>
      <c r="F152" s="889"/>
      <c r="G152" s="1214">
        <v>50</v>
      </c>
      <c r="H152" s="889">
        <v>50</v>
      </c>
      <c r="I152" s="1215">
        <f>(H152/G152)*100</f>
        <v>100</v>
      </c>
    </row>
    <row r="153" spans="1:14" s="532" customFormat="1" ht="18" customHeight="1" thickTop="1" thickBot="1" x14ac:dyDescent="0.3">
      <c r="A153" s="2692" t="s">
        <v>244</v>
      </c>
      <c r="B153" s="2685"/>
      <c r="C153" s="2685"/>
      <c r="D153" s="2685"/>
      <c r="E153" s="2685"/>
      <c r="F153" s="873">
        <f>F152</f>
        <v>0</v>
      </c>
      <c r="G153" s="873">
        <f>G152</f>
        <v>50</v>
      </c>
      <c r="H153" s="873">
        <f>H152</f>
        <v>50</v>
      </c>
      <c r="I153" s="856">
        <f>(H153/G153)*100</f>
        <v>100</v>
      </c>
    </row>
    <row r="154" spans="1:14" ht="13.5" thickTop="1" x14ac:dyDescent="0.2">
      <c r="K154" s="911"/>
      <c r="L154" s="911"/>
      <c r="M154" s="911"/>
      <c r="N154" s="432"/>
    </row>
    <row r="155" spans="1:14" x14ac:dyDescent="0.2">
      <c r="K155" s="911"/>
      <c r="L155" s="911"/>
      <c r="M155" s="911"/>
      <c r="N155" s="432"/>
    </row>
    <row r="156" spans="1:14" s="532" customFormat="1" ht="13.5" thickBot="1" x14ac:dyDescent="0.25">
      <c r="A156" s="432" t="s">
        <v>876</v>
      </c>
      <c r="B156" s="643"/>
      <c r="D156" s="814"/>
      <c r="F156" s="493"/>
      <c r="G156" s="493"/>
      <c r="H156" s="493"/>
      <c r="I156" s="949" t="s">
        <v>161</v>
      </c>
    </row>
    <row r="157" spans="1:14" s="107" customFormat="1" ht="20.25" customHeight="1" thickTop="1" thickBot="1" x14ac:dyDescent="0.25">
      <c r="A157" s="682" t="s">
        <v>624</v>
      </c>
      <c r="B157" s="685" t="s">
        <v>162</v>
      </c>
      <c r="C157" s="683" t="s">
        <v>163</v>
      </c>
      <c r="D157" s="634" t="s">
        <v>705</v>
      </c>
      <c r="E157" s="686" t="s">
        <v>164</v>
      </c>
      <c r="F157" s="686" t="s">
        <v>165</v>
      </c>
      <c r="G157" s="686" t="s">
        <v>881</v>
      </c>
      <c r="H157" s="686" t="s">
        <v>882</v>
      </c>
      <c r="I157" s="818" t="s">
        <v>883</v>
      </c>
    </row>
    <row r="158" spans="1:14" s="383" customFormat="1" ht="13.5" thickTop="1" thickBot="1" x14ac:dyDescent="0.25">
      <c r="A158" s="1199">
        <v>1</v>
      </c>
      <c r="B158" s="1200">
        <v>2</v>
      </c>
      <c r="C158" s="1200">
        <v>3</v>
      </c>
      <c r="D158" s="1200">
        <v>4</v>
      </c>
      <c r="E158" s="1200">
        <v>5</v>
      </c>
      <c r="F158" s="1201">
        <v>6</v>
      </c>
      <c r="G158" s="1201">
        <v>7</v>
      </c>
      <c r="H158" s="1202">
        <v>8</v>
      </c>
      <c r="I158" s="1203" t="s">
        <v>762</v>
      </c>
    </row>
    <row r="159" spans="1:14" s="383" customFormat="1" ht="16.5" thickTop="1" thickBot="1" x14ac:dyDescent="0.3">
      <c r="A159" s="1254">
        <v>60001100220</v>
      </c>
      <c r="B159" s="1255">
        <v>3121</v>
      </c>
      <c r="C159" s="1256">
        <v>5137</v>
      </c>
      <c r="D159" s="973">
        <v>10</v>
      </c>
      <c r="E159" s="1205" t="s">
        <v>155</v>
      </c>
      <c r="F159" s="412"/>
      <c r="G159" s="1207">
        <v>180</v>
      </c>
      <c r="H159" s="412">
        <v>180</v>
      </c>
      <c r="I159" s="962">
        <f>(H159/G159)*100</f>
        <v>100</v>
      </c>
    </row>
    <row r="160" spans="1:14" s="532" customFormat="1" ht="18" customHeight="1" thickTop="1" thickBot="1" x14ac:dyDescent="0.3">
      <c r="A160" s="2672" t="s">
        <v>245</v>
      </c>
      <c r="B160" s="2673"/>
      <c r="C160" s="2673"/>
      <c r="D160" s="2673"/>
      <c r="E160" s="2673"/>
      <c r="F160" s="824">
        <v>0</v>
      </c>
      <c r="G160" s="824">
        <f>G159</f>
        <v>180</v>
      </c>
      <c r="H160" s="824">
        <f>H159</f>
        <v>180</v>
      </c>
      <c r="I160" s="825">
        <f>(H160/G160)*100</f>
        <v>100</v>
      </c>
    </row>
    <row r="161" spans="1:14" s="383" customFormat="1" ht="15.75" thickTop="1" x14ac:dyDescent="0.25">
      <c r="A161" s="1257">
        <v>60001100220</v>
      </c>
      <c r="B161" s="1258">
        <v>3121</v>
      </c>
      <c r="C161" s="1259">
        <v>6121</v>
      </c>
      <c r="D161" s="958">
        <v>10</v>
      </c>
      <c r="E161" s="1204" t="s">
        <v>603</v>
      </c>
      <c r="F161" s="413"/>
      <c r="G161" s="1208">
        <v>4265</v>
      </c>
      <c r="H161" s="413">
        <v>3999</v>
      </c>
      <c r="I161" s="836">
        <f>(H161/G161)*100</f>
        <v>93.763188745603756</v>
      </c>
    </row>
    <row r="162" spans="1:14" s="532" customFormat="1" ht="15.75" thickBot="1" x14ac:dyDescent="0.3">
      <c r="A162" s="963">
        <v>60001100220</v>
      </c>
      <c r="B162" s="891">
        <v>3121</v>
      </c>
      <c r="C162" s="749">
        <v>6122</v>
      </c>
      <c r="D162" s="964">
        <v>10</v>
      </c>
      <c r="E162" s="1206" t="s">
        <v>604</v>
      </c>
      <c r="F162" s="884"/>
      <c r="G162" s="965">
        <v>157</v>
      </c>
      <c r="H162" s="884">
        <v>157</v>
      </c>
      <c r="I162" s="972">
        <f>(H162/G162)*100</f>
        <v>100</v>
      </c>
    </row>
    <row r="163" spans="1:14" s="532" customFormat="1" ht="18" customHeight="1" thickTop="1" thickBot="1" x14ac:dyDescent="0.3">
      <c r="A163" s="2692" t="s">
        <v>244</v>
      </c>
      <c r="B163" s="2685"/>
      <c r="C163" s="2685"/>
      <c r="D163" s="2685"/>
      <c r="E163" s="2685"/>
      <c r="F163" s="873">
        <f>F161</f>
        <v>0</v>
      </c>
      <c r="G163" s="873">
        <f>G161+G162</f>
        <v>4422</v>
      </c>
      <c r="H163" s="873">
        <f>H161+H162</f>
        <v>4156</v>
      </c>
      <c r="I163" s="825">
        <f>(H163/G163)*100</f>
        <v>93.984622342831301</v>
      </c>
    </row>
    <row r="164" spans="1:14" ht="13.5" thickTop="1" x14ac:dyDescent="0.2">
      <c r="K164" s="911"/>
      <c r="L164" s="911"/>
      <c r="M164" s="911"/>
      <c r="N164" s="432"/>
    </row>
    <row r="165" spans="1:14" x14ac:dyDescent="0.2">
      <c r="K165" s="911"/>
      <c r="L165" s="911"/>
      <c r="M165" s="911"/>
      <c r="N165" s="432"/>
    </row>
    <row r="166" spans="1:14" s="532" customFormat="1" ht="13.5" thickBot="1" x14ac:dyDescent="0.25">
      <c r="A166" s="432" t="s">
        <v>234</v>
      </c>
      <c r="B166" s="643"/>
      <c r="D166" s="814"/>
      <c r="F166" s="493"/>
      <c r="G166" s="493"/>
      <c r="H166" s="493"/>
      <c r="I166" s="949" t="s">
        <v>161</v>
      </c>
    </row>
    <row r="167" spans="1:14" s="107" customFormat="1" ht="20.25" customHeight="1" thickTop="1" thickBot="1" x14ac:dyDescent="0.25">
      <c r="A167" s="682" t="s">
        <v>624</v>
      </c>
      <c r="B167" s="685" t="s">
        <v>162</v>
      </c>
      <c r="C167" s="683" t="s">
        <v>163</v>
      </c>
      <c r="D167" s="634" t="s">
        <v>705</v>
      </c>
      <c r="E167" s="686" t="s">
        <v>164</v>
      </c>
      <c r="F167" s="686" t="s">
        <v>165</v>
      </c>
      <c r="G167" s="686" t="s">
        <v>881</v>
      </c>
      <c r="H167" s="686" t="s">
        <v>882</v>
      </c>
      <c r="I167" s="818" t="s">
        <v>883</v>
      </c>
    </row>
    <row r="168" spans="1:14" s="383" customFormat="1" ht="13.5" thickTop="1" thickBot="1" x14ac:dyDescent="0.25">
      <c r="A168" s="1199">
        <v>1</v>
      </c>
      <c r="B168" s="1200">
        <v>2</v>
      </c>
      <c r="C168" s="1200">
        <v>3</v>
      </c>
      <c r="D168" s="1200">
        <v>4</v>
      </c>
      <c r="E168" s="1200">
        <v>5</v>
      </c>
      <c r="F168" s="1201">
        <v>6</v>
      </c>
      <c r="G168" s="1201">
        <v>7</v>
      </c>
      <c r="H168" s="1202">
        <v>8</v>
      </c>
      <c r="I168" s="1203" t="s">
        <v>762</v>
      </c>
    </row>
    <row r="169" spans="1:14" s="532" customFormat="1" ht="16.5" thickTop="1" thickBot="1" x14ac:dyDescent="0.3">
      <c r="A169" s="1211">
        <v>60001100221</v>
      </c>
      <c r="B169" s="967">
        <v>3122</v>
      </c>
      <c r="C169" s="1212">
        <v>6121</v>
      </c>
      <c r="D169" s="968">
        <v>10</v>
      </c>
      <c r="E169" s="1213" t="s">
        <v>603</v>
      </c>
      <c r="F169" s="889"/>
      <c r="G169" s="1214">
        <v>812</v>
      </c>
      <c r="H169" s="889">
        <v>521</v>
      </c>
      <c r="I169" s="1215">
        <f>(H169/G169)*100</f>
        <v>64.162561576354676</v>
      </c>
    </row>
    <row r="170" spans="1:14" s="532" customFormat="1" ht="18" customHeight="1" thickTop="1" thickBot="1" x14ac:dyDescent="0.3">
      <c r="A170" s="2692" t="s">
        <v>244</v>
      </c>
      <c r="B170" s="2685"/>
      <c r="C170" s="2685"/>
      <c r="D170" s="2685"/>
      <c r="E170" s="2685"/>
      <c r="F170" s="873">
        <f>F169</f>
        <v>0</v>
      </c>
      <c r="G170" s="873">
        <f>G169</f>
        <v>812</v>
      </c>
      <c r="H170" s="873">
        <f>H169</f>
        <v>521</v>
      </c>
      <c r="I170" s="856">
        <f>(H170/G170)*100</f>
        <v>64.162561576354676</v>
      </c>
    </row>
    <row r="171" spans="1:14" ht="13.5" thickTop="1" x14ac:dyDescent="0.2">
      <c r="K171" s="911"/>
      <c r="L171" s="911"/>
      <c r="M171" s="911"/>
      <c r="N171" s="432"/>
    </row>
    <row r="172" spans="1:14" x14ac:dyDescent="0.2">
      <c r="K172" s="911"/>
      <c r="L172" s="911"/>
      <c r="M172" s="911"/>
      <c r="N172" s="432"/>
    </row>
    <row r="173" spans="1:14" s="532" customFormat="1" ht="13.5" thickBot="1" x14ac:dyDescent="0.25">
      <c r="A173" s="432" t="s">
        <v>1065</v>
      </c>
      <c r="B173" s="643"/>
      <c r="D173" s="814"/>
      <c r="F173" s="493"/>
      <c r="G173" s="493"/>
      <c r="H173" s="493"/>
      <c r="I173" s="949" t="s">
        <v>161</v>
      </c>
    </row>
    <row r="174" spans="1:14" s="107" customFormat="1" ht="20.25" customHeight="1" thickTop="1" thickBot="1" x14ac:dyDescent="0.25">
      <c r="A174" s="682" t="s">
        <v>624</v>
      </c>
      <c r="B174" s="685" t="s">
        <v>162</v>
      </c>
      <c r="C174" s="683" t="s">
        <v>163</v>
      </c>
      <c r="D174" s="634" t="s">
        <v>705</v>
      </c>
      <c r="E174" s="686" t="s">
        <v>164</v>
      </c>
      <c r="F174" s="686" t="s">
        <v>165</v>
      </c>
      <c r="G174" s="686" t="s">
        <v>881</v>
      </c>
      <c r="H174" s="686" t="s">
        <v>882</v>
      </c>
      <c r="I174" s="818" t="s">
        <v>883</v>
      </c>
    </row>
    <row r="175" spans="1:14" s="383" customFormat="1" ht="13.5" thickTop="1" thickBot="1" x14ac:dyDescent="0.25">
      <c r="A175" s="1199">
        <v>1</v>
      </c>
      <c r="B175" s="1200">
        <v>2</v>
      </c>
      <c r="C175" s="1200">
        <v>3</v>
      </c>
      <c r="D175" s="1200">
        <v>4</v>
      </c>
      <c r="E175" s="1200">
        <v>5</v>
      </c>
      <c r="F175" s="1201">
        <v>6</v>
      </c>
      <c r="G175" s="1201">
        <v>7</v>
      </c>
      <c r="H175" s="1202">
        <v>8</v>
      </c>
      <c r="I175" s="1203" t="s">
        <v>762</v>
      </c>
    </row>
    <row r="176" spans="1:14" s="532" customFormat="1" ht="16.5" thickTop="1" thickBot="1" x14ac:dyDescent="0.3">
      <c r="A176" s="1211">
        <v>60001100222</v>
      </c>
      <c r="B176" s="967">
        <v>3231</v>
      </c>
      <c r="C176" s="1212">
        <v>6121</v>
      </c>
      <c r="D176" s="968">
        <v>10</v>
      </c>
      <c r="E176" s="1213" t="s">
        <v>603</v>
      </c>
      <c r="F176" s="889"/>
      <c r="G176" s="1214">
        <v>577</v>
      </c>
      <c r="H176" s="889">
        <v>576</v>
      </c>
      <c r="I176" s="1215">
        <f>(H176/G176)*100</f>
        <v>99.826689774696703</v>
      </c>
    </row>
    <row r="177" spans="1:14" s="532" customFormat="1" ht="18" customHeight="1" thickTop="1" thickBot="1" x14ac:dyDescent="0.3">
      <c r="A177" s="2692" t="s">
        <v>244</v>
      </c>
      <c r="B177" s="2685"/>
      <c r="C177" s="2685"/>
      <c r="D177" s="2685"/>
      <c r="E177" s="2685"/>
      <c r="F177" s="873">
        <f>F176</f>
        <v>0</v>
      </c>
      <c r="G177" s="873">
        <f>G176</f>
        <v>577</v>
      </c>
      <c r="H177" s="873">
        <f>H176</f>
        <v>576</v>
      </c>
      <c r="I177" s="856">
        <f>(H177/G177)*100</f>
        <v>99.826689774696703</v>
      </c>
    </row>
    <row r="178" spans="1:14" ht="13.5" thickTop="1" x14ac:dyDescent="0.2">
      <c r="K178" s="911"/>
      <c r="L178" s="911"/>
      <c r="M178" s="911"/>
      <c r="N178" s="432"/>
    </row>
    <row r="179" spans="1:14" x14ac:dyDescent="0.2">
      <c r="K179" s="911"/>
      <c r="L179" s="911"/>
      <c r="M179" s="911"/>
      <c r="N179" s="432"/>
    </row>
    <row r="180" spans="1:14" s="532" customFormat="1" ht="13.5" thickBot="1" x14ac:dyDescent="0.25">
      <c r="A180" s="432" t="s">
        <v>116</v>
      </c>
      <c r="B180" s="643"/>
      <c r="D180" s="814"/>
      <c r="F180" s="493"/>
      <c r="G180" s="493"/>
      <c r="H180" s="493"/>
      <c r="I180" s="949" t="s">
        <v>161</v>
      </c>
    </row>
    <row r="181" spans="1:14" s="107" customFormat="1" ht="20.25" customHeight="1" thickTop="1" thickBot="1" x14ac:dyDescent="0.25">
      <c r="A181" s="682" t="s">
        <v>624</v>
      </c>
      <c r="B181" s="685" t="s">
        <v>162</v>
      </c>
      <c r="C181" s="683" t="s">
        <v>163</v>
      </c>
      <c r="D181" s="634" t="s">
        <v>705</v>
      </c>
      <c r="E181" s="686" t="s">
        <v>164</v>
      </c>
      <c r="F181" s="686" t="s">
        <v>165</v>
      </c>
      <c r="G181" s="686" t="s">
        <v>881</v>
      </c>
      <c r="H181" s="686" t="s">
        <v>882</v>
      </c>
      <c r="I181" s="818" t="s">
        <v>883</v>
      </c>
    </row>
    <row r="182" spans="1:14" s="383" customFormat="1" ht="13.5" thickTop="1" thickBot="1" x14ac:dyDescent="0.25">
      <c r="A182" s="1199">
        <v>1</v>
      </c>
      <c r="B182" s="1200">
        <v>2</v>
      </c>
      <c r="C182" s="1200">
        <v>3</v>
      </c>
      <c r="D182" s="1200">
        <v>4</v>
      </c>
      <c r="E182" s="1200">
        <v>5</v>
      </c>
      <c r="F182" s="1201">
        <v>6</v>
      </c>
      <c r="G182" s="1201">
        <v>7</v>
      </c>
      <c r="H182" s="1202">
        <v>8</v>
      </c>
      <c r="I182" s="1203" t="s">
        <v>762</v>
      </c>
    </row>
    <row r="183" spans="1:14" s="532" customFormat="1" ht="16.5" thickTop="1" thickBot="1" x14ac:dyDescent="0.3">
      <c r="A183" s="1211">
        <v>6000110023</v>
      </c>
      <c r="B183" s="967">
        <v>3421</v>
      </c>
      <c r="C183" s="1212">
        <v>6121</v>
      </c>
      <c r="D183" s="968">
        <v>10</v>
      </c>
      <c r="E183" s="1213" t="s">
        <v>603</v>
      </c>
      <c r="F183" s="889"/>
      <c r="G183" s="1214">
        <v>1173</v>
      </c>
      <c r="H183" s="889">
        <v>50</v>
      </c>
      <c r="I183" s="1215">
        <f>(H183/G183)*100</f>
        <v>4.2625745950554137</v>
      </c>
    </row>
    <row r="184" spans="1:14" s="532" customFormat="1" ht="18" customHeight="1" thickTop="1" thickBot="1" x14ac:dyDescent="0.3">
      <c r="A184" s="2692" t="s">
        <v>244</v>
      </c>
      <c r="B184" s="2685"/>
      <c r="C184" s="2685"/>
      <c r="D184" s="2685"/>
      <c r="E184" s="2685"/>
      <c r="F184" s="873">
        <f>F183</f>
        <v>0</v>
      </c>
      <c r="G184" s="873">
        <f>G183</f>
        <v>1173</v>
      </c>
      <c r="H184" s="873">
        <f>H183</f>
        <v>50</v>
      </c>
      <c r="I184" s="856">
        <f>(H184/G184)*100</f>
        <v>4.2625745950554137</v>
      </c>
    </row>
    <row r="185" spans="1:14" ht="13.5" thickTop="1" x14ac:dyDescent="0.2">
      <c r="K185" s="911"/>
      <c r="L185" s="911"/>
      <c r="M185" s="911"/>
      <c r="N185" s="432"/>
    </row>
    <row r="186" spans="1:14" x14ac:dyDescent="0.2">
      <c r="K186" s="911"/>
      <c r="L186" s="911"/>
      <c r="M186" s="911"/>
      <c r="N186" s="432"/>
    </row>
    <row r="187" spans="1:14" s="532" customFormat="1" ht="13.5" thickBot="1" x14ac:dyDescent="0.25">
      <c r="A187" s="432" t="s">
        <v>117</v>
      </c>
      <c r="B187" s="643"/>
      <c r="D187" s="814"/>
      <c r="F187" s="493"/>
      <c r="G187" s="493"/>
      <c r="H187" s="493"/>
      <c r="I187" s="949" t="s">
        <v>161</v>
      </c>
    </row>
    <row r="188" spans="1:14" s="107" customFormat="1" ht="20.25" customHeight="1" thickTop="1" thickBot="1" x14ac:dyDescent="0.25">
      <c r="A188" s="682" t="s">
        <v>624</v>
      </c>
      <c r="B188" s="685" t="s">
        <v>162</v>
      </c>
      <c r="C188" s="683" t="s">
        <v>163</v>
      </c>
      <c r="D188" s="634" t="s">
        <v>705</v>
      </c>
      <c r="E188" s="686" t="s">
        <v>164</v>
      </c>
      <c r="F188" s="686" t="s">
        <v>165</v>
      </c>
      <c r="G188" s="686" t="s">
        <v>881</v>
      </c>
      <c r="H188" s="686" t="s">
        <v>882</v>
      </c>
      <c r="I188" s="818" t="s">
        <v>883</v>
      </c>
    </row>
    <row r="189" spans="1:14" s="383" customFormat="1" ht="13.5" thickTop="1" thickBot="1" x14ac:dyDescent="0.25">
      <c r="A189" s="1199">
        <v>1</v>
      </c>
      <c r="B189" s="1200">
        <v>2</v>
      </c>
      <c r="C189" s="1200">
        <v>3</v>
      </c>
      <c r="D189" s="1200">
        <v>4</v>
      </c>
      <c r="E189" s="1200">
        <v>5</v>
      </c>
      <c r="F189" s="1201">
        <v>6</v>
      </c>
      <c r="G189" s="1201">
        <v>7</v>
      </c>
      <c r="H189" s="1202">
        <v>8</v>
      </c>
      <c r="I189" s="1203" t="s">
        <v>762</v>
      </c>
    </row>
    <row r="190" spans="1:14" s="532" customFormat="1" ht="16.5" thickTop="1" thickBot="1" x14ac:dyDescent="0.3">
      <c r="A190" s="1211">
        <v>60001100224</v>
      </c>
      <c r="B190" s="967">
        <v>3122</v>
      </c>
      <c r="C190" s="1212">
        <v>6121</v>
      </c>
      <c r="D190" s="968">
        <v>10</v>
      </c>
      <c r="E190" s="1213" t="s">
        <v>603</v>
      </c>
      <c r="F190" s="889"/>
      <c r="G190" s="1214">
        <v>720</v>
      </c>
      <c r="H190" s="889">
        <v>720</v>
      </c>
      <c r="I190" s="1215">
        <f>(H190/G190)*100</f>
        <v>100</v>
      </c>
    </row>
    <row r="191" spans="1:14" s="532" customFormat="1" ht="18" customHeight="1" thickTop="1" thickBot="1" x14ac:dyDescent="0.3">
      <c r="A191" s="2692" t="s">
        <v>244</v>
      </c>
      <c r="B191" s="2685"/>
      <c r="C191" s="2685"/>
      <c r="D191" s="2685"/>
      <c r="E191" s="2685"/>
      <c r="F191" s="873">
        <f>F190</f>
        <v>0</v>
      </c>
      <c r="G191" s="873">
        <f>G190</f>
        <v>720</v>
      </c>
      <c r="H191" s="873">
        <f>H190</f>
        <v>720</v>
      </c>
      <c r="I191" s="856">
        <f>(H191/G191)*100</f>
        <v>100</v>
      </c>
    </row>
    <row r="192" spans="1:14" ht="13.5" thickTop="1" x14ac:dyDescent="0.2">
      <c r="K192" s="911"/>
      <c r="L192" s="911"/>
      <c r="M192" s="911"/>
      <c r="N192" s="432"/>
    </row>
    <row r="193" spans="1:14" x14ac:dyDescent="0.2">
      <c r="K193" s="911"/>
      <c r="L193" s="911"/>
      <c r="M193" s="911"/>
      <c r="N193" s="432"/>
    </row>
    <row r="194" spans="1:14" s="532" customFormat="1" ht="13.5" thickBot="1" x14ac:dyDescent="0.25">
      <c r="A194" s="432" t="s">
        <v>118</v>
      </c>
      <c r="B194" s="643"/>
      <c r="D194" s="814"/>
      <c r="F194" s="493"/>
      <c r="G194" s="493"/>
      <c r="H194" s="493"/>
      <c r="I194" s="949" t="s">
        <v>161</v>
      </c>
    </row>
    <row r="195" spans="1:14" s="107" customFormat="1" ht="20.25" customHeight="1" thickTop="1" thickBot="1" x14ac:dyDescent="0.25">
      <c r="A195" s="682" t="s">
        <v>624</v>
      </c>
      <c r="B195" s="685" t="s">
        <v>162</v>
      </c>
      <c r="C195" s="683" t="s">
        <v>163</v>
      </c>
      <c r="D195" s="634" t="s">
        <v>705</v>
      </c>
      <c r="E195" s="686" t="s">
        <v>164</v>
      </c>
      <c r="F195" s="686" t="s">
        <v>165</v>
      </c>
      <c r="G195" s="686" t="s">
        <v>881</v>
      </c>
      <c r="H195" s="686" t="s">
        <v>882</v>
      </c>
      <c r="I195" s="818" t="s">
        <v>883</v>
      </c>
    </row>
    <row r="196" spans="1:14" s="383" customFormat="1" ht="13.5" thickTop="1" thickBot="1" x14ac:dyDescent="0.25">
      <c r="A196" s="1199">
        <v>1</v>
      </c>
      <c r="B196" s="1200">
        <v>2</v>
      </c>
      <c r="C196" s="1200">
        <v>3</v>
      </c>
      <c r="D196" s="1200">
        <v>4</v>
      </c>
      <c r="E196" s="1200">
        <v>5</v>
      </c>
      <c r="F196" s="1201">
        <v>6</v>
      </c>
      <c r="G196" s="1201">
        <v>7</v>
      </c>
      <c r="H196" s="1202">
        <v>8</v>
      </c>
      <c r="I196" s="1203" t="s">
        <v>762</v>
      </c>
    </row>
    <row r="197" spans="1:14" s="532" customFormat="1" ht="16.5" thickTop="1" thickBot="1" x14ac:dyDescent="0.3">
      <c r="A197" s="1211">
        <v>60001100225</v>
      </c>
      <c r="B197" s="967">
        <v>3114</v>
      </c>
      <c r="C197" s="1212">
        <v>6121</v>
      </c>
      <c r="D197" s="968">
        <v>10</v>
      </c>
      <c r="E197" s="1213" t="s">
        <v>603</v>
      </c>
      <c r="F197" s="889"/>
      <c r="G197" s="1214">
        <v>1839</v>
      </c>
      <c r="H197" s="889">
        <v>1818</v>
      </c>
      <c r="I197" s="1215">
        <f>(H197/G197)*100</f>
        <v>98.858075040783035</v>
      </c>
    </row>
    <row r="198" spans="1:14" s="532" customFormat="1" ht="18" customHeight="1" thickTop="1" thickBot="1" x14ac:dyDescent="0.3">
      <c r="A198" s="2692" t="s">
        <v>244</v>
      </c>
      <c r="B198" s="2685"/>
      <c r="C198" s="2685"/>
      <c r="D198" s="2685"/>
      <c r="E198" s="2685"/>
      <c r="F198" s="873">
        <f>F197</f>
        <v>0</v>
      </c>
      <c r="G198" s="873">
        <f>G197</f>
        <v>1839</v>
      </c>
      <c r="H198" s="873">
        <f>H197</f>
        <v>1818</v>
      </c>
      <c r="I198" s="856">
        <f>(H198/G198)*100</f>
        <v>98.858075040783035</v>
      </c>
    </row>
    <row r="199" spans="1:14" ht="13.5" thickTop="1" x14ac:dyDescent="0.2">
      <c r="K199" s="911"/>
      <c r="L199" s="911"/>
      <c r="M199" s="911"/>
      <c r="N199" s="432"/>
    </row>
    <row r="200" spans="1:14" x14ac:dyDescent="0.2">
      <c r="K200" s="911"/>
      <c r="L200" s="911"/>
      <c r="M200" s="911"/>
      <c r="N200" s="432"/>
    </row>
    <row r="201" spans="1:14" s="532" customFormat="1" ht="13.5" thickBot="1" x14ac:dyDescent="0.25">
      <c r="A201" s="432" t="s">
        <v>1055</v>
      </c>
      <c r="B201" s="643"/>
      <c r="D201" s="814"/>
      <c r="F201" s="493"/>
      <c r="G201" s="493"/>
      <c r="H201" s="493"/>
      <c r="I201" s="949" t="s">
        <v>161</v>
      </c>
    </row>
    <row r="202" spans="1:14" s="107" customFormat="1" ht="20.25" customHeight="1" thickTop="1" thickBot="1" x14ac:dyDescent="0.25">
      <c r="A202" s="682" t="s">
        <v>624</v>
      </c>
      <c r="B202" s="685" t="s">
        <v>162</v>
      </c>
      <c r="C202" s="683" t="s">
        <v>163</v>
      </c>
      <c r="D202" s="634" t="s">
        <v>705</v>
      </c>
      <c r="E202" s="686" t="s">
        <v>164</v>
      </c>
      <c r="F202" s="686" t="s">
        <v>165</v>
      </c>
      <c r="G202" s="686" t="s">
        <v>881</v>
      </c>
      <c r="H202" s="686" t="s">
        <v>882</v>
      </c>
      <c r="I202" s="818" t="s">
        <v>883</v>
      </c>
    </row>
    <row r="203" spans="1:14" s="383" customFormat="1" ht="13.5" thickTop="1" thickBot="1" x14ac:dyDescent="0.25">
      <c r="A203" s="1199">
        <v>1</v>
      </c>
      <c r="B203" s="1200">
        <v>2</v>
      </c>
      <c r="C203" s="1200">
        <v>3</v>
      </c>
      <c r="D203" s="1200">
        <v>4</v>
      </c>
      <c r="E203" s="1200">
        <v>5</v>
      </c>
      <c r="F203" s="1201">
        <v>6</v>
      </c>
      <c r="G203" s="1201">
        <v>7</v>
      </c>
      <c r="H203" s="1202">
        <v>8</v>
      </c>
      <c r="I203" s="1203" t="s">
        <v>762</v>
      </c>
    </row>
    <row r="204" spans="1:14" s="532" customFormat="1" ht="16.5" thickTop="1" thickBot="1" x14ac:dyDescent="0.3">
      <c r="A204" s="1211">
        <v>60001100226</v>
      </c>
      <c r="B204" s="967">
        <v>3123</v>
      </c>
      <c r="C204" s="1212">
        <v>6121</v>
      </c>
      <c r="D204" s="968">
        <v>870</v>
      </c>
      <c r="E204" s="1213" t="s">
        <v>603</v>
      </c>
      <c r="F204" s="889"/>
      <c r="G204" s="1214">
        <v>2851</v>
      </c>
      <c r="H204" s="889">
        <v>2778</v>
      </c>
      <c r="I204" s="1215">
        <f>(H204/G204)*100</f>
        <v>97.439494914065236</v>
      </c>
    </row>
    <row r="205" spans="1:14" s="532" customFormat="1" ht="18" customHeight="1" thickTop="1" thickBot="1" x14ac:dyDescent="0.3">
      <c r="A205" s="2692" t="s">
        <v>244</v>
      </c>
      <c r="B205" s="2685"/>
      <c r="C205" s="2685"/>
      <c r="D205" s="2685"/>
      <c r="E205" s="2685"/>
      <c r="F205" s="873">
        <f>F204</f>
        <v>0</v>
      </c>
      <c r="G205" s="873">
        <f>G204</f>
        <v>2851</v>
      </c>
      <c r="H205" s="873">
        <f>H204</f>
        <v>2778</v>
      </c>
      <c r="I205" s="856">
        <f>(H205/G205)*100</f>
        <v>97.439494914065236</v>
      </c>
    </row>
    <row r="206" spans="1:14" ht="13.5" thickTop="1" x14ac:dyDescent="0.2">
      <c r="K206" s="911"/>
      <c r="L206" s="911"/>
      <c r="M206" s="911"/>
      <c r="N206" s="432"/>
    </row>
    <row r="207" spans="1:14" x14ac:dyDescent="0.2">
      <c r="K207" s="911"/>
      <c r="L207" s="911"/>
      <c r="M207" s="911"/>
      <c r="N207" s="432"/>
    </row>
    <row r="208" spans="1:14" s="532" customFormat="1" ht="13.5" thickBot="1" x14ac:dyDescent="0.25">
      <c r="A208" s="432" t="s">
        <v>1056</v>
      </c>
      <c r="B208" s="643"/>
      <c r="D208" s="814"/>
      <c r="F208" s="493"/>
      <c r="G208" s="493"/>
      <c r="H208" s="493"/>
      <c r="I208" s="949" t="s">
        <v>161</v>
      </c>
    </row>
    <row r="209" spans="1:14" s="107" customFormat="1" ht="20.25" customHeight="1" thickTop="1" thickBot="1" x14ac:dyDescent="0.25">
      <c r="A209" s="682" t="s">
        <v>624</v>
      </c>
      <c r="B209" s="685" t="s">
        <v>162</v>
      </c>
      <c r="C209" s="683" t="s">
        <v>163</v>
      </c>
      <c r="D209" s="634" t="s">
        <v>705</v>
      </c>
      <c r="E209" s="686" t="s">
        <v>164</v>
      </c>
      <c r="F209" s="686" t="s">
        <v>165</v>
      </c>
      <c r="G209" s="686" t="s">
        <v>881</v>
      </c>
      <c r="H209" s="686" t="s">
        <v>882</v>
      </c>
      <c r="I209" s="818" t="s">
        <v>883</v>
      </c>
    </row>
    <row r="210" spans="1:14" s="383" customFormat="1" ht="13.5" thickTop="1" thickBot="1" x14ac:dyDescent="0.25">
      <c r="A210" s="1199">
        <v>1</v>
      </c>
      <c r="B210" s="1200">
        <v>2</v>
      </c>
      <c r="C210" s="1200">
        <v>3</v>
      </c>
      <c r="D210" s="1200">
        <v>4</v>
      </c>
      <c r="E210" s="1200">
        <v>5</v>
      </c>
      <c r="F210" s="1201">
        <v>6</v>
      </c>
      <c r="G210" s="1201">
        <v>7</v>
      </c>
      <c r="H210" s="1202">
        <v>8</v>
      </c>
      <c r="I210" s="1203" t="s">
        <v>762</v>
      </c>
    </row>
    <row r="211" spans="1:14" s="532" customFormat="1" ht="16.5" thickTop="1" thickBot="1" x14ac:dyDescent="0.3">
      <c r="A211" s="1211">
        <v>60001100227</v>
      </c>
      <c r="B211" s="967">
        <v>3122</v>
      </c>
      <c r="C211" s="1212">
        <v>6121</v>
      </c>
      <c r="D211" s="968">
        <v>10</v>
      </c>
      <c r="E211" s="1213" t="s">
        <v>603</v>
      </c>
      <c r="F211" s="889"/>
      <c r="G211" s="1214">
        <v>3370</v>
      </c>
      <c r="H211" s="889">
        <v>3370</v>
      </c>
      <c r="I211" s="1215">
        <f>(H211/G211)*100</f>
        <v>100</v>
      </c>
    </row>
    <row r="212" spans="1:14" s="532" customFormat="1" ht="18" customHeight="1" thickTop="1" thickBot="1" x14ac:dyDescent="0.3">
      <c r="A212" s="2692" t="s">
        <v>244</v>
      </c>
      <c r="B212" s="2685"/>
      <c r="C212" s="2685"/>
      <c r="D212" s="2685"/>
      <c r="E212" s="2685"/>
      <c r="F212" s="873">
        <f>F211</f>
        <v>0</v>
      </c>
      <c r="G212" s="873">
        <f>G211</f>
        <v>3370</v>
      </c>
      <c r="H212" s="873">
        <f>H211</f>
        <v>3370</v>
      </c>
      <c r="I212" s="856">
        <f>(H212/G212)*100</f>
        <v>100</v>
      </c>
    </row>
    <row r="213" spans="1:14" ht="13.5" thickTop="1" x14ac:dyDescent="0.2">
      <c r="K213" s="911"/>
      <c r="L213" s="911"/>
      <c r="M213" s="911"/>
      <c r="N213" s="432"/>
    </row>
    <row r="214" spans="1:14" x14ac:dyDescent="0.2">
      <c r="K214" s="911"/>
      <c r="L214" s="911"/>
      <c r="M214" s="911"/>
      <c r="N214" s="432"/>
    </row>
    <row r="215" spans="1:14" s="532" customFormat="1" ht="13.5" thickBot="1" x14ac:dyDescent="0.25">
      <c r="A215" s="432" t="s">
        <v>1057</v>
      </c>
      <c r="B215" s="643"/>
      <c r="D215" s="814"/>
      <c r="F215" s="493"/>
      <c r="G215" s="493"/>
      <c r="H215" s="493"/>
      <c r="I215" s="949" t="s">
        <v>161</v>
      </c>
    </row>
    <row r="216" spans="1:14" s="107" customFormat="1" ht="20.25" customHeight="1" thickTop="1" thickBot="1" x14ac:dyDescent="0.25">
      <c r="A216" s="682" t="s">
        <v>624</v>
      </c>
      <c r="B216" s="685" t="s">
        <v>162</v>
      </c>
      <c r="C216" s="683" t="s">
        <v>163</v>
      </c>
      <c r="D216" s="634" t="s">
        <v>705</v>
      </c>
      <c r="E216" s="686" t="s">
        <v>164</v>
      </c>
      <c r="F216" s="686" t="s">
        <v>165</v>
      </c>
      <c r="G216" s="686" t="s">
        <v>881</v>
      </c>
      <c r="H216" s="686" t="s">
        <v>882</v>
      </c>
      <c r="I216" s="818" t="s">
        <v>883</v>
      </c>
    </row>
    <row r="217" spans="1:14" s="383" customFormat="1" ht="13.5" thickTop="1" thickBot="1" x14ac:dyDescent="0.25">
      <c r="A217" s="1199">
        <v>1</v>
      </c>
      <c r="B217" s="1200">
        <v>2</v>
      </c>
      <c r="C217" s="1200">
        <v>3</v>
      </c>
      <c r="D217" s="1200">
        <v>4</v>
      </c>
      <c r="E217" s="1200">
        <v>5</v>
      </c>
      <c r="F217" s="1201">
        <v>6</v>
      </c>
      <c r="G217" s="1201">
        <v>7</v>
      </c>
      <c r="H217" s="1202">
        <v>8</v>
      </c>
      <c r="I217" s="1203" t="s">
        <v>762</v>
      </c>
    </row>
    <row r="218" spans="1:14" s="532" customFormat="1" ht="16.5" thickTop="1" thickBot="1" x14ac:dyDescent="0.3">
      <c r="A218" s="1211">
        <v>60001100228</v>
      </c>
      <c r="B218" s="967">
        <v>3122</v>
      </c>
      <c r="C218" s="1212">
        <v>6121</v>
      </c>
      <c r="D218" s="968">
        <v>10</v>
      </c>
      <c r="E218" s="1213" t="s">
        <v>603</v>
      </c>
      <c r="F218" s="889"/>
      <c r="G218" s="1214">
        <v>1762</v>
      </c>
      <c r="H218" s="889">
        <v>1752</v>
      </c>
      <c r="I218" s="1215">
        <f>(H218/G218)*100</f>
        <v>99.432463110102148</v>
      </c>
    </row>
    <row r="219" spans="1:14" s="532" customFormat="1" ht="18" customHeight="1" thickTop="1" thickBot="1" x14ac:dyDescent="0.3">
      <c r="A219" s="2692" t="s">
        <v>244</v>
      </c>
      <c r="B219" s="2685"/>
      <c r="C219" s="2685"/>
      <c r="D219" s="2685"/>
      <c r="E219" s="2685"/>
      <c r="F219" s="873">
        <f>F218</f>
        <v>0</v>
      </c>
      <c r="G219" s="873">
        <f>G218</f>
        <v>1762</v>
      </c>
      <c r="H219" s="873">
        <f>H218</f>
        <v>1752</v>
      </c>
      <c r="I219" s="856">
        <f>(H219/G219)*100</f>
        <v>99.432463110102148</v>
      </c>
    </row>
    <row r="220" spans="1:14" ht="13.5" thickTop="1" x14ac:dyDescent="0.2">
      <c r="K220" s="911"/>
      <c r="L220" s="911"/>
      <c r="M220" s="911"/>
      <c r="N220" s="432"/>
    </row>
    <row r="221" spans="1:14" x14ac:dyDescent="0.2">
      <c r="K221" s="911"/>
      <c r="L221" s="911"/>
      <c r="M221" s="911"/>
      <c r="N221" s="432"/>
    </row>
    <row r="222" spans="1:14" s="532" customFormat="1" ht="13.5" thickBot="1" x14ac:dyDescent="0.25">
      <c r="A222" s="432" t="s">
        <v>1058</v>
      </c>
      <c r="B222" s="643"/>
      <c r="D222" s="814"/>
      <c r="F222" s="493"/>
      <c r="G222" s="493"/>
      <c r="H222" s="493"/>
      <c r="I222" s="949" t="s">
        <v>161</v>
      </c>
    </row>
    <row r="223" spans="1:14" s="107" customFormat="1" ht="20.25" customHeight="1" thickTop="1" thickBot="1" x14ac:dyDescent="0.25">
      <c r="A223" s="682" t="s">
        <v>624</v>
      </c>
      <c r="B223" s="685" t="s">
        <v>162</v>
      </c>
      <c r="C223" s="683" t="s">
        <v>163</v>
      </c>
      <c r="D223" s="634" t="s">
        <v>705</v>
      </c>
      <c r="E223" s="686" t="s">
        <v>164</v>
      </c>
      <c r="F223" s="686" t="s">
        <v>165</v>
      </c>
      <c r="G223" s="686" t="s">
        <v>881</v>
      </c>
      <c r="H223" s="686" t="s">
        <v>882</v>
      </c>
      <c r="I223" s="818" t="s">
        <v>883</v>
      </c>
    </row>
    <row r="224" spans="1:14" s="383" customFormat="1" thickTop="1" x14ac:dyDescent="0.2">
      <c r="A224" s="1199">
        <v>1</v>
      </c>
      <c r="B224" s="1200">
        <v>2</v>
      </c>
      <c r="C224" s="1200">
        <v>3</v>
      </c>
      <c r="D224" s="1200">
        <v>4</v>
      </c>
      <c r="E224" s="1200">
        <v>5</v>
      </c>
      <c r="F224" s="1201">
        <v>6</v>
      </c>
      <c r="G224" s="1201">
        <v>7</v>
      </c>
      <c r="H224" s="1202">
        <v>8</v>
      </c>
      <c r="I224" s="1203" t="s">
        <v>762</v>
      </c>
    </row>
    <row r="225" spans="1:14" s="383" customFormat="1" ht="15" x14ac:dyDescent="0.25">
      <c r="A225" s="1257">
        <v>60001100229</v>
      </c>
      <c r="B225" s="1258">
        <v>3122</v>
      </c>
      <c r="C225" s="1258">
        <v>5137</v>
      </c>
      <c r="D225" s="1221">
        <v>870</v>
      </c>
      <c r="E225" s="1220" t="s">
        <v>155</v>
      </c>
      <c r="F225" s="1219"/>
      <c r="G225" s="1219">
        <v>1609</v>
      </c>
      <c r="H225" s="1219">
        <v>1596</v>
      </c>
      <c r="I225" s="836">
        <f t="shared" ref="I225:I230" si="1">(H225/G225)*100</f>
        <v>99.192044748290868</v>
      </c>
    </row>
    <row r="226" spans="1:14" s="383" customFormat="1" ht="15.75" thickBot="1" x14ac:dyDescent="0.3">
      <c r="A226" s="1260">
        <v>60001100229</v>
      </c>
      <c r="B226" s="1261">
        <v>3122</v>
      </c>
      <c r="C226" s="1262">
        <v>5172</v>
      </c>
      <c r="D226" s="964">
        <v>870</v>
      </c>
      <c r="E226" s="1216" t="s">
        <v>897</v>
      </c>
      <c r="F226" s="1217"/>
      <c r="G226" s="1218">
        <v>97</v>
      </c>
      <c r="H226" s="1217">
        <v>96</v>
      </c>
      <c r="I226" s="972">
        <f t="shared" si="1"/>
        <v>98.969072164948457</v>
      </c>
    </row>
    <row r="227" spans="1:14" s="532" customFormat="1" ht="18" customHeight="1" thickTop="1" thickBot="1" x14ac:dyDescent="0.3">
      <c r="A227" s="2672" t="s">
        <v>245</v>
      </c>
      <c r="B227" s="2673"/>
      <c r="C227" s="2673"/>
      <c r="D227" s="2673"/>
      <c r="E227" s="2673"/>
      <c r="F227" s="824">
        <v>0</v>
      </c>
      <c r="G227" s="824">
        <f>G225+G226</f>
        <v>1706</v>
      </c>
      <c r="H227" s="824">
        <f>H225+H226</f>
        <v>1692</v>
      </c>
      <c r="I227" s="825">
        <f t="shared" si="1"/>
        <v>99.179366940211025</v>
      </c>
    </row>
    <row r="228" spans="1:14" s="383" customFormat="1" ht="15.75" thickTop="1" x14ac:dyDescent="0.25">
      <c r="A228" s="1257">
        <v>60001100229</v>
      </c>
      <c r="B228" s="1258">
        <v>3122</v>
      </c>
      <c r="C228" s="1259">
        <v>6121</v>
      </c>
      <c r="D228" s="958">
        <v>870</v>
      </c>
      <c r="E228" s="1204" t="s">
        <v>603</v>
      </c>
      <c r="F228" s="413"/>
      <c r="G228" s="1208">
        <v>14622</v>
      </c>
      <c r="H228" s="413">
        <v>13497</v>
      </c>
      <c r="I228" s="836">
        <f t="shared" si="1"/>
        <v>92.306114074681986</v>
      </c>
    </row>
    <row r="229" spans="1:14" s="532" customFormat="1" ht="15.75" thickBot="1" x14ac:dyDescent="0.3">
      <c r="A229" s="963">
        <v>60001100229</v>
      </c>
      <c r="B229" s="891">
        <v>3122</v>
      </c>
      <c r="C229" s="749">
        <v>6122</v>
      </c>
      <c r="D229" s="964">
        <v>870</v>
      </c>
      <c r="E229" s="1206" t="s">
        <v>604</v>
      </c>
      <c r="F229" s="884"/>
      <c r="G229" s="965">
        <v>7572</v>
      </c>
      <c r="H229" s="884">
        <v>7572</v>
      </c>
      <c r="I229" s="972">
        <f t="shared" si="1"/>
        <v>100</v>
      </c>
    </row>
    <row r="230" spans="1:14" s="532" customFormat="1" ht="18" customHeight="1" thickTop="1" thickBot="1" x14ac:dyDescent="0.3">
      <c r="A230" s="2692" t="s">
        <v>244</v>
      </c>
      <c r="B230" s="2685"/>
      <c r="C230" s="2685"/>
      <c r="D230" s="2685"/>
      <c r="E230" s="2685"/>
      <c r="F230" s="873">
        <f>F228</f>
        <v>0</v>
      </c>
      <c r="G230" s="873">
        <f>G228+G229</f>
        <v>22194</v>
      </c>
      <c r="H230" s="873">
        <f>H228+H229</f>
        <v>21069</v>
      </c>
      <c r="I230" s="825">
        <f t="shared" si="1"/>
        <v>94.931062449310616</v>
      </c>
    </row>
    <row r="231" spans="1:14" ht="13.5" thickTop="1" x14ac:dyDescent="0.2">
      <c r="K231" s="911"/>
      <c r="L231" s="911"/>
      <c r="M231" s="911"/>
      <c r="N231" s="432"/>
    </row>
    <row r="232" spans="1:14" x14ac:dyDescent="0.2">
      <c r="K232" s="911"/>
      <c r="L232" s="911"/>
      <c r="M232" s="911"/>
      <c r="N232" s="432"/>
    </row>
    <row r="233" spans="1:14" s="532" customFormat="1" ht="13.5" thickBot="1" x14ac:dyDescent="0.25">
      <c r="A233" s="432" t="s">
        <v>34</v>
      </c>
      <c r="B233" s="643"/>
      <c r="D233" s="814"/>
      <c r="F233" s="493"/>
      <c r="G233" s="493"/>
      <c r="H233" s="493"/>
      <c r="I233" s="949" t="s">
        <v>161</v>
      </c>
    </row>
    <row r="234" spans="1:14" s="107" customFormat="1" ht="20.25" customHeight="1" thickTop="1" thickBot="1" x14ac:dyDescent="0.25">
      <c r="A234" s="682" t="s">
        <v>624</v>
      </c>
      <c r="B234" s="685" t="s">
        <v>162</v>
      </c>
      <c r="C234" s="683" t="s">
        <v>163</v>
      </c>
      <c r="D234" s="634" t="s">
        <v>705</v>
      </c>
      <c r="E234" s="686" t="s">
        <v>164</v>
      </c>
      <c r="F234" s="686" t="s">
        <v>165</v>
      </c>
      <c r="G234" s="686" t="s">
        <v>881</v>
      </c>
      <c r="H234" s="686" t="s">
        <v>882</v>
      </c>
      <c r="I234" s="818" t="s">
        <v>883</v>
      </c>
    </row>
    <row r="235" spans="1:14" s="383" customFormat="1" ht="13.5" thickTop="1" thickBot="1" x14ac:dyDescent="0.25">
      <c r="A235" s="1199">
        <v>1</v>
      </c>
      <c r="B235" s="1200">
        <v>2</v>
      </c>
      <c r="C235" s="1200">
        <v>3</v>
      </c>
      <c r="D235" s="1200">
        <v>4</v>
      </c>
      <c r="E235" s="567">
        <v>5</v>
      </c>
      <c r="F235" s="1201">
        <v>6</v>
      </c>
      <c r="G235" s="1201">
        <v>7</v>
      </c>
      <c r="H235" s="1202">
        <v>8</v>
      </c>
      <c r="I235" s="1203" t="s">
        <v>762</v>
      </c>
    </row>
    <row r="236" spans="1:14" s="532" customFormat="1" ht="16.5" thickTop="1" thickBot="1" x14ac:dyDescent="0.3">
      <c r="A236" s="1211">
        <v>60001100230</v>
      </c>
      <c r="B236" s="967">
        <v>3122</v>
      </c>
      <c r="C236" s="1212">
        <v>6122</v>
      </c>
      <c r="D236" s="968">
        <v>10</v>
      </c>
      <c r="E236" s="1206" t="s">
        <v>604</v>
      </c>
      <c r="F236" s="889"/>
      <c r="G236" s="1214">
        <v>99</v>
      </c>
      <c r="H236" s="889">
        <v>99</v>
      </c>
      <c r="I236" s="1215">
        <f>(H236/G236)*100</f>
        <v>100</v>
      </c>
    </row>
    <row r="237" spans="1:14" s="532" customFormat="1" ht="18" customHeight="1" thickTop="1" thickBot="1" x14ac:dyDescent="0.3">
      <c r="A237" s="2692" t="s">
        <v>244</v>
      </c>
      <c r="B237" s="2685"/>
      <c r="C237" s="2685"/>
      <c r="D237" s="2685"/>
      <c r="E237" s="2685"/>
      <c r="F237" s="873">
        <f>F236</f>
        <v>0</v>
      </c>
      <c r="G237" s="873">
        <f>G236</f>
        <v>99</v>
      </c>
      <c r="H237" s="873">
        <f>H236</f>
        <v>99</v>
      </c>
      <c r="I237" s="856">
        <f>(H237/G237)*100</f>
        <v>100</v>
      </c>
    </row>
    <row r="238" spans="1:14" ht="13.5" thickTop="1" x14ac:dyDescent="0.2">
      <c r="K238" s="911"/>
      <c r="L238" s="911"/>
      <c r="M238" s="911"/>
      <c r="N238" s="432"/>
    </row>
    <row r="239" spans="1:14" x14ac:dyDescent="0.2">
      <c r="K239" s="911"/>
      <c r="L239" s="911"/>
      <c r="M239" s="911"/>
      <c r="N239" s="432"/>
    </row>
    <row r="240" spans="1:14" s="532" customFormat="1" ht="13.5" thickBot="1" x14ac:dyDescent="0.25">
      <c r="A240" s="432" t="s">
        <v>35</v>
      </c>
      <c r="B240" s="643"/>
      <c r="D240" s="814"/>
      <c r="F240" s="493"/>
      <c r="G240" s="493"/>
      <c r="H240" s="493"/>
      <c r="I240" s="949" t="s">
        <v>161</v>
      </c>
    </row>
    <row r="241" spans="1:14" s="107" customFormat="1" ht="20.25" customHeight="1" thickTop="1" thickBot="1" x14ac:dyDescent="0.25">
      <c r="A241" s="682" t="s">
        <v>624</v>
      </c>
      <c r="B241" s="685" t="s">
        <v>162</v>
      </c>
      <c r="C241" s="683" t="s">
        <v>163</v>
      </c>
      <c r="D241" s="634" t="s">
        <v>705</v>
      </c>
      <c r="E241" s="686" t="s">
        <v>164</v>
      </c>
      <c r="F241" s="686" t="s">
        <v>165</v>
      </c>
      <c r="G241" s="686" t="s">
        <v>881</v>
      </c>
      <c r="H241" s="686" t="s">
        <v>882</v>
      </c>
      <c r="I241" s="818" t="s">
        <v>883</v>
      </c>
    </row>
    <row r="242" spans="1:14" s="383" customFormat="1" ht="13.5" thickTop="1" thickBot="1" x14ac:dyDescent="0.25">
      <c r="A242" s="1199">
        <v>1</v>
      </c>
      <c r="B242" s="1200">
        <v>2</v>
      </c>
      <c r="C242" s="1200">
        <v>3</v>
      </c>
      <c r="D242" s="1200">
        <v>4</v>
      </c>
      <c r="E242" s="567">
        <v>5</v>
      </c>
      <c r="F242" s="1201">
        <v>6</v>
      </c>
      <c r="G242" s="1201">
        <v>7</v>
      </c>
      <c r="H242" s="1202">
        <v>8</v>
      </c>
      <c r="I242" s="1203" t="s">
        <v>762</v>
      </c>
    </row>
    <row r="243" spans="1:14" s="532" customFormat="1" ht="16.5" thickTop="1" thickBot="1" x14ac:dyDescent="0.3">
      <c r="A243" s="1211">
        <v>60001100231</v>
      </c>
      <c r="B243" s="967">
        <v>3122</v>
      </c>
      <c r="C243" s="1212">
        <v>5171</v>
      </c>
      <c r="D243" s="968">
        <v>10</v>
      </c>
      <c r="E243" s="1206" t="s">
        <v>896</v>
      </c>
      <c r="F243" s="889"/>
      <c r="G243" s="1214">
        <v>1963</v>
      </c>
      <c r="H243" s="889">
        <v>1961</v>
      </c>
      <c r="I243" s="1215">
        <f>(H243/G243)*100</f>
        <v>99.898115129903204</v>
      </c>
    </row>
    <row r="244" spans="1:14" s="532" customFormat="1" ht="18" customHeight="1" thickTop="1" thickBot="1" x14ac:dyDescent="0.3">
      <c r="A244" s="2672" t="s">
        <v>245</v>
      </c>
      <c r="B244" s="2673"/>
      <c r="C244" s="2673"/>
      <c r="D244" s="2673"/>
      <c r="E244" s="2673"/>
      <c r="F244" s="873">
        <f>F243</f>
        <v>0</v>
      </c>
      <c r="G244" s="873">
        <f>G243</f>
        <v>1963</v>
      </c>
      <c r="H244" s="873">
        <f>H243</f>
        <v>1961</v>
      </c>
      <c r="I244" s="856">
        <f>(H244/G244)*100</f>
        <v>99.898115129903204</v>
      </c>
    </row>
    <row r="245" spans="1:14" ht="13.5" thickTop="1" x14ac:dyDescent="0.2">
      <c r="K245" s="911"/>
      <c r="L245" s="911"/>
      <c r="M245" s="911"/>
      <c r="N245" s="432"/>
    </row>
    <row r="246" spans="1:14" x14ac:dyDescent="0.2">
      <c r="K246" s="911"/>
      <c r="L246" s="911"/>
      <c r="M246" s="911"/>
      <c r="N246" s="432"/>
    </row>
    <row r="247" spans="1:14" s="532" customFormat="1" ht="13.5" thickBot="1" x14ac:dyDescent="0.25">
      <c r="A247" s="432" t="s">
        <v>34</v>
      </c>
      <c r="B247" s="643"/>
      <c r="D247" s="814"/>
      <c r="F247" s="493"/>
      <c r="G247" s="493"/>
      <c r="H247" s="493"/>
      <c r="I247" s="949" t="s">
        <v>161</v>
      </c>
    </row>
    <row r="248" spans="1:14" s="107" customFormat="1" ht="20.25" customHeight="1" thickTop="1" thickBot="1" x14ac:dyDescent="0.25">
      <c r="A248" s="682" t="s">
        <v>624</v>
      </c>
      <c r="B248" s="685" t="s">
        <v>162</v>
      </c>
      <c r="C248" s="683" t="s">
        <v>163</v>
      </c>
      <c r="D248" s="634" t="s">
        <v>705</v>
      </c>
      <c r="E248" s="686" t="s">
        <v>164</v>
      </c>
      <c r="F248" s="686" t="s">
        <v>165</v>
      </c>
      <c r="G248" s="686" t="s">
        <v>881</v>
      </c>
      <c r="H248" s="686" t="s">
        <v>882</v>
      </c>
      <c r="I248" s="818" t="s">
        <v>883</v>
      </c>
    </row>
    <row r="249" spans="1:14" s="383" customFormat="1" ht="13.5" thickTop="1" thickBot="1" x14ac:dyDescent="0.25">
      <c r="A249" s="1199">
        <v>1</v>
      </c>
      <c r="B249" s="1200">
        <v>2</v>
      </c>
      <c r="C249" s="1200">
        <v>3</v>
      </c>
      <c r="D249" s="1200">
        <v>4</v>
      </c>
      <c r="E249" s="567">
        <v>5</v>
      </c>
      <c r="F249" s="1201">
        <v>6</v>
      </c>
      <c r="G249" s="1201">
        <v>7</v>
      </c>
      <c r="H249" s="1202">
        <v>8</v>
      </c>
      <c r="I249" s="1203" t="s">
        <v>762</v>
      </c>
    </row>
    <row r="250" spans="1:14" s="532" customFormat="1" ht="16.5" thickTop="1" thickBot="1" x14ac:dyDescent="0.3">
      <c r="A250" s="1211">
        <v>60001100232</v>
      </c>
      <c r="B250" s="967">
        <v>3114</v>
      </c>
      <c r="C250" s="1212">
        <v>6121</v>
      </c>
      <c r="D250" s="968">
        <v>870</v>
      </c>
      <c r="E250" s="1213" t="s">
        <v>603</v>
      </c>
      <c r="F250" s="889"/>
      <c r="G250" s="1214">
        <v>2000</v>
      </c>
      <c r="H250" s="889">
        <v>47</v>
      </c>
      <c r="I250" s="1215">
        <f>(H250/G250)*100</f>
        <v>2.35</v>
      </c>
    </row>
    <row r="251" spans="1:14" s="532" customFormat="1" ht="18" customHeight="1" thickTop="1" thickBot="1" x14ac:dyDescent="0.3">
      <c r="A251" s="2692" t="s">
        <v>244</v>
      </c>
      <c r="B251" s="2685"/>
      <c r="C251" s="2685"/>
      <c r="D251" s="2685"/>
      <c r="E251" s="2685"/>
      <c r="F251" s="873">
        <f>F250</f>
        <v>0</v>
      </c>
      <c r="G251" s="873">
        <f>G250</f>
        <v>2000</v>
      </c>
      <c r="H251" s="873">
        <f>H250</f>
        <v>47</v>
      </c>
      <c r="I251" s="856">
        <f>(H251/G251)*100</f>
        <v>2.35</v>
      </c>
    </row>
    <row r="252" spans="1:14" ht="13.5" thickTop="1" x14ac:dyDescent="0.2">
      <c r="K252" s="911"/>
      <c r="L252" s="911"/>
      <c r="M252" s="911"/>
      <c r="N252" s="432"/>
    </row>
    <row r="253" spans="1:14" x14ac:dyDescent="0.2">
      <c r="K253" s="911"/>
      <c r="L253" s="911"/>
      <c r="M253" s="911"/>
      <c r="N253" s="432"/>
    </row>
    <row r="254" spans="1:14" s="532" customFormat="1" ht="13.5" thickBot="1" x14ac:dyDescent="0.25">
      <c r="A254" s="432" t="s">
        <v>36</v>
      </c>
      <c r="B254" s="643"/>
      <c r="D254" s="814"/>
      <c r="F254" s="493"/>
      <c r="G254" s="493"/>
      <c r="H254" s="493"/>
      <c r="I254" s="949" t="s">
        <v>161</v>
      </c>
    </row>
    <row r="255" spans="1:14" s="107" customFormat="1" ht="20.25" customHeight="1" thickTop="1" thickBot="1" x14ac:dyDescent="0.25">
      <c r="A255" s="682" t="s">
        <v>624</v>
      </c>
      <c r="B255" s="685" t="s">
        <v>162</v>
      </c>
      <c r="C255" s="683" t="s">
        <v>163</v>
      </c>
      <c r="D255" s="634" t="s">
        <v>705</v>
      </c>
      <c r="E255" s="686" t="s">
        <v>164</v>
      </c>
      <c r="F255" s="686" t="s">
        <v>165</v>
      </c>
      <c r="G255" s="686" t="s">
        <v>881</v>
      </c>
      <c r="H255" s="686" t="s">
        <v>882</v>
      </c>
      <c r="I255" s="818" t="s">
        <v>883</v>
      </c>
    </row>
    <row r="256" spans="1:14" s="383" customFormat="1" ht="13.5" thickTop="1" thickBot="1" x14ac:dyDescent="0.25">
      <c r="A256" s="566">
        <v>1</v>
      </c>
      <c r="B256" s="567">
        <v>2</v>
      </c>
      <c r="C256" s="567">
        <v>3</v>
      </c>
      <c r="D256" s="567">
        <v>4</v>
      </c>
      <c r="E256" s="567">
        <v>5</v>
      </c>
      <c r="F256" s="541">
        <v>6</v>
      </c>
      <c r="G256" s="541">
        <v>7</v>
      </c>
      <c r="H256" s="542">
        <v>8</v>
      </c>
      <c r="I256" s="636" t="s">
        <v>762</v>
      </c>
    </row>
    <row r="257" spans="1:14" s="383" customFormat="1" ht="16.5" thickTop="1" thickBot="1" x14ac:dyDescent="0.3">
      <c r="A257" s="1257">
        <v>60001100233</v>
      </c>
      <c r="B257" s="1258">
        <v>3114</v>
      </c>
      <c r="C257" s="1258">
        <v>5137</v>
      </c>
      <c r="D257" s="1221">
        <v>10</v>
      </c>
      <c r="E257" s="1220" t="s">
        <v>155</v>
      </c>
      <c r="F257" s="1219"/>
      <c r="G257" s="1219">
        <v>1040</v>
      </c>
      <c r="H257" s="1219">
        <v>1039</v>
      </c>
      <c r="I257" s="836">
        <f>(H257/G257)*100</f>
        <v>99.90384615384616</v>
      </c>
    </row>
    <row r="258" spans="1:14" s="532" customFormat="1" ht="18" customHeight="1" thickTop="1" thickBot="1" x14ac:dyDescent="0.3">
      <c r="A258" s="2672" t="s">
        <v>245</v>
      </c>
      <c r="B258" s="2673"/>
      <c r="C258" s="2673"/>
      <c r="D258" s="2673"/>
      <c r="E258" s="2673"/>
      <c r="F258" s="824">
        <v>0</v>
      </c>
      <c r="G258" s="824">
        <f>G257</f>
        <v>1040</v>
      </c>
      <c r="H258" s="824">
        <f>H257</f>
        <v>1039</v>
      </c>
      <c r="I258" s="825">
        <f>(H258/G258)*100</f>
        <v>99.90384615384616</v>
      </c>
    </row>
    <row r="259" spans="1:14" s="383" customFormat="1" ht="15.75" thickTop="1" x14ac:dyDescent="0.25">
      <c r="A259" s="1257">
        <v>60001100233</v>
      </c>
      <c r="B259" s="1258">
        <v>3114</v>
      </c>
      <c r="C259" s="1259">
        <v>6121</v>
      </c>
      <c r="D259" s="958">
        <v>10</v>
      </c>
      <c r="E259" s="1204" t="s">
        <v>603</v>
      </c>
      <c r="F259" s="413"/>
      <c r="G259" s="1208">
        <v>3073</v>
      </c>
      <c r="H259" s="413">
        <v>3051</v>
      </c>
      <c r="I259" s="836">
        <f>(H259/G259)*100</f>
        <v>99.284087211194276</v>
      </c>
    </row>
    <row r="260" spans="1:14" s="532" customFormat="1" ht="15.75" thickBot="1" x14ac:dyDescent="0.3">
      <c r="A260" s="963">
        <v>60001100233</v>
      </c>
      <c r="B260" s="891">
        <v>3114</v>
      </c>
      <c r="C260" s="749">
        <v>6122</v>
      </c>
      <c r="D260" s="964">
        <v>10</v>
      </c>
      <c r="E260" s="1206" t="s">
        <v>604</v>
      </c>
      <c r="F260" s="884"/>
      <c r="G260" s="965">
        <v>1913</v>
      </c>
      <c r="H260" s="884">
        <v>1910</v>
      </c>
      <c r="I260" s="972">
        <f>(H260/G260)*100</f>
        <v>99.843178254051224</v>
      </c>
    </row>
    <row r="261" spans="1:14" s="532" customFormat="1" ht="18" customHeight="1" thickTop="1" thickBot="1" x14ac:dyDescent="0.3">
      <c r="A261" s="2692" t="s">
        <v>244</v>
      </c>
      <c r="B261" s="2685"/>
      <c r="C261" s="2685"/>
      <c r="D261" s="2685"/>
      <c r="E261" s="2685"/>
      <c r="F261" s="873">
        <f>F259</f>
        <v>0</v>
      </c>
      <c r="G261" s="873">
        <f>G259+G260</f>
        <v>4986</v>
      </c>
      <c r="H261" s="873">
        <f>H259+H260</f>
        <v>4961</v>
      </c>
      <c r="I261" s="825">
        <f>(H261/G261)*100</f>
        <v>99.49859606899318</v>
      </c>
      <c r="L261" s="493">
        <f>G129+G139+G146+G153+G160+G163+G170+G177+G184+G191+G198+G205+G212+G219+G227+G230+G237+G244+G251+G258+G261</f>
        <v>52394</v>
      </c>
      <c r="M261" s="493">
        <f>H129+H139+H146+H153+H160+H163+H170+H177+H184+H191+H198+H205+H212+H219+H227+H230+H237+H244+H251+H258+H261</f>
        <v>46927</v>
      </c>
    </row>
    <row r="262" spans="1:14" ht="13.5" thickTop="1" x14ac:dyDescent="0.2">
      <c r="K262" s="911"/>
      <c r="L262" s="911"/>
      <c r="M262" s="911"/>
      <c r="N262" s="432"/>
    </row>
    <row r="263" spans="1:14" x14ac:dyDescent="0.2">
      <c r="K263" s="911"/>
      <c r="L263" s="911"/>
      <c r="M263" s="911"/>
      <c r="N263" s="432"/>
    </row>
    <row r="264" spans="1:14" x14ac:dyDescent="0.2">
      <c r="K264" s="911"/>
      <c r="L264" s="911"/>
      <c r="M264" s="911"/>
      <c r="N264" s="432"/>
    </row>
    <row r="265" spans="1:14" x14ac:dyDescent="0.2">
      <c r="K265" s="911"/>
      <c r="L265" s="911"/>
      <c r="M265" s="911"/>
      <c r="N265" s="432"/>
    </row>
    <row r="266" spans="1:14" x14ac:dyDescent="0.2">
      <c r="K266" s="911"/>
      <c r="L266" s="911"/>
      <c r="M266" s="911"/>
      <c r="N266" s="432"/>
    </row>
    <row r="267" spans="1:14" x14ac:dyDescent="0.2">
      <c r="K267" s="911"/>
      <c r="L267" s="911"/>
      <c r="M267" s="911"/>
      <c r="N267" s="432"/>
    </row>
    <row r="268" spans="1:14" s="532" customFormat="1" ht="13.5" thickBot="1" x14ac:dyDescent="0.25">
      <c r="A268" s="432" t="s">
        <v>37</v>
      </c>
      <c r="B268" s="643"/>
      <c r="D268" s="814"/>
      <c r="F268" s="493"/>
      <c r="G268" s="493"/>
      <c r="H268" s="493"/>
      <c r="I268" s="949" t="s">
        <v>161</v>
      </c>
    </row>
    <row r="269" spans="1:14" s="107" customFormat="1" ht="20.25" customHeight="1" thickTop="1" thickBot="1" x14ac:dyDescent="0.25">
      <c r="A269" s="682" t="s">
        <v>624</v>
      </c>
      <c r="B269" s="685" t="s">
        <v>162</v>
      </c>
      <c r="C269" s="683" t="s">
        <v>163</v>
      </c>
      <c r="D269" s="634" t="s">
        <v>705</v>
      </c>
      <c r="E269" s="686" t="s">
        <v>164</v>
      </c>
      <c r="F269" s="686" t="s">
        <v>165</v>
      </c>
      <c r="G269" s="686" t="s">
        <v>881</v>
      </c>
      <c r="H269" s="686" t="s">
        <v>882</v>
      </c>
      <c r="I269" s="818" t="s">
        <v>883</v>
      </c>
    </row>
    <row r="270" spans="1:14" s="383" customFormat="1" ht="13.5" thickTop="1" thickBot="1" x14ac:dyDescent="0.25">
      <c r="A270" s="1199">
        <v>1</v>
      </c>
      <c r="B270" s="1200">
        <v>2</v>
      </c>
      <c r="C270" s="1200">
        <v>3</v>
      </c>
      <c r="D270" s="1200">
        <v>4</v>
      </c>
      <c r="E270" s="567">
        <v>5</v>
      </c>
      <c r="F270" s="1201">
        <v>6</v>
      </c>
      <c r="G270" s="1201">
        <v>7</v>
      </c>
      <c r="H270" s="1202">
        <v>8</v>
      </c>
      <c r="I270" s="1203" t="s">
        <v>762</v>
      </c>
    </row>
    <row r="271" spans="1:14" s="532" customFormat="1" ht="16.5" thickTop="1" thickBot="1" x14ac:dyDescent="0.3">
      <c r="A271" s="1211">
        <v>60001100234</v>
      </c>
      <c r="B271" s="967">
        <v>3114</v>
      </c>
      <c r="C271" s="1212">
        <v>5171</v>
      </c>
      <c r="D271" s="968">
        <v>10</v>
      </c>
      <c r="E271" s="1206" t="s">
        <v>896</v>
      </c>
      <c r="F271" s="889"/>
      <c r="G271" s="1214">
        <v>1345</v>
      </c>
      <c r="H271" s="889">
        <v>1343</v>
      </c>
      <c r="I271" s="1215">
        <f>(H271/G271)*100</f>
        <v>99.851301115241625</v>
      </c>
    </row>
    <row r="272" spans="1:14" s="532" customFormat="1" ht="18" customHeight="1" thickTop="1" thickBot="1" x14ac:dyDescent="0.3">
      <c r="A272" s="2672" t="s">
        <v>245</v>
      </c>
      <c r="B272" s="2673"/>
      <c r="C272" s="2673"/>
      <c r="D272" s="2673"/>
      <c r="E272" s="2673"/>
      <c r="F272" s="873">
        <f>F271</f>
        <v>0</v>
      </c>
      <c r="G272" s="873">
        <f>G271</f>
        <v>1345</v>
      </c>
      <c r="H272" s="873">
        <f>H271</f>
        <v>1343</v>
      </c>
      <c r="I272" s="856">
        <f>(H272/G272)*100</f>
        <v>99.851301115241625</v>
      </c>
    </row>
    <row r="273" spans="1:14" ht="13.5" thickTop="1" x14ac:dyDescent="0.2">
      <c r="K273" s="911"/>
      <c r="L273" s="911"/>
      <c r="M273" s="911"/>
      <c r="N273" s="432"/>
    </row>
    <row r="274" spans="1:14" x14ac:dyDescent="0.2">
      <c r="K274" s="911"/>
      <c r="L274" s="911"/>
      <c r="M274" s="911"/>
      <c r="N274" s="432"/>
    </row>
    <row r="275" spans="1:14" s="532" customFormat="1" ht="13.5" thickBot="1" x14ac:dyDescent="0.25">
      <c r="A275" s="432" t="s">
        <v>437</v>
      </c>
      <c r="B275" s="643"/>
      <c r="D275" s="814"/>
      <c r="F275" s="493"/>
      <c r="G275" s="493"/>
      <c r="H275" s="493"/>
      <c r="I275" s="949" t="s">
        <v>161</v>
      </c>
    </row>
    <row r="276" spans="1:14" s="107" customFormat="1" ht="20.25" customHeight="1" thickTop="1" thickBot="1" x14ac:dyDescent="0.25">
      <c r="A276" s="682" t="s">
        <v>624</v>
      </c>
      <c r="B276" s="685" t="s">
        <v>162</v>
      </c>
      <c r="C276" s="683" t="s">
        <v>163</v>
      </c>
      <c r="D276" s="634" t="s">
        <v>705</v>
      </c>
      <c r="E276" s="686" t="s">
        <v>164</v>
      </c>
      <c r="F276" s="686" t="s">
        <v>165</v>
      </c>
      <c r="G276" s="686" t="s">
        <v>881</v>
      </c>
      <c r="H276" s="686" t="s">
        <v>882</v>
      </c>
      <c r="I276" s="818" t="s">
        <v>883</v>
      </c>
    </row>
    <row r="277" spans="1:14" s="383" customFormat="1" ht="13.5" thickTop="1" thickBot="1" x14ac:dyDescent="0.25">
      <c r="A277" s="1199">
        <v>1</v>
      </c>
      <c r="B277" s="1200">
        <v>2</v>
      </c>
      <c r="C277" s="1200">
        <v>3</v>
      </c>
      <c r="D277" s="1200">
        <v>4</v>
      </c>
      <c r="E277" s="567">
        <v>5</v>
      </c>
      <c r="F277" s="1201">
        <v>6</v>
      </c>
      <c r="G277" s="1201">
        <v>7</v>
      </c>
      <c r="H277" s="1202">
        <v>8</v>
      </c>
      <c r="I277" s="1203" t="s">
        <v>762</v>
      </c>
    </row>
    <row r="278" spans="1:14" s="532" customFormat="1" ht="16.5" thickTop="1" thickBot="1" x14ac:dyDescent="0.3">
      <c r="A278" s="1211">
        <v>60001100235</v>
      </c>
      <c r="B278" s="967">
        <v>3122</v>
      </c>
      <c r="C278" s="1212">
        <v>5171</v>
      </c>
      <c r="D278" s="968">
        <v>10</v>
      </c>
      <c r="E278" s="1206" t="s">
        <v>896</v>
      </c>
      <c r="F278" s="889"/>
      <c r="G278" s="1214">
        <v>4928</v>
      </c>
      <c r="H278" s="889">
        <v>4928</v>
      </c>
      <c r="I278" s="1215">
        <f>(H278/G278)*100</f>
        <v>100</v>
      </c>
    </row>
    <row r="279" spans="1:14" s="532" customFormat="1" ht="18" customHeight="1" thickTop="1" thickBot="1" x14ac:dyDescent="0.3">
      <c r="A279" s="2672" t="s">
        <v>245</v>
      </c>
      <c r="B279" s="2673"/>
      <c r="C279" s="2673"/>
      <c r="D279" s="2673"/>
      <c r="E279" s="2673"/>
      <c r="F279" s="873">
        <f>F278</f>
        <v>0</v>
      </c>
      <c r="G279" s="873">
        <f>G278</f>
        <v>4928</v>
      </c>
      <c r="H279" s="873">
        <f>H278</f>
        <v>4928</v>
      </c>
      <c r="I279" s="856">
        <f>(H279/G279)*100</f>
        <v>100</v>
      </c>
    </row>
    <row r="280" spans="1:14" ht="13.5" thickTop="1" x14ac:dyDescent="0.2">
      <c r="K280" s="911"/>
      <c r="L280" s="911"/>
      <c r="M280" s="911"/>
      <c r="N280" s="432"/>
    </row>
    <row r="281" spans="1:14" x14ac:dyDescent="0.2">
      <c r="K281" s="911"/>
      <c r="L281" s="911"/>
      <c r="M281" s="911"/>
      <c r="N281" s="432"/>
    </row>
    <row r="282" spans="1:14" s="532" customFormat="1" ht="13.5" thickBot="1" x14ac:dyDescent="0.25">
      <c r="A282" s="432" t="s">
        <v>819</v>
      </c>
      <c r="B282" s="643"/>
      <c r="D282" s="814"/>
      <c r="F282" s="493"/>
      <c r="G282" s="493"/>
      <c r="H282" s="493"/>
      <c r="I282" s="949" t="s">
        <v>161</v>
      </c>
    </row>
    <row r="283" spans="1:14" s="107" customFormat="1" ht="20.25" customHeight="1" thickTop="1" thickBot="1" x14ac:dyDescent="0.25">
      <c r="A283" s="682" t="s">
        <v>624</v>
      </c>
      <c r="B283" s="685" t="s">
        <v>162</v>
      </c>
      <c r="C283" s="683" t="s">
        <v>163</v>
      </c>
      <c r="D283" s="634" t="s">
        <v>705</v>
      </c>
      <c r="E283" s="686" t="s">
        <v>164</v>
      </c>
      <c r="F283" s="686" t="s">
        <v>165</v>
      </c>
      <c r="G283" s="686" t="s">
        <v>881</v>
      </c>
      <c r="H283" s="686" t="s">
        <v>882</v>
      </c>
      <c r="I283" s="818" t="s">
        <v>883</v>
      </c>
    </row>
    <row r="284" spans="1:14" s="383" customFormat="1" ht="13.5" thickTop="1" thickBot="1" x14ac:dyDescent="0.25">
      <c r="A284" s="1199">
        <v>1</v>
      </c>
      <c r="B284" s="1200">
        <v>2</v>
      </c>
      <c r="C284" s="1200">
        <v>3</v>
      </c>
      <c r="D284" s="1200">
        <v>4</v>
      </c>
      <c r="E284" s="567">
        <v>5</v>
      </c>
      <c r="F284" s="1201">
        <v>6</v>
      </c>
      <c r="G284" s="1201">
        <v>7</v>
      </c>
      <c r="H284" s="1202">
        <v>8</v>
      </c>
      <c r="I284" s="1203" t="s">
        <v>762</v>
      </c>
    </row>
    <row r="285" spans="1:14" s="532" customFormat="1" ht="16.5" thickTop="1" thickBot="1" x14ac:dyDescent="0.3">
      <c r="A285" s="1211">
        <v>60001100236</v>
      </c>
      <c r="B285" s="967">
        <v>3114</v>
      </c>
      <c r="C285" s="1212">
        <v>5171</v>
      </c>
      <c r="D285" s="968">
        <v>10</v>
      </c>
      <c r="E285" s="1206" t="s">
        <v>896</v>
      </c>
      <c r="F285" s="889"/>
      <c r="G285" s="1214">
        <v>792</v>
      </c>
      <c r="H285" s="889">
        <v>619</v>
      </c>
      <c r="I285" s="1215">
        <f>(H285/G285)*100</f>
        <v>78.156565656565661</v>
      </c>
    </row>
    <row r="286" spans="1:14" s="532" customFormat="1" ht="18" customHeight="1" thickTop="1" thickBot="1" x14ac:dyDescent="0.3">
      <c r="A286" s="2672" t="s">
        <v>245</v>
      </c>
      <c r="B286" s="2673"/>
      <c r="C286" s="2673"/>
      <c r="D286" s="2673"/>
      <c r="E286" s="2673"/>
      <c r="F286" s="873">
        <f>F285</f>
        <v>0</v>
      </c>
      <c r="G286" s="873">
        <f>G285</f>
        <v>792</v>
      </c>
      <c r="H286" s="873">
        <f>H285</f>
        <v>619</v>
      </c>
      <c r="I286" s="856">
        <f>(H286/G286)*100</f>
        <v>78.156565656565661</v>
      </c>
    </row>
    <row r="287" spans="1:14" ht="13.5" thickTop="1" x14ac:dyDescent="0.2">
      <c r="K287" s="911"/>
      <c r="L287" s="911"/>
      <c r="M287" s="911"/>
      <c r="N287" s="432"/>
    </row>
    <row r="288" spans="1:14" x14ac:dyDescent="0.2">
      <c r="K288" s="911"/>
      <c r="L288" s="911"/>
      <c r="M288" s="911"/>
      <c r="N288" s="432"/>
    </row>
    <row r="289" spans="1:14" x14ac:dyDescent="0.2">
      <c r="K289" s="911"/>
      <c r="L289" s="911"/>
      <c r="M289" s="911"/>
      <c r="N289" s="432"/>
    </row>
    <row r="290" spans="1:14" ht="13.5" thickBot="1" x14ac:dyDescent="0.25">
      <c r="A290" s="1263" t="s">
        <v>820</v>
      </c>
      <c r="B290" s="1264"/>
      <c r="C290" s="1264"/>
      <c r="D290" s="1264"/>
      <c r="E290" s="1264"/>
      <c r="F290" s="1264"/>
      <c r="G290" s="1264"/>
      <c r="H290" s="1264"/>
      <c r="I290" s="954" t="s">
        <v>161</v>
      </c>
    </row>
    <row r="291" spans="1:14" s="107" customFormat="1" ht="20.25" customHeight="1" thickTop="1" thickBot="1" x14ac:dyDescent="0.25">
      <c r="A291" s="682" t="s">
        <v>624</v>
      </c>
      <c r="B291" s="685" t="s">
        <v>162</v>
      </c>
      <c r="C291" s="683" t="s">
        <v>163</v>
      </c>
      <c r="D291" s="634" t="s">
        <v>705</v>
      </c>
      <c r="E291" s="686" t="s">
        <v>164</v>
      </c>
      <c r="F291" s="686" t="s">
        <v>165</v>
      </c>
      <c r="G291" s="686" t="s">
        <v>881</v>
      </c>
      <c r="H291" s="686" t="s">
        <v>882</v>
      </c>
      <c r="I291" s="818" t="s">
        <v>883</v>
      </c>
    </row>
    <row r="292" spans="1:14" s="383" customFormat="1" ht="13.5" thickTop="1" thickBot="1" x14ac:dyDescent="0.25">
      <c r="A292" s="1199">
        <v>1</v>
      </c>
      <c r="B292" s="1200">
        <v>2</v>
      </c>
      <c r="C292" s="1200">
        <v>3</v>
      </c>
      <c r="D292" s="1200">
        <v>4</v>
      </c>
      <c r="E292" s="567">
        <v>5</v>
      </c>
      <c r="F292" s="1201">
        <v>6</v>
      </c>
      <c r="G292" s="1201">
        <v>7</v>
      </c>
      <c r="H292" s="1202">
        <v>8</v>
      </c>
      <c r="I292" s="1203" t="s">
        <v>762</v>
      </c>
    </row>
    <row r="293" spans="1:14" s="532" customFormat="1" ht="16.5" thickTop="1" thickBot="1" x14ac:dyDescent="0.3">
      <c r="A293" s="1211">
        <v>60001100237</v>
      </c>
      <c r="B293" s="967">
        <v>3122</v>
      </c>
      <c r="C293" s="1212">
        <v>6121</v>
      </c>
      <c r="D293" s="968">
        <v>10</v>
      </c>
      <c r="E293" s="1213" t="s">
        <v>603</v>
      </c>
      <c r="F293" s="889"/>
      <c r="G293" s="1214">
        <v>1201</v>
      </c>
      <c r="H293" s="889">
        <v>1200</v>
      </c>
      <c r="I293" s="1215">
        <f>(H293/G293)*100</f>
        <v>99.916736053288929</v>
      </c>
    </row>
    <row r="294" spans="1:14" s="532" customFormat="1" ht="18" customHeight="1" thickTop="1" thickBot="1" x14ac:dyDescent="0.3">
      <c r="A294" s="2692" t="s">
        <v>244</v>
      </c>
      <c r="B294" s="2685"/>
      <c r="C294" s="2685"/>
      <c r="D294" s="2685"/>
      <c r="E294" s="2685"/>
      <c r="F294" s="873">
        <f>F293</f>
        <v>0</v>
      </c>
      <c r="G294" s="873">
        <f>G293</f>
        <v>1201</v>
      </c>
      <c r="H294" s="873">
        <f>H293</f>
        <v>1200</v>
      </c>
      <c r="I294" s="856">
        <f>(H294/G294)*100</f>
        <v>99.916736053288929</v>
      </c>
    </row>
    <row r="295" spans="1:14" ht="13.5" thickTop="1" x14ac:dyDescent="0.2">
      <c r="K295" s="911"/>
      <c r="L295" s="911"/>
      <c r="M295" s="911"/>
      <c r="N295" s="432"/>
    </row>
    <row r="296" spans="1:14" x14ac:dyDescent="0.2">
      <c r="K296" s="911"/>
      <c r="L296" s="911"/>
      <c r="M296" s="911"/>
      <c r="N296" s="432"/>
    </row>
    <row r="297" spans="1:14" s="532" customFormat="1" ht="13.5" thickBot="1" x14ac:dyDescent="0.25">
      <c r="A297" s="432" t="s">
        <v>821</v>
      </c>
      <c r="B297" s="643"/>
      <c r="D297" s="814"/>
      <c r="F297" s="493"/>
      <c r="G297" s="493"/>
      <c r="H297" s="493"/>
      <c r="I297" s="949" t="s">
        <v>161</v>
      </c>
    </row>
    <row r="298" spans="1:14" s="107" customFormat="1" ht="20.25" customHeight="1" thickTop="1" thickBot="1" x14ac:dyDescent="0.25">
      <c r="A298" s="682" t="s">
        <v>624</v>
      </c>
      <c r="B298" s="685" t="s">
        <v>162</v>
      </c>
      <c r="C298" s="683" t="s">
        <v>163</v>
      </c>
      <c r="D298" s="634" t="s">
        <v>705</v>
      </c>
      <c r="E298" s="686" t="s">
        <v>164</v>
      </c>
      <c r="F298" s="686" t="s">
        <v>165</v>
      </c>
      <c r="G298" s="686" t="s">
        <v>881</v>
      </c>
      <c r="H298" s="686" t="s">
        <v>882</v>
      </c>
      <c r="I298" s="818" t="s">
        <v>883</v>
      </c>
    </row>
    <row r="299" spans="1:14" s="383" customFormat="1" ht="13.5" thickTop="1" thickBot="1" x14ac:dyDescent="0.25">
      <c r="A299" s="1199">
        <v>1</v>
      </c>
      <c r="B299" s="1200">
        <v>2</v>
      </c>
      <c r="C299" s="1200">
        <v>3</v>
      </c>
      <c r="D299" s="1200">
        <v>4</v>
      </c>
      <c r="E299" s="567">
        <v>5</v>
      </c>
      <c r="F299" s="1201">
        <v>6</v>
      </c>
      <c r="G299" s="1201">
        <v>7</v>
      </c>
      <c r="H299" s="1202">
        <v>8</v>
      </c>
      <c r="I299" s="1203" t="s">
        <v>762</v>
      </c>
    </row>
    <row r="300" spans="1:14" s="532" customFormat="1" ht="16.5" thickTop="1" thickBot="1" x14ac:dyDescent="0.3">
      <c r="A300" s="1211">
        <v>60001100238</v>
      </c>
      <c r="B300" s="967">
        <v>3122</v>
      </c>
      <c r="C300" s="1212">
        <v>5171</v>
      </c>
      <c r="D300" s="968">
        <v>10</v>
      </c>
      <c r="E300" s="1206" t="s">
        <v>896</v>
      </c>
      <c r="F300" s="889"/>
      <c r="G300" s="1214">
        <v>665</v>
      </c>
      <c r="H300" s="889">
        <v>665</v>
      </c>
      <c r="I300" s="1215">
        <f>(H300/G300)*100</f>
        <v>100</v>
      </c>
    </row>
    <row r="301" spans="1:14" s="532" customFormat="1" ht="18" customHeight="1" thickTop="1" thickBot="1" x14ac:dyDescent="0.3">
      <c r="A301" s="2672" t="s">
        <v>245</v>
      </c>
      <c r="B301" s="2673"/>
      <c r="C301" s="2673"/>
      <c r="D301" s="2673"/>
      <c r="E301" s="2673"/>
      <c r="F301" s="873">
        <f>F300</f>
        <v>0</v>
      </c>
      <c r="G301" s="873">
        <f>G300</f>
        <v>665</v>
      </c>
      <c r="H301" s="873">
        <f>H300</f>
        <v>665</v>
      </c>
      <c r="I301" s="856">
        <f>(H301/G301)*100</f>
        <v>100</v>
      </c>
    </row>
    <row r="302" spans="1:14" ht="13.5" thickTop="1" x14ac:dyDescent="0.2">
      <c r="K302" s="911"/>
      <c r="L302" s="911"/>
      <c r="M302" s="911"/>
      <c r="N302" s="432"/>
    </row>
    <row r="303" spans="1:14" x14ac:dyDescent="0.2">
      <c r="K303" s="911"/>
      <c r="L303" s="911"/>
      <c r="M303" s="911"/>
      <c r="N303" s="432"/>
    </row>
    <row r="304" spans="1:14" s="532" customFormat="1" ht="13.5" thickBot="1" x14ac:dyDescent="0.25">
      <c r="A304" s="432" t="s">
        <v>822</v>
      </c>
      <c r="B304" s="643"/>
      <c r="D304" s="814"/>
      <c r="F304" s="493"/>
      <c r="G304" s="493"/>
      <c r="H304" s="493"/>
      <c r="I304" s="949" t="s">
        <v>161</v>
      </c>
    </row>
    <row r="305" spans="1:14" s="107" customFormat="1" ht="20.25" customHeight="1" thickTop="1" thickBot="1" x14ac:dyDescent="0.25">
      <c r="A305" s="682" t="s">
        <v>624</v>
      </c>
      <c r="B305" s="685" t="s">
        <v>162</v>
      </c>
      <c r="C305" s="683" t="s">
        <v>163</v>
      </c>
      <c r="D305" s="634" t="s">
        <v>705</v>
      </c>
      <c r="E305" s="686" t="s">
        <v>164</v>
      </c>
      <c r="F305" s="686" t="s">
        <v>165</v>
      </c>
      <c r="G305" s="686" t="s">
        <v>881</v>
      </c>
      <c r="H305" s="686" t="s">
        <v>882</v>
      </c>
      <c r="I305" s="818" t="s">
        <v>883</v>
      </c>
    </row>
    <row r="306" spans="1:14" s="383" customFormat="1" ht="13.5" thickTop="1" thickBot="1" x14ac:dyDescent="0.25">
      <c r="A306" s="1199">
        <v>1</v>
      </c>
      <c r="B306" s="1200">
        <v>2</v>
      </c>
      <c r="C306" s="1200">
        <v>3</v>
      </c>
      <c r="D306" s="1200">
        <v>4</v>
      </c>
      <c r="E306" s="567">
        <v>5</v>
      </c>
      <c r="F306" s="1201">
        <v>6</v>
      </c>
      <c r="G306" s="1201">
        <v>7</v>
      </c>
      <c r="H306" s="1202">
        <v>8</v>
      </c>
      <c r="I306" s="1203" t="s">
        <v>762</v>
      </c>
    </row>
    <row r="307" spans="1:14" s="532" customFormat="1" ht="16.5" thickTop="1" thickBot="1" x14ac:dyDescent="0.3">
      <c r="A307" s="1211">
        <v>60001100239</v>
      </c>
      <c r="B307" s="967">
        <v>3122</v>
      </c>
      <c r="C307" s="1212">
        <v>5171</v>
      </c>
      <c r="D307" s="968">
        <v>10</v>
      </c>
      <c r="E307" s="1206" t="s">
        <v>896</v>
      </c>
      <c r="F307" s="889"/>
      <c r="G307" s="1214">
        <v>590</v>
      </c>
      <c r="H307" s="889">
        <v>590</v>
      </c>
      <c r="I307" s="1215">
        <f>(H307/G307)*100</f>
        <v>100</v>
      </c>
    </row>
    <row r="308" spans="1:14" s="532" customFormat="1" ht="18" customHeight="1" thickTop="1" thickBot="1" x14ac:dyDescent="0.3">
      <c r="A308" s="2672" t="s">
        <v>245</v>
      </c>
      <c r="B308" s="2673"/>
      <c r="C308" s="2673"/>
      <c r="D308" s="2673"/>
      <c r="E308" s="2673"/>
      <c r="F308" s="873">
        <f>F307</f>
        <v>0</v>
      </c>
      <c r="G308" s="873">
        <f>G307</f>
        <v>590</v>
      </c>
      <c r="H308" s="873">
        <f>H307</f>
        <v>590</v>
      </c>
      <c r="I308" s="856">
        <f>(H308/G308)*100</f>
        <v>100</v>
      </c>
    </row>
    <row r="309" spans="1:14" ht="13.5" thickTop="1" x14ac:dyDescent="0.2">
      <c r="K309" s="911"/>
      <c r="L309" s="911"/>
      <c r="M309" s="911"/>
      <c r="N309" s="432"/>
    </row>
    <row r="310" spans="1:14" x14ac:dyDescent="0.2">
      <c r="K310" s="911"/>
      <c r="L310" s="911"/>
      <c r="M310" s="911"/>
      <c r="N310" s="432"/>
    </row>
    <row r="311" spans="1:14" s="532" customFormat="1" ht="13.5" thickBot="1" x14ac:dyDescent="0.25">
      <c r="A311" s="432" t="s">
        <v>77</v>
      </c>
      <c r="B311" s="643"/>
      <c r="D311" s="814"/>
      <c r="F311" s="493"/>
      <c r="G311" s="493"/>
      <c r="H311" s="493"/>
      <c r="I311" s="949" t="s">
        <v>161</v>
      </c>
    </row>
    <row r="312" spans="1:14" s="107" customFormat="1" ht="20.25" customHeight="1" thickTop="1" thickBot="1" x14ac:dyDescent="0.25">
      <c r="A312" s="682" t="s">
        <v>624</v>
      </c>
      <c r="B312" s="685" t="s">
        <v>162</v>
      </c>
      <c r="C312" s="683" t="s">
        <v>163</v>
      </c>
      <c r="D312" s="634" t="s">
        <v>705</v>
      </c>
      <c r="E312" s="686" t="s">
        <v>164</v>
      </c>
      <c r="F312" s="686" t="s">
        <v>165</v>
      </c>
      <c r="G312" s="686" t="s">
        <v>881</v>
      </c>
      <c r="H312" s="686" t="s">
        <v>882</v>
      </c>
      <c r="I312" s="818" t="s">
        <v>883</v>
      </c>
    </row>
    <row r="313" spans="1:14" s="383" customFormat="1" ht="13.5" thickTop="1" thickBot="1" x14ac:dyDescent="0.25">
      <c r="A313" s="1199">
        <v>1</v>
      </c>
      <c r="B313" s="1200">
        <v>2</v>
      </c>
      <c r="C313" s="1200">
        <v>3</v>
      </c>
      <c r="D313" s="1200">
        <v>4</v>
      </c>
      <c r="E313" s="567">
        <v>5</v>
      </c>
      <c r="F313" s="1201">
        <v>6</v>
      </c>
      <c r="G313" s="1201">
        <v>7</v>
      </c>
      <c r="H313" s="1202">
        <v>8</v>
      </c>
      <c r="I313" s="1203" t="s">
        <v>762</v>
      </c>
    </row>
    <row r="314" spans="1:14" s="532" customFormat="1" ht="16.5" thickTop="1" thickBot="1" x14ac:dyDescent="0.3">
      <c r="A314" s="1211">
        <v>60001100240</v>
      </c>
      <c r="B314" s="967">
        <v>3122</v>
      </c>
      <c r="C314" s="1212">
        <v>5171</v>
      </c>
      <c r="D314" s="968">
        <v>10</v>
      </c>
      <c r="E314" s="1206" t="s">
        <v>896</v>
      </c>
      <c r="F314" s="889"/>
      <c r="G314" s="1214">
        <v>1252</v>
      </c>
      <c r="H314" s="889">
        <v>1252</v>
      </c>
      <c r="I314" s="1215">
        <f>(H314/G314)*100</f>
        <v>100</v>
      </c>
    </row>
    <row r="315" spans="1:14" s="532" customFormat="1" ht="18" customHeight="1" thickTop="1" thickBot="1" x14ac:dyDescent="0.3">
      <c r="A315" s="2672" t="s">
        <v>245</v>
      </c>
      <c r="B315" s="2673"/>
      <c r="C315" s="2673"/>
      <c r="D315" s="2673"/>
      <c r="E315" s="2673"/>
      <c r="F315" s="873">
        <f>F314</f>
        <v>0</v>
      </c>
      <c r="G315" s="873">
        <f>G314</f>
        <v>1252</v>
      </c>
      <c r="H315" s="873">
        <f>H314</f>
        <v>1252</v>
      </c>
      <c r="I315" s="856">
        <f>(H315/G315)*100</f>
        <v>100</v>
      </c>
    </row>
    <row r="316" spans="1:14" ht="13.5" thickTop="1" x14ac:dyDescent="0.2">
      <c r="K316" s="911"/>
      <c r="L316" s="911"/>
      <c r="M316" s="911"/>
      <c r="N316" s="432"/>
    </row>
    <row r="317" spans="1:14" x14ac:dyDescent="0.2">
      <c r="K317" s="911"/>
      <c r="L317" s="911"/>
      <c r="M317" s="911"/>
      <c r="N317" s="432"/>
    </row>
    <row r="318" spans="1:14" s="532" customFormat="1" ht="13.5" thickBot="1" x14ac:dyDescent="0.25">
      <c r="A318" s="432" t="s">
        <v>78</v>
      </c>
      <c r="B318" s="643"/>
      <c r="D318" s="814"/>
      <c r="F318" s="493"/>
      <c r="G318" s="493"/>
      <c r="H318" s="493"/>
      <c r="I318" s="949" t="s">
        <v>161</v>
      </c>
    </row>
    <row r="319" spans="1:14" s="107" customFormat="1" ht="20.25" customHeight="1" thickTop="1" thickBot="1" x14ac:dyDescent="0.25">
      <c r="A319" s="682" t="s">
        <v>624</v>
      </c>
      <c r="B319" s="685" t="s">
        <v>162</v>
      </c>
      <c r="C319" s="683" t="s">
        <v>163</v>
      </c>
      <c r="D319" s="634" t="s">
        <v>705</v>
      </c>
      <c r="E319" s="686" t="s">
        <v>164</v>
      </c>
      <c r="F319" s="686" t="s">
        <v>165</v>
      </c>
      <c r="G319" s="686" t="s">
        <v>881</v>
      </c>
      <c r="H319" s="686" t="s">
        <v>882</v>
      </c>
      <c r="I319" s="818" t="s">
        <v>883</v>
      </c>
    </row>
    <row r="320" spans="1:14" s="383" customFormat="1" ht="13.5" thickTop="1" thickBot="1" x14ac:dyDescent="0.25">
      <c r="A320" s="1199">
        <v>1</v>
      </c>
      <c r="B320" s="1200">
        <v>2</v>
      </c>
      <c r="C320" s="1200">
        <v>3</v>
      </c>
      <c r="D320" s="1200">
        <v>4</v>
      </c>
      <c r="E320" s="567">
        <v>5</v>
      </c>
      <c r="F320" s="1201">
        <v>6</v>
      </c>
      <c r="G320" s="1201">
        <v>7</v>
      </c>
      <c r="H320" s="1202">
        <v>8</v>
      </c>
      <c r="I320" s="1203" t="s">
        <v>762</v>
      </c>
    </row>
    <row r="321" spans="1:14" s="532" customFormat="1" ht="16.5" thickTop="1" thickBot="1" x14ac:dyDescent="0.3">
      <c r="A321" s="1211">
        <v>60001100241</v>
      </c>
      <c r="B321" s="967">
        <v>3122</v>
      </c>
      <c r="C321" s="1212">
        <v>5171</v>
      </c>
      <c r="D321" s="968">
        <v>10</v>
      </c>
      <c r="E321" s="1206" t="s">
        <v>896</v>
      </c>
      <c r="F321" s="889"/>
      <c r="G321" s="1214">
        <v>654</v>
      </c>
      <c r="H321" s="889">
        <v>654</v>
      </c>
      <c r="I321" s="1215">
        <f>(H321/G321)*100</f>
        <v>100</v>
      </c>
    </row>
    <row r="322" spans="1:14" s="532" customFormat="1" ht="18" customHeight="1" thickTop="1" thickBot="1" x14ac:dyDescent="0.3">
      <c r="A322" s="2672" t="s">
        <v>245</v>
      </c>
      <c r="B322" s="2673"/>
      <c r="C322" s="2673"/>
      <c r="D322" s="2673"/>
      <c r="E322" s="2673"/>
      <c r="F322" s="873">
        <f>F321</f>
        <v>0</v>
      </c>
      <c r="G322" s="873">
        <f>G321</f>
        <v>654</v>
      </c>
      <c r="H322" s="873">
        <f>H321</f>
        <v>654</v>
      </c>
      <c r="I322" s="856">
        <f>(H322/G322)*100</f>
        <v>100</v>
      </c>
    </row>
    <row r="323" spans="1:14" ht="13.5" thickTop="1" x14ac:dyDescent="0.2">
      <c r="K323" s="911"/>
      <c r="L323" s="911"/>
      <c r="M323" s="911"/>
      <c r="N323" s="432"/>
    </row>
    <row r="324" spans="1:14" x14ac:dyDescent="0.2">
      <c r="K324" s="911"/>
      <c r="L324" s="911"/>
      <c r="M324" s="911"/>
      <c r="N324" s="432"/>
    </row>
    <row r="325" spans="1:14" s="532" customFormat="1" ht="13.5" thickBot="1" x14ac:dyDescent="0.25">
      <c r="A325" s="432" t="s">
        <v>79</v>
      </c>
      <c r="B325" s="643"/>
      <c r="D325" s="814"/>
      <c r="F325" s="493"/>
      <c r="G325" s="493"/>
      <c r="H325" s="493"/>
      <c r="I325" s="949" t="s">
        <v>161</v>
      </c>
    </row>
    <row r="326" spans="1:14" s="107" customFormat="1" ht="20.25" customHeight="1" thickTop="1" thickBot="1" x14ac:dyDescent="0.25">
      <c r="A326" s="682" t="s">
        <v>624</v>
      </c>
      <c r="B326" s="685" t="s">
        <v>162</v>
      </c>
      <c r="C326" s="683" t="s">
        <v>163</v>
      </c>
      <c r="D326" s="634" t="s">
        <v>705</v>
      </c>
      <c r="E326" s="686" t="s">
        <v>164</v>
      </c>
      <c r="F326" s="686" t="s">
        <v>165</v>
      </c>
      <c r="G326" s="686" t="s">
        <v>881</v>
      </c>
      <c r="H326" s="686" t="s">
        <v>882</v>
      </c>
      <c r="I326" s="818" t="s">
        <v>883</v>
      </c>
    </row>
    <row r="327" spans="1:14" s="383" customFormat="1" ht="13.5" thickTop="1" thickBot="1" x14ac:dyDescent="0.25">
      <c r="A327" s="1199">
        <v>1</v>
      </c>
      <c r="B327" s="1200">
        <v>2</v>
      </c>
      <c r="C327" s="1200">
        <v>3</v>
      </c>
      <c r="D327" s="1200">
        <v>4</v>
      </c>
      <c r="E327" s="567">
        <v>5</v>
      </c>
      <c r="F327" s="1201">
        <v>6</v>
      </c>
      <c r="G327" s="1201">
        <v>7</v>
      </c>
      <c r="H327" s="1202">
        <v>8</v>
      </c>
      <c r="I327" s="1203" t="s">
        <v>762</v>
      </c>
    </row>
    <row r="328" spans="1:14" s="532" customFormat="1" ht="16.5" thickTop="1" thickBot="1" x14ac:dyDescent="0.3">
      <c r="A328" s="1211">
        <v>60001100242</v>
      </c>
      <c r="B328" s="967">
        <v>3122</v>
      </c>
      <c r="C328" s="1212">
        <v>5171</v>
      </c>
      <c r="D328" s="968">
        <v>10</v>
      </c>
      <c r="E328" s="1206" t="s">
        <v>896</v>
      </c>
      <c r="F328" s="889"/>
      <c r="G328" s="1214">
        <v>1309</v>
      </c>
      <c r="H328" s="889">
        <v>1308</v>
      </c>
      <c r="I328" s="1215">
        <f>(H328/G328)*100</f>
        <v>99.923605805958744</v>
      </c>
    </row>
    <row r="329" spans="1:14" s="532" customFormat="1" ht="18" customHeight="1" thickTop="1" thickBot="1" x14ac:dyDescent="0.3">
      <c r="A329" s="2672" t="s">
        <v>245</v>
      </c>
      <c r="B329" s="2673"/>
      <c r="C329" s="2673"/>
      <c r="D329" s="2673"/>
      <c r="E329" s="2673"/>
      <c r="F329" s="873">
        <f>F328</f>
        <v>0</v>
      </c>
      <c r="G329" s="873">
        <f>G328</f>
        <v>1309</v>
      </c>
      <c r="H329" s="873">
        <f>H328</f>
        <v>1308</v>
      </c>
      <c r="I329" s="856">
        <f>(H329/G329)*100</f>
        <v>99.923605805958744</v>
      </c>
    </row>
    <row r="330" spans="1:14" ht="13.5" thickTop="1" x14ac:dyDescent="0.2">
      <c r="K330" s="911"/>
      <c r="L330" s="911"/>
      <c r="M330" s="911"/>
      <c r="N330" s="432"/>
    </row>
    <row r="331" spans="1:14" x14ac:dyDescent="0.2">
      <c r="K331" s="911"/>
      <c r="L331" s="911"/>
      <c r="M331" s="911"/>
      <c r="N331" s="432"/>
    </row>
    <row r="332" spans="1:14" x14ac:dyDescent="0.2">
      <c r="K332" s="911"/>
      <c r="L332" s="911"/>
      <c r="M332" s="911"/>
      <c r="N332" s="432"/>
    </row>
    <row r="333" spans="1:14" x14ac:dyDescent="0.2">
      <c r="K333" s="911"/>
      <c r="L333" s="911"/>
      <c r="M333" s="911"/>
      <c r="N333" s="432"/>
    </row>
    <row r="334" spans="1:14" x14ac:dyDescent="0.2">
      <c r="K334" s="911"/>
      <c r="L334" s="911"/>
      <c r="M334" s="911"/>
      <c r="N334" s="432"/>
    </row>
    <row r="335" spans="1:14" s="532" customFormat="1" ht="13.5" thickBot="1" x14ac:dyDescent="0.25">
      <c r="A335" s="432" t="s">
        <v>1053</v>
      </c>
      <c r="B335" s="643"/>
      <c r="D335" s="814"/>
      <c r="F335" s="493"/>
      <c r="G335" s="493"/>
      <c r="H335" s="493"/>
      <c r="I335" s="949" t="s">
        <v>161</v>
      </c>
    </row>
    <row r="336" spans="1:14" s="107" customFormat="1" ht="20.25" customHeight="1" thickTop="1" thickBot="1" x14ac:dyDescent="0.25">
      <c r="A336" s="682" t="s">
        <v>624</v>
      </c>
      <c r="B336" s="685" t="s">
        <v>162</v>
      </c>
      <c r="C336" s="683" t="s">
        <v>163</v>
      </c>
      <c r="D336" s="634" t="s">
        <v>705</v>
      </c>
      <c r="E336" s="686" t="s">
        <v>164</v>
      </c>
      <c r="F336" s="686" t="s">
        <v>165</v>
      </c>
      <c r="G336" s="686" t="s">
        <v>881</v>
      </c>
      <c r="H336" s="686" t="s">
        <v>882</v>
      </c>
      <c r="I336" s="818" t="s">
        <v>883</v>
      </c>
    </row>
    <row r="337" spans="1:14" s="383" customFormat="1" ht="13.5" thickTop="1" thickBot="1" x14ac:dyDescent="0.25">
      <c r="A337" s="1199">
        <v>1</v>
      </c>
      <c r="B337" s="1200">
        <v>2</v>
      </c>
      <c r="C337" s="1200">
        <v>3</v>
      </c>
      <c r="D337" s="1200">
        <v>4</v>
      </c>
      <c r="E337" s="567">
        <v>5</v>
      </c>
      <c r="F337" s="1201">
        <v>6</v>
      </c>
      <c r="G337" s="1201">
        <v>7</v>
      </c>
      <c r="H337" s="1202">
        <v>8</v>
      </c>
      <c r="I337" s="1203" t="s">
        <v>762</v>
      </c>
    </row>
    <row r="338" spans="1:14" s="532" customFormat="1" ht="16.5" thickTop="1" thickBot="1" x14ac:dyDescent="0.3">
      <c r="A338" s="1211">
        <v>60001100243</v>
      </c>
      <c r="B338" s="967">
        <v>3121</v>
      </c>
      <c r="C338" s="1212">
        <v>5171</v>
      </c>
      <c r="D338" s="968">
        <v>10</v>
      </c>
      <c r="E338" s="1206" t="s">
        <v>896</v>
      </c>
      <c r="F338" s="889"/>
      <c r="G338" s="1214">
        <v>93</v>
      </c>
      <c r="H338" s="889">
        <v>92</v>
      </c>
      <c r="I338" s="1215">
        <f>(H338/G338)*100</f>
        <v>98.924731182795696</v>
      </c>
    </row>
    <row r="339" spans="1:14" s="532" customFormat="1" ht="18" customHeight="1" thickTop="1" thickBot="1" x14ac:dyDescent="0.3">
      <c r="A339" s="2672" t="s">
        <v>245</v>
      </c>
      <c r="B339" s="2673"/>
      <c r="C339" s="2673"/>
      <c r="D339" s="2673"/>
      <c r="E339" s="2673"/>
      <c r="F339" s="873">
        <f>F338</f>
        <v>0</v>
      </c>
      <c r="G339" s="873">
        <f>G338</f>
        <v>93</v>
      </c>
      <c r="H339" s="873">
        <f>H338</f>
        <v>92</v>
      </c>
      <c r="I339" s="856">
        <f>(H339/G339)*100</f>
        <v>98.924731182795696</v>
      </c>
    </row>
    <row r="340" spans="1:14" ht="13.5" thickTop="1" x14ac:dyDescent="0.2">
      <c r="K340" s="911"/>
      <c r="L340" s="911"/>
      <c r="M340" s="911"/>
      <c r="N340" s="432"/>
    </row>
    <row r="341" spans="1:14" x14ac:dyDescent="0.2">
      <c r="K341" s="911"/>
      <c r="L341" s="911"/>
      <c r="M341" s="911"/>
      <c r="N341" s="432"/>
    </row>
    <row r="342" spans="1:14" s="532" customFormat="1" ht="13.5" thickBot="1" x14ac:dyDescent="0.25">
      <c r="A342" s="432" t="s">
        <v>1054</v>
      </c>
      <c r="B342" s="643"/>
      <c r="D342" s="814"/>
      <c r="F342" s="493"/>
      <c r="G342" s="493"/>
      <c r="H342" s="493"/>
      <c r="I342" s="949" t="s">
        <v>161</v>
      </c>
    </row>
    <row r="343" spans="1:14" s="107" customFormat="1" ht="20.25" customHeight="1" thickTop="1" thickBot="1" x14ac:dyDescent="0.25">
      <c r="A343" s="682" t="s">
        <v>624</v>
      </c>
      <c r="B343" s="685" t="s">
        <v>162</v>
      </c>
      <c r="C343" s="683" t="s">
        <v>163</v>
      </c>
      <c r="D343" s="634" t="s">
        <v>705</v>
      </c>
      <c r="E343" s="686" t="s">
        <v>164</v>
      </c>
      <c r="F343" s="686" t="s">
        <v>165</v>
      </c>
      <c r="G343" s="686" t="s">
        <v>881</v>
      </c>
      <c r="H343" s="686" t="s">
        <v>882</v>
      </c>
      <c r="I343" s="818" t="s">
        <v>883</v>
      </c>
    </row>
    <row r="344" spans="1:14" s="383" customFormat="1" ht="13.5" thickTop="1" thickBot="1" x14ac:dyDescent="0.25">
      <c r="A344" s="1199">
        <v>1</v>
      </c>
      <c r="B344" s="1200">
        <v>2</v>
      </c>
      <c r="C344" s="1200">
        <v>3</v>
      </c>
      <c r="D344" s="1200">
        <v>4</v>
      </c>
      <c r="E344" s="567">
        <v>5</v>
      </c>
      <c r="F344" s="1201">
        <v>6</v>
      </c>
      <c r="G344" s="1201">
        <v>7</v>
      </c>
      <c r="H344" s="1202">
        <v>8</v>
      </c>
      <c r="I344" s="1203" t="s">
        <v>762</v>
      </c>
    </row>
    <row r="345" spans="1:14" s="532" customFormat="1" ht="16.5" thickTop="1" thickBot="1" x14ac:dyDescent="0.3">
      <c r="A345" s="1211">
        <v>60001100244</v>
      </c>
      <c r="B345" s="967">
        <v>3114</v>
      </c>
      <c r="C345" s="1212">
        <v>5171</v>
      </c>
      <c r="D345" s="968">
        <v>10</v>
      </c>
      <c r="E345" s="1206" t="s">
        <v>896</v>
      </c>
      <c r="F345" s="889"/>
      <c r="G345" s="1214">
        <v>120</v>
      </c>
      <c r="H345" s="889">
        <v>107</v>
      </c>
      <c r="I345" s="1215">
        <f>(H345/G345)*100</f>
        <v>89.166666666666671</v>
      </c>
    </row>
    <row r="346" spans="1:14" s="532" customFormat="1" ht="18" customHeight="1" thickTop="1" thickBot="1" x14ac:dyDescent="0.3">
      <c r="A346" s="2672" t="s">
        <v>245</v>
      </c>
      <c r="B346" s="2673"/>
      <c r="C346" s="2673"/>
      <c r="D346" s="2673"/>
      <c r="E346" s="2673"/>
      <c r="F346" s="873">
        <f>F345</f>
        <v>0</v>
      </c>
      <c r="G346" s="873">
        <f>G345</f>
        <v>120</v>
      </c>
      <c r="H346" s="873">
        <f>H345</f>
        <v>107</v>
      </c>
      <c r="I346" s="856">
        <f>(H346/G346)*100</f>
        <v>89.166666666666671</v>
      </c>
    </row>
    <row r="347" spans="1:14" ht="13.5" thickTop="1" x14ac:dyDescent="0.2">
      <c r="K347" s="911"/>
      <c r="L347" s="911"/>
      <c r="M347" s="911"/>
      <c r="N347" s="432"/>
    </row>
    <row r="348" spans="1:14" x14ac:dyDescent="0.2">
      <c r="K348" s="911"/>
      <c r="L348" s="911"/>
      <c r="M348" s="911"/>
      <c r="N348" s="432"/>
    </row>
    <row r="349" spans="1:14" x14ac:dyDescent="0.2">
      <c r="A349" s="2734" t="s">
        <v>461</v>
      </c>
      <c r="B349" s="2735"/>
      <c r="C349" s="2735"/>
      <c r="D349" s="2735"/>
      <c r="E349" s="2735"/>
      <c r="F349" s="2735"/>
      <c r="G349" s="2735"/>
      <c r="H349" s="2735"/>
      <c r="I349" s="949"/>
      <c r="J349" s="532"/>
      <c r="K349" s="911"/>
      <c r="L349" s="911"/>
      <c r="M349" s="911"/>
      <c r="N349" s="432"/>
    </row>
    <row r="350" spans="1:14" s="532" customFormat="1" ht="13.5" thickBot="1" x14ac:dyDescent="0.25">
      <c r="A350" s="2736"/>
      <c r="B350" s="2736"/>
      <c r="C350" s="2736"/>
      <c r="D350" s="2736"/>
      <c r="E350" s="2736"/>
      <c r="F350" s="2736"/>
      <c r="G350" s="2736"/>
      <c r="H350" s="2736"/>
      <c r="I350" s="949" t="s">
        <v>161</v>
      </c>
    </row>
    <row r="351" spans="1:14" s="107" customFormat="1" ht="20.25" customHeight="1" thickTop="1" thickBot="1" x14ac:dyDescent="0.25">
      <c r="A351" s="682" t="s">
        <v>624</v>
      </c>
      <c r="B351" s="685" t="s">
        <v>162</v>
      </c>
      <c r="C351" s="683" t="s">
        <v>163</v>
      </c>
      <c r="D351" s="634" t="s">
        <v>705</v>
      </c>
      <c r="E351" s="686" t="s">
        <v>164</v>
      </c>
      <c r="F351" s="686" t="s">
        <v>165</v>
      </c>
      <c r="G351" s="686" t="s">
        <v>881</v>
      </c>
      <c r="H351" s="686" t="s">
        <v>882</v>
      </c>
      <c r="I351" s="818" t="s">
        <v>883</v>
      </c>
    </row>
    <row r="352" spans="1:14" s="383" customFormat="1" ht="13.5" thickTop="1" thickBot="1" x14ac:dyDescent="0.25">
      <c r="A352" s="1199">
        <v>1</v>
      </c>
      <c r="B352" s="1200">
        <v>2</v>
      </c>
      <c r="C352" s="1200">
        <v>3</v>
      </c>
      <c r="D352" s="1200">
        <v>4</v>
      </c>
      <c r="E352" s="567">
        <v>5</v>
      </c>
      <c r="F352" s="1201">
        <v>6</v>
      </c>
      <c r="G352" s="1201">
        <v>7</v>
      </c>
      <c r="H352" s="1202">
        <v>8</v>
      </c>
      <c r="I352" s="1203" t="s">
        <v>762</v>
      </c>
    </row>
    <row r="353" spans="1:14" s="532" customFormat="1" ht="16.5" thickTop="1" thickBot="1" x14ac:dyDescent="0.3">
      <c r="A353" s="1211">
        <v>60001100245</v>
      </c>
      <c r="B353" s="967">
        <v>3122</v>
      </c>
      <c r="C353" s="1212">
        <v>5171</v>
      </c>
      <c r="D353" s="968">
        <v>10</v>
      </c>
      <c r="E353" s="1206" t="s">
        <v>896</v>
      </c>
      <c r="F353" s="889"/>
      <c r="G353" s="1214">
        <v>247</v>
      </c>
      <c r="H353" s="889">
        <v>246</v>
      </c>
      <c r="I353" s="1215">
        <f>(H353/G353)*100</f>
        <v>99.595141700404852</v>
      </c>
    </row>
    <row r="354" spans="1:14" s="532" customFormat="1" ht="18" customHeight="1" thickTop="1" thickBot="1" x14ac:dyDescent="0.3">
      <c r="A354" s="2672" t="s">
        <v>245</v>
      </c>
      <c r="B354" s="2673"/>
      <c r="C354" s="2673"/>
      <c r="D354" s="2673"/>
      <c r="E354" s="2673"/>
      <c r="F354" s="873">
        <f>F353</f>
        <v>0</v>
      </c>
      <c r="G354" s="873">
        <f>G353</f>
        <v>247</v>
      </c>
      <c r="H354" s="873">
        <f>H353</f>
        <v>246</v>
      </c>
      <c r="I354" s="856">
        <f>(H354/G354)*100</f>
        <v>99.595141700404852</v>
      </c>
    </row>
    <row r="355" spans="1:14" ht="13.5" thickTop="1" x14ac:dyDescent="0.2">
      <c r="K355" s="911"/>
      <c r="L355" s="911"/>
      <c r="M355" s="911"/>
      <c r="N355" s="432"/>
    </row>
    <row r="356" spans="1:14" x14ac:dyDescent="0.2">
      <c r="K356" s="911"/>
      <c r="L356" s="911"/>
      <c r="M356" s="911"/>
      <c r="N356" s="432"/>
    </row>
    <row r="357" spans="1:14" s="532" customFormat="1" ht="13.5" thickBot="1" x14ac:dyDescent="0.25">
      <c r="A357" s="432" t="s">
        <v>462</v>
      </c>
      <c r="B357" s="643"/>
      <c r="D357" s="814"/>
      <c r="F357" s="493"/>
      <c r="G357" s="493"/>
      <c r="H357" s="493"/>
      <c r="I357" s="949" t="s">
        <v>161</v>
      </c>
    </row>
    <row r="358" spans="1:14" s="107" customFormat="1" ht="20.25" customHeight="1" thickTop="1" thickBot="1" x14ac:dyDescent="0.25">
      <c r="A358" s="682" t="s">
        <v>624</v>
      </c>
      <c r="B358" s="685" t="s">
        <v>162</v>
      </c>
      <c r="C358" s="683" t="s">
        <v>163</v>
      </c>
      <c r="D358" s="634" t="s">
        <v>705</v>
      </c>
      <c r="E358" s="686" t="s">
        <v>164</v>
      </c>
      <c r="F358" s="686" t="s">
        <v>165</v>
      </c>
      <c r="G358" s="686" t="s">
        <v>881</v>
      </c>
      <c r="H358" s="686" t="s">
        <v>882</v>
      </c>
      <c r="I358" s="818" t="s">
        <v>883</v>
      </c>
    </row>
    <row r="359" spans="1:14" s="383" customFormat="1" ht="13.5" thickTop="1" thickBot="1" x14ac:dyDescent="0.25">
      <c r="A359" s="1199">
        <v>1</v>
      </c>
      <c r="B359" s="1200">
        <v>2</v>
      </c>
      <c r="C359" s="1200">
        <v>3</v>
      </c>
      <c r="D359" s="1200">
        <v>4</v>
      </c>
      <c r="E359" s="567">
        <v>5</v>
      </c>
      <c r="F359" s="1201">
        <v>6</v>
      </c>
      <c r="G359" s="1201">
        <v>7</v>
      </c>
      <c r="H359" s="1202">
        <v>8</v>
      </c>
      <c r="I359" s="1203" t="s">
        <v>762</v>
      </c>
    </row>
    <row r="360" spans="1:14" s="532" customFormat="1" ht="16.5" thickTop="1" thickBot="1" x14ac:dyDescent="0.3">
      <c r="A360" s="1211">
        <v>60001100246</v>
      </c>
      <c r="B360" s="967">
        <v>3122</v>
      </c>
      <c r="C360" s="1212">
        <v>5171</v>
      </c>
      <c r="D360" s="968">
        <v>10</v>
      </c>
      <c r="E360" s="1206" t="s">
        <v>896</v>
      </c>
      <c r="F360" s="889"/>
      <c r="G360" s="1214">
        <v>1484</v>
      </c>
      <c r="H360" s="889">
        <v>1476</v>
      </c>
      <c r="I360" s="1215">
        <f>(H360/G360)*100</f>
        <v>99.460916442048514</v>
      </c>
    </row>
    <row r="361" spans="1:14" s="532" customFormat="1" ht="18" customHeight="1" thickTop="1" thickBot="1" x14ac:dyDescent="0.3">
      <c r="A361" s="2672" t="s">
        <v>245</v>
      </c>
      <c r="B361" s="2673"/>
      <c r="C361" s="2673"/>
      <c r="D361" s="2673"/>
      <c r="E361" s="2673"/>
      <c r="F361" s="873">
        <f>F360</f>
        <v>0</v>
      </c>
      <c r="G361" s="873">
        <f>G360</f>
        <v>1484</v>
      </c>
      <c r="H361" s="873">
        <f>H360</f>
        <v>1476</v>
      </c>
      <c r="I361" s="856">
        <f>(H361/G361)*100</f>
        <v>99.460916442048514</v>
      </c>
    </row>
    <row r="362" spans="1:14" ht="13.5" thickTop="1" x14ac:dyDescent="0.2">
      <c r="K362" s="911"/>
      <c r="L362" s="911"/>
      <c r="M362" s="911"/>
      <c r="N362" s="432"/>
    </row>
    <row r="363" spans="1:14" x14ac:dyDescent="0.2">
      <c r="K363" s="911"/>
      <c r="L363" s="911"/>
      <c r="M363" s="911"/>
      <c r="N363" s="432"/>
    </row>
    <row r="364" spans="1:14" s="532" customFormat="1" ht="13.5" thickBot="1" x14ac:dyDescent="0.25">
      <c r="A364" s="432" t="s">
        <v>455</v>
      </c>
      <c r="B364" s="643"/>
      <c r="D364" s="814"/>
      <c r="F364" s="493"/>
      <c r="G364" s="493"/>
      <c r="H364" s="493"/>
      <c r="I364" s="949" t="s">
        <v>161</v>
      </c>
    </row>
    <row r="365" spans="1:14" s="107" customFormat="1" ht="20.25" customHeight="1" thickTop="1" thickBot="1" x14ac:dyDescent="0.25">
      <c r="A365" s="682" t="s">
        <v>624</v>
      </c>
      <c r="B365" s="685" t="s">
        <v>162</v>
      </c>
      <c r="C365" s="683" t="s">
        <v>163</v>
      </c>
      <c r="D365" s="634" t="s">
        <v>705</v>
      </c>
      <c r="E365" s="686" t="s">
        <v>164</v>
      </c>
      <c r="F365" s="686" t="s">
        <v>165</v>
      </c>
      <c r="G365" s="686" t="s">
        <v>881</v>
      </c>
      <c r="H365" s="686" t="s">
        <v>882</v>
      </c>
      <c r="I365" s="818" t="s">
        <v>883</v>
      </c>
    </row>
    <row r="366" spans="1:14" s="383" customFormat="1" ht="13.5" thickTop="1" thickBot="1" x14ac:dyDescent="0.25">
      <c r="A366" s="566">
        <v>1</v>
      </c>
      <c r="B366" s="567">
        <v>2</v>
      </c>
      <c r="C366" s="567">
        <v>3</v>
      </c>
      <c r="D366" s="567">
        <v>4</v>
      </c>
      <c r="E366" s="567">
        <v>5</v>
      </c>
      <c r="F366" s="541">
        <v>6</v>
      </c>
      <c r="G366" s="541">
        <v>7</v>
      </c>
      <c r="H366" s="542">
        <v>8</v>
      </c>
      <c r="I366" s="636" t="s">
        <v>762</v>
      </c>
    </row>
    <row r="367" spans="1:14" s="383" customFormat="1" ht="15.75" thickTop="1" x14ac:dyDescent="0.25">
      <c r="A367" s="1257">
        <v>60001100247</v>
      </c>
      <c r="B367" s="1258">
        <v>3121</v>
      </c>
      <c r="C367" s="1258">
        <v>5169</v>
      </c>
      <c r="D367" s="1221">
        <v>10</v>
      </c>
      <c r="E367" s="1220" t="s">
        <v>852</v>
      </c>
      <c r="F367" s="1219"/>
      <c r="G367" s="1219">
        <v>18</v>
      </c>
      <c r="H367" s="1219">
        <v>0</v>
      </c>
      <c r="I367" s="836">
        <f>(H367/G367)*100</f>
        <v>0</v>
      </c>
    </row>
    <row r="368" spans="1:14" s="383" customFormat="1" ht="15.75" thickBot="1" x14ac:dyDescent="0.3">
      <c r="A368" s="1260">
        <v>60001100247</v>
      </c>
      <c r="B368" s="1261">
        <v>3121</v>
      </c>
      <c r="C368" s="1262">
        <v>5171</v>
      </c>
      <c r="D368" s="964">
        <v>10</v>
      </c>
      <c r="E368" s="1216" t="s">
        <v>896</v>
      </c>
      <c r="F368" s="1217"/>
      <c r="G368" s="1218">
        <v>1299</v>
      </c>
      <c r="H368" s="1217">
        <v>926</v>
      </c>
      <c r="I368" s="972">
        <f>(H368/G368)*100</f>
        <v>71.28560431100847</v>
      </c>
    </row>
    <row r="369" spans="1:14" s="532" customFormat="1" ht="18" customHeight="1" thickTop="1" thickBot="1" x14ac:dyDescent="0.3">
      <c r="A369" s="2672" t="s">
        <v>245</v>
      </c>
      <c r="B369" s="2673"/>
      <c r="C369" s="2673"/>
      <c r="D369" s="2673"/>
      <c r="E369" s="2673"/>
      <c r="F369" s="824">
        <v>0</v>
      </c>
      <c r="G369" s="824">
        <f>G367+G368</f>
        <v>1317</v>
      </c>
      <c r="H369" s="824">
        <f>H367+H368</f>
        <v>926</v>
      </c>
      <c r="I369" s="825">
        <f>(H369/G369)*100</f>
        <v>70.311313591495832</v>
      </c>
    </row>
    <row r="370" spans="1:14" s="383" customFormat="1" ht="16.5" thickTop="1" thickBot="1" x14ac:dyDescent="0.3">
      <c r="A370" s="1265">
        <v>60001100247</v>
      </c>
      <c r="B370" s="1266">
        <v>3121</v>
      </c>
      <c r="C370" s="1267">
        <v>6121</v>
      </c>
      <c r="D370" s="968">
        <v>10</v>
      </c>
      <c r="E370" s="1222" t="s">
        <v>603</v>
      </c>
      <c r="F370" s="1223"/>
      <c r="G370" s="1224">
        <v>328</v>
      </c>
      <c r="H370" s="1223">
        <v>328</v>
      </c>
      <c r="I370" s="836">
        <f>(H370/G370)*100</f>
        <v>100</v>
      </c>
    </row>
    <row r="371" spans="1:14" s="532" customFormat="1" ht="18" customHeight="1" thickTop="1" thickBot="1" x14ac:dyDescent="0.3">
      <c r="A371" s="2692" t="s">
        <v>244</v>
      </c>
      <c r="B371" s="2685"/>
      <c r="C371" s="2685"/>
      <c r="D371" s="2685"/>
      <c r="E371" s="2685"/>
      <c r="F371" s="873">
        <f>F370</f>
        <v>0</v>
      </c>
      <c r="G371" s="873">
        <f>G370</f>
        <v>328</v>
      </c>
      <c r="H371" s="873">
        <f>H370</f>
        <v>328</v>
      </c>
      <c r="I371" s="825">
        <f>(H371/G371)*100</f>
        <v>100</v>
      </c>
    </row>
    <row r="372" spans="1:14" ht="13.5" thickTop="1" x14ac:dyDescent="0.2">
      <c r="K372" s="911"/>
      <c r="L372" s="911"/>
      <c r="M372" s="911"/>
      <c r="N372" s="432"/>
    </row>
    <row r="373" spans="1:14" x14ac:dyDescent="0.2">
      <c r="K373" s="911"/>
      <c r="L373" s="911"/>
      <c r="M373" s="911"/>
      <c r="N373" s="432"/>
    </row>
    <row r="374" spans="1:14" s="532" customFormat="1" ht="13.5" thickBot="1" x14ac:dyDescent="0.25">
      <c r="A374" s="432" t="s">
        <v>456</v>
      </c>
      <c r="B374" s="643"/>
      <c r="D374" s="814"/>
      <c r="F374" s="493"/>
      <c r="G374" s="493"/>
      <c r="H374" s="493"/>
      <c r="I374" s="949" t="s">
        <v>161</v>
      </c>
    </row>
    <row r="375" spans="1:14" s="107" customFormat="1" ht="20.25" customHeight="1" thickTop="1" thickBot="1" x14ac:dyDescent="0.25">
      <c r="A375" s="682" t="s">
        <v>624</v>
      </c>
      <c r="B375" s="685" t="s">
        <v>162</v>
      </c>
      <c r="C375" s="683" t="s">
        <v>163</v>
      </c>
      <c r="D375" s="634" t="s">
        <v>705</v>
      </c>
      <c r="E375" s="686" t="s">
        <v>164</v>
      </c>
      <c r="F375" s="686" t="s">
        <v>165</v>
      </c>
      <c r="G375" s="686" t="s">
        <v>881</v>
      </c>
      <c r="H375" s="686" t="s">
        <v>882</v>
      </c>
      <c r="I375" s="818" t="s">
        <v>883</v>
      </c>
    </row>
    <row r="376" spans="1:14" s="383" customFormat="1" ht="13.5" thickTop="1" thickBot="1" x14ac:dyDescent="0.25">
      <c r="A376" s="1199">
        <v>1</v>
      </c>
      <c r="B376" s="1200">
        <v>2</v>
      </c>
      <c r="C376" s="1200">
        <v>3</v>
      </c>
      <c r="D376" s="1200">
        <v>4</v>
      </c>
      <c r="E376" s="1200">
        <v>5</v>
      </c>
      <c r="F376" s="1201">
        <v>6</v>
      </c>
      <c r="G376" s="1201">
        <v>7</v>
      </c>
      <c r="H376" s="1202">
        <v>8</v>
      </c>
      <c r="I376" s="1203" t="s">
        <v>762</v>
      </c>
    </row>
    <row r="377" spans="1:14" s="532" customFormat="1" ht="15.75" thickTop="1" x14ac:dyDescent="0.25">
      <c r="A377" s="959">
        <v>60001100248</v>
      </c>
      <c r="B377" s="864">
        <v>3122</v>
      </c>
      <c r="C377" s="864">
        <v>5169</v>
      </c>
      <c r="D377" s="1227">
        <v>10</v>
      </c>
      <c r="E377" s="1226" t="s">
        <v>852</v>
      </c>
      <c r="F377" s="1225"/>
      <c r="G377" s="1225">
        <v>8</v>
      </c>
      <c r="H377" s="1225">
        <v>7</v>
      </c>
      <c r="I377" s="1210">
        <f>(H377/G377)*100</f>
        <v>87.5</v>
      </c>
    </row>
    <row r="378" spans="1:14" s="532" customFormat="1" ht="15.75" thickBot="1" x14ac:dyDescent="0.3">
      <c r="A378" s="971">
        <v>60001100248</v>
      </c>
      <c r="B378" s="674">
        <v>3122</v>
      </c>
      <c r="C378" s="749">
        <v>5171</v>
      </c>
      <c r="D378" s="964">
        <v>10</v>
      </c>
      <c r="E378" s="1206" t="s">
        <v>896</v>
      </c>
      <c r="F378" s="884"/>
      <c r="G378" s="965">
        <v>1192</v>
      </c>
      <c r="H378" s="884">
        <v>1189</v>
      </c>
      <c r="I378" s="974">
        <f>(H378/G378)*100</f>
        <v>99.74832214765101</v>
      </c>
    </row>
    <row r="379" spans="1:14" s="532" customFormat="1" ht="18" customHeight="1" thickTop="1" thickBot="1" x14ac:dyDescent="0.3">
      <c r="A379" s="2672" t="s">
        <v>245</v>
      </c>
      <c r="B379" s="2673"/>
      <c r="C379" s="2673"/>
      <c r="D379" s="2673"/>
      <c r="E379" s="2673"/>
      <c r="F379" s="873">
        <f>F377</f>
        <v>0</v>
      </c>
      <c r="G379" s="873">
        <f>G377+G378</f>
        <v>1200</v>
      </c>
      <c r="H379" s="873">
        <f>H377+H378</f>
        <v>1196</v>
      </c>
      <c r="I379" s="856">
        <f>(H379/G379)*100</f>
        <v>99.666666666666671</v>
      </c>
    </row>
    <row r="380" spans="1:14" ht="13.5" thickTop="1" x14ac:dyDescent="0.2">
      <c r="K380" s="911"/>
      <c r="L380" s="911"/>
      <c r="M380" s="911"/>
      <c r="N380" s="432"/>
    </row>
    <row r="381" spans="1:14" x14ac:dyDescent="0.2">
      <c r="K381" s="911"/>
      <c r="L381" s="911"/>
      <c r="M381" s="911"/>
      <c r="N381" s="432"/>
    </row>
    <row r="382" spans="1:14" s="532" customFormat="1" ht="13.5" thickBot="1" x14ac:dyDescent="0.25">
      <c r="A382" s="432" t="s">
        <v>457</v>
      </c>
      <c r="B382" s="643"/>
      <c r="D382" s="814"/>
      <c r="F382" s="493"/>
      <c r="G382" s="493"/>
      <c r="H382" s="493"/>
      <c r="I382" s="949" t="s">
        <v>161</v>
      </c>
    </row>
    <row r="383" spans="1:14" s="107" customFormat="1" ht="20.25" customHeight="1" thickTop="1" thickBot="1" x14ac:dyDescent="0.25">
      <c r="A383" s="682" t="s">
        <v>624</v>
      </c>
      <c r="B383" s="685" t="s">
        <v>162</v>
      </c>
      <c r="C383" s="683" t="s">
        <v>163</v>
      </c>
      <c r="D383" s="634" t="s">
        <v>705</v>
      </c>
      <c r="E383" s="686" t="s">
        <v>164</v>
      </c>
      <c r="F383" s="686" t="s">
        <v>165</v>
      </c>
      <c r="G383" s="686" t="s">
        <v>881</v>
      </c>
      <c r="H383" s="686" t="s">
        <v>882</v>
      </c>
      <c r="I383" s="818" t="s">
        <v>883</v>
      </c>
    </row>
    <row r="384" spans="1:14" s="383" customFormat="1" ht="13.5" thickTop="1" thickBot="1" x14ac:dyDescent="0.25">
      <c r="A384" s="1199">
        <v>1</v>
      </c>
      <c r="B384" s="1200">
        <v>2</v>
      </c>
      <c r="C384" s="1200">
        <v>3</v>
      </c>
      <c r="D384" s="1200">
        <v>4</v>
      </c>
      <c r="E384" s="1200">
        <v>5</v>
      </c>
      <c r="F384" s="1201">
        <v>6</v>
      </c>
      <c r="G384" s="1201">
        <v>7</v>
      </c>
      <c r="H384" s="1202">
        <v>8</v>
      </c>
      <c r="I384" s="1203" t="s">
        <v>762</v>
      </c>
    </row>
    <row r="385" spans="1:14" s="532" customFormat="1" ht="15.75" thickTop="1" x14ac:dyDescent="0.25">
      <c r="A385" s="959">
        <v>60001100319</v>
      </c>
      <c r="B385" s="864">
        <v>3121</v>
      </c>
      <c r="C385" s="864">
        <v>6121</v>
      </c>
      <c r="D385" s="1227">
        <v>10</v>
      </c>
      <c r="E385" s="1226" t="s">
        <v>603</v>
      </c>
      <c r="F385" s="1225"/>
      <c r="G385" s="1225">
        <v>112</v>
      </c>
      <c r="H385" s="1225">
        <v>98</v>
      </c>
      <c r="I385" s="1210">
        <f>(H385/G385)*100</f>
        <v>87.5</v>
      </c>
    </row>
    <row r="386" spans="1:14" s="532" customFormat="1" ht="15.75" thickBot="1" x14ac:dyDescent="0.3">
      <c r="A386" s="971">
        <v>60001100319</v>
      </c>
      <c r="B386" s="674">
        <v>3121</v>
      </c>
      <c r="C386" s="749">
        <v>6121</v>
      </c>
      <c r="D386" s="964">
        <v>98858</v>
      </c>
      <c r="E386" s="1206" t="s">
        <v>603</v>
      </c>
      <c r="F386" s="884"/>
      <c r="G386" s="965">
        <v>1000</v>
      </c>
      <c r="H386" s="884">
        <v>1000</v>
      </c>
      <c r="I386" s="974">
        <f>(H386/G386)*100</f>
        <v>100</v>
      </c>
    </row>
    <row r="387" spans="1:14" s="532" customFormat="1" ht="18" customHeight="1" thickTop="1" thickBot="1" x14ac:dyDescent="0.3">
      <c r="A387" s="2692" t="s">
        <v>244</v>
      </c>
      <c r="B387" s="2685"/>
      <c r="C387" s="2685"/>
      <c r="D387" s="2685"/>
      <c r="E387" s="2685"/>
      <c r="F387" s="873">
        <f>F385</f>
        <v>0</v>
      </c>
      <c r="G387" s="873">
        <f>G385+G386</f>
        <v>1112</v>
      </c>
      <c r="H387" s="873">
        <f>H385+H386</f>
        <v>1098</v>
      </c>
      <c r="I387" s="856">
        <f>(H387/G387)*100</f>
        <v>98.741007194244602</v>
      </c>
    </row>
    <row r="388" spans="1:14" ht="13.5" thickTop="1" x14ac:dyDescent="0.2">
      <c r="K388" s="911"/>
      <c r="L388" s="911"/>
      <c r="M388" s="911"/>
      <c r="N388" s="432"/>
    </row>
    <row r="389" spans="1:14" x14ac:dyDescent="0.2">
      <c r="K389" s="911"/>
      <c r="L389" s="911"/>
      <c r="M389" s="911"/>
      <c r="N389" s="432"/>
    </row>
    <row r="390" spans="1:14" s="532" customFormat="1" ht="13.5" thickBot="1" x14ac:dyDescent="0.25">
      <c r="A390" s="432" t="s">
        <v>458</v>
      </c>
      <c r="B390" s="643"/>
      <c r="D390" s="814"/>
      <c r="F390" s="493"/>
      <c r="G390" s="493"/>
      <c r="H390" s="493"/>
      <c r="I390" s="949" t="s">
        <v>161</v>
      </c>
    </row>
    <row r="391" spans="1:14" s="107" customFormat="1" ht="20.25" customHeight="1" thickTop="1" thickBot="1" x14ac:dyDescent="0.25">
      <c r="A391" s="682" t="s">
        <v>624</v>
      </c>
      <c r="B391" s="685" t="s">
        <v>162</v>
      </c>
      <c r="C391" s="683" t="s">
        <v>163</v>
      </c>
      <c r="D391" s="634" t="s">
        <v>705</v>
      </c>
      <c r="E391" s="686" t="s">
        <v>164</v>
      </c>
      <c r="F391" s="686" t="s">
        <v>165</v>
      </c>
      <c r="G391" s="686" t="s">
        <v>881</v>
      </c>
      <c r="H391" s="686" t="s">
        <v>882</v>
      </c>
      <c r="I391" s="818" t="s">
        <v>883</v>
      </c>
    </row>
    <row r="392" spans="1:14" s="383" customFormat="1" ht="13.5" thickTop="1" thickBot="1" x14ac:dyDescent="0.25">
      <c r="A392" s="1199">
        <v>1</v>
      </c>
      <c r="B392" s="1200">
        <v>2</v>
      </c>
      <c r="C392" s="1200">
        <v>3</v>
      </c>
      <c r="D392" s="1200">
        <v>4</v>
      </c>
      <c r="E392" s="567">
        <v>5</v>
      </c>
      <c r="F392" s="1201">
        <v>6</v>
      </c>
      <c r="G392" s="1201">
        <v>7</v>
      </c>
      <c r="H392" s="1202">
        <v>8</v>
      </c>
      <c r="I392" s="1203" t="s">
        <v>762</v>
      </c>
    </row>
    <row r="393" spans="1:14" s="532" customFormat="1" ht="16.5" thickTop="1" thickBot="1" x14ac:dyDescent="0.3">
      <c r="A393" s="1211">
        <v>60001100323</v>
      </c>
      <c r="B393" s="967">
        <v>3123</v>
      </c>
      <c r="C393" s="1212">
        <v>5171</v>
      </c>
      <c r="D393" s="968">
        <v>10</v>
      </c>
      <c r="E393" s="1206" t="s">
        <v>896</v>
      </c>
      <c r="F393" s="889"/>
      <c r="G393" s="1214">
        <v>1922</v>
      </c>
      <c r="H393" s="889">
        <v>1822</v>
      </c>
      <c r="I393" s="1215">
        <f>(H393/G393)*100</f>
        <v>94.797086368366294</v>
      </c>
    </row>
    <row r="394" spans="1:14" s="532" customFormat="1" ht="18" customHeight="1" thickTop="1" thickBot="1" x14ac:dyDescent="0.3">
      <c r="A394" s="2672" t="s">
        <v>245</v>
      </c>
      <c r="B394" s="2673"/>
      <c r="C394" s="2673"/>
      <c r="D394" s="2673"/>
      <c r="E394" s="2673"/>
      <c r="F394" s="873">
        <f>F393</f>
        <v>0</v>
      </c>
      <c r="G394" s="873">
        <f>G393</f>
        <v>1922</v>
      </c>
      <c r="H394" s="873">
        <f>H393</f>
        <v>1822</v>
      </c>
      <c r="I394" s="856">
        <f>(H394/G394)*100</f>
        <v>94.797086368366294</v>
      </c>
    </row>
    <row r="395" spans="1:14" ht="13.5" thickTop="1" x14ac:dyDescent="0.2">
      <c r="K395" s="911"/>
      <c r="L395" s="911"/>
      <c r="M395" s="911"/>
      <c r="N395" s="432"/>
    </row>
    <row r="396" spans="1:14" x14ac:dyDescent="0.2">
      <c r="K396" s="911"/>
      <c r="L396" s="911"/>
      <c r="M396" s="911"/>
      <c r="N396" s="432"/>
    </row>
    <row r="397" spans="1:14" x14ac:dyDescent="0.2">
      <c r="K397" s="911"/>
      <c r="L397" s="911"/>
      <c r="M397" s="911"/>
      <c r="N397" s="432"/>
    </row>
    <row r="398" spans="1:14" x14ac:dyDescent="0.2">
      <c r="K398" s="911"/>
      <c r="L398" s="911"/>
      <c r="M398" s="911"/>
      <c r="N398" s="432"/>
    </row>
    <row r="399" spans="1:14" x14ac:dyDescent="0.2">
      <c r="K399" s="911"/>
      <c r="L399" s="911"/>
      <c r="M399" s="911"/>
      <c r="N399" s="432"/>
    </row>
    <row r="400" spans="1:14" x14ac:dyDescent="0.2">
      <c r="K400" s="911"/>
      <c r="L400" s="911"/>
      <c r="M400" s="911"/>
      <c r="N400" s="432"/>
    </row>
    <row r="401" spans="1:14" x14ac:dyDescent="0.2">
      <c r="K401" s="911"/>
      <c r="L401" s="911"/>
      <c r="M401" s="911"/>
      <c r="N401" s="432"/>
    </row>
    <row r="402" spans="1:14" s="532" customFormat="1" ht="13.5" thickBot="1" x14ac:dyDescent="0.25">
      <c r="A402" s="432" t="s">
        <v>467</v>
      </c>
      <c r="B402" s="643"/>
      <c r="D402" s="814"/>
      <c r="F402" s="493"/>
      <c r="G402" s="493"/>
      <c r="H402" s="493"/>
      <c r="I402" s="949" t="s">
        <v>161</v>
      </c>
    </row>
    <row r="403" spans="1:14" s="107" customFormat="1" ht="20.25" customHeight="1" thickTop="1" thickBot="1" x14ac:dyDescent="0.25">
      <c r="A403" s="682" t="s">
        <v>624</v>
      </c>
      <c r="B403" s="685" t="s">
        <v>162</v>
      </c>
      <c r="C403" s="683" t="s">
        <v>163</v>
      </c>
      <c r="D403" s="634" t="s">
        <v>705</v>
      </c>
      <c r="E403" s="686" t="s">
        <v>164</v>
      </c>
      <c r="F403" s="686" t="s">
        <v>165</v>
      </c>
      <c r="G403" s="686" t="s">
        <v>881</v>
      </c>
      <c r="H403" s="686" t="s">
        <v>882</v>
      </c>
      <c r="I403" s="818" t="s">
        <v>883</v>
      </c>
    </row>
    <row r="404" spans="1:14" s="383" customFormat="1" ht="13.5" thickTop="1" thickBot="1" x14ac:dyDescent="0.25">
      <c r="A404" s="1199">
        <v>1</v>
      </c>
      <c r="B404" s="1200">
        <v>2</v>
      </c>
      <c r="C404" s="1200">
        <v>3</v>
      </c>
      <c r="D404" s="1200">
        <v>4</v>
      </c>
      <c r="E404" s="567">
        <v>5</v>
      </c>
      <c r="F404" s="1201">
        <v>6</v>
      </c>
      <c r="G404" s="1201">
        <v>7</v>
      </c>
      <c r="H404" s="1202">
        <v>8</v>
      </c>
      <c r="I404" s="1203" t="s">
        <v>762</v>
      </c>
    </row>
    <row r="405" spans="1:14" s="532" customFormat="1" ht="16.5" thickTop="1" thickBot="1" x14ac:dyDescent="0.3">
      <c r="A405" s="1211">
        <v>60001100334</v>
      </c>
      <c r="B405" s="967">
        <v>3142</v>
      </c>
      <c r="C405" s="1212">
        <v>6121</v>
      </c>
      <c r="D405" s="968">
        <v>10</v>
      </c>
      <c r="E405" s="1206" t="s">
        <v>603</v>
      </c>
      <c r="F405" s="889"/>
      <c r="G405" s="1214">
        <v>566</v>
      </c>
      <c r="H405" s="889">
        <v>565</v>
      </c>
      <c r="I405" s="1215">
        <f>(H405/G405)*100</f>
        <v>99.823321554770317</v>
      </c>
    </row>
    <row r="406" spans="1:14" s="532" customFormat="1" ht="18" customHeight="1" thickTop="1" thickBot="1" x14ac:dyDescent="0.3">
      <c r="A406" s="2692" t="s">
        <v>244</v>
      </c>
      <c r="B406" s="2685"/>
      <c r="C406" s="2685"/>
      <c r="D406" s="2685"/>
      <c r="E406" s="2685"/>
      <c r="F406" s="873">
        <f>F405</f>
        <v>0</v>
      </c>
      <c r="G406" s="873">
        <f>G405</f>
        <v>566</v>
      </c>
      <c r="H406" s="873">
        <f>H405</f>
        <v>565</v>
      </c>
      <c r="I406" s="856">
        <f>(H406/G406)*100</f>
        <v>99.823321554770317</v>
      </c>
    </row>
    <row r="407" spans="1:14" ht="13.5" thickTop="1" x14ac:dyDescent="0.2">
      <c r="K407" s="911"/>
      <c r="L407" s="911"/>
      <c r="M407" s="911"/>
      <c r="N407" s="432"/>
    </row>
    <row r="408" spans="1:14" x14ac:dyDescent="0.2">
      <c r="K408" s="911"/>
      <c r="L408" s="911"/>
      <c r="M408" s="911"/>
      <c r="N408" s="432"/>
    </row>
    <row r="409" spans="1:14" s="532" customFormat="1" ht="13.5" thickBot="1" x14ac:dyDescent="0.25">
      <c r="A409" s="432" t="s">
        <v>468</v>
      </c>
      <c r="B409" s="643"/>
      <c r="D409" s="814"/>
      <c r="F409" s="493"/>
      <c r="G409" s="493"/>
      <c r="H409" s="493"/>
      <c r="I409" s="949" t="s">
        <v>161</v>
      </c>
    </row>
    <row r="410" spans="1:14" s="107" customFormat="1" ht="20.25" customHeight="1" thickTop="1" thickBot="1" x14ac:dyDescent="0.25">
      <c r="A410" s="682" t="s">
        <v>624</v>
      </c>
      <c r="B410" s="685" t="s">
        <v>162</v>
      </c>
      <c r="C410" s="683" t="s">
        <v>163</v>
      </c>
      <c r="D410" s="634" t="s">
        <v>705</v>
      </c>
      <c r="E410" s="686" t="s">
        <v>164</v>
      </c>
      <c r="F410" s="686" t="s">
        <v>165</v>
      </c>
      <c r="G410" s="686" t="s">
        <v>881</v>
      </c>
      <c r="H410" s="686" t="s">
        <v>882</v>
      </c>
      <c r="I410" s="818" t="s">
        <v>883</v>
      </c>
    </row>
    <row r="411" spans="1:14" s="383" customFormat="1" ht="13.5" thickTop="1" thickBot="1" x14ac:dyDescent="0.25">
      <c r="A411" s="1199">
        <v>1</v>
      </c>
      <c r="B411" s="1200">
        <v>2</v>
      </c>
      <c r="C411" s="1200">
        <v>3</v>
      </c>
      <c r="D411" s="1200">
        <v>4</v>
      </c>
      <c r="E411" s="567">
        <v>5</v>
      </c>
      <c r="F411" s="1201">
        <v>6</v>
      </c>
      <c r="G411" s="1201">
        <v>7</v>
      </c>
      <c r="H411" s="1202">
        <v>8</v>
      </c>
      <c r="I411" s="1203" t="s">
        <v>762</v>
      </c>
    </row>
    <row r="412" spans="1:14" s="532" customFormat="1" ht="16.5" thickTop="1" thickBot="1" x14ac:dyDescent="0.3">
      <c r="A412" s="1211">
        <v>60001100335</v>
      </c>
      <c r="B412" s="967">
        <v>3114</v>
      </c>
      <c r="C412" s="1212">
        <v>5171</v>
      </c>
      <c r="D412" s="968">
        <v>10</v>
      </c>
      <c r="E412" s="1206" t="s">
        <v>896</v>
      </c>
      <c r="F412" s="889"/>
      <c r="G412" s="1214">
        <v>196</v>
      </c>
      <c r="H412" s="889">
        <v>196</v>
      </c>
      <c r="I412" s="1215">
        <f>(H412/G412)*100</f>
        <v>100</v>
      </c>
      <c r="L412" s="493">
        <f>G272+G279+G286+G294+G301+G308+G315+G322+G329+G339+G346+G354+G361+G369+G371+G379+G387+G394+G406+G413</f>
        <v>21321</v>
      </c>
      <c r="M412" s="493">
        <f>H272+H279+H286+H294+H301+H308+H315+H322+H329+H339+H346+H354+H361+H369+H371+H379+H387+H394+H406+H413</f>
        <v>20611</v>
      </c>
    </row>
    <row r="413" spans="1:14" s="532" customFormat="1" ht="18" customHeight="1" thickTop="1" thickBot="1" x14ac:dyDescent="0.3">
      <c r="A413" s="2672" t="s">
        <v>245</v>
      </c>
      <c r="B413" s="2673"/>
      <c r="C413" s="2673"/>
      <c r="D413" s="2673"/>
      <c r="E413" s="2673"/>
      <c r="F413" s="873">
        <f>F412</f>
        <v>0</v>
      </c>
      <c r="G413" s="873">
        <f>G412</f>
        <v>196</v>
      </c>
      <c r="H413" s="873">
        <f>H412</f>
        <v>196</v>
      </c>
      <c r="I413" s="856">
        <f>(H413/G413)*100</f>
        <v>100</v>
      </c>
      <c r="K413" s="493">
        <f>F14+F21+F29+F33+F41+F48+F56+F63+F72+F79+F86+F94+F101+F108+F115+F122+F129+F139+F146+F153+F160+F163+F170+F177+F184+F191+F198+F205+F212+F219+F227+F230+F237+F244+F251+F258+F261+F272+F279+F286+F294+F301+F308+F315+F322+F329+F339+F346+F354+F361+F369+F371+F379+F387+F394+F406+F413</f>
        <v>62847</v>
      </c>
      <c r="L413" s="493">
        <f>L122+L261+L412</f>
        <v>229852</v>
      </c>
      <c r="M413" s="493">
        <f>M122+M261+M412</f>
        <v>210636</v>
      </c>
      <c r="N413" s="532" t="s">
        <v>1095</v>
      </c>
    </row>
    <row r="414" spans="1:14" ht="13.5" thickTop="1" x14ac:dyDescent="0.2">
      <c r="K414" s="911"/>
      <c r="L414" s="911"/>
      <c r="M414" s="911"/>
      <c r="N414" s="432"/>
    </row>
    <row r="415" spans="1:14" x14ac:dyDescent="0.2">
      <c r="K415" s="911"/>
      <c r="L415" s="911"/>
      <c r="M415" s="911"/>
      <c r="N415" s="432"/>
    </row>
    <row r="416" spans="1:14" s="532" customFormat="1" ht="13.5" thickBot="1" x14ac:dyDescent="0.25">
      <c r="A416" s="432" t="s">
        <v>1059</v>
      </c>
      <c r="B416" s="643"/>
      <c r="D416" s="814"/>
      <c r="F416" s="493"/>
      <c r="G416" s="493"/>
      <c r="H416" s="493"/>
      <c r="I416" s="949" t="s">
        <v>161</v>
      </c>
    </row>
    <row r="417" spans="1:14" s="107" customFormat="1" ht="20.25" customHeight="1" thickTop="1" thickBot="1" x14ac:dyDescent="0.25">
      <c r="A417" s="682" t="s">
        <v>624</v>
      </c>
      <c r="B417" s="685" t="s">
        <v>162</v>
      </c>
      <c r="C417" s="683" t="s">
        <v>163</v>
      </c>
      <c r="D417" s="634" t="s">
        <v>705</v>
      </c>
      <c r="E417" s="686" t="s">
        <v>164</v>
      </c>
      <c r="F417" s="686" t="s">
        <v>165</v>
      </c>
      <c r="G417" s="686" t="s">
        <v>881</v>
      </c>
      <c r="H417" s="686" t="s">
        <v>882</v>
      </c>
      <c r="I417" s="818" t="s">
        <v>883</v>
      </c>
    </row>
    <row r="418" spans="1:14" s="383" customFormat="1" ht="13.5" thickTop="1" thickBot="1" x14ac:dyDescent="0.25">
      <c r="A418" s="1199">
        <v>1</v>
      </c>
      <c r="B418" s="1200">
        <v>2</v>
      </c>
      <c r="C418" s="1200">
        <v>3</v>
      </c>
      <c r="D418" s="1200">
        <v>4</v>
      </c>
      <c r="E418" s="567">
        <v>5</v>
      </c>
      <c r="F418" s="1201">
        <v>6</v>
      </c>
      <c r="G418" s="1201">
        <v>7</v>
      </c>
      <c r="H418" s="1202">
        <v>8</v>
      </c>
      <c r="I418" s="1203" t="s">
        <v>762</v>
      </c>
    </row>
    <row r="419" spans="1:14" s="532" customFormat="1" ht="16.5" thickTop="1" thickBot="1" x14ac:dyDescent="0.3">
      <c r="A419" s="1211">
        <v>60002100051</v>
      </c>
      <c r="B419" s="967">
        <v>4351</v>
      </c>
      <c r="C419" s="1212">
        <v>5171</v>
      </c>
      <c r="D419" s="968">
        <v>11</v>
      </c>
      <c r="E419" s="1206" t="s">
        <v>896</v>
      </c>
      <c r="F419" s="889"/>
      <c r="G419" s="1214">
        <v>337</v>
      </c>
      <c r="H419" s="889">
        <v>336</v>
      </c>
      <c r="I419" s="1215">
        <f>(H419/G419)*100</f>
        <v>99.703264094955486</v>
      </c>
    </row>
    <row r="420" spans="1:14" s="532" customFormat="1" ht="18" customHeight="1" thickTop="1" thickBot="1" x14ac:dyDescent="0.3">
      <c r="A420" s="2672" t="s">
        <v>245</v>
      </c>
      <c r="B420" s="2673"/>
      <c r="C420" s="2673"/>
      <c r="D420" s="2673"/>
      <c r="E420" s="2673"/>
      <c r="F420" s="873">
        <f>F419</f>
        <v>0</v>
      </c>
      <c r="G420" s="873">
        <f>G419</f>
        <v>337</v>
      </c>
      <c r="H420" s="873">
        <f>H419</f>
        <v>336</v>
      </c>
      <c r="I420" s="856">
        <f>(H420/G420)*100</f>
        <v>99.703264094955486</v>
      </c>
    </row>
    <row r="421" spans="1:14" ht="13.5" thickTop="1" x14ac:dyDescent="0.2">
      <c r="K421" s="911"/>
      <c r="L421" s="911"/>
      <c r="M421" s="911"/>
      <c r="N421" s="432"/>
    </row>
    <row r="422" spans="1:14" x14ac:dyDescent="0.2">
      <c r="K422" s="911"/>
      <c r="L422" s="911"/>
      <c r="M422" s="911"/>
      <c r="N422" s="432"/>
    </row>
    <row r="423" spans="1:14" s="532" customFormat="1" ht="13.5" thickBot="1" x14ac:dyDescent="0.25">
      <c r="A423" s="432" t="s">
        <v>1060</v>
      </c>
      <c r="B423" s="643"/>
      <c r="D423" s="814"/>
      <c r="F423" s="493"/>
      <c r="G423" s="493"/>
      <c r="H423" s="493"/>
      <c r="I423" s="949" t="s">
        <v>161</v>
      </c>
    </row>
    <row r="424" spans="1:14" s="107" customFormat="1" ht="20.25" customHeight="1" thickTop="1" thickBot="1" x14ac:dyDescent="0.25">
      <c r="A424" s="682" t="s">
        <v>624</v>
      </c>
      <c r="B424" s="685" t="s">
        <v>162</v>
      </c>
      <c r="C424" s="683" t="s">
        <v>163</v>
      </c>
      <c r="D424" s="634" t="s">
        <v>705</v>
      </c>
      <c r="E424" s="686" t="s">
        <v>164</v>
      </c>
      <c r="F424" s="686" t="s">
        <v>165</v>
      </c>
      <c r="G424" s="686" t="s">
        <v>881</v>
      </c>
      <c r="H424" s="686" t="s">
        <v>882</v>
      </c>
      <c r="I424" s="818" t="s">
        <v>883</v>
      </c>
    </row>
    <row r="425" spans="1:14" s="383" customFormat="1" ht="13.5" thickTop="1" thickBot="1" x14ac:dyDescent="0.25">
      <c r="A425" s="1199">
        <v>1</v>
      </c>
      <c r="B425" s="1200">
        <v>2</v>
      </c>
      <c r="C425" s="1200">
        <v>3</v>
      </c>
      <c r="D425" s="1200">
        <v>4</v>
      </c>
      <c r="E425" s="567">
        <v>5</v>
      </c>
      <c r="F425" s="1201">
        <v>6</v>
      </c>
      <c r="G425" s="1201">
        <v>7</v>
      </c>
      <c r="H425" s="1202">
        <v>8</v>
      </c>
      <c r="I425" s="1203" t="s">
        <v>762</v>
      </c>
    </row>
    <row r="426" spans="1:14" s="532" customFormat="1" ht="16.5" thickTop="1" thickBot="1" x14ac:dyDescent="0.3">
      <c r="A426" s="1211">
        <v>60002100054</v>
      </c>
      <c r="B426" s="967">
        <v>4354</v>
      </c>
      <c r="C426" s="1212">
        <v>6121</v>
      </c>
      <c r="D426" s="968">
        <v>11</v>
      </c>
      <c r="E426" s="1206" t="s">
        <v>603</v>
      </c>
      <c r="F426" s="889">
        <v>4500</v>
      </c>
      <c r="G426" s="1214">
        <v>4094</v>
      </c>
      <c r="H426" s="889">
        <v>3626</v>
      </c>
      <c r="I426" s="1215">
        <f>(H426/G426)*100</f>
        <v>88.568637029799703</v>
      </c>
    </row>
    <row r="427" spans="1:14" s="532" customFormat="1" ht="18" customHeight="1" thickTop="1" thickBot="1" x14ac:dyDescent="0.3">
      <c r="A427" s="2692" t="s">
        <v>244</v>
      </c>
      <c r="B427" s="2685"/>
      <c r="C427" s="2685"/>
      <c r="D427" s="2685"/>
      <c r="E427" s="2685"/>
      <c r="F427" s="873">
        <f>F426</f>
        <v>4500</v>
      </c>
      <c r="G427" s="873">
        <f>G426</f>
        <v>4094</v>
      </c>
      <c r="H427" s="873">
        <f>H426</f>
        <v>3626</v>
      </c>
      <c r="I427" s="856">
        <f>(H427/G427)*100</f>
        <v>88.568637029799703</v>
      </c>
    </row>
    <row r="428" spans="1:14" ht="13.5" thickTop="1" x14ac:dyDescent="0.2">
      <c r="K428" s="911"/>
      <c r="L428" s="911"/>
      <c r="M428" s="911"/>
      <c r="N428" s="432"/>
    </row>
    <row r="429" spans="1:14" x14ac:dyDescent="0.2">
      <c r="K429" s="911"/>
      <c r="L429" s="911"/>
      <c r="M429" s="911"/>
      <c r="N429" s="432"/>
    </row>
    <row r="430" spans="1:14" s="532" customFormat="1" ht="13.5" thickBot="1" x14ac:dyDescent="0.25">
      <c r="A430" s="432" t="s">
        <v>1061</v>
      </c>
      <c r="B430" s="643"/>
      <c r="D430" s="814"/>
      <c r="F430" s="493"/>
      <c r="G430" s="493"/>
      <c r="H430" s="493"/>
      <c r="I430" s="949" t="s">
        <v>161</v>
      </c>
    </row>
    <row r="431" spans="1:14" s="107" customFormat="1" ht="20.25" customHeight="1" thickTop="1" thickBot="1" x14ac:dyDescent="0.25">
      <c r="A431" s="682" t="s">
        <v>624</v>
      </c>
      <c r="B431" s="685" t="s">
        <v>162</v>
      </c>
      <c r="C431" s="683" t="s">
        <v>163</v>
      </c>
      <c r="D431" s="634" t="s">
        <v>705</v>
      </c>
      <c r="E431" s="686" t="s">
        <v>164</v>
      </c>
      <c r="F431" s="686" t="s">
        <v>165</v>
      </c>
      <c r="G431" s="686" t="s">
        <v>881</v>
      </c>
      <c r="H431" s="686" t="s">
        <v>882</v>
      </c>
      <c r="I431" s="818" t="s">
        <v>883</v>
      </c>
    </row>
    <row r="432" spans="1:14" s="383" customFormat="1" ht="13.5" thickTop="1" thickBot="1" x14ac:dyDescent="0.25">
      <c r="A432" s="1199">
        <v>1</v>
      </c>
      <c r="B432" s="1200">
        <v>2</v>
      </c>
      <c r="C432" s="1200">
        <v>3</v>
      </c>
      <c r="D432" s="1200">
        <v>4</v>
      </c>
      <c r="E432" s="567">
        <v>5</v>
      </c>
      <c r="F432" s="1201">
        <v>6</v>
      </c>
      <c r="G432" s="1201">
        <v>7</v>
      </c>
      <c r="H432" s="1202">
        <v>8</v>
      </c>
      <c r="I432" s="1203" t="s">
        <v>762</v>
      </c>
    </row>
    <row r="433" spans="1:14" s="532" customFormat="1" ht="16.5" thickTop="1" thickBot="1" x14ac:dyDescent="0.3">
      <c r="A433" s="1211">
        <v>60002100056</v>
      </c>
      <c r="B433" s="967">
        <v>4357</v>
      </c>
      <c r="C433" s="1212">
        <v>5171</v>
      </c>
      <c r="D433" s="968">
        <v>11</v>
      </c>
      <c r="E433" s="1206" t="s">
        <v>896</v>
      </c>
      <c r="F433" s="889">
        <v>1050</v>
      </c>
      <c r="G433" s="1214">
        <v>1009</v>
      </c>
      <c r="H433" s="889">
        <v>1008</v>
      </c>
      <c r="I433" s="1215">
        <f>(H433/G433)*100</f>
        <v>99.900891972249752</v>
      </c>
    </row>
    <row r="434" spans="1:14" s="532" customFormat="1" ht="18" customHeight="1" thickTop="1" thickBot="1" x14ac:dyDescent="0.3">
      <c r="A434" s="2672" t="s">
        <v>245</v>
      </c>
      <c r="B434" s="2673"/>
      <c r="C434" s="2673"/>
      <c r="D434" s="2673"/>
      <c r="E434" s="2673"/>
      <c r="F434" s="873">
        <f>F433</f>
        <v>1050</v>
      </c>
      <c r="G434" s="873">
        <f>G433</f>
        <v>1009</v>
      </c>
      <c r="H434" s="873">
        <f>H433</f>
        <v>1008</v>
      </c>
      <c r="I434" s="856">
        <f>(H434/G434)*100</f>
        <v>99.900891972249752</v>
      </c>
    </row>
    <row r="435" spans="1:14" ht="13.5" thickTop="1" x14ac:dyDescent="0.2">
      <c r="K435" s="911"/>
      <c r="L435" s="911"/>
      <c r="M435" s="911"/>
      <c r="N435" s="432"/>
    </row>
    <row r="436" spans="1:14" x14ac:dyDescent="0.2">
      <c r="K436" s="911"/>
      <c r="L436" s="911"/>
      <c r="M436" s="911"/>
      <c r="N436" s="432"/>
    </row>
    <row r="437" spans="1:14" s="532" customFormat="1" ht="13.5" thickBot="1" x14ac:dyDescent="0.25">
      <c r="A437" s="432" t="s">
        <v>1062</v>
      </c>
      <c r="B437" s="643"/>
      <c r="D437" s="814"/>
      <c r="F437" s="493"/>
      <c r="G437" s="493"/>
      <c r="H437" s="493"/>
      <c r="I437" s="949" t="s">
        <v>161</v>
      </c>
    </row>
    <row r="438" spans="1:14" s="107" customFormat="1" ht="20.25" customHeight="1" thickTop="1" thickBot="1" x14ac:dyDescent="0.25">
      <c r="A438" s="682" t="s">
        <v>624</v>
      </c>
      <c r="B438" s="685" t="s">
        <v>162</v>
      </c>
      <c r="C438" s="683" t="s">
        <v>163</v>
      </c>
      <c r="D438" s="634" t="s">
        <v>705</v>
      </c>
      <c r="E438" s="686" t="s">
        <v>164</v>
      </c>
      <c r="F438" s="686" t="s">
        <v>165</v>
      </c>
      <c r="G438" s="686" t="s">
        <v>881</v>
      </c>
      <c r="H438" s="686" t="s">
        <v>882</v>
      </c>
      <c r="I438" s="818" t="s">
        <v>883</v>
      </c>
    </row>
    <row r="439" spans="1:14" s="383" customFormat="1" ht="13.5" thickTop="1" thickBot="1" x14ac:dyDescent="0.25">
      <c r="A439" s="1199">
        <v>1</v>
      </c>
      <c r="B439" s="1200">
        <v>2</v>
      </c>
      <c r="C439" s="1200">
        <v>3</v>
      </c>
      <c r="D439" s="1200">
        <v>4</v>
      </c>
      <c r="E439" s="567">
        <v>5</v>
      </c>
      <c r="F439" s="1201">
        <v>6</v>
      </c>
      <c r="G439" s="1201">
        <v>7</v>
      </c>
      <c r="H439" s="1202">
        <v>8</v>
      </c>
      <c r="I439" s="1203" t="s">
        <v>762</v>
      </c>
    </row>
    <row r="440" spans="1:14" s="532" customFormat="1" ht="16.5" thickTop="1" thickBot="1" x14ac:dyDescent="0.3">
      <c r="A440" s="1211">
        <v>60002100062</v>
      </c>
      <c r="B440" s="967">
        <v>4357</v>
      </c>
      <c r="C440" s="1212">
        <v>5171</v>
      </c>
      <c r="D440" s="968">
        <v>11</v>
      </c>
      <c r="E440" s="1206" t="s">
        <v>896</v>
      </c>
      <c r="F440" s="889">
        <v>2200</v>
      </c>
      <c r="G440" s="1214">
        <v>1524</v>
      </c>
      <c r="H440" s="889">
        <v>1519</v>
      </c>
      <c r="I440" s="1215">
        <f>(H440/G440)*100</f>
        <v>99.671916010498691</v>
      </c>
    </row>
    <row r="441" spans="1:14" s="532" customFormat="1" ht="18" customHeight="1" thickTop="1" thickBot="1" x14ac:dyDescent="0.3">
      <c r="A441" s="2672" t="s">
        <v>245</v>
      </c>
      <c r="B441" s="2673"/>
      <c r="C441" s="2673"/>
      <c r="D441" s="2673"/>
      <c r="E441" s="2673"/>
      <c r="F441" s="873">
        <f>F440</f>
        <v>2200</v>
      </c>
      <c r="G441" s="873">
        <f>G440</f>
        <v>1524</v>
      </c>
      <c r="H441" s="873">
        <f>H440</f>
        <v>1519</v>
      </c>
      <c r="I441" s="856">
        <f>(H441/G441)*100</f>
        <v>99.671916010498691</v>
      </c>
    </row>
    <row r="442" spans="1:14" ht="13.5" thickTop="1" x14ac:dyDescent="0.2">
      <c r="K442" s="911"/>
      <c r="L442" s="911"/>
      <c r="M442" s="911"/>
      <c r="N442" s="432"/>
    </row>
    <row r="443" spans="1:14" x14ac:dyDescent="0.2">
      <c r="K443" s="911"/>
      <c r="L443" s="911"/>
      <c r="M443" s="911"/>
      <c r="N443" s="432"/>
    </row>
    <row r="444" spans="1:14" s="532" customFormat="1" ht="13.5" thickBot="1" x14ac:dyDescent="0.25">
      <c r="A444" s="432" t="s">
        <v>1063</v>
      </c>
      <c r="B444" s="643"/>
      <c r="D444" s="814"/>
      <c r="F444" s="493"/>
      <c r="G444" s="493"/>
      <c r="H444" s="493"/>
      <c r="I444" s="949" t="s">
        <v>161</v>
      </c>
    </row>
    <row r="445" spans="1:14" s="107" customFormat="1" ht="20.25" customHeight="1" thickTop="1" thickBot="1" x14ac:dyDescent="0.25">
      <c r="A445" s="682" t="s">
        <v>624</v>
      </c>
      <c r="B445" s="685" t="s">
        <v>162</v>
      </c>
      <c r="C445" s="683" t="s">
        <v>163</v>
      </c>
      <c r="D445" s="634" t="s">
        <v>705</v>
      </c>
      <c r="E445" s="686" t="s">
        <v>164</v>
      </c>
      <c r="F445" s="686" t="s">
        <v>165</v>
      </c>
      <c r="G445" s="686" t="s">
        <v>881</v>
      </c>
      <c r="H445" s="686" t="s">
        <v>882</v>
      </c>
      <c r="I445" s="818" t="s">
        <v>883</v>
      </c>
    </row>
    <row r="446" spans="1:14" s="383" customFormat="1" ht="13.5" thickTop="1" thickBot="1" x14ac:dyDescent="0.25">
      <c r="A446" s="1199">
        <v>1</v>
      </c>
      <c r="B446" s="1200">
        <v>2</v>
      </c>
      <c r="C446" s="1200">
        <v>3</v>
      </c>
      <c r="D446" s="1200">
        <v>4</v>
      </c>
      <c r="E446" s="567">
        <v>5</v>
      </c>
      <c r="F446" s="1201">
        <v>6</v>
      </c>
      <c r="G446" s="1201">
        <v>7</v>
      </c>
      <c r="H446" s="1202">
        <v>8</v>
      </c>
      <c r="I446" s="1203" t="s">
        <v>762</v>
      </c>
    </row>
    <row r="447" spans="1:14" s="532" customFormat="1" ht="16.5" thickTop="1" thickBot="1" x14ac:dyDescent="0.3">
      <c r="A447" s="1211">
        <v>60002100077</v>
      </c>
      <c r="B447" s="967">
        <v>4357</v>
      </c>
      <c r="C447" s="1212">
        <v>5171</v>
      </c>
      <c r="D447" s="968">
        <v>11</v>
      </c>
      <c r="E447" s="1206" t="s">
        <v>896</v>
      </c>
      <c r="F447" s="889">
        <v>1900</v>
      </c>
      <c r="G447" s="1214">
        <v>1821</v>
      </c>
      <c r="H447" s="889">
        <v>1820</v>
      </c>
      <c r="I447" s="1215">
        <f>(H447/G447)*100</f>
        <v>99.945085118066999</v>
      </c>
    </row>
    <row r="448" spans="1:14" s="532" customFormat="1" ht="18" customHeight="1" thickTop="1" thickBot="1" x14ac:dyDescent="0.3">
      <c r="A448" s="2672" t="s">
        <v>245</v>
      </c>
      <c r="B448" s="2673"/>
      <c r="C448" s="2673"/>
      <c r="D448" s="2673"/>
      <c r="E448" s="2673"/>
      <c r="F448" s="873">
        <f>F447</f>
        <v>1900</v>
      </c>
      <c r="G448" s="873">
        <f>G447</f>
        <v>1821</v>
      </c>
      <c r="H448" s="873">
        <f>H447</f>
        <v>1820</v>
      </c>
      <c r="I448" s="856">
        <f>(H448/G448)*100</f>
        <v>99.945085118066999</v>
      </c>
    </row>
    <row r="449" spans="1:14" ht="13.5" thickTop="1" x14ac:dyDescent="0.2">
      <c r="K449" s="911"/>
      <c r="L449" s="911"/>
      <c r="M449" s="911"/>
      <c r="N449" s="432"/>
    </row>
    <row r="450" spans="1:14" x14ac:dyDescent="0.2">
      <c r="K450" s="911"/>
      <c r="L450" s="911"/>
      <c r="M450" s="911"/>
      <c r="N450" s="432"/>
    </row>
    <row r="451" spans="1:14" s="532" customFormat="1" ht="13.5" thickBot="1" x14ac:dyDescent="0.25">
      <c r="A451" s="432" t="s">
        <v>1064</v>
      </c>
      <c r="B451" s="643"/>
      <c r="D451" s="814"/>
      <c r="F451" s="493"/>
      <c r="G451" s="493"/>
      <c r="H451" s="493"/>
      <c r="I451" s="949" t="s">
        <v>161</v>
      </c>
    </row>
    <row r="452" spans="1:14" s="107" customFormat="1" ht="20.25" customHeight="1" thickTop="1" thickBot="1" x14ac:dyDescent="0.25">
      <c r="A452" s="682" t="s">
        <v>624</v>
      </c>
      <c r="B452" s="685" t="s">
        <v>162</v>
      </c>
      <c r="C452" s="683" t="s">
        <v>163</v>
      </c>
      <c r="D452" s="634" t="s">
        <v>705</v>
      </c>
      <c r="E452" s="686" t="s">
        <v>164</v>
      </c>
      <c r="F452" s="686" t="s">
        <v>165</v>
      </c>
      <c r="G452" s="686" t="s">
        <v>881</v>
      </c>
      <c r="H452" s="686" t="s">
        <v>882</v>
      </c>
      <c r="I452" s="818" t="s">
        <v>883</v>
      </c>
    </row>
    <row r="453" spans="1:14" s="383" customFormat="1" ht="13.5" thickTop="1" thickBot="1" x14ac:dyDescent="0.25">
      <c r="A453" s="1199">
        <v>1</v>
      </c>
      <c r="B453" s="1200">
        <v>2</v>
      </c>
      <c r="C453" s="1200">
        <v>3</v>
      </c>
      <c r="D453" s="1200">
        <v>4</v>
      </c>
      <c r="E453" s="567">
        <v>5</v>
      </c>
      <c r="F453" s="1201">
        <v>6</v>
      </c>
      <c r="G453" s="1201">
        <v>7</v>
      </c>
      <c r="H453" s="1202">
        <v>8</v>
      </c>
      <c r="I453" s="1203" t="s">
        <v>762</v>
      </c>
    </row>
    <row r="454" spans="1:14" s="532" customFormat="1" ht="16.5" thickTop="1" thickBot="1" x14ac:dyDescent="0.3">
      <c r="A454" s="1211">
        <v>60002100183</v>
      </c>
      <c r="B454" s="967">
        <v>4357</v>
      </c>
      <c r="C454" s="1212">
        <v>6121</v>
      </c>
      <c r="D454" s="968">
        <v>11</v>
      </c>
      <c r="E454" s="1206" t="s">
        <v>603</v>
      </c>
      <c r="F454" s="889"/>
      <c r="G454" s="1214">
        <v>512</v>
      </c>
      <c r="H454" s="889">
        <v>511</v>
      </c>
      <c r="I454" s="1215">
        <f>(H454/G454)*100</f>
        <v>99.8046875</v>
      </c>
    </row>
    <row r="455" spans="1:14" s="532" customFormat="1" ht="18" customHeight="1" thickTop="1" thickBot="1" x14ac:dyDescent="0.3">
      <c r="A455" s="2692" t="s">
        <v>244</v>
      </c>
      <c r="B455" s="2685"/>
      <c r="C455" s="2685"/>
      <c r="D455" s="2685"/>
      <c r="E455" s="2685"/>
      <c r="F455" s="873">
        <f>F454</f>
        <v>0</v>
      </c>
      <c r="G455" s="873">
        <f>G454</f>
        <v>512</v>
      </c>
      <c r="H455" s="873">
        <f>H454</f>
        <v>511</v>
      </c>
      <c r="I455" s="856">
        <f>(H455/G455)*100</f>
        <v>99.8046875</v>
      </c>
    </row>
    <row r="456" spans="1:14" ht="13.5" thickTop="1" x14ac:dyDescent="0.2">
      <c r="K456" s="911"/>
      <c r="L456" s="911"/>
      <c r="M456" s="911"/>
      <c r="N456" s="432"/>
    </row>
    <row r="457" spans="1:14" x14ac:dyDescent="0.2">
      <c r="K457" s="911"/>
      <c r="L457" s="911"/>
      <c r="M457" s="911"/>
      <c r="N457" s="432"/>
    </row>
    <row r="458" spans="1:14" s="532" customFormat="1" ht="13.5" thickBot="1" x14ac:dyDescent="0.25">
      <c r="A458" s="432" t="s">
        <v>430</v>
      </c>
      <c r="B458" s="643"/>
      <c r="D458" s="814"/>
      <c r="F458" s="493"/>
      <c r="G458" s="493"/>
      <c r="H458" s="493"/>
      <c r="I458" s="949" t="s">
        <v>161</v>
      </c>
    </row>
    <row r="459" spans="1:14" s="107" customFormat="1" ht="20.25" customHeight="1" thickTop="1" thickBot="1" x14ac:dyDescent="0.25">
      <c r="A459" s="682" t="s">
        <v>624</v>
      </c>
      <c r="B459" s="685" t="s">
        <v>162</v>
      </c>
      <c r="C459" s="683" t="s">
        <v>163</v>
      </c>
      <c r="D459" s="634" t="s">
        <v>705</v>
      </c>
      <c r="E459" s="686" t="s">
        <v>164</v>
      </c>
      <c r="F459" s="686" t="s">
        <v>165</v>
      </c>
      <c r="G459" s="686" t="s">
        <v>881</v>
      </c>
      <c r="H459" s="686" t="s">
        <v>882</v>
      </c>
      <c r="I459" s="818" t="s">
        <v>883</v>
      </c>
    </row>
    <row r="460" spans="1:14" s="383" customFormat="1" ht="13.5" thickTop="1" thickBot="1" x14ac:dyDescent="0.25">
      <c r="A460" s="1199">
        <v>1</v>
      </c>
      <c r="B460" s="1200">
        <v>2</v>
      </c>
      <c r="C460" s="1200">
        <v>3</v>
      </c>
      <c r="D460" s="1200">
        <v>4</v>
      </c>
      <c r="E460" s="567">
        <v>5</v>
      </c>
      <c r="F460" s="1201">
        <v>6</v>
      </c>
      <c r="G460" s="1201">
        <v>7</v>
      </c>
      <c r="H460" s="1202">
        <v>8</v>
      </c>
      <c r="I460" s="1203" t="s">
        <v>762</v>
      </c>
    </row>
    <row r="461" spans="1:14" s="532" customFormat="1" ht="16.5" thickTop="1" thickBot="1" x14ac:dyDescent="0.3">
      <c r="A461" s="1211">
        <v>60002100209</v>
      </c>
      <c r="B461" s="967">
        <v>4357</v>
      </c>
      <c r="C461" s="1212">
        <v>5171</v>
      </c>
      <c r="D461" s="968">
        <v>11</v>
      </c>
      <c r="E461" s="1206" t="s">
        <v>896</v>
      </c>
      <c r="F461" s="889"/>
      <c r="G461" s="1214">
        <v>1414</v>
      </c>
      <c r="H461" s="889">
        <v>1414</v>
      </c>
      <c r="I461" s="1215">
        <f>(H461/G461)*100</f>
        <v>100</v>
      </c>
    </row>
    <row r="462" spans="1:14" s="532" customFormat="1" ht="18" customHeight="1" thickTop="1" thickBot="1" x14ac:dyDescent="0.3">
      <c r="A462" s="2672" t="s">
        <v>245</v>
      </c>
      <c r="B462" s="2673"/>
      <c r="C462" s="2673"/>
      <c r="D462" s="2673"/>
      <c r="E462" s="2673"/>
      <c r="F462" s="873">
        <f>F461</f>
        <v>0</v>
      </c>
      <c r="G462" s="873">
        <f>G461</f>
        <v>1414</v>
      </c>
      <c r="H462" s="873">
        <f>H461</f>
        <v>1414</v>
      </c>
      <c r="I462" s="856">
        <f>(H462/G462)*100</f>
        <v>100</v>
      </c>
    </row>
    <row r="463" spans="1:14" ht="13.5" thickTop="1" x14ac:dyDescent="0.2">
      <c r="K463" s="911"/>
      <c r="L463" s="911"/>
      <c r="M463" s="911"/>
      <c r="N463" s="432"/>
    </row>
    <row r="464" spans="1:14" x14ac:dyDescent="0.2">
      <c r="K464" s="911"/>
      <c r="L464" s="911"/>
      <c r="M464" s="911"/>
      <c r="N464" s="432"/>
    </row>
    <row r="465" spans="1:14" x14ac:dyDescent="0.2">
      <c r="K465" s="911"/>
      <c r="L465" s="911"/>
      <c r="M465" s="911"/>
      <c r="N465" s="432"/>
    </row>
    <row r="466" spans="1:14" x14ac:dyDescent="0.2">
      <c r="K466" s="911"/>
      <c r="L466" s="911"/>
      <c r="M466" s="911"/>
      <c r="N466" s="432"/>
    </row>
    <row r="467" spans="1:14" x14ac:dyDescent="0.2">
      <c r="K467" s="911"/>
      <c r="L467" s="911"/>
      <c r="M467" s="911"/>
      <c r="N467" s="432"/>
    </row>
    <row r="468" spans="1:14" x14ac:dyDescent="0.2">
      <c r="K468" s="911"/>
      <c r="L468" s="911"/>
      <c r="M468" s="911"/>
      <c r="N468" s="432"/>
    </row>
    <row r="469" spans="1:14" s="532" customFormat="1" ht="13.5" thickBot="1" x14ac:dyDescent="0.25">
      <c r="A469" s="432" t="s">
        <v>431</v>
      </c>
      <c r="B469" s="643"/>
      <c r="D469" s="814"/>
      <c r="F469" s="493"/>
      <c r="G469" s="493"/>
      <c r="H469" s="493"/>
      <c r="I469" s="949" t="s">
        <v>161</v>
      </c>
    </row>
    <row r="470" spans="1:14" s="107" customFormat="1" ht="20.25" customHeight="1" thickTop="1" thickBot="1" x14ac:dyDescent="0.25">
      <c r="A470" s="682" t="s">
        <v>624</v>
      </c>
      <c r="B470" s="685" t="s">
        <v>162</v>
      </c>
      <c r="C470" s="683" t="s">
        <v>163</v>
      </c>
      <c r="D470" s="634" t="s">
        <v>705</v>
      </c>
      <c r="E470" s="686" t="s">
        <v>164</v>
      </c>
      <c r="F470" s="686" t="s">
        <v>165</v>
      </c>
      <c r="G470" s="686" t="s">
        <v>881</v>
      </c>
      <c r="H470" s="686" t="s">
        <v>882</v>
      </c>
      <c r="I470" s="818" t="s">
        <v>883</v>
      </c>
    </row>
    <row r="471" spans="1:14" s="383" customFormat="1" ht="13.5" thickTop="1" thickBot="1" x14ac:dyDescent="0.25">
      <c r="A471" s="1199">
        <v>1</v>
      </c>
      <c r="B471" s="1200">
        <v>2</v>
      </c>
      <c r="C471" s="1200">
        <v>3</v>
      </c>
      <c r="D471" s="1200">
        <v>4</v>
      </c>
      <c r="E471" s="567">
        <v>5</v>
      </c>
      <c r="F471" s="1201">
        <v>6</v>
      </c>
      <c r="G471" s="1201">
        <v>7</v>
      </c>
      <c r="H471" s="1202">
        <v>8</v>
      </c>
      <c r="I471" s="1203" t="s">
        <v>762</v>
      </c>
    </row>
    <row r="472" spans="1:14" s="532" customFormat="1" ht="16.5" thickTop="1" thickBot="1" x14ac:dyDescent="0.3">
      <c r="A472" s="1211">
        <v>60002100249</v>
      </c>
      <c r="B472" s="967">
        <v>4357</v>
      </c>
      <c r="C472" s="1212">
        <v>5137</v>
      </c>
      <c r="D472" s="968">
        <v>11</v>
      </c>
      <c r="E472" s="1206" t="s">
        <v>155</v>
      </c>
      <c r="F472" s="889"/>
      <c r="G472" s="1214">
        <v>379</v>
      </c>
      <c r="H472" s="889">
        <v>379</v>
      </c>
      <c r="I472" s="1215">
        <f>(H472/G472)*100</f>
        <v>100</v>
      </c>
    </row>
    <row r="473" spans="1:14" s="532" customFormat="1" ht="18" customHeight="1" thickTop="1" thickBot="1" x14ac:dyDescent="0.3">
      <c r="A473" s="2672" t="s">
        <v>245</v>
      </c>
      <c r="B473" s="2673"/>
      <c r="C473" s="2673"/>
      <c r="D473" s="2673"/>
      <c r="E473" s="2673"/>
      <c r="F473" s="873">
        <f>F472</f>
        <v>0</v>
      </c>
      <c r="G473" s="873">
        <f>G472</f>
        <v>379</v>
      </c>
      <c r="H473" s="873">
        <f>H472</f>
        <v>379</v>
      </c>
      <c r="I473" s="856">
        <f>(H473/G473)*100</f>
        <v>100</v>
      </c>
    </row>
    <row r="474" spans="1:14" s="532" customFormat="1" ht="15.75" thickTop="1" x14ac:dyDescent="0.25">
      <c r="A474" s="957">
        <v>60002100249</v>
      </c>
      <c r="B474" s="775">
        <v>4357</v>
      </c>
      <c r="C474" s="654">
        <v>6121</v>
      </c>
      <c r="D474" s="973">
        <v>11</v>
      </c>
      <c r="E474" s="309" t="s">
        <v>603</v>
      </c>
      <c r="F474" s="960"/>
      <c r="G474" s="1209">
        <v>3411</v>
      </c>
      <c r="H474" s="960">
        <v>3331</v>
      </c>
      <c r="I474" s="1210">
        <f>(H474/G474)*100</f>
        <v>97.654646731163879</v>
      </c>
    </row>
    <row r="475" spans="1:14" s="532" customFormat="1" ht="15.75" thickBot="1" x14ac:dyDescent="0.3">
      <c r="A475" s="963">
        <v>60002100249</v>
      </c>
      <c r="B475" s="891">
        <v>4357</v>
      </c>
      <c r="C475" s="891">
        <v>6122</v>
      </c>
      <c r="D475" s="1230">
        <v>11</v>
      </c>
      <c r="E475" s="1229" t="s">
        <v>604</v>
      </c>
      <c r="F475" s="1228"/>
      <c r="G475" s="1228">
        <v>772</v>
      </c>
      <c r="H475" s="1228">
        <v>772</v>
      </c>
      <c r="I475" s="974">
        <f>(H475/G475)*100</f>
        <v>100</v>
      </c>
    </row>
    <row r="476" spans="1:14" s="532" customFormat="1" ht="18" customHeight="1" thickTop="1" thickBot="1" x14ac:dyDescent="0.3">
      <c r="A476" s="2692" t="s">
        <v>244</v>
      </c>
      <c r="B476" s="2685"/>
      <c r="C476" s="2685"/>
      <c r="D476" s="2685"/>
      <c r="E476" s="2685"/>
      <c r="F476" s="873">
        <f>F474</f>
        <v>0</v>
      </c>
      <c r="G476" s="873">
        <f>G474+G475</f>
        <v>4183</v>
      </c>
      <c r="H476" s="873">
        <f>H474+H475</f>
        <v>4103</v>
      </c>
      <c r="I476" s="856">
        <f>(H476/G476)*100</f>
        <v>98.087497011714078</v>
      </c>
    </row>
    <row r="477" spans="1:14" s="532" customFormat="1" ht="18" customHeight="1" thickTop="1" x14ac:dyDescent="0.25">
      <c r="A477" s="368"/>
      <c r="B477" s="368"/>
      <c r="C477" s="368"/>
      <c r="D477" s="368"/>
      <c r="E477" s="368"/>
      <c r="F477" s="181"/>
      <c r="G477" s="181"/>
      <c r="H477" s="181"/>
      <c r="I477" s="210"/>
    </row>
    <row r="478" spans="1:14" s="532" customFormat="1" ht="18" customHeight="1" x14ac:dyDescent="0.25">
      <c r="A478" s="368"/>
      <c r="B478" s="368"/>
      <c r="C478" s="368"/>
      <c r="D478" s="368"/>
      <c r="E478" s="368"/>
      <c r="F478" s="181"/>
      <c r="G478" s="181"/>
      <c r="H478" s="181"/>
      <c r="I478" s="210"/>
    </row>
    <row r="479" spans="1:14" s="532" customFormat="1" ht="13.5" thickBot="1" x14ac:dyDescent="0.25">
      <c r="A479" s="432" t="s">
        <v>432</v>
      </c>
      <c r="B479" s="643"/>
      <c r="D479" s="814"/>
      <c r="F479" s="493"/>
      <c r="G479" s="493"/>
      <c r="H479" s="493"/>
      <c r="I479" s="949" t="s">
        <v>161</v>
      </c>
    </row>
    <row r="480" spans="1:14" s="107" customFormat="1" ht="20.25" customHeight="1" thickTop="1" thickBot="1" x14ac:dyDescent="0.25">
      <c r="A480" s="682" t="s">
        <v>624</v>
      </c>
      <c r="B480" s="685" t="s">
        <v>162</v>
      </c>
      <c r="C480" s="683" t="s">
        <v>163</v>
      </c>
      <c r="D480" s="634" t="s">
        <v>705</v>
      </c>
      <c r="E480" s="686" t="s">
        <v>164</v>
      </c>
      <c r="F480" s="686" t="s">
        <v>165</v>
      </c>
      <c r="G480" s="686" t="s">
        <v>881</v>
      </c>
      <c r="H480" s="686" t="s">
        <v>882</v>
      </c>
      <c r="I480" s="818" t="s">
        <v>883</v>
      </c>
    </row>
    <row r="481" spans="1:14" s="383" customFormat="1" ht="13.5" thickTop="1" thickBot="1" x14ac:dyDescent="0.25">
      <c r="A481" s="1199">
        <v>1</v>
      </c>
      <c r="B481" s="1200">
        <v>2</v>
      </c>
      <c r="C481" s="1200">
        <v>3</v>
      </c>
      <c r="D481" s="1200">
        <v>4</v>
      </c>
      <c r="E481" s="567">
        <v>5</v>
      </c>
      <c r="F481" s="1201">
        <v>6</v>
      </c>
      <c r="G481" s="1201">
        <v>7</v>
      </c>
      <c r="H481" s="1202">
        <v>8</v>
      </c>
      <c r="I481" s="1203" t="s">
        <v>762</v>
      </c>
    </row>
    <row r="482" spans="1:14" s="532" customFormat="1" ht="16.5" thickTop="1" thickBot="1" x14ac:dyDescent="0.3">
      <c r="A482" s="1211">
        <v>60002100250</v>
      </c>
      <c r="B482" s="967">
        <v>4357</v>
      </c>
      <c r="C482" s="1212">
        <v>6121</v>
      </c>
      <c r="D482" s="968">
        <v>11</v>
      </c>
      <c r="E482" s="969" t="s">
        <v>603</v>
      </c>
      <c r="F482" s="889"/>
      <c r="G482" s="1214">
        <v>1200</v>
      </c>
      <c r="H482" s="889">
        <v>78</v>
      </c>
      <c r="I482" s="1215">
        <f>(H482/G482)*100</f>
        <v>6.5</v>
      </c>
    </row>
    <row r="483" spans="1:14" s="532" customFormat="1" ht="18" customHeight="1" thickTop="1" thickBot="1" x14ac:dyDescent="0.3">
      <c r="A483" s="2692" t="s">
        <v>244</v>
      </c>
      <c r="B483" s="2685"/>
      <c r="C483" s="2685"/>
      <c r="D483" s="2685"/>
      <c r="E483" s="2685"/>
      <c r="F483" s="873">
        <f>F482</f>
        <v>0</v>
      </c>
      <c r="G483" s="873">
        <f>G482</f>
        <v>1200</v>
      </c>
      <c r="H483" s="873">
        <f>H482</f>
        <v>78</v>
      </c>
      <c r="I483" s="856">
        <f>(H483/G483)*100</f>
        <v>6.5</v>
      </c>
    </row>
    <row r="484" spans="1:14" ht="13.5" thickTop="1" x14ac:dyDescent="0.2">
      <c r="K484" s="911"/>
      <c r="L484" s="911"/>
      <c r="M484" s="911"/>
      <c r="N484" s="432"/>
    </row>
    <row r="485" spans="1:14" x14ac:dyDescent="0.2">
      <c r="K485" s="911"/>
      <c r="L485" s="911"/>
      <c r="M485" s="911"/>
      <c r="N485" s="432"/>
    </row>
    <row r="486" spans="1:14" s="532" customFormat="1" ht="13.5" thickBot="1" x14ac:dyDescent="0.25">
      <c r="A486" s="432" t="s">
        <v>433</v>
      </c>
      <c r="B486" s="643"/>
      <c r="D486" s="814"/>
      <c r="F486" s="493"/>
      <c r="G486" s="493"/>
      <c r="H486" s="493"/>
      <c r="I486" s="949" t="s">
        <v>161</v>
      </c>
    </row>
    <row r="487" spans="1:14" s="107" customFormat="1" ht="20.25" customHeight="1" thickTop="1" thickBot="1" x14ac:dyDescent="0.25">
      <c r="A487" s="682" t="s">
        <v>624</v>
      </c>
      <c r="B487" s="685" t="s">
        <v>162</v>
      </c>
      <c r="C487" s="683" t="s">
        <v>163</v>
      </c>
      <c r="D487" s="634" t="s">
        <v>705</v>
      </c>
      <c r="E487" s="686" t="s">
        <v>164</v>
      </c>
      <c r="F487" s="686" t="s">
        <v>165</v>
      </c>
      <c r="G487" s="686" t="s">
        <v>881</v>
      </c>
      <c r="H487" s="686" t="s">
        <v>882</v>
      </c>
      <c r="I487" s="818" t="s">
        <v>883</v>
      </c>
    </row>
    <row r="488" spans="1:14" s="383" customFormat="1" ht="13.5" thickTop="1" thickBot="1" x14ac:dyDescent="0.25">
      <c r="A488" s="1199">
        <v>1</v>
      </c>
      <c r="B488" s="1200">
        <v>2</v>
      </c>
      <c r="C488" s="1200">
        <v>3</v>
      </c>
      <c r="D488" s="1200">
        <v>4</v>
      </c>
      <c r="E488" s="567">
        <v>5</v>
      </c>
      <c r="F488" s="1201">
        <v>6</v>
      </c>
      <c r="G488" s="1201">
        <v>7</v>
      </c>
      <c r="H488" s="1202">
        <v>8</v>
      </c>
      <c r="I488" s="1203" t="s">
        <v>762</v>
      </c>
    </row>
    <row r="489" spans="1:14" s="532" customFormat="1" ht="16.5" thickTop="1" thickBot="1" x14ac:dyDescent="0.3">
      <c r="A489" s="1211">
        <v>60002100251</v>
      </c>
      <c r="B489" s="967">
        <v>4322</v>
      </c>
      <c r="C489" s="1212">
        <v>6121</v>
      </c>
      <c r="D489" s="968">
        <v>870</v>
      </c>
      <c r="E489" s="969" t="s">
        <v>603</v>
      </c>
      <c r="F489" s="889"/>
      <c r="G489" s="1214">
        <v>5730</v>
      </c>
      <c r="H489" s="889">
        <v>5241</v>
      </c>
      <c r="I489" s="1215">
        <f>(H489/G489)*100</f>
        <v>91.465968586387433</v>
      </c>
    </row>
    <row r="490" spans="1:14" s="532" customFormat="1" ht="18" customHeight="1" thickTop="1" thickBot="1" x14ac:dyDescent="0.3">
      <c r="A490" s="2692" t="s">
        <v>244</v>
      </c>
      <c r="B490" s="2685"/>
      <c r="C490" s="2685"/>
      <c r="D490" s="2685"/>
      <c r="E490" s="2685"/>
      <c r="F490" s="873">
        <f>F489</f>
        <v>0</v>
      </c>
      <c r="G490" s="873">
        <f>G489</f>
        <v>5730</v>
      </c>
      <c r="H490" s="873">
        <f>H489</f>
        <v>5241</v>
      </c>
      <c r="I490" s="856">
        <f>(H490/G490)*100</f>
        <v>91.465968586387433</v>
      </c>
    </row>
    <row r="491" spans="1:14" ht="13.5" thickTop="1" x14ac:dyDescent="0.2">
      <c r="K491" s="911"/>
      <c r="L491" s="911"/>
      <c r="M491" s="911"/>
      <c r="N491" s="432"/>
    </row>
    <row r="492" spans="1:14" x14ac:dyDescent="0.2">
      <c r="K492" s="911"/>
      <c r="L492" s="911"/>
      <c r="M492" s="911"/>
      <c r="N492" s="432"/>
    </row>
    <row r="493" spans="1:14" s="532" customFormat="1" ht="13.5" thickBot="1" x14ac:dyDescent="0.25">
      <c r="A493" s="432" t="s">
        <v>434</v>
      </c>
      <c r="B493" s="643"/>
      <c r="D493" s="814"/>
      <c r="F493" s="493"/>
      <c r="G493" s="493"/>
      <c r="H493" s="493"/>
      <c r="I493" s="949" t="s">
        <v>161</v>
      </c>
    </row>
    <row r="494" spans="1:14" s="107" customFormat="1" ht="20.25" customHeight="1" thickTop="1" thickBot="1" x14ac:dyDescent="0.25">
      <c r="A494" s="682" t="s">
        <v>624</v>
      </c>
      <c r="B494" s="685" t="s">
        <v>162</v>
      </c>
      <c r="C494" s="683" t="s">
        <v>163</v>
      </c>
      <c r="D494" s="634" t="s">
        <v>705</v>
      </c>
      <c r="E494" s="686" t="s">
        <v>164</v>
      </c>
      <c r="F494" s="686" t="s">
        <v>165</v>
      </c>
      <c r="G494" s="686" t="s">
        <v>881</v>
      </c>
      <c r="H494" s="686" t="s">
        <v>882</v>
      </c>
      <c r="I494" s="818" t="s">
        <v>883</v>
      </c>
    </row>
    <row r="495" spans="1:14" s="383" customFormat="1" ht="13.5" thickTop="1" thickBot="1" x14ac:dyDescent="0.25">
      <c r="A495" s="1199">
        <v>1</v>
      </c>
      <c r="B495" s="1200">
        <v>2</v>
      </c>
      <c r="C495" s="1200">
        <v>3</v>
      </c>
      <c r="D495" s="1200">
        <v>4</v>
      </c>
      <c r="E495" s="567">
        <v>5</v>
      </c>
      <c r="F495" s="1201">
        <v>6</v>
      </c>
      <c r="G495" s="1201">
        <v>7</v>
      </c>
      <c r="H495" s="1202">
        <v>8</v>
      </c>
      <c r="I495" s="1203" t="s">
        <v>762</v>
      </c>
    </row>
    <row r="496" spans="1:14" s="532" customFormat="1" ht="16.5" thickTop="1" thickBot="1" x14ac:dyDescent="0.3">
      <c r="A496" s="1211">
        <v>60002100252</v>
      </c>
      <c r="B496" s="967">
        <v>4322</v>
      </c>
      <c r="C496" s="1212">
        <v>6121</v>
      </c>
      <c r="D496" s="968">
        <v>11</v>
      </c>
      <c r="E496" s="969" t="s">
        <v>603</v>
      </c>
      <c r="F496" s="889"/>
      <c r="G496" s="1214">
        <v>527</v>
      </c>
      <c r="H496" s="889">
        <v>459</v>
      </c>
      <c r="I496" s="1215">
        <f>(H496/G496)*100</f>
        <v>87.096774193548384</v>
      </c>
    </row>
    <row r="497" spans="1:14" s="532" customFormat="1" ht="18" customHeight="1" thickTop="1" thickBot="1" x14ac:dyDescent="0.3">
      <c r="A497" s="2692" t="s">
        <v>244</v>
      </c>
      <c r="B497" s="2685"/>
      <c r="C497" s="2685"/>
      <c r="D497" s="2685"/>
      <c r="E497" s="2685"/>
      <c r="F497" s="873">
        <f>F496</f>
        <v>0</v>
      </c>
      <c r="G497" s="873">
        <f>G496</f>
        <v>527</v>
      </c>
      <c r="H497" s="873">
        <f>H496</f>
        <v>459</v>
      </c>
      <c r="I497" s="856">
        <f>(H497/G497)*100</f>
        <v>87.096774193548384</v>
      </c>
    </row>
    <row r="498" spans="1:14" ht="13.5" thickTop="1" x14ac:dyDescent="0.2">
      <c r="K498" s="911"/>
      <c r="L498" s="911"/>
      <c r="M498" s="911"/>
      <c r="N498" s="432"/>
    </row>
    <row r="499" spans="1:14" x14ac:dyDescent="0.2">
      <c r="K499" s="911"/>
      <c r="L499" s="911"/>
      <c r="M499" s="911"/>
      <c r="N499" s="432"/>
    </row>
    <row r="500" spans="1:14" s="532" customFormat="1" ht="13.5" thickBot="1" x14ac:dyDescent="0.25">
      <c r="A500" s="432" t="s">
        <v>435</v>
      </c>
      <c r="B500" s="643"/>
      <c r="D500" s="814"/>
      <c r="F500" s="493"/>
      <c r="G500" s="493"/>
      <c r="H500" s="493"/>
      <c r="I500" s="949" t="s">
        <v>161</v>
      </c>
    </row>
    <row r="501" spans="1:14" s="107" customFormat="1" ht="20.25" customHeight="1" thickTop="1" thickBot="1" x14ac:dyDescent="0.25">
      <c r="A501" s="682" t="s">
        <v>624</v>
      </c>
      <c r="B501" s="685" t="s">
        <v>162</v>
      </c>
      <c r="C501" s="683" t="s">
        <v>163</v>
      </c>
      <c r="D501" s="634" t="s">
        <v>705</v>
      </c>
      <c r="E501" s="686" t="s">
        <v>164</v>
      </c>
      <c r="F501" s="686" t="s">
        <v>165</v>
      </c>
      <c r="G501" s="686" t="s">
        <v>881</v>
      </c>
      <c r="H501" s="686" t="s">
        <v>882</v>
      </c>
      <c r="I501" s="818" t="s">
        <v>883</v>
      </c>
    </row>
    <row r="502" spans="1:14" s="383" customFormat="1" ht="13.5" thickTop="1" thickBot="1" x14ac:dyDescent="0.25">
      <c r="A502" s="1199">
        <v>1</v>
      </c>
      <c r="B502" s="1200">
        <v>2</v>
      </c>
      <c r="C502" s="1200">
        <v>3</v>
      </c>
      <c r="D502" s="1200">
        <v>4</v>
      </c>
      <c r="E502" s="567">
        <v>5</v>
      </c>
      <c r="F502" s="1201">
        <v>6</v>
      </c>
      <c r="G502" s="1201">
        <v>7</v>
      </c>
      <c r="H502" s="1202">
        <v>8</v>
      </c>
      <c r="I502" s="1203" t="s">
        <v>762</v>
      </c>
    </row>
    <row r="503" spans="1:14" s="532" customFormat="1" ht="16.5" thickTop="1" thickBot="1" x14ac:dyDescent="0.3">
      <c r="A503" s="1211">
        <v>60002100253</v>
      </c>
      <c r="B503" s="967">
        <v>4322</v>
      </c>
      <c r="C503" s="1212">
        <v>5171</v>
      </c>
      <c r="D503" s="968">
        <v>11</v>
      </c>
      <c r="E503" s="969" t="s">
        <v>896</v>
      </c>
      <c r="F503" s="889"/>
      <c r="G503" s="1214">
        <v>1560</v>
      </c>
      <c r="H503" s="889">
        <v>1198</v>
      </c>
      <c r="I503" s="1215">
        <f>(H503/G503)*100</f>
        <v>76.794871794871796</v>
      </c>
    </row>
    <row r="504" spans="1:14" s="532" customFormat="1" ht="18" customHeight="1" thickTop="1" thickBot="1" x14ac:dyDescent="0.3">
      <c r="A504" s="2672" t="s">
        <v>245</v>
      </c>
      <c r="B504" s="2673"/>
      <c r="C504" s="2673"/>
      <c r="D504" s="2673"/>
      <c r="E504" s="2673"/>
      <c r="F504" s="873">
        <f>F503</f>
        <v>0</v>
      </c>
      <c r="G504" s="873">
        <f>G503</f>
        <v>1560</v>
      </c>
      <c r="H504" s="873">
        <f>H503</f>
        <v>1198</v>
      </c>
      <c r="I504" s="856">
        <f>(H504/G504)*100</f>
        <v>76.794871794871796</v>
      </c>
    </row>
    <row r="505" spans="1:14" ht="13.5" thickTop="1" x14ac:dyDescent="0.2">
      <c r="K505" s="911"/>
      <c r="L505" s="911"/>
      <c r="M505" s="911"/>
      <c r="N505" s="432"/>
    </row>
    <row r="506" spans="1:14" x14ac:dyDescent="0.2">
      <c r="K506" s="911"/>
      <c r="L506" s="911"/>
      <c r="M506" s="911"/>
      <c r="N506" s="432"/>
    </row>
    <row r="507" spans="1:14" s="532" customFormat="1" ht="13.5" thickBot="1" x14ac:dyDescent="0.25">
      <c r="A507" s="432" t="s">
        <v>436</v>
      </c>
      <c r="B507" s="643"/>
      <c r="D507" s="814"/>
      <c r="F507" s="493"/>
      <c r="G507" s="493"/>
      <c r="H507" s="493"/>
      <c r="I507" s="949" t="s">
        <v>161</v>
      </c>
    </row>
    <row r="508" spans="1:14" s="107" customFormat="1" ht="20.25" customHeight="1" thickTop="1" thickBot="1" x14ac:dyDescent="0.25">
      <c r="A508" s="682" t="s">
        <v>624</v>
      </c>
      <c r="B508" s="685" t="s">
        <v>162</v>
      </c>
      <c r="C508" s="683" t="s">
        <v>163</v>
      </c>
      <c r="D508" s="634" t="s">
        <v>705</v>
      </c>
      <c r="E508" s="686" t="s">
        <v>164</v>
      </c>
      <c r="F508" s="686" t="s">
        <v>165</v>
      </c>
      <c r="G508" s="686" t="s">
        <v>881</v>
      </c>
      <c r="H508" s="686" t="s">
        <v>882</v>
      </c>
      <c r="I508" s="818" t="s">
        <v>883</v>
      </c>
    </row>
    <row r="509" spans="1:14" s="383" customFormat="1" ht="13.5" thickTop="1" thickBot="1" x14ac:dyDescent="0.25">
      <c r="A509" s="1199">
        <v>1</v>
      </c>
      <c r="B509" s="1200">
        <v>2</v>
      </c>
      <c r="C509" s="1200">
        <v>3</v>
      </c>
      <c r="D509" s="1200">
        <v>4</v>
      </c>
      <c r="E509" s="567">
        <v>5</v>
      </c>
      <c r="F509" s="1201">
        <v>6</v>
      </c>
      <c r="G509" s="1201">
        <v>7</v>
      </c>
      <c r="H509" s="1202">
        <v>8</v>
      </c>
      <c r="I509" s="1203" t="s">
        <v>762</v>
      </c>
    </row>
    <row r="510" spans="1:14" s="532" customFormat="1" ht="16.5" thickTop="1" thickBot="1" x14ac:dyDescent="0.3">
      <c r="A510" s="1211">
        <v>60002100255</v>
      </c>
      <c r="B510" s="967">
        <v>4357</v>
      </c>
      <c r="C510" s="1212">
        <v>6121</v>
      </c>
      <c r="D510" s="968">
        <v>11</v>
      </c>
      <c r="E510" s="969" t="s">
        <v>603</v>
      </c>
      <c r="F510" s="889"/>
      <c r="G510" s="1214">
        <v>1314</v>
      </c>
      <c r="H510" s="889">
        <v>115</v>
      </c>
      <c r="I510" s="1215">
        <f>(H510/G510)*100</f>
        <v>8.7519025875190248</v>
      </c>
    </row>
    <row r="511" spans="1:14" s="532" customFormat="1" ht="18" customHeight="1" thickTop="1" thickBot="1" x14ac:dyDescent="0.3">
      <c r="A511" s="2692" t="s">
        <v>244</v>
      </c>
      <c r="B511" s="2685"/>
      <c r="C511" s="2685"/>
      <c r="D511" s="2685"/>
      <c r="E511" s="2685"/>
      <c r="F511" s="873">
        <f>F510</f>
        <v>0</v>
      </c>
      <c r="G511" s="873">
        <f>G510</f>
        <v>1314</v>
      </c>
      <c r="H511" s="873">
        <f>H510</f>
        <v>115</v>
      </c>
      <c r="I511" s="856">
        <f>(H511/G511)*100</f>
        <v>8.7519025875190248</v>
      </c>
    </row>
    <row r="512" spans="1:14" ht="13.5" thickTop="1" x14ac:dyDescent="0.2">
      <c r="K512" s="911"/>
      <c r="L512" s="911"/>
      <c r="M512" s="911"/>
      <c r="N512" s="432"/>
    </row>
    <row r="513" spans="1:14" x14ac:dyDescent="0.2">
      <c r="K513" s="911"/>
      <c r="L513" s="911"/>
      <c r="M513" s="911"/>
      <c r="N513" s="432"/>
    </row>
    <row r="514" spans="1:14" s="532" customFormat="1" ht="13.5" thickBot="1" x14ac:dyDescent="0.25">
      <c r="A514" s="432" t="s">
        <v>809</v>
      </c>
      <c r="B514" s="643"/>
      <c r="D514" s="814"/>
      <c r="F514" s="493"/>
      <c r="G514" s="493"/>
      <c r="H514" s="493"/>
      <c r="I514" s="949" t="s">
        <v>161</v>
      </c>
    </row>
    <row r="515" spans="1:14" s="107" customFormat="1" ht="20.25" customHeight="1" thickTop="1" thickBot="1" x14ac:dyDescent="0.25">
      <c r="A515" s="682" t="s">
        <v>624</v>
      </c>
      <c r="B515" s="685" t="s">
        <v>162</v>
      </c>
      <c r="C515" s="683" t="s">
        <v>163</v>
      </c>
      <c r="D515" s="634" t="s">
        <v>705</v>
      </c>
      <c r="E515" s="686" t="s">
        <v>164</v>
      </c>
      <c r="F515" s="686" t="s">
        <v>165</v>
      </c>
      <c r="G515" s="686" t="s">
        <v>881</v>
      </c>
      <c r="H515" s="686" t="s">
        <v>882</v>
      </c>
      <c r="I515" s="818" t="s">
        <v>883</v>
      </c>
    </row>
    <row r="516" spans="1:14" s="383" customFormat="1" ht="13.5" thickTop="1" thickBot="1" x14ac:dyDescent="0.25">
      <c r="A516" s="1199">
        <v>1</v>
      </c>
      <c r="B516" s="1200">
        <v>2</v>
      </c>
      <c r="C516" s="1200">
        <v>3</v>
      </c>
      <c r="D516" s="1200">
        <v>4</v>
      </c>
      <c r="E516" s="567">
        <v>5</v>
      </c>
      <c r="F516" s="1201">
        <v>6</v>
      </c>
      <c r="G516" s="1201">
        <v>7</v>
      </c>
      <c r="H516" s="1202">
        <v>8</v>
      </c>
      <c r="I516" s="1203" t="s">
        <v>762</v>
      </c>
    </row>
    <row r="517" spans="1:14" s="532" customFormat="1" ht="16.5" thickTop="1" thickBot="1" x14ac:dyDescent="0.3">
      <c r="A517" s="1211">
        <v>60002100256</v>
      </c>
      <c r="B517" s="967">
        <v>4357</v>
      </c>
      <c r="C517" s="1212">
        <v>6121</v>
      </c>
      <c r="D517" s="968">
        <v>11</v>
      </c>
      <c r="E517" s="969" t="s">
        <v>603</v>
      </c>
      <c r="F517" s="889"/>
      <c r="G517" s="1214">
        <v>759</v>
      </c>
      <c r="H517" s="889">
        <v>759</v>
      </c>
      <c r="I517" s="1215">
        <f>(H517/G517)*100</f>
        <v>100</v>
      </c>
    </row>
    <row r="518" spans="1:14" s="532" customFormat="1" ht="18" customHeight="1" thickTop="1" thickBot="1" x14ac:dyDescent="0.3">
      <c r="A518" s="2692" t="s">
        <v>244</v>
      </c>
      <c r="B518" s="2685"/>
      <c r="C518" s="2685"/>
      <c r="D518" s="2685"/>
      <c r="E518" s="2685"/>
      <c r="F518" s="873">
        <f>F517</f>
        <v>0</v>
      </c>
      <c r="G518" s="873">
        <f>G517</f>
        <v>759</v>
      </c>
      <c r="H518" s="873">
        <f>H517</f>
        <v>759</v>
      </c>
      <c r="I518" s="856">
        <f>(H518/G518)*100</f>
        <v>100</v>
      </c>
    </row>
    <row r="519" spans="1:14" ht="13.5" thickTop="1" x14ac:dyDescent="0.2">
      <c r="K519" s="911"/>
      <c r="L519" s="911"/>
      <c r="M519" s="911"/>
      <c r="N519" s="432"/>
    </row>
    <row r="520" spans="1:14" x14ac:dyDescent="0.2">
      <c r="K520" s="911"/>
      <c r="L520" s="911"/>
      <c r="M520" s="911"/>
      <c r="N520" s="432"/>
    </row>
    <row r="521" spans="1:14" s="532" customFormat="1" ht="13.5" thickBot="1" x14ac:dyDescent="0.25">
      <c r="A521" s="432" t="s">
        <v>810</v>
      </c>
      <c r="B521" s="643"/>
      <c r="D521" s="814"/>
      <c r="F521" s="493"/>
      <c r="G521" s="493"/>
      <c r="H521" s="493"/>
      <c r="I521" s="949" t="s">
        <v>161</v>
      </c>
    </row>
    <row r="522" spans="1:14" s="107" customFormat="1" ht="20.25" customHeight="1" thickTop="1" thickBot="1" x14ac:dyDescent="0.25">
      <c r="A522" s="682" t="s">
        <v>624</v>
      </c>
      <c r="B522" s="685" t="s">
        <v>162</v>
      </c>
      <c r="C522" s="683" t="s">
        <v>163</v>
      </c>
      <c r="D522" s="634" t="s">
        <v>705</v>
      </c>
      <c r="E522" s="686" t="s">
        <v>164</v>
      </c>
      <c r="F522" s="686" t="s">
        <v>165</v>
      </c>
      <c r="G522" s="686" t="s">
        <v>881</v>
      </c>
      <c r="H522" s="686" t="s">
        <v>882</v>
      </c>
      <c r="I522" s="818" t="s">
        <v>883</v>
      </c>
    </row>
    <row r="523" spans="1:14" s="383" customFormat="1" ht="13.5" thickTop="1" thickBot="1" x14ac:dyDescent="0.25">
      <c r="A523" s="1199">
        <v>1</v>
      </c>
      <c r="B523" s="1200">
        <v>2</v>
      </c>
      <c r="C523" s="1200">
        <v>3</v>
      </c>
      <c r="D523" s="1200">
        <v>4</v>
      </c>
      <c r="E523" s="567">
        <v>5</v>
      </c>
      <c r="F523" s="1201">
        <v>6</v>
      </c>
      <c r="G523" s="1201">
        <v>7</v>
      </c>
      <c r="H523" s="1202">
        <v>8</v>
      </c>
      <c r="I523" s="1203" t="s">
        <v>762</v>
      </c>
    </row>
    <row r="524" spans="1:14" s="532" customFormat="1" ht="16.5" thickTop="1" thickBot="1" x14ac:dyDescent="0.3">
      <c r="A524" s="1211">
        <v>60002100258</v>
      </c>
      <c r="B524" s="967">
        <v>4357</v>
      </c>
      <c r="C524" s="1212">
        <v>6121</v>
      </c>
      <c r="D524" s="968">
        <v>870</v>
      </c>
      <c r="E524" s="969" t="s">
        <v>603</v>
      </c>
      <c r="F524" s="889"/>
      <c r="G524" s="1214">
        <v>545</v>
      </c>
      <c r="H524" s="889">
        <v>0</v>
      </c>
      <c r="I524" s="1215">
        <f>(H524/G524)*100</f>
        <v>0</v>
      </c>
    </row>
    <row r="525" spans="1:14" s="532" customFormat="1" ht="18" customHeight="1" thickTop="1" thickBot="1" x14ac:dyDescent="0.3">
      <c r="A525" s="2692" t="s">
        <v>244</v>
      </c>
      <c r="B525" s="2685"/>
      <c r="C525" s="2685"/>
      <c r="D525" s="2685"/>
      <c r="E525" s="2685"/>
      <c r="F525" s="873">
        <f>F524</f>
        <v>0</v>
      </c>
      <c r="G525" s="873">
        <f>G524</f>
        <v>545</v>
      </c>
      <c r="H525" s="873">
        <f>H524</f>
        <v>0</v>
      </c>
      <c r="I525" s="856">
        <f>(H525/G525)*100</f>
        <v>0</v>
      </c>
    </row>
    <row r="526" spans="1:14" ht="13.5" thickTop="1" x14ac:dyDescent="0.2">
      <c r="K526" s="911"/>
      <c r="L526" s="911"/>
      <c r="M526" s="911"/>
      <c r="N526" s="432"/>
    </row>
    <row r="527" spans="1:14" x14ac:dyDescent="0.2">
      <c r="K527" s="911"/>
      <c r="L527" s="911"/>
      <c r="M527" s="911"/>
      <c r="N527" s="432"/>
    </row>
    <row r="528" spans="1:14" s="532" customFormat="1" ht="13.5" thickBot="1" x14ac:dyDescent="0.25">
      <c r="A528" s="432" t="s">
        <v>310</v>
      </c>
      <c r="B528" s="643"/>
      <c r="D528" s="814"/>
      <c r="F528" s="493"/>
      <c r="G528" s="493"/>
      <c r="H528" s="493"/>
      <c r="I528" s="949" t="s">
        <v>161</v>
      </c>
    </row>
    <row r="529" spans="1:14" s="107" customFormat="1" ht="20.25" customHeight="1" thickTop="1" thickBot="1" x14ac:dyDescent="0.25">
      <c r="A529" s="682" t="s">
        <v>624</v>
      </c>
      <c r="B529" s="685" t="s">
        <v>162</v>
      </c>
      <c r="C529" s="683" t="s">
        <v>163</v>
      </c>
      <c r="D529" s="634" t="s">
        <v>705</v>
      </c>
      <c r="E529" s="686" t="s">
        <v>164</v>
      </c>
      <c r="F529" s="686" t="s">
        <v>165</v>
      </c>
      <c r="G529" s="686" t="s">
        <v>881</v>
      </c>
      <c r="H529" s="686" t="s">
        <v>882</v>
      </c>
      <c r="I529" s="818" t="s">
        <v>883</v>
      </c>
    </row>
    <row r="530" spans="1:14" s="383" customFormat="1" ht="13.5" thickTop="1" thickBot="1" x14ac:dyDescent="0.25">
      <c r="A530" s="1199">
        <v>1</v>
      </c>
      <c r="B530" s="1200">
        <v>2</v>
      </c>
      <c r="C530" s="1200">
        <v>3</v>
      </c>
      <c r="D530" s="1200">
        <v>4</v>
      </c>
      <c r="E530" s="567">
        <v>5</v>
      </c>
      <c r="F530" s="1201">
        <v>6</v>
      </c>
      <c r="G530" s="1201">
        <v>7</v>
      </c>
      <c r="H530" s="1202">
        <v>8</v>
      </c>
      <c r="I530" s="1203" t="s">
        <v>762</v>
      </c>
    </row>
    <row r="531" spans="1:14" s="532" customFormat="1" ht="16.5" thickTop="1" thickBot="1" x14ac:dyDescent="0.3">
      <c r="A531" s="1211">
        <v>60002100259</v>
      </c>
      <c r="B531" s="967">
        <v>4357</v>
      </c>
      <c r="C531" s="1212">
        <v>6121</v>
      </c>
      <c r="D531" s="968">
        <v>870</v>
      </c>
      <c r="E531" s="969" t="s">
        <v>603</v>
      </c>
      <c r="F531" s="889"/>
      <c r="G531" s="1214">
        <v>1305</v>
      </c>
      <c r="H531" s="889">
        <v>103</v>
      </c>
      <c r="I531" s="1215">
        <f>(H531/G531)*100</f>
        <v>7.8927203065134091</v>
      </c>
    </row>
    <row r="532" spans="1:14" s="532" customFormat="1" ht="18" customHeight="1" thickTop="1" thickBot="1" x14ac:dyDescent="0.3">
      <c r="A532" s="2692" t="s">
        <v>244</v>
      </c>
      <c r="B532" s="2685"/>
      <c r="C532" s="2685"/>
      <c r="D532" s="2685"/>
      <c r="E532" s="2685"/>
      <c r="F532" s="873">
        <f>F531</f>
        <v>0</v>
      </c>
      <c r="G532" s="873">
        <f>G531</f>
        <v>1305</v>
      </c>
      <c r="H532" s="873">
        <f>H531</f>
        <v>103</v>
      </c>
      <c r="I532" s="856">
        <f>(H532/G532)*100</f>
        <v>7.8927203065134091</v>
      </c>
    </row>
    <row r="533" spans="1:14" ht="13.5" thickTop="1" x14ac:dyDescent="0.2">
      <c r="K533" s="911"/>
      <c r="L533" s="911"/>
      <c r="M533" s="911"/>
      <c r="N533" s="432"/>
    </row>
    <row r="534" spans="1:14" x14ac:dyDescent="0.2">
      <c r="K534" s="911"/>
      <c r="L534" s="911"/>
      <c r="M534" s="911"/>
      <c r="N534" s="432"/>
    </row>
    <row r="535" spans="1:14" s="532" customFormat="1" ht="13.5" thickBot="1" x14ac:dyDescent="0.25">
      <c r="A535" s="432" t="s">
        <v>311</v>
      </c>
      <c r="B535" s="643"/>
      <c r="D535" s="814"/>
      <c r="F535" s="493"/>
      <c r="G535" s="493"/>
      <c r="H535" s="493"/>
      <c r="I535" s="949" t="s">
        <v>161</v>
      </c>
    </row>
    <row r="536" spans="1:14" s="107" customFormat="1" ht="20.25" customHeight="1" thickTop="1" thickBot="1" x14ac:dyDescent="0.25">
      <c r="A536" s="682" t="s">
        <v>624</v>
      </c>
      <c r="B536" s="685" t="s">
        <v>162</v>
      </c>
      <c r="C536" s="683" t="s">
        <v>163</v>
      </c>
      <c r="D536" s="634" t="s">
        <v>705</v>
      </c>
      <c r="E536" s="686" t="s">
        <v>164</v>
      </c>
      <c r="F536" s="686" t="s">
        <v>165</v>
      </c>
      <c r="G536" s="686" t="s">
        <v>881</v>
      </c>
      <c r="H536" s="686" t="s">
        <v>882</v>
      </c>
      <c r="I536" s="818" t="s">
        <v>883</v>
      </c>
    </row>
    <row r="537" spans="1:14" s="383" customFormat="1" ht="13.5" thickTop="1" thickBot="1" x14ac:dyDescent="0.25">
      <c r="A537" s="1199">
        <v>1</v>
      </c>
      <c r="B537" s="1200">
        <v>2</v>
      </c>
      <c r="C537" s="1200">
        <v>3</v>
      </c>
      <c r="D537" s="1200">
        <v>4</v>
      </c>
      <c r="E537" s="567">
        <v>5</v>
      </c>
      <c r="F537" s="1201">
        <v>6</v>
      </c>
      <c r="G537" s="1201">
        <v>7</v>
      </c>
      <c r="H537" s="1202">
        <v>8</v>
      </c>
      <c r="I537" s="1203" t="s">
        <v>762</v>
      </c>
    </row>
    <row r="538" spans="1:14" s="532" customFormat="1" ht="16.5" thickTop="1" thickBot="1" x14ac:dyDescent="0.3">
      <c r="A538" s="1211">
        <v>60002100260</v>
      </c>
      <c r="B538" s="967">
        <v>4351</v>
      </c>
      <c r="C538" s="1212">
        <v>6121</v>
      </c>
      <c r="D538" s="968">
        <v>870</v>
      </c>
      <c r="E538" s="969" t="s">
        <v>603</v>
      </c>
      <c r="F538" s="889"/>
      <c r="G538" s="1214">
        <v>105</v>
      </c>
      <c r="H538" s="889">
        <v>104</v>
      </c>
      <c r="I538" s="1215">
        <f>(H538/G538)*100</f>
        <v>99.047619047619051</v>
      </c>
    </row>
    <row r="539" spans="1:14" s="532" customFormat="1" ht="18" customHeight="1" thickTop="1" thickBot="1" x14ac:dyDescent="0.3">
      <c r="A539" s="2692" t="s">
        <v>244</v>
      </c>
      <c r="B539" s="2685"/>
      <c r="C539" s="2685"/>
      <c r="D539" s="2685"/>
      <c r="E539" s="2685"/>
      <c r="F539" s="873">
        <f>F538</f>
        <v>0</v>
      </c>
      <c r="G539" s="873">
        <f>G538</f>
        <v>105</v>
      </c>
      <c r="H539" s="873">
        <f>H538</f>
        <v>104</v>
      </c>
      <c r="I539" s="856">
        <f>(H539/G539)*100</f>
        <v>99.047619047619051</v>
      </c>
    </row>
    <row r="540" spans="1:14" ht="13.5" thickTop="1" x14ac:dyDescent="0.2">
      <c r="K540" s="911"/>
      <c r="L540" s="911"/>
      <c r="M540" s="911"/>
      <c r="N540" s="432"/>
    </row>
    <row r="541" spans="1:14" x14ac:dyDescent="0.2">
      <c r="K541" s="911"/>
      <c r="L541" s="911"/>
      <c r="M541" s="911"/>
      <c r="N541" s="432"/>
    </row>
    <row r="542" spans="1:14" s="532" customFormat="1" ht="13.5" thickBot="1" x14ac:dyDescent="0.25">
      <c r="A542" s="432" t="s">
        <v>652</v>
      </c>
      <c r="B542" s="643"/>
      <c r="D542" s="814"/>
      <c r="F542" s="493"/>
      <c r="G542" s="493"/>
      <c r="H542" s="493"/>
      <c r="I542" s="949" t="s">
        <v>161</v>
      </c>
    </row>
    <row r="543" spans="1:14" s="107" customFormat="1" ht="20.25" customHeight="1" thickTop="1" thickBot="1" x14ac:dyDescent="0.25">
      <c r="A543" s="682" t="s">
        <v>624</v>
      </c>
      <c r="B543" s="685" t="s">
        <v>162</v>
      </c>
      <c r="C543" s="683" t="s">
        <v>163</v>
      </c>
      <c r="D543" s="634" t="s">
        <v>705</v>
      </c>
      <c r="E543" s="686" t="s">
        <v>164</v>
      </c>
      <c r="F543" s="686" t="s">
        <v>165</v>
      </c>
      <c r="G543" s="686" t="s">
        <v>881</v>
      </c>
      <c r="H543" s="686" t="s">
        <v>882</v>
      </c>
      <c r="I543" s="818" t="s">
        <v>883</v>
      </c>
    </row>
    <row r="544" spans="1:14" s="383" customFormat="1" ht="13.5" thickTop="1" thickBot="1" x14ac:dyDescent="0.25">
      <c r="A544" s="1199">
        <v>1</v>
      </c>
      <c r="B544" s="1200">
        <v>2</v>
      </c>
      <c r="C544" s="1200">
        <v>3</v>
      </c>
      <c r="D544" s="1200">
        <v>4</v>
      </c>
      <c r="E544" s="567">
        <v>5</v>
      </c>
      <c r="F544" s="1201">
        <v>6</v>
      </c>
      <c r="G544" s="1201">
        <v>7</v>
      </c>
      <c r="H544" s="1202">
        <v>8</v>
      </c>
      <c r="I544" s="1203" t="s">
        <v>762</v>
      </c>
    </row>
    <row r="545" spans="1:14" s="532" customFormat="1" ht="16.5" thickTop="1" thickBot="1" x14ac:dyDescent="0.3">
      <c r="A545" s="1211">
        <v>60002100262</v>
      </c>
      <c r="B545" s="967">
        <v>4357</v>
      </c>
      <c r="C545" s="1212">
        <v>6121</v>
      </c>
      <c r="D545" s="968">
        <v>11</v>
      </c>
      <c r="E545" s="969" t="s">
        <v>603</v>
      </c>
      <c r="F545" s="889"/>
      <c r="G545" s="1214">
        <v>550</v>
      </c>
      <c r="H545" s="889">
        <v>99</v>
      </c>
      <c r="I545" s="1215">
        <f>(H545/G545)*100</f>
        <v>18</v>
      </c>
    </row>
    <row r="546" spans="1:14" s="532" customFormat="1" ht="18" customHeight="1" thickTop="1" thickBot="1" x14ac:dyDescent="0.3">
      <c r="A546" s="2692" t="s">
        <v>244</v>
      </c>
      <c r="B546" s="2685"/>
      <c r="C546" s="2685"/>
      <c r="D546" s="2685"/>
      <c r="E546" s="2685"/>
      <c r="F546" s="873">
        <f>F545</f>
        <v>0</v>
      </c>
      <c r="G546" s="873">
        <f>G545</f>
        <v>550</v>
      </c>
      <c r="H546" s="873">
        <f>H545</f>
        <v>99</v>
      </c>
      <c r="I546" s="856">
        <f>(H546/G546)*100</f>
        <v>18</v>
      </c>
    </row>
    <row r="547" spans="1:14" ht="13.5" thickTop="1" x14ac:dyDescent="0.2">
      <c r="K547" s="911"/>
      <c r="L547" s="911"/>
      <c r="M547" s="911"/>
      <c r="N547" s="432"/>
    </row>
    <row r="548" spans="1:14" x14ac:dyDescent="0.2">
      <c r="K548" s="911"/>
      <c r="L548" s="911"/>
      <c r="M548" s="911"/>
      <c r="N548" s="432"/>
    </row>
    <row r="549" spans="1:14" s="532" customFormat="1" ht="13.5" thickBot="1" x14ac:dyDescent="0.25">
      <c r="A549" s="432" t="s">
        <v>653</v>
      </c>
      <c r="B549" s="643"/>
      <c r="D549" s="814"/>
      <c r="F549" s="493"/>
      <c r="G549" s="493"/>
      <c r="H549" s="493"/>
      <c r="I549" s="949" t="s">
        <v>161</v>
      </c>
    </row>
    <row r="550" spans="1:14" s="107" customFormat="1" ht="20.25" customHeight="1" thickTop="1" thickBot="1" x14ac:dyDescent="0.25">
      <c r="A550" s="682" t="s">
        <v>624</v>
      </c>
      <c r="B550" s="685" t="s">
        <v>162</v>
      </c>
      <c r="C550" s="683" t="s">
        <v>163</v>
      </c>
      <c r="D550" s="634" t="s">
        <v>705</v>
      </c>
      <c r="E550" s="686" t="s">
        <v>164</v>
      </c>
      <c r="F550" s="686" t="s">
        <v>165</v>
      </c>
      <c r="G550" s="686" t="s">
        <v>881</v>
      </c>
      <c r="H550" s="686" t="s">
        <v>882</v>
      </c>
      <c r="I550" s="818" t="s">
        <v>883</v>
      </c>
    </row>
    <row r="551" spans="1:14" s="383" customFormat="1" ht="13.5" thickTop="1" thickBot="1" x14ac:dyDescent="0.25">
      <c r="A551" s="1199">
        <v>1</v>
      </c>
      <c r="B551" s="1200">
        <v>2</v>
      </c>
      <c r="C551" s="1200">
        <v>3</v>
      </c>
      <c r="D551" s="1200">
        <v>4</v>
      </c>
      <c r="E551" s="567">
        <v>5</v>
      </c>
      <c r="F551" s="1201">
        <v>6</v>
      </c>
      <c r="G551" s="1201">
        <v>7</v>
      </c>
      <c r="H551" s="1202">
        <v>8</v>
      </c>
      <c r="I551" s="1203" t="s">
        <v>762</v>
      </c>
    </row>
    <row r="552" spans="1:14" s="532" customFormat="1" ht="16.5" thickTop="1" thickBot="1" x14ac:dyDescent="0.3">
      <c r="A552" s="1211">
        <v>60002100263</v>
      </c>
      <c r="B552" s="967">
        <v>4357</v>
      </c>
      <c r="C552" s="1212">
        <v>6121</v>
      </c>
      <c r="D552" s="968">
        <v>11</v>
      </c>
      <c r="E552" s="969" t="s">
        <v>603</v>
      </c>
      <c r="F552" s="889"/>
      <c r="G552" s="1214">
        <v>150</v>
      </c>
      <c r="H552" s="889">
        <v>109</v>
      </c>
      <c r="I552" s="1215">
        <f>(H552/G552)*100</f>
        <v>72.666666666666671</v>
      </c>
    </row>
    <row r="553" spans="1:14" s="532" customFormat="1" ht="18" customHeight="1" thickTop="1" thickBot="1" x14ac:dyDescent="0.3">
      <c r="A553" s="2692" t="s">
        <v>244</v>
      </c>
      <c r="B553" s="2685"/>
      <c r="C553" s="2685"/>
      <c r="D553" s="2685"/>
      <c r="E553" s="2685"/>
      <c r="F553" s="873">
        <f>F552</f>
        <v>0</v>
      </c>
      <c r="G553" s="873">
        <f>G552</f>
        <v>150</v>
      </c>
      <c r="H553" s="873">
        <f>H552</f>
        <v>109</v>
      </c>
      <c r="I553" s="856">
        <f>(H553/G553)*100</f>
        <v>72.666666666666671</v>
      </c>
    </row>
    <row r="554" spans="1:14" ht="13.5" thickTop="1" x14ac:dyDescent="0.2">
      <c r="K554" s="911"/>
      <c r="L554" s="911"/>
      <c r="M554" s="911"/>
      <c r="N554" s="432"/>
    </row>
    <row r="555" spans="1:14" x14ac:dyDescent="0.2">
      <c r="K555" s="911"/>
      <c r="L555" s="911"/>
      <c r="M555" s="911"/>
      <c r="N555" s="432"/>
    </row>
    <row r="556" spans="1:14" s="532" customFormat="1" ht="13.5" thickBot="1" x14ac:dyDescent="0.25">
      <c r="A556" s="432" t="s">
        <v>655</v>
      </c>
      <c r="B556" s="643"/>
      <c r="D556" s="814"/>
      <c r="F556" s="493"/>
      <c r="G556" s="493"/>
      <c r="H556" s="493"/>
      <c r="I556" s="949" t="s">
        <v>161</v>
      </c>
    </row>
    <row r="557" spans="1:14" s="107" customFormat="1" ht="20.25" customHeight="1" thickTop="1" thickBot="1" x14ac:dyDescent="0.25">
      <c r="A557" s="682" t="s">
        <v>624</v>
      </c>
      <c r="B557" s="685" t="s">
        <v>162</v>
      </c>
      <c r="C557" s="683" t="s">
        <v>163</v>
      </c>
      <c r="D557" s="634" t="s">
        <v>705</v>
      </c>
      <c r="E557" s="686" t="s">
        <v>164</v>
      </c>
      <c r="F557" s="686" t="s">
        <v>165</v>
      </c>
      <c r="G557" s="686" t="s">
        <v>881</v>
      </c>
      <c r="H557" s="686" t="s">
        <v>882</v>
      </c>
      <c r="I557" s="818" t="s">
        <v>883</v>
      </c>
    </row>
    <row r="558" spans="1:14" s="383" customFormat="1" ht="13.5" thickTop="1" thickBot="1" x14ac:dyDescent="0.25">
      <c r="A558" s="1199">
        <v>1</v>
      </c>
      <c r="B558" s="1200">
        <v>2</v>
      </c>
      <c r="C558" s="1200">
        <v>3</v>
      </c>
      <c r="D558" s="1200">
        <v>4</v>
      </c>
      <c r="E558" s="567">
        <v>5</v>
      </c>
      <c r="F558" s="1201">
        <v>6</v>
      </c>
      <c r="G558" s="1201">
        <v>7</v>
      </c>
      <c r="H558" s="1202">
        <v>8</v>
      </c>
      <c r="I558" s="1203" t="s">
        <v>762</v>
      </c>
    </row>
    <row r="559" spans="1:14" s="532" customFormat="1" ht="16.5" thickTop="1" thickBot="1" x14ac:dyDescent="0.3">
      <c r="A559" s="1211">
        <v>60002100264</v>
      </c>
      <c r="B559" s="967">
        <v>4357</v>
      </c>
      <c r="C559" s="1212">
        <v>5169</v>
      </c>
      <c r="D559" s="968">
        <v>870</v>
      </c>
      <c r="E559" s="969" t="s">
        <v>654</v>
      </c>
      <c r="F559" s="889"/>
      <c r="G559" s="1214">
        <v>300</v>
      </c>
      <c r="H559" s="889">
        <v>0</v>
      </c>
      <c r="I559" s="1215">
        <f>(H559/G559)*100</f>
        <v>0</v>
      </c>
    </row>
    <row r="560" spans="1:14" s="532" customFormat="1" ht="18" customHeight="1" thickTop="1" thickBot="1" x14ac:dyDescent="0.3">
      <c r="A560" s="2672" t="s">
        <v>245</v>
      </c>
      <c r="B560" s="2673"/>
      <c r="C560" s="2673"/>
      <c r="D560" s="2673"/>
      <c r="E560" s="2673"/>
      <c r="F560" s="873">
        <f>F559</f>
        <v>0</v>
      </c>
      <c r="G560" s="873">
        <f>G559</f>
        <v>300</v>
      </c>
      <c r="H560" s="873">
        <f>H559</f>
        <v>0</v>
      </c>
      <c r="I560" s="856">
        <f>(H560/G560)*100</f>
        <v>0</v>
      </c>
    </row>
    <row r="561" spans="1:14" ht="13.5" thickTop="1" x14ac:dyDescent="0.2">
      <c r="K561" s="911"/>
      <c r="L561" s="911"/>
      <c r="M561" s="911"/>
      <c r="N561" s="432"/>
    </row>
    <row r="562" spans="1:14" x14ac:dyDescent="0.2">
      <c r="K562" s="911"/>
      <c r="L562" s="911"/>
      <c r="M562" s="911"/>
      <c r="N562" s="432"/>
    </row>
    <row r="563" spans="1:14" s="532" customFormat="1" ht="13.5" thickBot="1" x14ac:dyDescent="0.25">
      <c r="A563" s="432" t="s">
        <v>656</v>
      </c>
      <c r="B563" s="643"/>
      <c r="D563" s="814"/>
      <c r="F563" s="493"/>
      <c r="G563" s="493"/>
      <c r="H563" s="493"/>
      <c r="I563" s="949" t="s">
        <v>161</v>
      </c>
    </row>
    <row r="564" spans="1:14" s="107" customFormat="1" ht="20.25" customHeight="1" thickTop="1" thickBot="1" x14ac:dyDescent="0.25">
      <c r="A564" s="682" t="s">
        <v>624</v>
      </c>
      <c r="B564" s="685" t="s">
        <v>162</v>
      </c>
      <c r="C564" s="683" t="s">
        <v>163</v>
      </c>
      <c r="D564" s="634" t="s">
        <v>705</v>
      </c>
      <c r="E564" s="686" t="s">
        <v>164</v>
      </c>
      <c r="F564" s="686" t="s">
        <v>165</v>
      </c>
      <c r="G564" s="686" t="s">
        <v>881</v>
      </c>
      <c r="H564" s="686" t="s">
        <v>882</v>
      </c>
      <c r="I564" s="818" t="s">
        <v>883</v>
      </c>
    </row>
    <row r="565" spans="1:14" s="383" customFormat="1" ht="13.5" thickTop="1" thickBot="1" x14ac:dyDescent="0.25">
      <c r="A565" s="1199">
        <v>1</v>
      </c>
      <c r="B565" s="1200">
        <v>2</v>
      </c>
      <c r="C565" s="1200">
        <v>3</v>
      </c>
      <c r="D565" s="1200">
        <v>4</v>
      </c>
      <c r="E565" s="567">
        <v>5</v>
      </c>
      <c r="F565" s="1201">
        <v>6</v>
      </c>
      <c r="G565" s="1201">
        <v>7</v>
      </c>
      <c r="H565" s="1202">
        <v>8</v>
      </c>
      <c r="I565" s="1203" t="s">
        <v>762</v>
      </c>
    </row>
    <row r="566" spans="1:14" s="532" customFormat="1" ht="16.5" thickTop="1" thickBot="1" x14ac:dyDescent="0.3">
      <c r="A566" s="1211">
        <v>60002100267</v>
      </c>
      <c r="B566" s="967">
        <v>4357</v>
      </c>
      <c r="C566" s="1241">
        <v>6121</v>
      </c>
      <c r="D566" s="968">
        <v>11</v>
      </c>
      <c r="E566" s="969" t="s">
        <v>603</v>
      </c>
      <c r="F566" s="889"/>
      <c r="G566" s="1214">
        <v>200</v>
      </c>
      <c r="H566" s="889">
        <v>191</v>
      </c>
      <c r="I566" s="1215">
        <f>(H566/G566)*100</f>
        <v>95.5</v>
      </c>
    </row>
    <row r="567" spans="1:14" s="532" customFormat="1" ht="18" customHeight="1" thickTop="1" thickBot="1" x14ac:dyDescent="0.3">
      <c r="A567" s="2692" t="s">
        <v>244</v>
      </c>
      <c r="B567" s="2685"/>
      <c r="C567" s="2685"/>
      <c r="D567" s="2685"/>
      <c r="E567" s="2685"/>
      <c r="F567" s="873">
        <f>F566</f>
        <v>0</v>
      </c>
      <c r="G567" s="873">
        <f>G566</f>
        <v>200</v>
      </c>
      <c r="H567" s="873">
        <f>H566</f>
        <v>191</v>
      </c>
      <c r="I567" s="856">
        <f>(H567/G567)*100</f>
        <v>95.5</v>
      </c>
    </row>
    <row r="568" spans="1:14" ht="13.5" thickTop="1" x14ac:dyDescent="0.2">
      <c r="K568" s="911"/>
      <c r="L568" s="911"/>
      <c r="M568" s="911"/>
      <c r="N568" s="432"/>
    </row>
    <row r="569" spans="1:14" x14ac:dyDescent="0.2">
      <c r="K569" s="911"/>
      <c r="L569" s="911"/>
      <c r="M569" s="911"/>
      <c r="N569" s="432"/>
    </row>
    <row r="570" spans="1:14" s="532" customFormat="1" ht="13.5" thickBot="1" x14ac:dyDescent="0.25">
      <c r="A570" s="432" t="s">
        <v>657</v>
      </c>
      <c r="B570" s="643"/>
      <c r="D570" s="814"/>
      <c r="F570" s="493"/>
      <c r="G570" s="493"/>
      <c r="H570" s="493"/>
      <c r="I570" s="949" t="s">
        <v>161</v>
      </c>
    </row>
    <row r="571" spans="1:14" s="107" customFormat="1" ht="20.25" customHeight="1" thickTop="1" thickBot="1" x14ac:dyDescent="0.25">
      <c r="A571" s="682" t="s">
        <v>624</v>
      </c>
      <c r="B571" s="685" t="s">
        <v>162</v>
      </c>
      <c r="C571" s="683" t="s">
        <v>163</v>
      </c>
      <c r="D571" s="634" t="s">
        <v>705</v>
      </c>
      <c r="E571" s="686" t="s">
        <v>164</v>
      </c>
      <c r="F571" s="686" t="s">
        <v>165</v>
      </c>
      <c r="G571" s="686" t="s">
        <v>881</v>
      </c>
      <c r="H571" s="686" t="s">
        <v>882</v>
      </c>
      <c r="I571" s="818" t="s">
        <v>883</v>
      </c>
    </row>
    <row r="572" spans="1:14" s="383" customFormat="1" ht="13.5" thickTop="1" thickBot="1" x14ac:dyDescent="0.25">
      <c r="A572" s="1199">
        <v>1</v>
      </c>
      <c r="B572" s="1200">
        <v>2</v>
      </c>
      <c r="C572" s="1200">
        <v>3</v>
      </c>
      <c r="D572" s="1200">
        <v>4</v>
      </c>
      <c r="E572" s="567">
        <v>5</v>
      </c>
      <c r="F572" s="1201">
        <v>6</v>
      </c>
      <c r="G572" s="1201">
        <v>7</v>
      </c>
      <c r="H572" s="1202">
        <v>8</v>
      </c>
      <c r="I572" s="1203" t="s">
        <v>762</v>
      </c>
    </row>
    <row r="573" spans="1:14" s="532" customFormat="1" ht="16.5" thickTop="1" thickBot="1" x14ac:dyDescent="0.3">
      <c r="A573" s="1211">
        <v>60002100268</v>
      </c>
      <c r="B573" s="967">
        <v>4357</v>
      </c>
      <c r="C573" s="1212">
        <v>6121</v>
      </c>
      <c r="D573" s="968">
        <v>11</v>
      </c>
      <c r="E573" s="969" t="s">
        <v>603</v>
      </c>
      <c r="F573" s="889"/>
      <c r="G573" s="1214">
        <v>2218</v>
      </c>
      <c r="H573" s="889">
        <v>876</v>
      </c>
      <c r="I573" s="1215">
        <f>(H573/G573)*100</f>
        <v>39.495040577096482</v>
      </c>
    </row>
    <row r="574" spans="1:14" s="532" customFormat="1" ht="18" customHeight="1" thickTop="1" thickBot="1" x14ac:dyDescent="0.3">
      <c r="A574" s="2692" t="s">
        <v>244</v>
      </c>
      <c r="B574" s="2685"/>
      <c r="C574" s="2685"/>
      <c r="D574" s="2685"/>
      <c r="E574" s="2685"/>
      <c r="F574" s="873">
        <f>F573</f>
        <v>0</v>
      </c>
      <c r="G574" s="873">
        <f>G573</f>
        <v>2218</v>
      </c>
      <c r="H574" s="873">
        <f>H573</f>
        <v>876</v>
      </c>
      <c r="I574" s="856">
        <f>(H574/G574)*100</f>
        <v>39.495040577096482</v>
      </c>
    </row>
    <row r="575" spans="1:14" ht="13.5" thickTop="1" x14ac:dyDescent="0.2">
      <c r="K575" s="911"/>
      <c r="L575" s="911"/>
      <c r="M575" s="911"/>
      <c r="N575" s="432"/>
    </row>
    <row r="576" spans="1:14" x14ac:dyDescent="0.2">
      <c r="K576" s="911"/>
      <c r="L576" s="911"/>
      <c r="M576" s="911"/>
      <c r="N576" s="432"/>
    </row>
    <row r="577" spans="1:14" s="532" customFormat="1" ht="13.5" thickBot="1" x14ac:dyDescent="0.25">
      <c r="A577" s="432" t="s">
        <v>1052</v>
      </c>
      <c r="B577" s="643"/>
      <c r="D577" s="814"/>
      <c r="F577" s="493"/>
      <c r="G577" s="493"/>
      <c r="H577" s="493"/>
      <c r="I577" s="949" t="s">
        <v>161</v>
      </c>
    </row>
    <row r="578" spans="1:14" s="107" customFormat="1" ht="20.25" customHeight="1" thickTop="1" thickBot="1" x14ac:dyDescent="0.25">
      <c r="A578" s="682" t="s">
        <v>624</v>
      </c>
      <c r="B578" s="685" t="s">
        <v>162</v>
      </c>
      <c r="C578" s="683" t="s">
        <v>163</v>
      </c>
      <c r="D578" s="634" t="s">
        <v>705</v>
      </c>
      <c r="E578" s="686" t="s">
        <v>164</v>
      </c>
      <c r="F578" s="686" t="s">
        <v>165</v>
      </c>
      <c r="G578" s="686" t="s">
        <v>881</v>
      </c>
      <c r="H578" s="686" t="s">
        <v>882</v>
      </c>
      <c r="I578" s="818" t="s">
        <v>883</v>
      </c>
    </row>
    <row r="579" spans="1:14" s="383" customFormat="1" ht="13.5" thickTop="1" thickBot="1" x14ac:dyDescent="0.25">
      <c r="A579" s="1199">
        <v>1</v>
      </c>
      <c r="B579" s="1200">
        <v>2</v>
      </c>
      <c r="C579" s="1200">
        <v>3</v>
      </c>
      <c r="D579" s="1200">
        <v>4</v>
      </c>
      <c r="E579" s="567">
        <v>5</v>
      </c>
      <c r="F579" s="1201">
        <v>6</v>
      </c>
      <c r="G579" s="1201">
        <v>7</v>
      </c>
      <c r="H579" s="1202">
        <v>8</v>
      </c>
      <c r="I579" s="1203" t="s">
        <v>762</v>
      </c>
    </row>
    <row r="580" spans="1:14" s="532" customFormat="1" ht="16.5" thickTop="1" thickBot="1" x14ac:dyDescent="0.3">
      <c r="A580" s="1211">
        <v>60002100269</v>
      </c>
      <c r="B580" s="967">
        <v>4322</v>
      </c>
      <c r="C580" s="1212">
        <v>5171</v>
      </c>
      <c r="D580" s="968">
        <v>11</v>
      </c>
      <c r="E580" s="969" t="s">
        <v>896</v>
      </c>
      <c r="F580" s="889"/>
      <c r="G580" s="1214">
        <v>1235</v>
      </c>
      <c r="H580" s="889">
        <v>1203</v>
      </c>
      <c r="I580" s="1215">
        <f>(H580/G580)*100</f>
        <v>97.408906882591097</v>
      </c>
    </row>
    <row r="581" spans="1:14" s="532" customFormat="1" ht="18" customHeight="1" thickTop="1" thickBot="1" x14ac:dyDescent="0.3">
      <c r="A581" s="2672" t="s">
        <v>245</v>
      </c>
      <c r="B581" s="2673"/>
      <c r="C581" s="2673"/>
      <c r="D581" s="2673"/>
      <c r="E581" s="2673"/>
      <c r="F581" s="873">
        <f>F580</f>
        <v>0</v>
      </c>
      <c r="G581" s="873">
        <f>G580</f>
        <v>1235</v>
      </c>
      <c r="H581" s="873">
        <f>H580</f>
        <v>1203</v>
      </c>
      <c r="I581" s="856">
        <f>(H581/G581)*100</f>
        <v>97.408906882591097</v>
      </c>
    </row>
    <row r="582" spans="1:14" ht="13.5" thickTop="1" x14ac:dyDescent="0.2">
      <c r="K582" s="911"/>
      <c r="L582" s="911"/>
      <c r="M582" s="911"/>
      <c r="N582" s="432"/>
    </row>
    <row r="583" spans="1:14" x14ac:dyDescent="0.2">
      <c r="K583" s="911"/>
      <c r="L583" s="911"/>
      <c r="M583" s="911"/>
      <c r="N583" s="432"/>
    </row>
    <row r="584" spans="1:14" s="532" customFormat="1" ht="13.5" thickBot="1" x14ac:dyDescent="0.25">
      <c r="A584" s="432" t="s">
        <v>844</v>
      </c>
      <c r="B584" s="643"/>
      <c r="D584" s="814"/>
      <c r="F584" s="493"/>
      <c r="G584" s="493"/>
      <c r="H584" s="493"/>
      <c r="I584" s="949" t="s">
        <v>161</v>
      </c>
    </row>
    <row r="585" spans="1:14" s="107" customFormat="1" ht="20.25" customHeight="1" thickTop="1" thickBot="1" x14ac:dyDescent="0.25">
      <c r="A585" s="682" t="s">
        <v>624</v>
      </c>
      <c r="B585" s="685" t="s">
        <v>162</v>
      </c>
      <c r="C585" s="683" t="s">
        <v>163</v>
      </c>
      <c r="D585" s="634" t="s">
        <v>705</v>
      </c>
      <c r="E585" s="686" t="s">
        <v>164</v>
      </c>
      <c r="F585" s="686" t="s">
        <v>165</v>
      </c>
      <c r="G585" s="686" t="s">
        <v>881</v>
      </c>
      <c r="H585" s="686" t="s">
        <v>882</v>
      </c>
      <c r="I585" s="818" t="s">
        <v>883</v>
      </c>
    </row>
    <row r="586" spans="1:14" s="383" customFormat="1" ht="13.5" thickTop="1" thickBot="1" x14ac:dyDescent="0.25">
      <c r="A586" s="1199">
        <v>1</v>
      </c>
      <c r="B586" s="1200">
        <v>2</v>
      </c>
      <c r="C586" s="1200">
        <v>3</v>
      </c>
      <c r="D586" s="1200">
        <v>4</v>
      </c>
      <c r="E586" s="567">
        <v>5</v>
      </c>
      <c r="F586" s="1201">
        <v>6</v>
      </c>
      <c r="G586" s="1201">
        <v>7</v>
      </c>
      <c r="H586" s="1202">
        <v>8</v>
      </c>
      <c r="I586" s="1203" t="s">
        <v>762</v>
      </c>
    </row>
    <row r="587" spans="1:14" s="532" customFormat="1" ht="15.75" thickTop="1" x14ac:dyDescent="0.25">
      <c r="A587" s="957">
        <v>60002100270</v>
      </c>
      <c r="B587" s="775">
        <v>4322</v>
      </c>
      <c r="C587" s="654">
        <v>6121</v>
      </c>
      <c r="D587" s="973">
        <v>11</v>
      </c>
      <c r="E587" s="790" t="s">
        <v>603</v>
      </c>
      <c r="F587" s="960"/>
      <c r="G587" s="1209">
        <v>176</v>
      </c>
      <c r="H587" s="960">
        <v>176</v>
      </c>
      <c r="I587" s="1210">
        <f>(H587/G587)*100</f>
        <v>100</v>
      </c>
    </row>
    <row r="588" spans="1:14" s="532" customFormat="1" ht="15.75" thickBot="1" x14ac:dyDescent="0.3">
      <c r="A588" s="963">
        <v>60002100270</v>
      </c>
      <c r="B588" s="891">
        <v>4322</v>
      </c>
      <c r="C588" s="891">
        <v>6122</v>
      </c>
      <c r="D588" s="1230">
        <v>11</v>
      </c>
      <c r="E588" s="1229" t="s">
        <v>604</v>
      </c>
      <c r="F588" s="1228"/>
      <c r="G588" s="1228">
        <v>339</v>
      </c>
      <c r="H588" s="1228">
        <v>339</v>
      </c>
      <c r="I588" s="974">
        <f>(H588/G588)*100</f>
        <v>100</v>
      </c>
    </row>
    <row r="589" spans="1:14" s="532" customFormat="1" ht="18" customHeight="1" thickTop="1" thickBot="1" x14ac:dyDescent="0.3">
      <c r="A589" s="2692" t="s">
        <v>244</v>
      </c>
      <c r="B589" s="2685"/>
      <c r="C589" s="2685"/>
      <c r="D589" s="2685"/>
      <c r="E589" s="2685"/>
      <c r="F589" s="873">
        <f>F587</f>
        <v>0</v>
      </c>
      <c r="G589" s="873">
        <f>G587+G588</f>
        <v>515</v>
      </c>
      <c r="H589" s="873">
        <f>H587+H588</f>
        <v>515</v>
      </c>
      <c r="I589" s="856">
        <f>(H589/G589)*100</f>
        <v>100</v>
      </c>
    </row>
    <row r="590" spans="1:14" ht="13.5" thickTop="1" x14ac:dyDescent="0.2">
      <c r="K590" s="911"/>
      <c r="L590" s="911"/>
      <c r="M590" s="911"/>
      <c r="N590" s="432"/>
    </row>
    <row r="591" spans="1:14" x14ac:dyDescent="0.2">
      <c r="K591" s="911"/>
      <c r="L591" s="911"/>
      <c r="M591" s="911"/>
      <c r="N591" s="432"/>
    </row>
    <row r="592" spans="1:14" s="532" customFormat="1" ht="13.5" thickBot="1" x14ac:dyDescent="0.25">
      <c r="A592" s="432" t="s">
        <v>845</v>
      </c>
      <c r="B592" s="643"/>
      <c r="D592" s="814"/>
      <c r="F592" s="493"/>
      <c r="G592" s="493"/>
      <c r="H592" s="493"/>
      <c r="I592" s="949" t="s">
        <v>161</v>
      </c>
    </row>
    <row r="593" spans="1:14" s="107" customFormat="1" ht="20.25" customHeight="1" thickTop="1" thickBot="1" x14ac:dyDescent="0.25">
      <c r="A593" s="682" t="s">
        <v>624</v>
      </c>
      <c r="B593" s="685" t="s">
        <v>162</v>
      </c>
      <c r="C593" s="683" t="s">
        <v>163</v>
      </c>
      <c r="D593" s="634" t="s">
        <v>705</v>
      </c>
      <c r="E593" s="686" t="s">
        <v>164</v>
      </c>
      <c r="F593" s="686" t="s">
        <v>165</v>
      </c>
      <c r="G593" s="686" t="s">
        <v>881</v>
      </c>
      <c r="H593" s="686" t="s">
        <v>882</v>
      </c>
      <c r="I593" s="818" t="s">
        <v>883</v>
      </c>
    </row>
    <row r="594" spans="1:14" s="383" customFormat="1" ht="13.5" thickTop="1" thickBot="1" x14ac:dyDescent="0.25">
      <c r="A594" s="1199">
        <v>1</v>
      </c>
      <c r="B594" s="1200">
        <v>2</v>
      </c>
      <c r="C594" s="1200">
        <v>3</v>
      </c>
      <c r="D594" s="1200">
        <v>4</v>
      </c>
      <c r="E594" s="567">
        <v>5</v>
      </c>
      <c r="F594" s="1201">
        <v>6</v>
      </c>
      <c r="G594" s="1201">
        <v>7</v>
      </c>
      <c r="H594" s="1202">
        <v>8</v>
      </c>
      <c r="I594" s="1203" t="s">
        <v>762</v>
      </c>
    </row>
    <row r="595" spans="1:14" s="532" customFormat="1" ht="16.5" thickTop="1" thickBot="1" x14ac:dyDescent="0.3">
      <c r="A595" s="1211">
        <v>60002100271</v>
      </c>
      <c r="B595" s="967">
        <v>4357</v>
      </c>
      <c r="C595" s="1212">
        <v>6121</v>
      </c>
      <c r="D595" s="968">
        <v>11</v>
      </c>
      <c r="E595" s="969" t="s">
        <v>603</v>
      </c>
      <c r="F595" s="889"/>
      <c r="G595" s="1214">
        <v>1626</v>
      </c>
      <c r="H595" s="889">
        <v>1622</v>
      </c>
      <c r="I595" s="1215">
        <f>(H595/G595)*100</f>
        <v>99.753997539975401</v>
      </c>
    </row>
    <row r="596" spans="1:14" s="532" customFormat="1" ht="18" customHeight="1" thickTop="1" thickBot="1" x14ac:dyDescent="0.3">
      <c r="A596" s="2692" t="s">
        <v>244</v>
      </c>
      <c r="B596" s="2685"/>
      <c r="C596" s="2685"/>
      <c r="D596" s="2685"/>
      <c r="E596" s="2685"/>
      <c r="F596" s="873">
        <f>F595</f>
        <v>0</v>
      </c>
      <c r="G596" s="873">
        <f>G595</f>
        <v>1626</v>
      </c>
      <c r="H596" s="873">
        <f>H595</f>
        <v>1622</v>
      </c>
      <c r="I596" s="856">
        <f>(H596/G596)*100</f>
        <v>99.753997539975401</v>
      </c>
    </row>
    <row r="597" spans="1:14" ht="13.5" thickTop="1" x14ac:dyDescent="0.2">
      <c r="K597" s="911"/>
      <c r="L597" s="911"/>
      <c r="M597" s="911"/>
      <c r="N597" s="432"/>
    </row>
    <row r="598" spans="1:14" x14ac:dyDescent="0.2">
      <c r="K598" s="911"/>
      <c r="L598" s="911"/>
      <c r="M598" s="911"/>
      <c r="N598" s="432"/>
    </row>
    <row r="599" spans="1:14" x14ac:dyDescent="0.2">
      <c r="K599" s="911"/>
      <c r="L599" s="911"/>
      <c r="M599" s="911"/>
      <c r="N599" s="432"/>
    </row>
    <row r="600" spans="1:14" x14ac:dyDescent="0.2">
      <c r="K600" s="911"/>
      <c r="L600" s="911"/>
      <c r="M600" s="911"/>
      <c r="N600" s="432"/>
    </row>
    <row r="601" spans="1:14" x14ac:dyDescent="0.2">
      <c r="K601" s="911"/>
      <c r="L601" s="911"/>
      <c r="M601" s="911"/>
      <c r="N601" s="432"/>
    </row>
    <row r="602" spans="1:14" s="532" customFormat="1" ht="13.5" thickBot="1" x14ac:dyDescent="0.25">
      <c r="A602" s="432" t="s">
        <v>846</v>
      </c>
      <c r="B602" s="643"/>
      <c r="D602" s="814"/>
      <c r="F602" s="493"/>
      <c r="G602" s="493"/>
      <c r="H602" s="493"/>
      <c r="I602" s="949" t="s">
        <v>161</v>
      </c>
    </row>
    <row r="603" spans="1:14" s="107" customFormat="1" ht="20.25" customHeight="1" thickTop="1" thickBot="1" x14ac:dyDescent="0.25">
      <c r="A603" s="682" t="s">
        <v>624</v>
      </c>
      <c r="B603" s="685" t="s">
        <v>162</v>
      </c>
      <c r="C603" s="683" t="s">
        <v>163</v>
      </c>
      <c r="D603" s="634" t="s">
        <v>705</v>
      </c>
      <c r="E603" s="686" t="s">
        <v>164</v>
      </c>
      <c r="F603" s="686" t="s">
        <v>165</v>
      </c>
      <c r="G603" s="686" t="s">
        <v>881</v>
      </c>
      <c r="H603" s="686" t="s">
        <v>882</v>
      </c>
      <c r="I603" s="818" t="s">
        <v>883</v>
      </c>
    </row>
    <row r="604" spans="1:14" s="383" customFormat="1" ht="13.5" thickTop="1" thickBot="1" x14ac:dyDescent="0.25">
      <c r="A604" s="1199">
        <v>1</v>
      </c>
      <c r="B604" s="1200">
        <v>2</v>
      </c>
      <c r="C604" s="1200">
        <v>3</v>
      </c>
      <c r="D604" s="1200">
        <v>4</v>
      </c>
      <c r="E604" s="567">
        <v>5</v>
      </c>
      <c r="F604" s="1201">
        <v>6</v>
      </c>
      <c r="G604" s="1201">
        <v>7</v>
      </c>
      <c r="H604" s="1202">
        <v>8</v>
      </c>
      <c r="I604" s="1203" t="s">
        <v>762</v>
      </c>
    </row>
    <row r="605" spans="1:14" s="532" customFormat="1" ht="16.5" thickTop="1" thickBot="1" x14ac:dyDescent="0.3">
      <c r="A605" s="1211">
        <v>60002100273</v>
      </c>
      <c r="B605" s="967">
        <v>4357</v>
      </c>
      <c r="C605" s="1212">
        <v>6121</v>
      </c>
      <c r="D605" s="968">
        <v>11</v>
      </c>
      <c r="E605" s="969" t="s">
        <v>603</v>
      </c>
      <c r="F605" s="889"/>
      <c r="G605" s="1214">
        <v>921</v>
      </c>
      <c r="H605" s="889">
        <v>917</v>
      </c>
      <c r="I605" s="1215">
        <f>(H605/G605)*100</f>
        <v>99.565689467969605</v>
      </c>
    </row>
    <row r="606" spans="1:14" s="532" customFormat="1" ht="18" customHeight="1" thickTop="1" thickBot="1" x14ac:dyDescent="0.3">
      <c r="A606" s="2692" t="s">
        <v>244</v>
      </c>
      <c r="B606" s="2685"/>
      <c r="C606" s="2685"/>
      <c r="D606" s="2685"/>
      <c r="E606" s="2685"/>
      <c r="F606" s="873">
        <f>F605</f>
        <v>0</v>
      </c>
      <c r="G606" s="873">
        <f>G605</f>
        <v>921</v>
      </c>
      <c r="H606" s="873">
        <f>H605</f>
        <v>917</v>
      </c>
      <c r="I606" s="856">
        <f>(H606/G606)*100</f>
        <v>99.565689467969605</v>
      </c>
    </row>
    <row r="607" spans="1:14" ht="13.5" thickTop="1" x14ac:dyDescent="0.2">
      <c r="K607" s="911"/>
      <c r="L607" s="911"/>
      <c r="M607" s="911"/>
      <c r="N607" s="432"/>
    </row>
    <row r="608" spans="1:14" x14ac:dyDescent="0.2">
      <c r="K608" s="911"/>
      <c r="L608" s="911"/>
      <c r="M608" s="911"/>
      <c r="N608" s="432"/>
    </row>
    <row r="609" spans="1:14" s="532" customFormat="1" ht="13.5" thickBot="1" x14ac:dyDescent="0.25">
      <c r="A609" s="432" t="s">
        <v>847</v>
      </c>
      <c r="B609" s="643"/>
      <c r="D609" s="814"/>
      <c r="F609" s="493"/>
      <c r="G609" s="493"/>
      <c r="H609" s="493"/>
      <c r="I609" s="949" t="s">
        <v>161</v>
      </c>
    </row>
    <row r="610" spans="1:14" s="107" customFormat="1" ht="20.25" customHeight="1" thickTop="1" thickBot="1" x14ac:dyDescent="0.25">
      <c r="A610" s="682" t="s">
        <v>624</v>
      </c>
      <c r="B610" s="685" t="s">
        <v>162</v>
      </c>
      <c r="C610" s="683" t="s">
        <v>163</v>
      </c>
      <c r="D610" s="634" t="s">
        <v>705</v>
      </c>
      <c r="E610" s="686" t="s">
        <v>164</v>
      </c>
      <c r="F610" s="686" t="s">
        <v>165</v>
      </c>
      <c r="G610" s="686" t="s">
        <v>881</v>
      </c>
      <c r="H610" s="686" t="s">
        <v>882</v>
      </c>
      <c r="I610" s="818" t="s">
        <v>883</v>
      </c>
    </row>
    <row r="611" spans="1:14" s="383" customFormat="1" ht="13.5" thickTop="1" thickBot="1" x14ac:dyDescent="0.25">
      <c r="A611" s="1199">
        <v>1</v>
      </c>
      <c r="B611" s="1200">
        <v>2</v>
      </c>
      <c r="C611" s="1200">
        <v>3</v>
      </c>
      <c r="D611" s="1200">
        <v>4</v>
      </c>
      <c r="E611" s="567">
        <v>5</v>
      </c>
      <c r="F611" s="1201">
        <v>6</v>
      </c>
      <c r="G611" s="1201">
        <v>7</v>
      </c>
      <c r="H611" s="1202">
        <v>8</v>
      </c>
      <c r="I611" s="1203" t="s">
        <v>762</v>
      </c>
    </row>
    <row r="612" spans="1:14" s="532" customFormat="1" ht="16.5" thickTop="1" thickBot="1" x14ac:dyDescent="0.3">
      <c r="A612" s="1211">
        <v>60002100274</v>
      </c>
      <c r="B612" s="967">
        <v>4357</v>
      </c>
      <c r="C612" s="1212">
        <v>6122</v>
      </c>
      <c r="D612" s="968">
        <v>11</v>
      </c>
      <c r="E612" s="969" t="s">
        <v>604</v>
      </c>
      <c r="F612" s="889"/>
      <c r="G612" s="1214">
        <v>2975</v>
      </c>
      <c r="H612" s="889">
        <v>0</v>
      </c>
      <c r="I612" s="1215">
        <f>(H612/G612)*100</f>
        <v>0</v>
      </c>
    </row>
    <row r="613" spans="1:14" s="532" customFormat="1" ht="18" customHeight="1" thickTop="1" thickBot="1" x14ac:dyDescent="0.3">
      <c r="A613" s="2692" t="s">
        <v>244</v>
      </c>
      <c r="B613" s="2685"/>
      <c r="C613" s="2685"/>
      <c r="D613" s="2685"/>
      <c r="E613" s="2685"/>
      <c r="F613" s="873">
        <f>F612</f>
        <v>0</v>
      </c>
      <c r="G613" s="873">
        <f>G612</f>
        <v>2975</v>
      </c>
      <c r="H613" s="873">
        <f>H612</f>
        <v>0</v>
      </c>
      <c r="I613" s="856">
        <f>(H613/G613)*100</f>
        <v>0</v>
      </c>
    </row>
    <row r="614" spans="1:14" ht="13.5" thickTop="1" x14ac:dyDescent="0.2">
      <c r="K614" s="911"/>
      <c r="L614" s="911"/>
      <c r="M614" s="911"/>
      <c r="N614" s="432"/>
    </row>
    <row r="615" spans="1:14" x14ac:dyDescent="0.2">
      <c r="K615" s="911"/>
      <c r="L615" s="911"/>
      <c r="M615" s="911"/>
      <c r="N615" s="432"/>
    </row>
    <row r="616" spans="1:14" s="532" customFormat="1" ht="13.5" thickBot="1" x14ac:dyDescent="0.25">
      <c r="A616" s="432" t="s">
        <v>848</v>
      </c>
      <c r="B616" s="643"/>
      <c r="D616" s="814"/>
      <c r="F616" s="493"/>
      <c r="G616" s="493"/>
      <c r="H616" s="493"/>
      <c r="I616" s="949" t="s">
        <v>161</v>
      </c>
    </row>
    <row r="617" spans="1:14" s="107" customFormat="1" ht="20.25" customHeight="1" thickTop="1" thickBot="1" x14ac:dyDescent="0.25">
      <c r="A617" s="682" t="s">
        <v>624</v>
      </c>
      <c r="B617" s="685" t="s">
        <v>162</v>
      </c>
      <c r="C617" s="683" t="s">
        <v>163</v>
      </c>
      <c r="D617" s="634" t="s">
        <v>705</v>
      </c>
      <c r="E617" s="686" t="s">
        <v>164</v>
      </c>
      <c r="F617" s="686" t="s">
        <v>165</v>
      </c>
      <c r="G617" s="686" t="s">
        <v>881</v>
      </c>
      <c r="H617" s="686" t="s">
        <v>882</v>
      </c>
      <c r="I617" s="818" t="s">
        <v>883</v>
      </c>
    </row>
    <row r="618" spans="1:14" s="383" customFormat="1" ht="13.5" thickTop="1" thickBot="1" x14ac:dyDescent="0.25">
      <c r="A618" s="1199">
        <v>1</v>
      </c>
      <c r="B618" s="1200">
        <v>2</v>
      </c>
      <c r="C618" s="1200">
        <v>3</v>
      </c>
      <c r="D618" s="1200">
        <v>4</v>
      </c>
      <c r="E618" s="567">
        <v>5</v>
      </c>
      <c r="F618" s="1201">
        <v>6</v>
      </c>
      <c r="G618" s="1201">
        <v>7</v>
      </c>
      <c r="H618" s="1202">
        <v>8</v>
      </c>
      <c r="I618" s="1203" t="s">
        <v>762</v>
      </c>
    </row>
    <row r="619" spans="1:14" s="532" customFormat="1" ht="16.5" thickTop="1" thickBot="1" x14ac:dyDescent="0.3">
      <c r="A619" s="1211">
        <v>60002100279</v>
      </c>
      <c r="B619" s="967">
        <v>4357</v>
      </c>
      <c r="C619" s="1212">
        <v>6121</v>
      </c>
      <c r="D619" s="968">
        <v>11</v>
      </c>
      <c r="E619" s="969" t="s">
        <v>603</v>
      </c>
      <c r="F619" s="889"/>
      <c r="G619" s="1214">
        <v>1462</v>
      </c>
      <c r="H619" s="889">
        <v>908</v>
      </c>
      <c r="I619" s="1215">
        <f>(H619/G619)*100</f>
        <v>62.106703146374834</v>
      </c>
    </row>
    <row r="620" spans="1:14" s="532" customFormat="1" ht="18" customHeight="1" thickTop="1" thickBot="1" x14ac:dyDescent="0.3">
      <c r="A620" s="2692" t="s">
        <v>244</v>
      </c>
      <c r="B620" s="2685"/>
      <c r="C620" s="2685"/>
      <c r="D620" s="2685"/>
      <c r="E620" s="2685"/>
      <c r="F620" s="873">
        <f>F619</f>
        <v>0</v>
      </c>
      <c r="G620" s="873">
        <f>G619</f>
        <v>1462</v>
      </c>
      <c r="H620" s="873">
        <f>H619</f>
        <v>908</v>
      </c>
      <c r="I620" s="856">
        <f>(H620/G620)*100</f>
        <v>62.106703146374834</v>
      </c>
    </row>
    <row r="621" spans="1:14" ht="13.5" thickTop="1" x14ac:dyDescent="0.2">
      <c r="K621" s="911"/>
      <c r="L621" s="911"/>
      <c r="M621" s="911"/>
      <c r="N621" s="432"/>
    </row>
    <row r="622" spans="1:14" x14ac:dyDescent="0.2">
      <c r="K622" s="911"/>
      <c r="L622" s="911"/>
      <c r="M622" s="911"/>
      <c r="N622" s="432"/>
    </row>
    <row r="623" spans="1:14" s="532" customFormat="1" ht="13.5" thickBot="1" x14ac:dyDescent="0.25">
      <c r="A623" s="432" t="s">
        <v>107</v>
      </c>
      <c r="B623" s="643"/>
      <c r="D623" s="814"/>
      <c r="F623" s="493"/>
      <c r="G623" s="493"/>
      <c r="H623" s="493"/>
      <c r="I623" s="949" t="s">
        <v>161</v>
      </c>
    </row>
    <row r="624" spans="1:14" s="107" customFormat="1" ht="20.25" customHeight="1" thickTop="1" thickBot="1" x14ac:dyDescent="0.25">
      <c r="A624" s="682" t="s">
        <v>624</v>
      </c>
      <c r="B624" s="685" t="s">
        <v>162</v>
      </c>
      <c r="C624" s="683" t="s">
        <v>163</v>
      </c>
      <c r="D624" s="634" t="s">
        <v>705</v>
      </c>
      <c r="E624" s="686" t="s">
        <v>164</v>
      </c>
      <c r="F624" s="686" t="s">
        <v>165</v>
      </c>
      <c r="G624" s="686" t="s">
        <v>881</v>
      </c>
      <c r="H624" s="686" t="s">
        <v>882</v>
      </c>
      <c r="I624" s="818" t="s">
        <v>883</v>
      </c>
    </row>
    <row r="625" spans="1:14" s="383" customFormat="1" ht="13.5" thickTop="1" thickBot="1" x14ac:dyDescent="0.25">
      <c r="A625" s="1199">
        <v>1</v>
      </c>
      <c r="B625" s="1200">
        <v>2</v>
      </c>
      <c r="C625" s="1200">
        <v>3</v>
      </c>
      <c r="D625" s="1200">
        <v>4</v>
      </c>
      <c r="E625" s="567">
        <v>5</v>
      </c>
      <c r="F625" s="1201">
        <v>6</v>
      </c>
      <c r="G625" s="1201">
        <v>7</v>
      </c>
      <c r="H625" s="1202">
        <v>8</v>
      </c>
      <c r="I625" s="1203" t="s">
        <v>762</v>
      </c>
    </row>
    <row r="626" spans="1:14" s="532" customFormat="1" ht="16.5" thickTop="1" thickBot="1" x14ac:dyDescent="0.3">
      <c r="A626" s="1211">
        <v>60002100314</v>
      </c>
      <c r="B626" s="967">
        <v>4357</v>
      </c>
      <c r="C626" s="1212">
        <v>6121</v>
      </c>
      <c r="D626" s="968">
        <v>11</v>
      </c>
      <c r="E626" s="969" t="s">
        <v>603</v>
      </c>
      <c r="F626" s="889"/>
      <c r="G626" s="1214">
        <v>646</v>
      </c>
      <c r="H626" s="889">
        <v>72</v>
      </c>
      <c r="I626" s="1215">
        <f>(H626/G626)*100</f>
        <v>11.145510835913312</v>
      </c>
    </row>
    <row r="627" spans="1:14" s="532" customFormat="1" ht="18" customHeight="1" thickTop="1" thickBot="1" x14ac:dyDescent="0.3">
      <c r="A627" s="2692" t="s">
        <v>244</v>
      </c>
      <c r="B627" s="2685"/>
      <c r="C627" s="2685"/>
      <c r="D627" s="2685"/>
      <c r="E627" s="2685"/>
      <c r="F627" s="873">
        <f>F626</f>
        <v>0</v>
      </c>
      <c r="G627" s="873">
        <f>G626</f>
        <v>646</v>
      </c>
      <c r="H627" s="873">
        <f>H626</f>
        <v>72</v>
      </c>
      <c r="I627" s="856">
        <f>(H627/G627)*100</f>
        <v>11.145510835913312</v>
      </c>
    </row>
    <row r="628" spans="1:14" ht="13.5" thickTop="1" x14ac:dyDescent="0.2">
      <c r="K628" s="911"/>
      <c r="L628" s="911"/>
      <c r="M628" s="911"/>
      <c r="N628" s="432"/>
    </row>
    <row r="629" spans="1:14" x14ac:dyDescent="0.2">
      <c r="K629" s="911"/>
      <c r="L629" s="911"/>
      <c r="M629" s="911"/>
      <c r="N629" s="432"/>
    </row>
    <row r="630" spans="1:14" s="532" customFormat="1" ht="13.5" thickBot="1" x14ac:dyDescent="0.25">
      <c r="A630" s="432" t="s">
        <v>529</v>
      </c>
      <c r="B630" s="643"/>
      <c r="D630" s="814"/>
      <c r="F630" s="493"/>
      <c r="G630" s="493"/>
      <c r="H630" s="493"/>
      <c r="I630" s="949" t="s">
        <v>161</v>
      </c>
    </row>
    <row r="631" spans="1:14" s="107" customFormat="1" ht="20.25" customHeight="1" thickTop="1" thickBot="1" x14ac:dyDescent="0.25">
      <c r="A631" s="682" t="s">
        <v>624</v>
      </c>
      <c r="B631" s="685" t="s">
        <v>162</v>
      </c>
      <c r="C631" s="683" t="s">
        <v>163</v>
      </c>
      <c r="D631" s="634" t="s">
        <v>705</v>
      </c>
      <c r="E631" s="686" t="s">
        <v>164</v>
      </c>
      <c r="F631" s="686" t="s">
        <v>165</v>
      </c>
      <c r="G631" s="686" t="s">
        <v>881</v>
      </c>
      <c r="H631" s="686" t="s">
        <v>882</v>
      </c>
      <c r="I631" s="818" t="s">
        <v>883</v>
      </c>
    </row>
    <row r="632" spans="1:14" s="383" customFormat="1" ht="13.5" thickTop="1" thickBot="1" x14ac:dyDescent="0.25">
      <c r="A632" s="1199">
        <v>1</v>
      </c>
      <c r="B632" s="1200">
        <v>2</v>
      </c>
      <c r="C632" s="1200">
        <v>3</v>
      </c>
      <c r="D632" s="1200">
        <v>4</v>
      </c>
      <c r="E632" s="567">
        <v>5</v>
      </c>
      <c r="F632" s="1201">
        <v>6</v>
      </c>
      <c r="G632" s="1201">
        <v>7</v>
      </c>
      <c r="H632" s="1202">
        <v>8</v>
      </c>
      <c r="I632" s="1203" t="s">
        <v>762</v>
      </c>
    </row>
    <row r="633" spans="1:14" s="532" customFormat="1" ht="16.5" thickTop="1" thickBot="1" x14ac:dyDescent="0.3">
      <c r="A633" s="1211">
        <v>60002100318</v>
      </c>
      <c r="B633" s="967">
        <v>4357</v>
      </c>
      <c r="C633" s="1212">
        <v>6121</v>
      </c>
      <c r="D633" s="968">
        <v>11</v>
      </c>
      <c r="E633" s="969" t="s">
        <v>603</v>
      </c>
      <c r="F633" s="889"/>
      <c r="G633" s="1214">
        <v>670</v>
      </c>
      <c r="H633" s="889">
        <v>68</v>
      </c>
      <c r="I633" s="1215">
        <f>(H633/G633)*100</f>
        <v>10.149253731343283</v>
      </c>
    </row>
    <row r="634" spans="1:14" s="532" customFormat="1" ht="18" customHeight="1" thickTop="1" thickBot="1" x14ac:dyDescent="0.3">
      <c r="A634" s="2692" t="s">
        <v>244</v>
      </c>
      <c r="B634" s="2685"/>
      <c r="C634" s="2685"/>
      <c r="D634" s="2685"/>
      <c r="E634" s="2685"/>
      <c r="F634" s="873">
        <f>F633</f>
        <v>0</v>
      </c>
      <c r="G634" s="873">
        <f>G633</f>
        <v>670</v>
      </c>
      <c r="H634" s="873">
        <f>H633</f>
        <v>68</v>
      </c>
      <c r="I634" s="856">
        <f>(H634/G634)*100</f>
        <v>10.149253731343283</v>
      </c>
    </row>
    <row r="635" spans="1:14" ht="13.5" thickTop="1" x14ac:dyDescent="0.2">
      <c r="K635" s="911"/>
      <c r="L635" s="911"/>
      <c r="M635" s="911"/>
      <c r="N635" s="432"/>
    </row>
    <row r="636" spans="1:14" x14ac:dyDescent="0.2">
      <c r="K636" s="911"/>
      <c r="L636" s="911"/>
      <c r="M636" s="911"/>
      <c r="N636" s="432"/>
    </row>
    <row r="637" spans="1:14" s="532" customFormat="1" ht="13.5" thickBot="1" x14ac:dyDescent="0.25">
      <c r="A637" s="432" t="s">
        <v>530</v>
      </c>
      <c r="B637" s="643"/>
      <c r="D637" s="814"/>
      <c r="F637" s="493"/>
      <c r="G637" s="493"/>
      <c r="H637" s="493"/>
      <c r="I637" s="949" t="s">
        <v>161</v>
      </c>
    </row>
    <row r="638" spans="1:14" s="107" customFormat="1" ht="20.25" customHeight="1" thickTop="1" thickBot="1" x14ac:dyDescent="0.25">
      <c r="A638" s="682" t="s">
        <v>624</v>
      </c>
      <c r="B638" s="685" t="s">
        <v>162</v>
      </c>
      <c r="C638" s="683" t="s">
        <v>163</v>
      </c>
      <c r="D638" s="634" t="s">
        <v>705</v>
      </c>
      <c r="E638" s="686" t="s">
        <v>164</v>
      </c>
      <c r="F638" s="686" t="s">
        <v>165</v>
      </c>
      <c r="G638" s="686" t="s">
        <v>881</v>
      </c>
      <c r="H638" s="686" t="s">
        <v>882</v>
      </c>
      <c r="I638" s="818" t="s">
        <v>883</v>
      </c>
    </row>
    <row r="639" spans="1:14" s="383" customFormat="1" ht="13.5" thickTop="1" thickBot="1" x14ac:dyDescent="0.25">
      <c r="A639" s="1199">
        <v>1</v>
      </c>
      <c r="B639" s="1200">
        <v>2</v>
      </c>
      <c r="C639" s="1200">
        <v>3</v>
      </c>
      <c r="D639" s="1200">
        <v>4</v>
      </c>
      <c r="E639" s="567">
        <v>5</v>
      </c>
      <c r="F639" s="1201">
        <v>6</v>
      </c>
      <c r="G639" s="1201">
        <v>7</v>
      </c>
      <c r="H639" s="1202">
        <v>8</v>
      </c>
      <c r="I639" s="1203" t="s">
        <v>762</v>
      </c>
    </row>
    <row r="640" spans="1:14" s="532" customFormat="1" ht="16.5" thickTop="1" thickBot="1" x14ac:dyDescent="0.3">
      <c r="A640" s="1211">
        <v>60002100328</v>
      </c>
      <c r="B640" s="967">
        <v>4357</v>
      </c>
      <c r="C640" s="1212">
        <v>6121</v>
      </c>
      <c r="D640" s="968">
        <v>11</v>
      </c>
      <c r="E640" s="969" t="s">
        <v>603</v>
      </c>
      <c r="F640" s="889"/>
      <c r="G640" s="1214">
        <v>800</v>
      </c>
      <c r="H640" s="889">
        <v>0</v>
      </c>
      <c r="I640" s="1215">
        <f>(H640/G640)*100</f>
        <v>0</v>
      </c>
      <c r="K640" s="493">
        <f>F420+F427+F434+F441+F448+F455+F462+F473+F476+F483+F490+F497+F504+F511+F518+F525+F532+F539+F546+F553+F560+F567+F574+F581+F589+F596+F606+F613+F620+F627+F634+F641</f>
        <v>9650</v>
      </c>
      <c r="L640" s="493">
        <f>G420+G427+G434+G441+G448+G455+G462+G473+G476+G483+G490+G497+G504+G511+G518+G525+G532+G539+G546+G553+G560+G567+G574+G581+G589+G596+G606+G613+G620+G627+G634+G641</f>
        <v>42586</v>
      </c>
      <c r="M640" s="493">
        <f>H420+H427+H434+H441+H448+H455+H462+H473+H476+H483+H490+H497+H504+H511+H518+H525+H532+H539+H546+H553+H560+H567+H574+H581+H589+H596+H606+H613+H620+H627+H634+H641</f>
        <v>29353</v>
      </c>
      <c r="N640" s="532" t="s">
        <v>1096</v>
      </c>
    </row>
    <row r="641" spans="1:14" s="532" customFormat="1" ht="18" customHeight="1" thickTop="1" thickBot="1" x14ac:dyDescent="0.3">
      <c r="A641" s="2692" t="s">
        <v>244</v>
      </c>
      <c r="B641" s="2685"/>
      <c r="C641" s="2685"/>
      <c r="D641" s="2685"/>
      <c r="E641" s="2685"/>
      <c r="F641" s="873">
        <f>F640</f>
        <v>0</v>
      </c>
      <c r="G641" s="873">
        <f>G640</f>
        <v>800</v>
      </c>
      <c r="H641" s="873">
        <f>H640</f>
        <v>0</v>
      </c>
      <c r="I641" s="856">
        <f>(H641/G641)*100</f>
        <v>0</v>
      </c>
    </row>
    <row r="642" spans="1:14" ht="13.5" thickTop="1" x14ac:dyDescent="0.2">
      <c r="K642" s="911"/>
      <c r="L642" s="911"/>
      <c r="M642" s="911"/>
      <c r="N642" s="432"/>
    </row>
    <row r="643" spans="1:14" x14ac:dyDescent="0.2">
      <c r="K643" s="911"/>
      <c r="L643" s="911"/>
      <c r="M643" s="911"/>
      <c r="N643" s="432"/>
    </row>
    <row r="644" spans="1:14" s="532" customFormat="1" ht="13.5" thickBot="1" x14ac:dyDescent="0.25">
      <c r="A644" s="432" t="s">
        <v>531</v>
      </c>
      <c r="B644" s="643"/>
      <c r="D644" s="814"/>
      <c r="F644" s="493"/>
      <c r="G644" s="493"/>
      <c r="H644" s="493"/>
      <c r="I644" s="949" t="s">
        <v>161</v>
      </c>
    </row>
    <row r="645" spans="1:14" s="107" customFormat="1" ht="20.25" customHeight="1" thickTop="1" thickBot="1" x14ac:dyDescent="0.25">
      <c r="A645" s="682" t="s">
        <v>624</v>
      </c>
      <c r="B645" s="685" t="s">
        <v>162</v>
      </c>
      <c r="C645" s="683" t="s">
        <v>163</v>
      </c>
      <c r="D645" s="634" t="s">
        <v>705</v>
      </c>
      <c r="E645" s="686" t="s">
        <v>164</v>
      </c>
      <c r="F645" s="686" t="s">
        <v>165</v>
      </c>
      <c r="G645" s="686" t="s">
        <v>881</v>
      </c>
      <c r="H645" s="686" t="s">
        <v>882</v>
      </c>
      <c r="I645" s="818" t="s">
        <v>883</v>
      </c>
    </row>
    <row r="646" spans="1:14" s="383" customFormat="1" ht="13.5" thickTop="1" thickBot="1" x14ac:dyDescent="0.25">
      <c r="A646" s="1199">
        <v>1</v>
      </c>
      <c r="B646" s="1200">
        <v>2</v>
      </c>
      <c r="C646" s="1200">
        <v>3</v>
      </c>
      <c r="D646" s="1200">
        <v>4</v>
      </c>
      <c r="E646" s="567">
        <v>5</v>
      </c>
      <c r="F646" s="1201">
        <v>6</v>
      </c>
      <c r="G646" s="1201">
        <v>7</v>
      </c>
      <c r="H646" s="1202">
        <v>8</v>
      </c>
      <c r="I646" s="1203" t="s">
        <v>762</v>
      </c>
    </row>
    <row r="647" spans="1:14" s="532" customFormat="1" ht="16.5" thickTop="1" thickBot="1" x14ac:dyDescent="0.3">
      <c r="A647" s="1211">
        <v>60003100066</v>
      </c>
      <c r="B647" s="967">
        <v>3315</v>
      </c>
      <c r="C647" s="1212">
        <v>6121</v>
      </c>
      <c r="D647" s="968">
        <v>13</v>
      </c>
      <c r="E647" s="969" t="s">
        <v>603</v>
      </c>
      <c r="F647" s="889"/>
      <c r="G647" s="1214">
        <v>357</v>
      </c>
      <c r="H647" s="889">
        <v>325</v>
      </c>
      <c r="I647" s="1215">
        <f>(H647/G647)*100</f>
        <v>91.036414565826334</v>
      </c>
    </row>
    <row r="648" spans="1:14" s="532" customFormat="1" ht="18" customHeight="1" thickTop="1" thickBot="1" x14ac:dyDescent="0.3">
      <c r="A648" s="2692" t="s">
        <v>244</v>
      </c>
      <c r="B648" s="2685"/>
      <c r="C648" s="2685"/>
      <c r="D648" s="2685"/>
      <c r="E648" s="2685"/>
      <c r="F648" s="873">
        <f>F647</f>
        <v>0</v>
      </c>
      <c r="G648" s="873">
        <f>G647</f>
        <v>357</v>
      </c>
      <c r="H648" s="873">
        <f>H647</f>
        <v>325</v>
      </c>
      <c r="I648" s="856">
        <f>(H648/G648)*100</f>
        <v>91.036414565826334</v>
      </c>
    </row>
    <row r="649" spans="1:14" ht="13.5" thickTop="1" x14ac:dyDescent="0.2">
      <c r="K649" s="911"/>
      <c r="L649" s="911"/>
      <c r="M649" s="911"/>
      <c r="N649" s="432"/>
    </row>
    <row r="650" spans="1:14" x14ac:dyDescent="0.2">
      <c r="K650" s="911"/>
      <c r="L650" s="911"/>
      <c r="M650" s="911"/>
      <c r="N650" s="432"/>
    </row>
    <row r="651" spans="1:14" s="532" customFormat="1" ht="13.5" thickBot="1" x14ac:dyDescent="0.25">
      <c r="A651" s="432" t="s">
        <v>782</v>
      </c>
      <c r="B651" s="643"/>
      <c r="D651" s="814"/>
      <c r="F651" s="493"/>
      <c r="G651" s="493"/>
      <c r="H651" s="493"/>
      <c r="I651" s="949" t="s">
        <v>161</v>
      </c>
    </row>
    <row r="652" spans="1:14" s="107" customFormat="1" ht="20.25" customHeight="1" thickTop="1" thickBot="1" x14ac:dyDescent="0.25">
      <c r="A652" s="682" t="s">
        <v>624</v>
      </c>
      <c r="B652" s="685" t="s">
        <v>162</v>
      </c>
      <c r="C652" s="683" t="s">
        <v>163</v>
      </c>
      <c r="D652" s="634" t="s">
        <v>705</v>
      </c>
      <c r="E652" s="686" t="s">
        <v>164</v>
      </c>
      <c r="F652" s="686" t="s">
        <v>165</v>
      </c>
      <c r="G652" s="686" t="s">
        <v>881</v>
      </c>
      <c r="H652" s="686" t="s">
        <v>882</v>
      </c>
      <c r="I652" s="818" t="s">
        <v>883</v>
      </c>
    </row>
    <row r="653" spans="1:14" s="383" customFormat="1" ht="13.5" thickTop="1" thickBot="1" x14ac:dyDescent="0.25">
      <c r="A653" s="1199">
        <v>1</v>
      </c>
      <c r="B653" s="1200">
        <v>2</v>
      </c>
      <c r="C653" s="1200">
        <v>3</v>
      </c>
      <c r="D653" s="1200">
        <v>4</v>
      </c>
      <c r="E653" s="567">
        <v>5</v>
      </c>
      <c r="F653" s="1201">
        <v>6</v>
      </c>
      <c r="G653" s="1201">
        <v>7</v>
      </c>
      <c r="H653" s="1202">
        <v>8</v>
      </c>
      <c r="I653" s="1203" t="s">
        <v>762</v>
      </c>
    </row>
    <row r="654" spans="1:14" s="532" customFormat="1" ht="16.5" thickTop="1" thickBot="1" x14ac:dyDescent="0.3">
      <c r="A654" s="1211">
        <v>60003100067</v>
      </c>
      <c r="B654" s="967">
        <v>3315</v>
      </c>
      <c r="C654" s="1212">
        <v>6121</v>
      </c>
      <c r="D654" s="968">
        <v>13</v>
      </c>
      <c r="E654" s="969" t="s">
        <v>603</v>
      </c>
      <c r="F654" s="889">
        <v>2900</v>
      </c>
      <c r="G654" s="1214">
        <v>1</v>
      </c>
      <c r="H654" s="889">
        <v>0</v>
      </c>
      <c r="I654" s="1215">
        <f>(H654/G654)*100</f>
        <v>0</v>
      </c>
    </row>
    <row r="655" spans="1:14" s="532" customFormat="1" ht="18" customHeight="1" thickTop="1" thickBot="1" x14ac:dyDescent="0.3">
      <c r="A655" s="2692" t="s">
        <v>244</v>
      </c>
      <c r="B655" s="2685"/>
      <c r="C655" s="2685"/>
      <c r="D655" s="2685"/>
      <c r="E655" s="2685"/>
      <c r="F655" s="873">
        <f>F654</f>
        <v>2900</v>
      </c>
      <c r="G655" s="873">
        <f>G654</f>
        <v>1</v>
      </c>
      <c r="H655" s="873">
        <f>H654</f>
        <v>0</v>
      </c>
      <c r="I655" s="856">
        <f>(H655/G655)*100</f>
        <v>0</v>
      </c>
    </row>
    <row r="656" spans="1:14" ht="13.5" thickTop="1" x14ac:dyDescent="0.2">
      <c r="K656" s="911"/>
      <c r="L656" s="911"/>
      <c r="M656" s="911"/>
      <c r="N656" s="432"/>
    </row>
    <row r="657" spans="1:14" x14ac:dyDescent="0.2">
      <c r="K657" s="911"/>
      <c r="L657" s="911"/>
      <c r="M657" s="911"/>
      <c r="N657" s="432"/>
    </row>
    <row r="658" spans="1:14" s="532" customFormat="1" ht="13.5" thickBot="1" x14ac:dyDescent="0.25">
      <c r="A658" s="432" t="s">
        <v>783</v>
      </c>
      <c r="B658" s="643"/>
      <c r="D658" s="814"/>
      <c r="F658" s="493"/>
      <c r="G658" s="493"/>
      <c r="H658" s="493"/>
      <c r="I658" s="949" t="s">
        <v>161</v>
      </c>
    </row>
    <row r="659" spans="1:14" s="107" customFormat="1" ht="20.25" customHeight="1" thickTop="1" thickBot="1" x14ac:dyDescent="0.25">
      <c r="A659" s="682" t="s">
        <v>624</v>
      </c>
      <c r="B659" s="685" t="s">
        <v>162</v>
      </c>
      <c r="C659" s="683" t="s">
        <v>163</v>
      </c>
      <c r="D659" s="634" t="s">
        <v>705</v>
      </c>
      <c r="E659" s="686" t="s">
        <v>164</v>
      </c>
      <c r="F659" s="686" t="s">
        <v>165</v>
      </c>
      <c r="G659" s="686" t="s">
        <v>881</v>
      </c>
      <c r="H659" s="686" t="s">
        <v>882</v>
      </c>
      <c r="I659" s="818" t="s">
        <v>883</v>
      </c>
    </row>
    <row r="660" spans="1:14" s="383" customFormat="1" ht="13.5" thickTop="1" thickBot="1" x14ac:dyDescent="0.25">
      <c r="A660" s="1199">
        <v>1</v>
      </c>
      <c r="B660" s="1200">
        <v>2</v>
      </c>
      <c r="C660" s="1200">
        <v>3</v>
      </c>
      <c r="D660" s="1200">
        <v>4</v>
      </c>
      <c r="E660" s="567">
        <v>5</v>
      </c>
      <c r="F660" s="1201">
        <v>6</v>
      </c>
      <c r="G660" s="1201">
        <v>7</v>
      </c>
      <c r="H660" s="1202">
        <v>8</v>
      </c>
      <c r="I660" s="1203" t="s">
        <v>762</v>
      </c>
    </row>
    <row r="661" spans="1:14" s="383" customFormat="1" ht="16.5" thickTop="1" thickBot="1" x14ac:dyDescent="0.3">
      <c r="A661" s="1211">
        <v>60003100069</v>
      </c>
      <c r="B661" s="967">
        <v>3315</v>
      </c>
      <c r="C661" s="1212">
        <v>5171</v>
      </c>
      <c r="D661" s="968">
        <v>13</v>
      </c>
      <c r="E661" s="969" t="s">
        <v>896</v>
      </c>
      <c r="F661" s="889">
        <v>8652</v>
      </c>
      <c r="G661" s="1214">
        <v>0</v>
      </c>
      <c r="H661" s="889">
        <v>0</v>
      </c>
      <c r="I661" s="1215">
        <v>0</v>
      </c>
    </row>
    <row r="662" spans="1:14" s="383" customFormat="1" ht="16.5" thickTop="1" thickBot="1" x14ac:dyDescent="0.3">
      <c r="A662" s="2692" t="s">
        <v>245</v>
      </c>
      <c r="B662" s="2685"/>
      <c r="C662" s="2685"/>
      <c r="D662" s="2685"/>
      <c r="E662" s="2685"/>
      <c r="F662" s="889">
        <f>F661</f>
        <v>8652</v>
      </c>
      <c r="G662" s="889">
        <f>G661</f>
        <v>0</v>
      </c>
      <c r="H662" s="889">
        <f>H661</f>
        <v>0</v>
      </c>
      <c r="I662" s="1215">
        <v>0</v>
      </c>
    </row>
    <row r="663" spans="1:14" s="532" customFormat="1" ht="16.5" thickTop="1" thickBot="1" x14ac:dyDescent="0.3">
      <c r="A663" s="1211">
        <v>60003100069</v>
      </c>
      <c r="B663" s="967">
        <v>3315</v>
      </c>
      <c r="C663" s="1212">
        <v>6121</v>
      </c>
      <c r="D663" s="968">
        <v>870</v>
      </c>
      <c r="E663" s="969" t="s">
        <v>603</v>
      </c>
      <c r="F663" s="889"/>
      <c r="G663" s="1214">
        <v>9974</v>
      </c>
      <c r="H663" s="889">
        <v>9950</v>
      </c>
      <c r="I663" s="1215">
        <f>(H663/G663)*100</f>
        <v>99.759374373370775</v>
      </c>
    </row>
    <row r="664" spans="1:14" s="532" customFormat="1" ht="18" customHeight="1" thickTop="1" thickBot="1" x14ac:dyDescent="0.3">
      <c r="A664" s="2692" t="s">
        <v>244</v>
      </c>
      <c r="B664" s="2685"/>
      <c r="C664" s="2685"/>
      <c r="D664" s="2685"/>
      <c r="E664" s="2685"/>
      <c r="F664" s="873">
        <f>F663</f>
        <v>0</v>
      </c>
      <c r="G664" s="873">
        <f>G663</f>
        <v>9974</v>
      </c>
      <c r="H664" s="873">
        <f>H663</f>
        <v>9950</v>
      </c>
      <c r="I664" s="856">
        <f>(H664/G664)*100</f>
        <v>99.759374373370775</v>
      </c>
    </row>
    <row r="665" spans="1:14" ht="13.5" thickTop="1" x14ac:dyDescent="0.2">
      <c r="K665" s="911"/>
      <c r="L665" s="911"/>
      <c r="M665" s="911"/>
      <c r="N665" s="432"/>
    </row>
    <row r="666" spans="1:14" x14ac:dyDescent="0.2">
      <c r="K666" s="911"/>
      <c r="L666" s="911"/>
      <c r="M666" s="911"/>
      <c r="N666" s="432"/>
    </row>
    <row r="667" spans="1:14" x14ac:dyDescent="0.2">
      <c r="K667" s="911"/>
      <c r="L667" s="911"/>
      <c r="M667" s="911"/>
      <c r="N667" s="432"/>
    </row>
    <row r="668" spans="1:14" x14ac:dyDescent="0.2">
      <c r="K668" s="911"/>
      <c r="L668" s="911"/>
      <c r="M668" s="911"/>
      <c r="N668" s="432"/>
    </row>
    <row r="669" spans="1:14" s="532" customFormat="1" ht="13.5" thickBot="1" x14ac:dyDescent="0.25">
      <c r="A669" s="432" t="s">
        <v>784</v>
      </c>
      <c r="B669" s="643"/>
      <c r="D669" s="814"/>
      <c r="F669" s="493"/>
      <c r="G669" s="493"/>
      <c r="H669" s="493"/>
      <c r="I669" s="949" t="s">
        <v>161</v>
      </c>
    </row>
    <row r="670" spans="1:14" s="107" customFormat="1" ht="20.25" customHeight="1" thickTop="1" thickBot="1" x14ac:dyDescent="0.25">
      <c r="A670" s="682" t="s">
        <v>624</v>
      </c>
      <c r="B670" s="685" t="s">
        <v>162</v>
      </c>
      <c r="C670" s="683" t="s">
        <v>163</v>
      </c>
      <c r="D670" s="634" t="s">
        <v>705</v>
      </c>
      <c r="E670" s="686" t="s">
        <v>164</v>
      </c>
      <c r="F670" s="686" t="s">
        <v>165</v>
      </c>
      <c r="G670" s="686" t="s">
        <v>881</v>
      </c>
      <c r="H670" s="686" t="s">
        <v>882</v>
      </c>
      <c r="I670" s="818" t="s">
        <v>883</v>
      </c>
    </row>
    <row r="671" spans="1:14" s="383" customFormat="1" ht="13.5" thickTop="1" thickBot="1" x14ac:dyDescent="0.25">
      <c r="A671" s="1199">
        <v>1</v>
      </c>
      <c r="B671" s="1200">
        <v>2</v>
      </c>
      <c r="C671" s="1200">
        <v>3</v>
      </c>
      <c r="D671" s="1200">
        <v>4</v>
      </c>
      <c r="E671" s="567">
        <v>5</v>
      </c>
      <c r="F671" s="1201">
        <v>6</v>
      </c>
      <c r="G671" s="1201">
        <v>7</v>
      </c>
      <c r="H671" s="1202">
        <v>8</v>
      </c>
      <c r="I671" s="1203" t="s">
        <v>762</v>
      </c>
    </row>
    <row r="672" spans="1:14" s="532" customFormat="1" ht="16.5" thickTop="1" thickBot="1" x14ac:dyDescent="0.3">
      <c r="A672" s="1211">
        <v>60003100078</v>
      </c>
      <c r="B672" s="967">
        <v>3315</v>
      </c>
      <c r="C672" s="1212">
        <v>5137</v>
      </c>
      <c r="D672" s="968">
        <v>870</v>
      </c>
      <c r="E672" s="969" t="s">
        <v>155</v>
      </c>
      <c r="F672" s="889"/>
      <c r="G672" s="1214">
        <v>4598</v>
      </c>
      <c r="H672" s="889">
        <v>3299</v>
      </c>
      <c r="I672" s="1215">
        <f>(H672/G672)*100</f>
        <v>71.748586341887773</v>
      </c>
    </row>
    <row r="673" spans="1:14" s="532" customFormat="1" ht="16.5" thickTop="1" thickBot="1" x14ac:dyDescent="0.3">
      <c r="A673" s="2672" t="s">
        <v>245</v>
      </c>
      <c r="B673" s="2673"/>
      <c r="C673" s="2673"/>
      <c r="D673" s="2673"/>
      <c r="E673" s="2673"/>
      <c r="F673" s="889">
        <v>0</v>
      </c>
      <c r="G673" s="889">
        <f>G672</f>
        <v>4598</v>
      </c>
      <c r="H673" s="889">
        <f>H672</f>
        <v>3299</v>
      </c>
      <c r="I673" s="1215">
        <f>(H673/G673)*100</f>
        <v>71.748586341887773</v>
      </c>
    </row>
    <row r="674" spans="1:14" s="532" customFormat="1" ht="15.75" thickTop="1" x14ac:dyDescent="0.25">
      <c r="A674" s="1252">
        <v>60003100078</v>
      </c>
      <c r="B674" s="1253">
        <v>3315</v>
      </c>
      <c r="C674" s="1253">
        <v>6121</v>
      </c>
      <c r="D674" s="1227">
        <v>13</v>
      </c>
      <c r="E674" s="1226" t="s">
        <v>603</v>
      </c>
      <c r="F674" s="1225">
        <v>23295</v>
      </c>
      <c r="G674" s="1225">
        <v>0</v>
      </c>
      <c r="H674" s="1225">
        <v>0</v>
      </c>
      <c r="I674" s="1210">
        <v>0</v>
      </c>
    </row>
    <row r="675" spans="1:14" s="532" customFormat="1" ht="15" x14ac:dyDescent="0.25">
      <c r="A675" s="1232">
        <v>60003100078</v>
      </c>
      <c r="B675" s="750">
        <v>3315</v>
      </c>
      <c r="C675" s="750">
        <v>6121</v>
      </c>
      <c r="D675" s="1221">
        <v>870</v>
      </c>
      <c r="E675" s="1231" t="s">
        <v>603</v>
      </c>
      <c r="F675" s="846"/>
      <c r="G675" s="846">
        <v>22012</v>
      </c>
      <c r="H675" s="846">
        <v>20538</v>
      </c>
      <c r="I675" s="838">
        <f>(H675/G675)*100</f>
        <v>93.30365255315283</v>
      </c>
    </row>
    <row r="676" spans="1:14" s="532" customFormat="1" ht="15" x14ac:dyDescent="0.25">
      <c r="A676" s="1232">
        <v>60003100078</v>
      </c>
      <c r="B676" s="750">
        <v>3315</v>
      </c>
      <c r="C676" s="750">
        <v>6122</v>
      </c>
      <c r="D676" s="1221">
        <v>870</v>
      </c>
      <c r="E676" s="1231" t="s">
        <v>604</v>
      </c>
      <c r="F676" s="846"/>
      <c r="G676" s="846">
        <v>1497</v>
      </c>
      <c r="H676" s="846">
        <v>536</v>
      </c>
      <c r="I676" s="838">
        <f>(H676/G676)*100</f>
        <v>35.804943219772881</v>
      </c>
    </row>
    <row r="677" spans="1:14" s="532" customFormat="1" ht="15.75" thickBot="1" x14ac:dyDescent="0.3">
      <c r="A677" s="963">
        <v>60003100078</v>
      </c>
      <c r="B677" s="891">
        <v>3315</v>
      </c>
      <c r="C677" s="891">
        <v>6129</v>
      </c>
      <c r="D677" s="1230">
        <v>870</v>
      </c>
      <c r="E677" s="1229" t="s">
        <v>779</v>
      </c>
      <c r="F677" s="1228"/>
      <c r="G677" s="1228">
        <v>174</v>
      </c>
      <c r="H677" s="1228">
        <v>0</v>
      </c>
      <c r="I677" s="974">
        <v>0</v>
      </c>
    </row>
    <row r="678" spans="1:14" s="532" customFormat="1" ht="18" customHeight="1" thickTop="1" thickBot="1" x14ac:dyDescent="0.3">
      <c r="A678" s="2692" t="s">
        <v>244</v>
      </c>
      <c r="B678" s="2685"/>
      <c r="C678" s="2685"/>
      <c r="D678" s="2685"/>
      <c r="E678" s="2685"/>
      <c r="F678" s="873">
        <f>F674</f>
        <v>23295</v>
      </c>
      <c r="G678" s="873">
        <f>G675+G676+G677</f>
        <v>23683</v>
      </c>
      <c r="H678" s="873">
        <f>H675+H676+H677</f>
        <v>21074</v>
      </c>
      <c r="I678" s="856">
        <f>(H678/G678)*100</f>
        <v>88.98365916480175</v>
      </c>
    </row>
    <row r="679" spans="1:14" ht="13.5" thickTop="1" x14ac:dyDescent="0.2">
      <c r="K679" s="911"/>
      <c r="L679" s="911"/>
      <c r="M679" s="911"/>
      <c r="N679" s="432"/>
    </row>
    <row r="680" spans="1:14" x14ac:dyDescent="0.2">
      <c r="K680" s="911"/>
      <c r="L680" s="911"/>
      <c r="M680" s="911"/>
      <c r="N680" s="432"/>
    </row>
    <row r="681" spans="1:14" s="532" customFormat="1" ht="13.5" thickBot="1" x14ac:dyDescent="0.25">
      <c r="A681" s="432" t="s">
        <v>785</v>
      </c>
      <c r="B681" s="643"/>
      <c r="D681" s="814"/>
      <c r="F681" s="493"/>
      <c r="G681" s="493"/>
      <c r="H681" s="493"/>
      <c r="I681" s="949" t="s">
        <v>161</v>
      </c>
    </row>
    <row r="682" spans="1:14" s="107" customFormat="1" ht="20.25" customHeight="1" thickTop="1" thickBot="1" x14ac:dyDescent="0.25">
      <c r="A682" s="682" t="s">
        <v>624</v>
      </c>
      <c r="B682" s="685" t="s">
        <v>162</v>
      </c>
      <c r="C682" s="683" t="s">
        <v>163</v>
      </c>
      <c r="D682" s="634" t="s">
        <v>705</v>
      </c>
      <c r="E682" s="686" t="s">
        <v>164</v>
      </c>
      <c r="F682" s="686" t="s">
        <v>165</v>
      </c>
      <c r="G682" s="686" t="s">
        <v>881</v>
      </c>
      <c r="H682" s="686" t="s">
        <v>882</v>
      </c>
      <c r="I682" s="818" t="s">
        <v>883</v>
      </c>
    </row>
    <row r="683" spans="1:14" s="383" customFormat="1" ht="13.5" thickTop="1" thickBot="1" x14ac:dyDescent="0.25">
      <c r="A683" s="1199">
        <v>1</v>
      </c>
      <c r="B683" s="1200">
        <v>2</v>
      </c>
      <c r="C683" s="1200">
        <v>3</v>
      </c>
      <c r="D683" s="1200">
        <v>4</v>
      </c>
      <c r="E683" s="567">
        <v>5</v>
      </c>
      <c r="F683" s="1201">
        <v>6</v>
      </c>
      <c r="G683" s="1201">
        <v>7</v>
      </c>
      <c r="H683" s="1202">
        <v>8</v>
      </c>
      <c r="I683" s="1203" t="s">
        <v>762</v>
      </c>
    </row>
    <row r="684" spans="1:14" s="532" customFormat="1" ht="16.5" thickTop="1" thickBot="1" x14ac:dyDescent="0.3">
      <c r="A684" s="1211">
        <v>60003100198</v>
      </c>
      <c r="B684" s="967">
        <v>3315</v>
      </c>
      <c r="C684" s="1212">
        <v>6121</v>
      </c>
      <c r="D684" s="968">
        <v>13</v>
      </c>
      <c r="E684" s="969" t="s">
        <v>603</v>
      </c>
      <c r="F684" s="889"/>
      <c r="G684" s="1214">
        <v>374</v>
      </c>
      <c r="H684" s="889">
        <v>30</v>
      </c>
      <c r="I684" s="1215">
        <f>(H684/G684)*100</f>
        <v>8.0213903743315509</v>
      </c>
    </row>
    <row r="685" spans="1:14" s="532" customFormat="1" ht="18" customHeight="1" thickTop="1" thickBot="1" x14ac:dyDescent="0.3">
      <c r="A685" s="2692" t="s">
        <v>244</v>
      </c>
      <c r="B685" s="2685"/>
      <c r="C685" s="2685"/>
      <c r="D685" s="2685"/>
      <c r="E685" s="2685"/>
      <c r="F685" s="873">
        <f>F684</f>
        <v>0</v>
      </c>
      <c r="G685" s="873">
        <f>G684</f>
        <v>374</v>
      </c>
      <c r="H685" s="873">
        <f>H684</f>
        <v>30</v>
      </c>
      <c r="I685" s="856">
        <f>(H685/G685)*100</f>
        <v>8.0213903743315509</v>
      </c>
    </row>
    <row r="686" spans="1:14" ht="13.5" thickTop="1" x14ac:dyDescent="0.2">
      <c r="K686" s="911"/>
      <c r="L686" s="911"/>
      <c r="M686" s="911"/>
      <c r="N686" s="432"/>
    </row>
    <row r="687" spans="1:14" x14ac:dyDescent="0.2">
      <c r="K687" s="911"/>
      <c r="L687" s="911"/>
      <c r="M687" s="911"/>
      <c r="N687" s="432"/>
    </row>
    <row r="688" spans="1:14" s="532" customFormat="1" ht="13.5" thickBot="1" x14ac:dyDescent="0.25">
      <c r="A688" s="432" t="s">
        <v>786</v>
      </c>
      <c r="B688" s="643"/>
      <c r="D688" s="814"/>
      <c r="F688" s="493"/>
      <c r="G688" s="493"/>
      <c r="H688" s="493"/>
      <c r="I688" s="949" t="s">
        <v>161</v>
      </c>
    </row>
    <row r="689" spans="1:14" s="107" customFormat="1" ht="20.25" customHeight="1" thickTop="1" thickBot="1" x14ac:dyDescent="0.25">
      <c r="A689" s="682" t="s">
        <v>624</v>
      </c>
      <c r="B689" s="685" t="s">
        <v>162</v>
      </c>
      <c r="C689" s="683" t="s">
        <v>163</v>
      </c>
      <c r="D689" s="634" t="s">
        <v>705</v>
      </c>
      <c r="E689" s="686" t="s">
        <v>164</v>
      </c>
      <c r="F689" s="686" t="s">
        <v>165</v>
      </c>
      <c r="G689" s="686" t="s">
        <v>881</v>
      </c>
      <c r="H689" s="686" t="s">
        <v>882</v>
      </c>
      <c r="I689" s="818" t="s">
        <v>883</v>
      </c>
    </row>
    <row r="690" spans="1:14" s="383" customFormat="1" ht="13.5" thickTop="1" thickBot="1" x14ac:dyDescent="0.25">
      <c r="A690" s="1199">
        <v>1</v>
      </c>
      <c r="B690" s="1200">
        <v>2</v>
      </c>
      <c r="C690" s="1200">
        <v>3</v>
      </c>
      <c r="D690" s="1200">
        <v>4</v>
      </c>
      <c r="E690" s="567">
        <v>5</v>
      </c>
      <c r="F690" s="1201">
        <v>6</v>
      </c>
      <c r="G690" s="1201">
        <v>7</v>
      </c>
      <c r="H690" s="1202">
        <v>8</v>
      </c>
      <c r="I690" s="1203" t="s">
        <v>762</v>
      </c>
    </row>
    <row r="691" spans="1:14" s="532" customFormat="1" ht="16.5" thickTop="1" thickBot="1" x14ac:dyDescent="0.3">
      <c r="A691" s="1211">
        <v>60003100206</v>
      </c>
      <c r="B691" s="967">
        <v>3315</v>
      </c>
      <c r="C691" s="1212">
        <v>6121</v>
      </c>
      <c r="D691" s="968">
        <v>870</v>
      </c>
      <c r="E691" s="969" t="s">
        <v>603</v>
      </c>
      <c r="F691" s="889"/>
      <c r="G691" s="1214">
        <v>7100</v>
      </c>
      <c r="H691" s="889">
        <v>4741</v>
      </c>
      <c r="I691" s="1215">
        <f>(H691/G691)*100</f>
        <v>66.774647887323951</v>
      </c>
    </row>
    <row r="692" spans="1:14" s="532" customFormat="1" ht="18" customHeight="1" thickTop="1" thickBot="1" x14ac:dyDescent="0.3">
      <c r="A692" s="2692" t="s">
        <v>244</v>
      </c>
      <c r="B692" s="2685"/>
      <c r="C692" s="2685"/>
      <c r="D692" s="2685"/>
      <c r="E692" s="2685"/>
      <c r="F692" s="873">
        <f>F691</f>
        <v>0</v>
      </c>
      <c r="G692" s="873">
        <f>G691</f>
        <v>7100</v>
      </c>
      <c r="H692" s="873">
        <f>H691</f>
        <v>4741</v>
      </c>
      <c r="I692" s="856">
        <f>(H692/G692)*100</f>
        <v>66.774647887323951</v>
      </c>
    </row>
    <row r="693" spans="1:14" ht="13.5" thickTop="1" x14ac:dyDescent="0.2">
      <c r="K693" s="911"/>
      <c r="L693" s="911"/>
      <c r="M693" s="911"/>
      <c r="N693" s="432"/>
    </row>
    <row r="694" spans="1:14" x14ac:dyDescent="0.2">
      <c r="K694" s="911"/>
      <c r="L694" s="911"/>
      <c r="M694" s="911"/>
      <c r="N694" s="432"/>
    </row>
    <row r="695" spans="1:14" s="532" customFormat="1" ht="13.5" thickBot="1" x14ac:dyDescent="0.25">
      <c r="A695" s="432" t="s">
        <v>787</v>
      </c>
      <c r="B695" s="643"/>
      <c r="D695" s="814"/>
      <c r="F695" s="493"/>
      <c r="G695" s="493"/>
      <c r="H695" s="493"/>
      <c r="I695" s="949" t="s">
        <v>161</v>
      </c>
    </row>
    <row r="696" spans="1:14" s="107" customFormat="1" ht="20.25" customHeight="1" thickTop="1" thickBot="1" x14ac:dyDescent="0.25">
      <c r="A696" s="682" t="s">
        <v>624</v>
      </c>
      <c r="B696" s="685" t="s">
        <v>162</v>
      </c>
      <c r="C696" s="683" t="s">
        <v>163</v>
      </c>
      <c r="D696" s="634" t="s">
        <v>705</v>
      </c>
      <c r="E696" s="686" t="s">
        <v>164</v>
      </c>
      <c r="F696" s="686" t="s">
        <v>165</v>
      </c>
      <c r="G696" s="686" t="s">
        <v>881</v>
      </c>
      <c r="H696" s="686" t="s">
        <v>882</v>
      </c>
      <c r="I696" s="818" t="s">
        <v>883</v>
      </c>
    </row>
    <row r="697" spans="1:14" s="383" customFormat="1" ht="13.5" thickTop="1" thickBot="1" x14ac:dyDescent="0.25">
      <c r="A697" s="1199">
        <v>1</v>
      </c>
      <c r="B697" s="1200">
        <v>2</v>
      </c>
      <c r="C697" s="1200">
        <v>3</v>
      </c>
      <c r="D697" s="1200">
        <v>4</v>
      </c>
      <c r="E697" s="567">
        <v>5</v>
      </c>
      <c r="F697" s="1201">
        <v>6</v>
      </c>
      <c r="G697" s="1201">
        <v>7</v>
      </c>
      <c r="H697" s="1202">
        <v>8</v>
      </c>
      <c r="I697" s="1203" t="s">
        <v>762</v>
      </c>
    </row>
    <row r="698" spans="1:14" s="532" customFormat="1" ht="16.5" thickTop="1" thickBot="1" x14ac:dyDescent="0.3">
      <c r="A698" s="1211">
        <v>60003100208</v>
      </c>
      <c r="B698" s="967">
        <v>3315</v>
      </c>
      <c r="C698" s="1212">
        <v>6121</v>
      </c>
      <c r="D698" s="968">
        <v>13</v>
      </c>
      <c r="E698" s="969" t="s">
        <v>603</v>
      </c>
      <c r="F698" s="889"/>
      <c r="G698" s="1214">
        <v>5527</v>
      </c>
      <c r="H698" s="889">
        <v>5493</v>
      </c>
      <c r="I698" s="1215">
        <f>(H698/G698)*100</f>
        <v>99.384838067667815</v>
      </c>
    </row>
    <row r="699" spans="1:14" s="532" customFormat="1" ht="18" customHeight="1" thickTop="1" thickBot="1" x14ac:dyDescent="0.3">
      <c r="A699" s="2692" t="s">
        <v>244</v>
      </c>
      <c r="B699" s="2685"/>
      <c r="C699" s="2685"/>
      <c r="D699" s="2685"/>
      <c r="E699" s="2685"/>
      <c r="F699" s="873">
        <f>F698</f>
        <v>0</v>
      </c>
      <c r="G699" s="873">
        <f>G698</f>
        <v>5527</v>
      </c>
      <c r="H699" s="873">
        <f>H698</f>
        <v>5493</v>
      </c>
      <c r="I699" s="856">
        <f>(H699/G699)*100</f>
        <v>99.384838067667815</v>
      </c>
    </row>
    <row r="700" spans="1:14" ht="13.5" thickTop="1" x14ac:dyDescent="0.2">
      <c r="K700" s="911"/>
      <c r="L700" s="911"/>
      <c r="M700" s="911"/>
      <c r="N700" s="432"/>
    </row>
    <row r="701" spans="1:14" x14ac:dyDescent="0.2">
      <c r="K701" s="911"/>
      <c r="L701" s="911"/>
      <c r="M701" s="911"/>
      <c r="N701" s="432"/>
    </row>
    <row r="702" spans="1:14" s="532" customFormat="1" ht="13.5" thickBot="1" x14ac:dyDescent="0.25">
      <c r="A702" s="432" t="s">
        <v>788</v>
      </c>
      <c r="B702" s="643"/>
      <c r="D702" s="814"/>
      <c r="F702" s="493"/>
      <c r="G702" s="493"/>
      <c r="H702" s="493"/>
      <c r="I702" s="949" t="s">
        <v>161</v>
      </c>
    </row>
    <row r="703" spans="1:14" s="107" customFormat="1" ht="20.25" customHeight="1" thickTop="1" thickBot="1" x14ac:dyDescent="0.25">
      <c r="A703" s="682" t="s">
        <v>624</v>
      </c>
      <c r="B703" s="685" t="s">
        <v>162</v>
      </c>
      <c r="C703" s="683" t="s">
        <v>163</v>
      </c>
      <c r="D703" s="634" t="s">
        <v>705</v>
      </c>
      <c r="E703" s="686" t="s">
        <v>164</v>
      </c>
      <c r="F703" s="686" t="s">
        <v>165</v>
      </c>
      <c r="G703" s="686" t="s">
        <v>881</v>
      </c>
      <c r="H703" s="686" t="s">
        <v>882</v>
      </c>
      <c r="I703" s="818" t="s">
        <v>883</v>
      </c>
    </row>
    <row r="704" spans="1:14" s="383" customFormat="1" ht="13.5" thickTop="1" thickBot="1" x14ac:dyDescent="0.25">
      <c r="A704" s="1199">
        <v>1</v>
      </c>
      <c r="B704" s="1200">
        <v>2</v>
      </c>
      <c r="C704" s="1200">
        <v>3</v>
      </c>
      <c r="D704" s="1200">
        <v>4</v>
      </c>
      <c r="E704" s="567">
        <v>5</v>
      </c>
      <c r="F704" s="1201">
        <v>6</v>
      </c>
      <c r="G704" s="1201">
        <v>7</v>
      </c>
      <c r="H704" s="1202">
        <v>8</v>
      </c>
      <c r="I704" s="1203" t="s">
        <v>762</v>
      </c>
    </row>
    <row r="705" spans="1:14" s="532" customFormat="1" ht="16.5" thickTop="1" thickBot="1" x14ac:dyDescent="0.3">
      <c r="A705" s="1211">
        <v>60003100217</v>
      </c>
      <c r="B705" s="967">
        <v>3315</v>
      </c>
      <c r="C705" s="1212">
        <v>6121</v>
      </c>
      <c r="D705" s="968">
        <v>13</v>
      </c>
      <c r="E705" s="969" t="s">
        <v>603</v>
      </c>
      <c r="F705" s="889"/>
      <c r="G705" s="1214">
        <v>177</v>
      </c>
      <c r="H705" s="889">
        <v>30</v>
      </c>
      <c r="I705" s="1215">
        <f>(H705/G705)*100</f>
        <v>16.949152542372879</v>
      </c>
    </row>
    <row r="706" spans="1:14" s="532" customFormat="1" ht="18" customHeight="1" thickTop="1" thickBot="1" x14ac:dyDescent="0.3">
      <c r="A706" s="2692" t="s">
        <v>244</v>
      </c>
      <c r="B706" s="2685"/>
      <c r="C706" s="2685"/>
      <c r="D706" s="2685"/>
      <c r="E706" s="2685"/>
      <c r="F706" s="873">
        <f>F705</f>
        <v>0</v>
      </c>
      <c r="G706" s="873">
        <f>G705</f>
        <v>177</v>
      </c>
      <c r="H706" s="873">
        <f>H705</f>
        <v>30</v>
      </c>
      <c r="I706" s="856">
        <f>(H706/G706)*100</f>
        <v>16.949152542372879</v>
      </c>
    </row>
    <row r="707" spans="1:14" ht="13.5" thickTop="1" x14ac:dyDescent="0.2">
      <c r="K707" s="911"/>
      <c r="L707" s="911"/>
      <c r="M707" s="911"/>
      <c r="N707" s="432"/>
    </row>
    <row r="708" spans="1:14" x14ac:dyDescent="0.2">
      <c r="K708" s="911"/>
      <c r="L708" s="911"/>
      <c r="M708" s="911"/>
      <c r="N708" s="432"/>
    </row>
    <row r="709" spans="1:14" s="532" customFormat="1" ht="13.5" thickBot="1" x14ac:dyDescent="0.25">
      <c r="A709" s="432" t="s">
        <v>789</v>
      </c>
      <c r="B709" s="643"/>
      <c r="D709" s="814"/>
      <c r="F709" s="493"/>
      <c r="G709" s="493"/>
      <c r="H709" s="493"/>
      <c r="I709" s="949" t="s">
        <v>161</v>
      </c>
    </row>
    <row r="710" spans="1:14" s="107" customFormat="1" ht="20.25" customHeight="1" thickTop="1" thickBot="1" x14ac:dyDescent="0.25">
      <c r="A710" s="682" t="s">
        <v>624</v>
      </c>
      <c r="B710" s="685" t="s">
        <v>162</v>
      </c>
      <c r="C710" s="683" t="s">
        <v>163</v>
      </c>
      <c r="D710" s="634" t="s">
        <v>705</v>
      </c>
      <c r="E710" s="686" t="s">
        <v>164</v>
      </c>
      <c r="F710" s="686" t="s">
        <v>165</v>
      </c>
      <c r="G710" s="686" t="s">
        <v>881</v>
      </c>
      <c r="H710" s="686" t="s">
        <v>882</v>
      </c>
      <c r="I710" s="818" t="s">
        <v>883</v>
      </c>
    </row>
    <row r="711" spans="1:14" s="383" customFormat="1" ht="13.5" thickTop="1" thickBot="1" x14ac:dyDescent="0.25">
      <c r="A711" s="1199">
        <v>1</v>
      </c>
      <c r="B711" s="1200">
        <v>2</v>
      </c>
      <c r="C711" s="1200">
        <v>3</v>
      </c>
      <c r="D711" s="1200">
        <v>4</v>
      </c>
      <c r="E711" s="567">
        <v>5</v>
      </c>
      <c r="F711" s="1201">
        <v>6</v>
      </c>
      <c r="G711" s="1201">
        <v>7</v>
      </c>
      <c r="H711" s="1202">
        <v>8</v>
      </c>
      <c r="I711" s="1203" t="s">
        <v>762</v>
      </c>
    </row>
    <row r="712" spans="1:14" s="532" customFormat="1" ht="16.5" thickTop="1" thickBot="1" x14ac:dyDescent="0.3">
      <c r="A712" s="1211">
        <v>60003100218</v>
      </c>
      <c r="B712" s="967">
        <v>3315</v>
      </c>
      <c r="C712" s="1212">
        <v>6121</v>
      </c>
      <c r="D712" s="968">
        <v>13</v>
      </c>
      <c r="E712" s="969" t="s">
        <v>603</v>
      </c>
      <c r="F712" s="889"/>
      <c r="G712" s="1214">
        <v>155</v>
      </c>
      <c r="H712" s="889">
        <v>155</v>
      </c>
      <c r="I712" s="1215">
        <f>(H712/G712)*100</f>
        <v>100</v>
      </c>
    </row>
    <row r="713" spans="1:14" s="532" customFormat="1" ht="18" customHeight="1" thickTop="1" thickBot="1" x14ac:dyDescent="0.3">
      <c r="A713" s="2692" t="s">
        <v>244</v>
      </c>
      <c r="B713" s="2685"/>
      <c r="C713" s="2685"/>
      <c r="D713" s="2685"/>
      <c r="E713" s="2685"/>
      <c r="F713" s="873">
        <f>F712</f>
        <v>0</v>
      </c>
      <c r="G713" s="873">
        <f>G712</f>
        <v>155</v>
      </c>
      <c r="H713" s="873">
        <f>H712</f>
        <v>155</v>
      </c>
      <c r="I713" s="856">
        <f>(H713/G713)*100</f>
        <v>100</v>
      </c>
    </row>
    <row r="714" spans="1:14" ht="13.5" thickTop="1" x14ac:dyDescent="0.2">
      <c r="K714" s="911"/>
      <c r="L714" s="911"/>
      <c r="M714" s="911"/>
      <c r="N714" s="432"/>
    </row>
    <row r="715" spans="1:14" x14ac:dyDescent="0.2">
      <c r="K715" s="911"/>
      <c r="L715" s="911"/>
      <c r="M715" s="911"/>
      <c r="N715" s="432"/>
    </row>
    <row r="716" spans="1:14" s="532" customFormat="1" ht="13.5" thickBot="1" x14ac:dyDescent="0.25">
      <c r="A716" s="432" t="s">
        <v>697</v>
      </c>
      <c r="B716" s="643"/>
      <c r="D716" s="814"/>
      <c r="F716" s="493"/>
      <c r="G716" s="493"/>
      <c r="H716" s="493"/>
      <c r="I716" s="949" t="s">
        <v>161</v>
      </c>
    </row>
    <row r="717" spans="1:14" s="107" customFormat="1" ht="20.25" customHeight="1" thickTop="1" thickBot="1" x14ac:dyDescent="0.25">
      <c r="A717" s="682" t="s">
        <v>624</v>
      </c>
      <c r="B717" s="685" t="s">
        <v>162</v>
      </c>
      <c r="C717" s="683" t="s">
        <v>163</v>
      </c>
      <c r="D717" s="634" t="s">
        <v>705</v>
      </c>
      <c r="E717" s="686" t="s">
        <v>164</v>
      </c>
      <c r="F717" s="686" t="s">
        <v>165</v>
      </c>
      <c r="G717" s="686" t="s">
        <v>881</v>
      </c>
      <c r="H717" s="686" t="s">
        <v>882</v>
      </c>
      <c r="I717" s="818" t="s">
        <v>883</v>
      </c>
    </row>
    <row r="718" spans="1:14" s="383" customFormat="1" ht="13.5" thickTop="1" thickBot="1" x14ac:dyDescent="0.25">
      <c r="A718" s="1199">
        <v>1</v>
      </c>
      <c r="B718" s="1200">
        <v>2</v>
      </c>
      <c r="C718" s="1200">
        <v>3</v>
      </c>
      <c r="D718" s="1200">
        <v>4</v>
      </c>
      <c r="E718" s="567">
        <v>5</v>
      </c>
      <c r="F718" s="1201">
        <v>6</v>
      </c>
      <c r="G718" s="1201">
        <v>7</v>
      </c>
      <c r="H718" s="1202">
        <v>8</v>
      </c>
      <c r="I718" s="1203" t="s">
        <v>762</v>
      </c>
    </row>
    <row r="719" spans="1:14" s="532" customFormat="1" ht="16.5" thickTop="1" thickBot="1" x14ac:dyDescent="0.3">
      <c r="A719" s="1211">
        <v>60003100280</v>
      </c>
      <c r="B719" s="967">
        <v>3314</v>
      </c>
      <c r="C719" s="1212">
        <v>6121</v>
      </c>
      <c r="D719" s="968">
        <v>13</v>
      </c>
      <c r="E719" s="969" t="s">
        <v>603</v>
      </c>
      <c r="F719" s="889"/>
      <c r="G719" s="1214">
        <v>802</v>
      </c>
      <c r="H719" s="889">
        <v>802</v>
      </c>
      <c r="I719" s="1215">
        <f>(H719/G719)*100</f>
        <v>100</v>
      </c>
    </row>
    <row r="720" spans="1:14" s="532" customFormat="1" ht="18" customHeight="1" thickTop="1" thickBot="1" x14ac:dyDescent="0.3">
      <c r="A720" s="2692" t="s">
        <v>244</v>
      </c>
      <c r="B720" s="2685"/>
      <c r="C720" s="2685"/>
      <c r="D720" s="2685"/>
      <c r="E720" s="2685"/>
      <c r="F720" s="873">
        <f>F719</f>
        <v>0</v>
      </c>
      <c r="G720" s="873">
        <f>G719</f>
        <v>802</v>
      </c>
      <c r="H720" s="873">
        <f>H719</f>
        <v>802</v>
      </c>
      <c r="I720" s="856">
        <f>(H720/G720)*100</f>
        <v>100</v>
      </c>
    </row>
    <row r="721" spans="1:14" ht="13.5" thickTop="1" x14ac:dyDescent="0.2">
      <c r="K721" s="911"/>
      <c r="L721" s="911"/>
      <c r="M721" s="911"/>
      <c r="N721" s="432"/>
    </row>
    <row r="722" spans="1:14" x14ac:dyDescent="0.2">
      <c r="K722" s="911"/>
      <c r="L722" s="911"/>
      <c r="M722" s="911"/>
      <c r="N722" s="432"/>
    </row>
    <row r="723" spans="1:14" s="532" customFormat="1" ht="13.5" thickBot="1" x14ac:dyDescent="0.25">
      <c r="A723" s="432" t="s">
        <v>698</v>
      </c>
      <c r="B723" s="643"/>
      <c r="D723" s="814"/>
      <c r="F723" s="493"/>
      <c r="G723" s="493"/>
      <c r="H723" s="493"/>
      <c r="I723" s="949" t="s">
        <v>161</v>
      </c>
    </row>
    <row r="724" spans="1:14" s="107" customFormat="1" ht="20.25" customHeight="1" thickTop="1" thickBot="1" x14ac:dyDescent="0.25">
      <c r="A724" s="682" t="s">
        <v>624</v>
      </c>
      <c r="B724" s="685" t="s">
        <v>162</v>
      </c>
      <c r="C724" s="683" t="s">
        <v>163</v>
      </c>
      <c r="D724" s="634" t="s">
        <v>705</v>
      </c>
      <c r="E724" s="686" t="s">
        <v>164</v>
      </c>
      <c r="F724" s="686" t="s">
        <v>165</v>
      </c>
      <c r="G724" s="686" t="s">
        <v>881</v>
      </c>
      <c r="H724" s="686" t="s">
        <v>882</v>
      </c>
      <c r="I724" s="818" t="s">
        <v>883</v>
      </c>
    </row>
    <row r="725" spans="1:14" s="383" customFormat="1" ht="13.5" thickTop="1" thickBot="1" x14ac:dyDescent="0.25">
      <c r="A725" s="1199">
        <v>1</v>
      </c>
      <c r="B725" s="1200">
        <v>2</v>
      </c>
      <c r="C725" s="1200">
        <v>3</v>
      </c>
      <c r="D725" s="1200">
        <v>4</v>
      </c>
      <c r="E725" s="567">
        <v>5</v>
      </c>
      <c r="F725" s="1201">
        <v>6</v>
      </c>
      <c r="G725" s="1201">
        <v>7</v>
      </c>
      <c r="H725" s="1202">
        <v>8</v>
      </c>
      <c r="I725" s="1203" t="s">
        <v>762</v>
      </c>
    </row>
    <row r="726" spans="1:14" s="532" customFormat="1" ht="16.5" thickTop="1" thickBot="1" x14ac:dyDescent="0.3">
      <c r="A726" s="1211">
        <v>60003100281</v>
      </c>
      <c r="B726" s="967">
        <v>3315</v>
      </c>
      <c r="C726" s="1212">
        <v>6121</v>
      </c>
      <c r="D726" s="968">
        <v>870</v>
      </c>
      <c r="E726" s="969" t="s">
        <v>603</v>
      </c>
      <c r="F726" s="889"/>
      <c r="G726" s="1214">
        <v>12173</v>
      </c>
      <c r="H726" s="889">
        <v>12173</v>
      </c>
      <c r="I726" s="1215">
        <f>(H726/G726)*100</f>
        <v>100</v>
      </c>
    </row>
    <row r="727" spans="1:14" s="532" customFormat="1" ht="18" customHeight="1" thickTop="1" thickBot="1" x14ac:dyDescent="0.3">
      <c r="A727" s="2692" t="s">
        <v>244</v>
      </c>
      <c r="B727" s="2685"/>
      <c r="C727" s="2685"/>
      <c r="D727" s="2685"/>
      <c r="E727" s="2685"/>
      <c r="F727" s="873">
        <f>F726</f>
        <v>0</v>
      </c>
      <c r="G727" s="873">
        <f>G726</f>
        <v>12173</v>
      </c>
      <c r="H727" s="873">
        <f>H726</f>
        <v>12173</v>
      </c>
      <c r="I727" s="856">
        <f>(H727/G727)*100</f>
        <v>100</v>
      </c>
    </row>
    <row r="728" spans="1:14" ht="13.5" thickTop="1" x14ac:dyDescent="0.2">
      <c r="K728" s="911"/>
      <c r="L728" s="911"/>
      <c r="M728" s="911"/>
      <c r="N728" s="432"/>
    </row>
    <row r="729" spans="1:14" x14ac:dyDescent="0.2">
      <c r="K729" s="911"/>
      <c r="L729" s="911"/>
      <c r="M729" s="911"/>
      <c r="N729" s="432"/>
    </row>
    <row r="730" spans="1:14" s="532" customFormat="1" ht="13.5" thickBot="1" x14ac:dyDescent="0.25">
      <c r="A730" s="432" t="s">
        <v>699</v>
      </c>
      <c r="B730" s="643"/>
      <c r="D730" s="814"/>
      <c r="F730" s="493"/>
      <c r="G730" s="493"/>
      <c r="H730" s="493"/>
      <c r="I730" s="949" t="s">
        <v>161</v>
      </c>
    </row>
    <row r="731" spans="1:14" s="107" customFormat="1" ht="20.25" customHeight="1" thickTop="1" thickBot="1" x14ac:dyDescent="0.25">
      <c r="A731" s="682" t="s">
        <v>624</v>
      </c>
      <c r="B731" s="685" t="s">
        <v>162</v>
      </c>
      <c r="C731" s="683" t="s">
        <v>163</v>
      </c>
      <c r="D731" s="634" t="s">
        <v>705</v>
      </c>
      <c r="E731" s="686" t="s">
        <v>164</v>
      </c>
      <c r="F731" s="686" t="s">
        <v>165</v>
      </c>
      <c r="G731" s="686" t="s">
        <v>881</v>
      </c>
      <c r="H731" s="686" t="s">
        <v>882</v>
      </c>
      <c r="I731" s="818" t="s">
        <v>883</v>
      </c>
    </row>
    <row r="732" spans="1:14" s="383" customFormat="1" ht="13.5" thickTop="1" thickBot="1" x14ac:dyDescent="0.25">
      <c r="A732" s="1199">
        <v>1</v>
      </c>
      <c r="B732" s="1200">
        <v>2</v>
      </c>
      <c r="C732" s="1200">
        <v>3</v>
      </c>
      <c r="D732" s="1200">
        <v>4</v>
      </c>
      <c r="E732" s="567">
        <v>5</v>
      </c>
      <c r="F732" s="1201">
        <v>6</v>
      </c>
      <c r="G732" s="1201">
        <v>7</v>
      </c>
      <c r="H732" s="1202">
        <v>8</v>
      </c>
      <c r="I732" s="1203" t="s">
        <v>762</v>
      </c>
    </row>
    <row r="733" spans="1:14" s="532" customFormat="1" ht="16.5" thickTop="1" thickBot="1" x14ac:dyDescent="0.3">
      <c r="A733" s="1211">
        <v>60003100283</v>
      </c>
      <c r="B733" s="967">
        <v>3315</v>
      </c>
      <c r="C733" s="1212">
        <v>6121</v>
      </c>
      <c r="D733" s="968">
        <v>13</v>
      </c>
      <c r="E733" s="969" t="s">
        <v>603</v>
      </c>
      <c r="F733" s="889"/>
      <c r="G733" s="1214">
        <v>200</v>
      </c>
      <c r="H733" s="889">
        <v>0</v>
      </c>
      <c r="I733" s="1215">
        <f>(H733/G733)*100</f>
        <v>0</v>
      </c>
    </row>
    <row r="734" spans="1:14" s="532" customFormat="1" ht="18" customHeight="1" thickTop="1" thickBot="1" x14ac:dyDescent="0.3">
      <c r="A734" s="2692" t="s">
        <v>244</v>
      </c>
      <c r="B734" s="2685"/>
      <c r="C734" s="2685"/>
      <c r="D734" s="2685"/>
      <c r="E734" s="2685"/>
      <c r="F734" s="873">
        <f>F733</f>
        <v>0</v>
      </c>
      <c r="G734" s="873">
        <f>G733</f>
        <v>200</v>
      </c>
      <c r="H734" s="873">
        <f>H733</f>
        <v>0</v>
      </c>
      <c r="I734" s="856">
        <f>(H734/G734)*100</f>
        <v>0</v>
      </c>
    </row>
    <row r="735" spans="1:14" s="532" customFormat="1" ht="14.25" thickTop="1" thickBot="1" x14ac:dyDescent="0.25">
      <c r="A735" s="432" t="s">
        <v>700</v>
      </c>
      <c r="B735" s="643"/>
      <c r="D735" s="814"/>
      <c r="F735" s="493"/>
      <c r="G735" s="493"/>
      <c r="H735" s="493"/>
      <c r="I735" s="949" t="s">
        <v>161</v>
      </c>
    </row>
    <row r="736" spans="1:14" s="107" customFormat="1" ht="20.25" customHeight="1" thickTop="1" thickBot="1" x14ac:dyDescent="0.25">
      <c r="A736" s="682" t="s">
        <v>624</v>
      </c>
      <c r="B736" s="685" t="s">
        <v>162</v>
      </c>
      <c r="C736" s="683" t="s">
        <v>163</v>
      </c>
      <c r="D736" s="634" t="s">
        <v>705</v>
      </c>
      <c r="E736" s="686" t="s">
        <v>164</v>
      </c>
      <c r="F736" s="686" t="s">
        <v>165</v>
      </c>
      <c r="G736" s="686" t="s">
        <v>881</v>
      </c>
      <c r="H736" s="686" t="s">
        <v>882</v>
      </c>
      <c r="I736" s="818" t="s">
        <v>883</v>
      </c>
    </row>
    <row r="737" spans="1:14" s="383" customFormat="1" ht="13.5" thickTop="1" thickBot="1" x14ac:dyDescent="0.25">
      <c r="A737" s="1199">
        <v>1</v>
      </c>
      <c r="B737" s="1200">
        <v>2</v>
      </c>
      <c r="C737" s="1200">
        <v>3</v>
      </c>
      <c r="D737" s="1200">
        <v>4</v>
      </c>
      <c r="E737" s="567">
        <v>5</v>
      </c>
      <c r="F737" s="1201">
        <v>6</v>
      </c>
      <c r="G737" s="1201">
        <v>7</v>
      </c>
      <c r="H737" s="1202">
        <v>8</v>
      </c>
      <c r="I737" s="1203" t="s">
        <v>762</v>
      </c>
    </row>
    <row r="738" spans="1:14" s="532" customFormat="1" ht="16.5" thickTop="1" thickBot="1" x14ac:dyDescent="0.3">
      <c r="A738" s="1211">
        <v>60003100284</v>
      </c>
      <c r="B738" s="967">
        <v>3315</v>
      </c>
      <c r="C738" s="1212">
        <v>6121</v>
      </c>
      <c r="D738" s="968">
        <v>13</v>
      </c>
      <c r="E738" s="969" t="s">
        <v>603</v>
      </c>
      <c r="F738" s="889"/>
      <c r="G738" s="1214">
        <v>2330</v>
      </c>
      <c r="H738" s="889">
        <v>1200</v>
      </c>
      <c r="I738" s="1215">
        <f>(H738/G738)*100</f>
        <v>51.502145922746777</v>
      </c>
    </row>
    <row r="739" spans="1:14" s="532" customFormat="1" ht="18" customHeight="1" thickTop="1" thickBot="1" x14ac:dyDescent="0.3">
      <c r="A739" s="2692" t="s">
        <v>244</v>
      </c>
      <c r="B739" s="2685"/>
      <c r="C739" s="2685"/>
      <c r="D739" s="2685"/>
      <c r="E739" s="2685"/>
      <c r="F739" s="873">
        <f>F738</f>
        <v>0</v>
      </c>
      <c r="G739" s="873">
        <f>G738</f>
        <v>2330</v>
      </c>
      <c r="H739" s="873">
        <f>H738</f>
        <v>1200</v>
      </c>
      <c r="I739" s="856">
        <f>(H739/G739)*100</f>
        <v>51.502145922746777</v>
      </c>
    </row>
    <row r="740" spans="1:14" ht="13.5" thickTop="1" x14ac:dyDescent="0.2">
      <c r="K740" s="911"/>
      <c r="L740" s="911"/>
      <c r="M740" s="911"/>
      <c r="N740" s="432"/>
    </row>
    <row r="741" spans="1:14" x14ac:dyDescent="0.2">
      <c r="K741" s="911"/>
      <c r="L741" s="911"/>
      <c r="M741" s="911"/>
      <c r="N741" s="432"/>
    </row>
    <row r="742" spans="1:14" s="532" customFormat="1" ht="13.5" thickBot="1" x14ac:dyDescent="0.25">
      <c r="A742" s="432" t="s">
        <v>701</v>
      </c>
      <c r="B742" s="643"/>
      <c r="D742" s="814"/>
      <c r="F742" s="493"/>
      <c r="G742" s="493"/>
      <c r="H742" s="493"/>
      <c r="I742" s="949" t="s">
        <v>161</v>
      </c>
    </row>
    <row r="743" spans="1:14" s="107" customFormat="1" ht="20.25" customHeight="1" thickTop="1" thickBot="1" x14ac:dyDescent="0.25">
      <c r="A743" s="682" t="s">
        <v>624</v>
      </c>
      <c r="B743" s="685" t="s">
        <v>162</v>
      </c>
      <c r="C743" s="683" t="s">
        <v>163</v>
      </c>
      <c r="D743" s="634" t="s">
        <v>705</v>
      </c>
      <c r="E743" s="686" t="s">
        <v>164</v>
      </c>
      <c r="F743" s="686" t="s">
        <v>165</v>
      </c>
      <c r="G743" s="686" t="s">
        <v>881</v>
      </c>
      <c r="H743" s="686" t="s">
        <v>882</v>
      </c>
      <c r="I743" s="818" t="s">
        <v>883</v>
      </c>
    </row>
    <row r="744" spans="1:14" s="383" customFormat="1" ht="13.5" thickTop="1" thickBot="1" x14ac:dyDescent="0.25">
      <c r="A744" s="1199">
        <v>1</v>
      </c>
      <c r="B744" s="1200">
        <v>2</v>
      </c>
      <c r="C744" s="1200">
        <v>3</v>
      </c>
      <c r="D744" s="1200">
        <v>4</v>
      </c>
      <c r="E744" s="567">
        <v>5</v>
      </c>
      <c r="F744" s="1201">
        <v>6</v>
      </c>
      <c r="G744" s="1201">
        <v>7</v>
      </c>
      <c r="H744" s="1202">
        <v>8</v>
      </c>
      <c r="I744" s="1203" t="s">
        <v>762</v>
      </c>
    </row>
    <row r="745" spans="1:14" s="383" customFormat="1" ht="16.5" thickTop="1" thickBot="1" x14ac:dyDescent="0.3">
      <c r="A745" s="1268">
        <v>60003100286</v>
      </c>
      <c r="B745" s="1269">
        <v>3319</v>
      </c>
      <c r="C745" s="1256">
        <v>5171</v>
      </c>
      <c r="D745" s="968">
        <v>13</v>
      </c>
      <c r="E745" s="1233" t="s">
        <v>896</v>
      </c>
      <c r="F745" s="1234"/>
      <c r="G745" s="1235">
        <v>2159</v>
      </c>
      <c r="H745" s="1236">
        <v>2159</v>
      </c>
      <c r="I745" s="1215">
        <f>(H745/G745)*100</f>
        <v>100</v>
      </c>
    </row>
    <row r="746" spans="1:14" s="383" customFormat="1" ht="16.5" thickTop="1" thickBot="1" x14ac:dyDescent="0.3">
      <c r="A746" s="2672" t="s">
        <v>245</v>
      </c>
      <c r="B746" s="2673"/>
      <c r="C746" s="2673"/>
      <c r="D746" s="2673"/>
      <c r="E746" s="2673"/>
      <c r="F746" s="865">
        <v>0</v>
      </c>
      <c r="G746" s="1236">
        <f>G745</f>
        <v>2159</v>
      </c>
      <c r="H746" s="1236">
        <f>H745</f>
        <v>2159</v>
      </c>
      <c r="I746" s="1215">
        <f>(H746/G746)*100</f>
        <v>100</v>
      </c>
    </row>
    <row r="747" spans="1:14" s="532" customFormat="1" ht="16.5" thickTop="1" thickBot="1" x14ac:dyDescent="0.3">
      <c r="A747" s="1211">
        <v>60003100286</v>
      </c>
      <c r="B747" s="967">
        <v>3319</v>
      </c>
      <c r="C747" s="1212">
        <v>6121</v>
      </c>
      <c r="D747" s="968">
        <v>13</v>
      </c>
      <c r="E747" s="969" t="s">
        <v>603</v>
      </c>
      <c r="F747" s="889"/>
      <c r="G747" s="1214">
        <v>1</v>
      </c>
      <c r="H747" s="889">
        <v>0</v>
      </c>
      <c r="I747" s="1215">
        <f>(H747/G747)*100</f>
        <v>0</v>
      </c>
    </row>
    <row r="748" spans="1:14" s="532" customFormat="1" ht="18" customHeight="1" thickTop="1" thickBot="1" x14ac:dyDescent="0.3">
      <c r="A748" s="2692" t="s">
        <v>244</v>
      </c>
      <c r="B748" s="2685"/>
      <c r="C748" s="2685"/>
      <c r="D748" s="2685"/>
      <c r="E748" s="2685"/>
      <c r="F748" s="873">
        <f>F747</f>
        <v>0</v>
      </c>
      <c r="G748" s="873">
        <f>G747</f>
        <v>1</v>
      </c>
      <c r="H748" s="873">
        <f>H747</f>
        <v>0</v>
      </c>
      <c r="I748" s="856">
        <f>(H748/G748)*100</f>
        <v>0</v>
      </c>
    </row>
    <row r="749" spans="1:14" ht="13.5" thickTop="1" x14ac:dyDescent="0.2">
      <c r="K749" s="911"/>
      <c r="L749" s="911"/>
      <c r="M749" s="911"/>
      <c r="N749" s="432"/>
    </row>
    <row r="750" spans="1:14" x14ac:dyDescent="0.2">
      <c r="K750" s="911"/>
      <c r="L750" s="911"/>
      <c r="M750" s="911"/>
      <c r="N750" s="432"/>
    </row>
    <row r="751" spans="1:14" s="532" customFormat="1" ht="13.5" thickBot="1" x14ac:dyDescent="0.25">
      <c r="A751" s="432" t="s">
        <v>701</v>
      </c>
      <c r="B751" s="643"/>
      <c r="D751" s="814"/>
      <c r="F751" s="493"/>
      <c r="G751" s="493"/>
      <c r="H751" s="493"/>
      <c r="I751" s="949" t="s">
        <v>161</v>
      </c>
    </row>
    <row r="752" spans="1:14" s="107" customFormat="1" ht="20.25" customHeight="1" thickTop="1" thickBot="1" x14ac:dyDescent="0.25">
      <c r="A752" s="682" t="s">
        <v>624</v>
      </c>
      <c r="B752" s="685" t="s">
        <v>162</v>
      </c>
      <c r="C752" s="683" t="s">
        <v>163</v>
      </c>
      <c r="D752" s="634" t="s">
        <v>705</v>
      </c>
      <c r="E752" s="686" t="s">
        <v>164</v>
      </c>
      <c r="F752" s="686" t="s">
        <v>165</v>
      </c>
      <c r="G752" s="686" t="s">
        <v>881</v>
      </c>
      <c r="H752" s="686" t="s">
        <v>882</v>
      </c>
      <c r="I752" s="818" t="s">
        <v>883</v>
      </c>
    </row>
    <row r="753" spans="1:14" s="383" customFormat="1" ht="13.5" thickTop="1" thickBot="1" x14ac:dyDescent="0.25">
      <c r="A753" s="1199">
        <v>1</v>
      </c>
      <c r="B753" s="1200">
        <v>2</v>
      </c>
      <c r="C753" s="1200">
        <v>3</v>
      </c>
      <c r="D753" s="1200">
        <v>4</v>
      </c>
      <c r="E753" s="567">
        <v>5</v>
      </c>
      <c r="F753" s="1201">
        <v>6</v>
      </c>
      <c r="G753" s="1201">
        <v>7</v>
      </c>
      <c r="H753" s="1202">
        <v>8</v>
      </c>
      <c r="I753" s="1203" t="s">
        <v>762</v>
      </c>
    </row>
    <row r="754" spans="1:14" s="532" customFormat="1" ht="15.75" thickTop="1" x14ac:dyDescent="0.25">
      <c r="A754" s="957">
        <v>60003100315</v>
      </c>
      <c r="B754" s="775">
        <v>3315</v>
      </c>
      <c r="C754" s="654">
        <v>5901</v>
      </c>
      <c r="D754" s="973">
        <v>0</v>
      </c>
      <c r="E754" s="790" t="s">
        <v>602</v>
      </c>
      <c r="F754" s="960"/>
      <c r="G754" s="1209">
        <v>300</v>
      </c>
      <c r="H754" s="960">
        <v>0</v>
      </c>
      <c r="I754" s="1210">
        <f>(H754/G754)*100</f>
        <v>0</v>
      </c>
    </row>
    <row r="755" spans="1:14" s="532" customFormat="1" ht="15.75" thickBot="1" x14ac:dyDescent="0.3">
      <c r="A755" s="963">
        <v>60003100315</v>
      </c>
      <c r="B755" s="891">
        <v>3315</v>
      </c>
      <c r="C755" s="891">
        <v>5901</v>
      </c>
      <c r="D755" s="1230">
        <v>24</v>
      </c>
      <c r="E755" s="1229" t="s">
        <v>602</v>
      </c>
      <c r="F755" s="1228"/>
      <c r="G755" s="1228">
        <v>350</v>
      </c>
      <c r="H755" s="1228">
        <v>0</v>
      </c>
      <c r="I755" s="974">
        <f>(H755/G755)*100</f>
        <v>0</v>
      </c>
    </row>
    <row r="756" spans="1:14" s="532" customFormat="1" ht="18" customHeight="1" thickTop="1" thickBot="1" x14ac:dyDescent="0.3">
      <c r="A756" s="2692" t="s">
        <v>245</v>
      </c>
      <c r="B756" s="2685"/>
      <c r="C756" s="2685"/>
      <c r="D756" s="2685"/>
      <c r="E756" s="2685"/>
      <c r="F756" s="873">
        <f>F754</f>
        <v>0</v>
      </c>
      <c r="G756" s="873">
        <f>G754+G755</f>
        <v>650</v>
      </c>
      <c r="H756" s="873">
        <f>H754+H755</f>
        <v>0</v>
      </c>
      <c r="I756" s="856">
        <f>(H756/G756)*100</f>
        <v>0</v>
      </c>
      <c r="K756" s="493"/>
      <c r="L756" s="493"/>
      <c r="M756" s="493"/>
    </row>
    <row r="757" spans="1:14" ht="13.5" thickTop="1" x14ac:dyDescent="0.2">
      <c r="K757" s="911"/>
      <c r="L757" s="911"/>
      <c r="M757" s="911"/>
      <c r="N757" s="432"/>
    </row>
    <row r="758" spans="1:14" x14ac:dyDescent="0.2">
      <c r="K758" s="911"/>
      <c r="L758" s="911"/>
      <c r="M758" s="911"/>
      <c r="N758" s="432"/>
    </row>
    <row r="759" spans="1:14" s="532" customFormat="1" ht="13.5" thickBot="1" x14ac:dyDescent="0.25">
      <c r="A759" s="432" t="s">
        <v>703</v>
      </c>
      <c r="B759" s="643"/>
      <c r="D759" s="814"/>
      <c r="F759" s="493"/>
      <c r="G759" s="493"/>
      <c r="H759" s="493"/>
      <c r="I759" s="949" t="s">
        <v>161</v>
      </c>
    </row>
    <row r="760" spans="1:14" s="107" customFormat="1" ht="20.25" customHeight="1" thickTop="1" thickBot="1" x14ac:dyDescent="0.25">
      <c r="A760" s="682" t="s">
        <v>624</v>
      </c>
      <c r="B760" s="685" t="s">
        <v>162</v>
      </c>
      <c r="C760" s="683" t="s">
        <v>163</v>
      </c>
      <c r="D760" s="634" t="s">
        <v>705</v>
      </c>
      <c r="E760" s="686" t="s">
        <v>164</v>
      </c>
      <c r="F760" s="686" t="s">
        <v>165</v>
      </c>
      <c r="G760" s="686" t="s">
        <v>881</v>
      </c>
      <c r="H760" s="686" t="s">
        <v>882</v>
      </c>
      <c r="I760" s="818" t="s">
        <v>883</v>
      </c>
    </row>
    <row r="761" spans="1:14" s="383" customFormat="1" ht="13.5" thickTop="1" thickBot="1" x14ac:dyDescent="0.25">
      <c r="A761" s="1199">
        <v>1</v>
      </c>
      <c r="B761" s="1200">
        <v>2</v>
      </c>
      <c r="C761" s="1200">
        <v>3</v>
      </c>
      <c r="D761" s="1200">
        <v>4</v>
      </c>
      <c r="E761" s="567">
        <v>5</v>
      </c>
      <c r="F761" s="1201">
        <v>6</v>
      </c>
      <c r="G761" s="1201">
        <v>7</v>
      </c>
      <c r="H761" s="1202">
        <v>8</v>
      </c>
      <c r="I761" s="1203" t="s">
        <v>762</v>
      </c>
    </row>
    <row r="762" spans="1:14" s="532" customFormat="1" ht="15.75" thickTop="1" x14ac:dyDescent="0.25">
      <c r="A762" s="957">
        <v>60003100330</v>
      </c>
      <c r="B762" s="775">
        <v>3399</v>
      </c>
      <c r="C762" s="654">
        <v>6121</v>
      </c>
      <c r="D762" s="973">
        <v>13</v>
      </c>
      <c r="E762" s="790" t="s">
        <v>603</v>
      </c>
      <c r="F762" s="960"/>
      <c r="G762" s="1209">
        <v>270</v>
      </c>
      <c r="H762" s="960">
        <v>0</v>
      </c>
      <c r="I762" s="1210">
        <f>(H762/G762)*100</f>
        <v>0</v>
      </c>
    </row>
    <row r="763" spans="1:14" s="532" customFormat="1" ht="15.75" thickBot="1" x14ac:dyDescent="0.3">
      <c r="A763" s="963">
        <v>60003100330</v>
      </c>
      <c r="B763" s="891">
        <v>3399</v>
      </c>
      <c r="C763" s="891">
        <v>6329</v>
      </c>
      <c r="D763" s="1230">
        <v>13</v>
      </c>
      <c r="E763" s="1229" t="s">
        <v>702</v>
      </c>
      <c r="F763" s="1228"/>
      <c r="G763" s="1228">
        <v>130</v>
      </c>
      <c r="H763" s="1228">
        <v>0</v>
      </c>
      <c r="I763" s="974">
        <f>(H763/G763)*100</f>
        <v>0</v>
      </c>
    </row>
    <row r="764" spans="1:14" s="532" customFormat="1" ht="18" customHeight="1" thickTop="1" thickBot="1" x14ac:dyDescent="0.3">
      <c r="A764" s="2692" t="s">
        <v>244</v>
      </c>
      <c r="B764" s="2685"/>
      <c r="C764" s="2685"/>
      <c r="D764" s="2685"/>
      <c r="E764" s="2685"/>
      <c r="F764" s="873">
        <f>F762</f>
        <v>0</v>
      </c>
      <c r="G764" s="873">
        <f>G762+G763</f>
        <v>400</v>
      </c>
      <c r="H764" s="873">
        <f>H762+H763</f>
        <v>0</v>
      </c>
      <c r="I764" s="856">
        <f>(H764/G764)*100</f>
        <v>0</v>
      </c>
      <c r="K764" s="493">
        <f>F648+F655+F662+F664+F673+F678+F685+F692+F699+F706+F713+F720+F727+F734+F739+F746+F748+F764+F756</f>
        <v>34847</v>
      </c>
      <c r="L764" s="493">
        <f>G648+G655+G662+G664+G673+G678+G685+G692+G699+G706+G713+G720+G727+G734+G739+G746+G748+G764+G756</f>
        <v>70661</v>
      </c>
      <c r="M764" s="493">
        <f>H648+H655+H662+H664+H673+H678+H685+H692+H699+H706+H713+H720+H727+H734+H739+H746+H748+H764+H756</f>
        <v>61431</v>
      </c>
      <c r="N764" s="532" t="s">
        <v>1100</v>
      </c>
    </row>
    <row r="765" spans="1:14" ht="13.5" thickTop="1" x14ac:dyDescent="0.2">
      <c r="K765" s="911"/>
      <c r="L765" s="911"/>
      <c r="M765" s="911"/>
      <c r="N765" s="432"/>
    </row>
    <row r="766" spans="1:14" x14ac:dyDescent="0.2">
      <c r="K766" s="911"/>
      <c r="L766" s="911"/>
      <c r="M766" s="911"/>
      <c r="N766" s="432"/>
    </row>
    <row r="767" spans="1:14" s="532" customFormat="1" ht="13.5" thickBot="1" x14ac:dyDescent="0.25">
      <c r="A767" s="432" t="s">
        <v>704</v>
      </c>
      <c r="B767" s="643"/>
      <c r="D767" s="814"/>
      <c r="F767" s="493"/>
      <c r="G767" s="493"/>
      <c r="H767" s="493"/>
      <c r="I767" s="949" t="s">
        <v>161</v>
      </c>
    </row>
    <row r="768" spans="1:14" s="107" customFormat="1" ht="20.25" customHeight="1" thickTop="1" thickBot="1" x14ac:dyDescent="0.25">
      <c r="A768" s="682" t="s">
        <v>624</v>
      </c>
      <c r="B768" s="685" t="s">
        <v>162</v>
      </c>
      <c r="C768" s="683" t="s">
        <v>163</v>
      </c>
      <c r="D768" s="634" t="s">
        <v>705</v>
      </c>
      <c r="E768" s="686" t="s">
        <v>164</v>
      </c>
      <c r="F768" s="686" t="s">
        <v>165</v>
      </c>
      <c r="G768" s="686" t="s">
        <v>881</v>
      </c>
      <c r="H768" s="686" t="s">
        <v>882</v>
      </c>
      <c r="I768" s="818" t="s">
        <v>883</v>
      </c>
    </row>
    <row r="769" spans="1:14" s="383" customFormat="1" ht="13.5" thickTop="1" thickBot="1" x14ac:dyDescent="0.25">
      <c r="A769" s="1199">
        <v>1</v>
      </c>
      <c r="B769" s="1200">
        <v>2</v>
      </c>
      <c r="C769" s="1200">
        <v>3</v>
      </c>
      <c r="D769" s="1200">
        <v>4</v>
      </c>
      <c r="E769" s="567">
        <v>5</v>
      </c>
      <c r="F769" s="1201">
        <v>6</v>
      </c>
      <c r="G769" s="1201">
        <v>7</v>
      </c>
      <c r="H769" s="1202">
        <v>8</v>
      </c>
      <c r="I769" s="1203" t="s">
        <v>762</v>
      </c>
    </row>
    <row r="770" spans="1:14" s="532" customFormat="1" ht="15.75" thickTop="1" x14ac:dyDescent="0.25">
      <c r="A770" s="957">
        <v>60004100000</v>
      </c>
      <c r="B770" s="775">
        <v>2212</v>
      </c>
      <c r="C770" s="654">
        <v>6121</v>
      </c>
      <c r="D770" s="973">
        <v>12</v>
      </c>
      <c r="E770" s="790" t="s">
        <v>603</v>
      </c>
      <c r="F770" s="960"/>
      <c r="G770" s="1209">
        <v>25</v>
      </c>
      <c r="H770" s="960">
        <v>0</v>
      </c>
      <c r="I770" s="1210">
        <f>(H770/G770)*100</f>
        <v>0</v>
      </c>
    </row>
    <row r="771" spans="1:14" s="532" customFormat="1" ht="15.75" thickBot="1" x14ac:dyDescent="0.3">
      <c r="A771" s="963">
        <v>60004100000</v>
      </c>
      <c r="B771" s="891">
        <v>2212</v>
      </c>
      <c r="C771" s="891">
        <v>6121</v>
      </c>
      <c r="D771" s="1230">
        <v>91628</v>
      </c>
      <c r="E771" s="1229" t="s">
        <v>603</v>
      </c>
      <c r="F771" s="1228"/>
      <c r="G771" s="1228">
        <v>84318</v>
      </c>
      <c r="H771" s="1228">
        <v>83768</v>
      </c>
      <c r="I771" s="974">
        <f>(H771/G771)*100</f>
        <v>99.347707488318036</v>
      </c>
    </row>
    <row r="772" spans="1:14" s="532" customFormat="1" ht="18" customHeight="1" thickTop="1" thickBot="1" x14ac:dyDescent="0.3">
      <c r="A772" s="2692" t="s">
        <v>244</v>
      </c>
      <c r="B772" s="2685"/>
      <c r="C772" s="2685"/>
      <c r="D772" s="2685"/>
      <c r="E772" s="2685"/>
      <c r="F772" s="873">
        <f>F770</f>
        <v>0</v>
      </c>
      <c r="G772" s="873">
        <f>G770+G771</f>
        <v>84343</v>
      </c>
      <c r="H772" s="873">
        <f>H770+H771</f>
        <v>83768</v>
      </c>
      <c r="I772" s="856">
        <f>(H772/G772)*100</f>
        <v>99.318259962296807</v>
      </c>
    </row>
    <row r="773" spans="1:14" ht="13.5" thickTop="1" x14ac:dyDescent="0.2">
      <c r="K773" s="911"/>
      <c r="L773" s="911"/>
      <c r="M773" s="911"/>
      <c r="N773" s="432"/>
    </row>
    <row r="774" spans="1:14" x14ac:dyDescent="0.2">
      <c r="K774" s="911"/>
      <c r="L774" s="911"/>
      <c r="M774" s="911"/>
      <c r="N774" s="432"/>
    </row>
    <row r="775" spans="1:14" s="532" customFormat="1" ht="13.5" thickBot="1" x14ac:dyDescent="0.25">
      <c r="A775" s="432" t="s">
        <v>1107</v>
      </c>
      <c r="B775" s="643"/>
      <c r="D775" s="814"/>
      <c r="F775" s="493"/>
      <c r="G775" s="493"/>
      <c r="H775" s="493"/>
      <c r="I775" s="949" t="s">
        <v>161</v>
      </c>
    </row>
    <row r="776" spans="1:14" s="107" customFormat="1" ht="20.25" customHeight="1" thickTop="1" thickBot="1" x14ac:dyDescent="0.25">
      <c r="A776" s="682" t="s">
        <v>624</v>
      </c>
      <c r="B776" s="685" t="s">
        <v>162</v>
      </c>
      <c r="C776" s="683" t="s">
        <v>163</v>
      </c>
      <c r="D776" s="634" t="s">
        <v>705</v>
      </c>
      <c r="E776" s="686" t="s">
        <v>164</v>
      </c>
      <c r="F776" s="686" t="s">
        <v>165</v>
      </c>
      <c r="G776" s="686" t="s">
        <v>881</v>
      </c>
      <c r="H776" s="686" t="s">
        <v>882</v>
      </c>
      <c r="I776" s="818" t="s">
        <v>883</v>
      </c>
    </row>
    <row r="777" spans="1:14" s="383" customFormat="1" ht="13.5" thickTop="1" thickBot="1" x14ac:dyDescent="0.25">
      <c r="A777" s="1199">
        <v>1</v>
      </c>
      <c r="B777" s="1200">
        <v>2</v>
      </c>
      <c r="C777" s="1200">
        <v>3</v>
      </c>
      <c r="D777" s="1200">
        <v>4</v>
      </c>
      <c r="E777" s="567">
        <v>5</v>
      </c>
      <c r="F777" s="1201">
        <v>6</v>
      </c>
      <c r="G777" s="1201">
        <v>7</v>
      </c>
      <c r="H777" s="1202">
        <v>8</v>
      </c>
      <c r="I777" s="1203" t="s">
        <v>762</v>
      </c>
    </row>
    <row r="778" spans="1:14" s="532" customFormat="1" ht="16.5" thickTop="1" thickBot="1" x14ac:dyDescent="0.3">
      <c r="A778" s="1211">
        <v>60004100012</v>
      </c>
      <c r="B778" s="967">
        <v>2212</v>
      </c>
      <c r="C778" s="1212">
        <v>6121</v>
      </c>
      <c r="D778" s="968">
        <v>12</v>
      </c>
      <c r="E778" s="969" t="s">
        <v>603</v>
      </c>
      <c r="F778" s="889"/>
      <c r="G778" s="1214">
        <v>1</v>
      </c>
      <c r="H778" s="889">
        <v>0</v>
      </c>
      <c r="I778" s="1215">
        <f>(H778/G778)*100</f>
        <v>0</v>
      </c>
    </row>
    <row r="779" spans="1:14" s="532" customFormat="1" ht="18" customHeight="1" thickTop="1" thickBot="1" x14ac:dyDescent="0.3">
      <c r="A779" s="2692" t="s">
        <v>244</v>
      </c>
      <c r="B779" s="2685"/>
      <c r="C779" s="2685"/>
      <c r="D779" s="2685"/>
      <c r="E779" s="2685"/>
      <c r="F779" s="873">
        <f>F778</f>
        <v>0</v>
      </c>
      <c r="G779" s="873">
        <f>G778</f>
        <v>1</v>
      </c>
      <c r="H779" s="873">
        <f>H778</f>
        <v>0</v>
      </c>
      <c r="I779" s="856">
        <f>(H779/G779)*100</f>
        <v>0</v>
      </c>
    </row>
    <row r="780" spans="1:14" ht="13.5" thickTop="1" x14ac:dyDescent="0.2">
      <c r="K780" s="911"/>
      <c r="L780" s="911"/>
      <c r="M780" s="911"/>
      <c r="N780" s="432"/>
    </row>
    <row r="781" spans="1:14" x14ac:dyDescent="0.2">
      <c r="K781" s="911"/>
      <c r="L781" s="911"/>
      <c r="M781" s="911"/>
      <c r="N781" s="432"/>
    </row>
    <row r="782" spans="1:14" s="532" customFormat="1" ht="13.5" thickBot="1" x14ac:dyDescent="0.25">
      <c r="A782" s="432" t="s">
        <v>357</v>
      </c>
      <c r="B782" s="643"/>
      <c r="D782" s="814"/>
      <c r="F782" s="493"/>
      <c r="G782" s="493"/>
      <c r="H782" s="493"/>
      <c r="I782" s="949" t="s">
        <v>161</v>
      </c>
    </row>
    <row r="783" spans="1:14" s="107" customFormat="1" ht="20.25" customHeight="1" thickTop="1" thickBot="1" x14ac:dyDescent="0.25">
      <c r="A783" s="682" t="s">
        <v>624</v>
      </c>
      <c r="B783" s="685" t="s">
        <v>162</v>
      </c>
      <c r="C783" s="683" t="s">
        <v>163</v>
      </c>
      <c r="D783" s="634" t="s">
        <v>705</v>
      </c>
      <c r="E783" s="686" t="s">
        <v>164</v>
      </c>
      <c r="F783" s="686" t="s">
        <v>165</v>
      </c>
      <c r="G783" s="686" t="s">
        <v>881</v>
      </c>
      <c r="H783" s="686" t="s">
        <v>882</v>
      </c>
      <c r="I783" s="818" t="s">
        <v>883</v>
      </c>
    </row>
    <row r="784" spans="1:14" s="383" customFormat="1" ht="13.5" thickTop="1" thickBot="1" x14ac:dyDescent="0.25">
      <c r="A784" s="1199">
        <v>1</v>
      </c>
      <c r="B784" s="1200">
        <v>2</v>
      </c>
      <c r="C784" s="1200">
        <v>3</v>
      </c>
      <c r="D784" s="1200">
        <v>4</v>
      </c>
      <c r="E784" s="567">
        <v>5</v>
      </c>
      <c r="F784" s="1201">
        <v>6</v>
      </c>
      <c r="G784" s="1201">
        <v>7</v>
      </c>
      <c r="H784" s="1202">
        <v>8</v>
      </c>
      <c r="I784" s="1203" t="s">
        <v>762</v>
      </c>
    </row>
    <row r="785" spans="1:14" s="532" customFormat="1" ht="16.5" thickTop="1" thickBot="1" x14ac:dyDescent="0.3">
      <c r="A785" s="1211">
        <v>60004100022</v>
      </c>
      <c r="B785" s="967">
        <v>3639</v>
      </c>
      <c r="C785" s="1212">
        <v>6130</v>
      </c>
      <c r="D785" s="968">
        <v>12</v>
      </c>
      <c r="E785" s="969" t="s">
        <v>856</v>
      </c>
      <c r="F785" s="889">
        <v>15000</v>
      </c>
      <c r="G785" s="1214">
        <v>0</v>
      </c>
      <c r="H785" s="889">
        <v>0</v>
      </c>
      <c r="I785" s="1215">
        <v>0</v>
      </c>
    </row>
    <row r="786" spans="1:14" s="532" customFormat="1" ht="18" customHeight="1" thickTop="1" thickBot="1" x14ac:dyDescent="0.3">
      <c r="A786" s="2692" t="s">
        <v>244</v>
      </c>
      <c r="B786" s="2685"/>
      <c r="C786" s="2685"/>
      <c r="D786" s="2685"/>
      <c r="E786" s="2685"/>
      <c r="F786" s="873">
        <f>F785</f>
        <v>15000</v>
      </c>
      <c r="G786" s="873">
        <f>G785</f>
        <v>0</v>
      </c>
      <c r="H786" s="873">
        <f>H785</f>
        <v>0</v>
      </c>
      <c r="I786" s="856">
        <v>0</v>
      </c>
    </row>
    <row r="787" spans="1:14" ht="13.5" thickTop="1" x14ac:dyDescent="0.2">
      <c r="K787" s="911"/>
      <c r="L787" s="911"/>
      <c r="M787" s="911"/>
      <c r="N787" s="432"/>
    </row>
    <row r="788" spans="1:14" x14ac:dyDescent="0.2">
      <c r="K788" s="911"/>
      <c r="L788" s="911"/>
      <c r="M788" s="911"/>
      <c r="N788" s="432"/>
    </row>
    <row r="789" spans="1:14" s="532" customFormat="1" ht="13.5" thickBot="1" x14ac:dyDescent="0.25">
      <c r="A789" s="432" t="s">
        <v>1108</v>
      </c>
      <c r="B789" s="643"/>
      <c r="D789" s="814"/>
      <c r="F789" s="493"/>
      <c r="G789" s="493"/>
      <c r="H789" s="493"/>
      <c r="I789" s="949" t="s">
        <v>161</v>
      </c>
    </row>
    <row r="790" spans="1:14" s="107" customFormat="1" ht="20.25" customHeight="1" thickTop="1" thickBot="1" x14ac:dyDescent="0.25">
      <c r="A790" s="682" t="s">
        <v>624</v>
      </c>
      <c r="B790" s="685" t="s">
        <v>162</v>
      </c>
      <c r="C790" s="683" t="s">
        <v>163</v>
      </c>
      <c r="D790" s="634" t="s">
        <v>705</v>
      </c>
      <c r="E790" s="686" t="s">
        <v>164</v>
      </c>
      <c r="F790" s="686" t="s">
        <v>165</v>
      </c>
      <c r="G790" s="686" t="s">
        <v>881</v>
      </c>
      <c r="H790" s="686" t="s">
        <v>882</v>
      </c>
      <c r="I790" s="818" t="s">
        <v>883</v>
      </c>
    </row>
    <row r="791" spans="1:14" s="383" customFormat="1" ht="13.5" thickTop="1" thickBot="1" x14ac:dyDescent="0.25">
      <c r="A791" s="1199">
        <v>1</v>
      </c>
      <c r="B791" s="1200">
        <v>2</v>
      </c>
      <c r="C791" s="1200">
        <v>3</v>
      </c>
      <c r="D791" s="1200">
        <v>4</v>
      </c>
      <c r="E791" s="567">
        <v>5</v>
      </c>
      <c r="F791" s="1201">
        <v>6</v>
      </c>
      <c r="G791" s="1201">
        <v>7</v>
      </c>
      <c r="H791" s="1202">
        <v>8</v>
      </c>
      <c r="I791" s="1203" t="s">
        <v>762</v>
      </c>
    </row>
    <row r="792" spans="1:14" s="532" customFormat="1" ht="16.5" thickTop="1" thickBot="1" x14ac:dyDescent="0.3">
      <c r="A792" s="1211">
        <v>60004100029</v>
      </c>
      <c r="B792" s="967">
        <v>2212</v>
      </c>
      <c r="C792" s="1212">
        <v>6121</v>
      </c>
      <c r="D792" s="968">
        <v>12</v>
      </c>
      <c r="E792" s="969" t="s">
        <v>603</v>
      </c>
      <c r="F792" s="889"/>
      <c r="G792" s="1214">
        <v>752</v>
      </c>
      <c r="H792" s="889">
        <v>751</v>
      </c>
      <c r="I792" s="1215">
        <f>(H792/G792)*100</f>
        <v>99.86702127659575</v>
      </c>
    </row>
    <row r="793" spans="1:14" s="532" customFormat="1" ht="18" customHeight="1" thickTop="1" thickBot="1" x14ac:dyDescent="0.3">
      <c r="A793" s="2692" t="s">
        <v>244</v>
      </c>
      <c r="B793" s="2685"/>
      <c r="C793" s="2685"/>
      <c r="D793" s="2685"/>
      <c r="E793" s="2685"/>
      <c r="F793" s="873">
        <f>F792</f>
        <v>0</v>
      </c>
      <c r="G793" s="873">
        <f>G792</f>
        <v>752</v>
      </c>
      <c r="H793" s="873">
        <f>H792</f>
        <v>751</v>
      </c>
      <c r="I793" s="856">
        <f>(H793/G793)*100</f>
        <v>99.86702127659575</v>
      </c>
    </row>
    <row r="794" spans="1:14" ht="13.5" thickTop="1" x14ac:dyDescent="0.2">
      <c r="K794" s="911"/>
      <c r="L794" s="911"/>
      <c r="M794" s="911"/>
      <c r="N794" s="432"/>
    </row>
    <row r="795" spans="1:14" x14ac:dyDescent="0.2">
      <c r="K795" s="911"/>
      <c r="L795" s="911"/>
      <c r="M795" s="911"/>
      <c r="N795" s="432"/>
    </row>
    <row r="796" spans="1:14" s="532" customFormat="1" ht="13.5" thickBot="1" x14ac:dyDescent="0.25">
      <c r="A796" s="432" t="s">
        <v>1109</v>
      </c>
      <c r="B796" s="643"/>
      <c r="D796" s="814"/>
      <c r="F796" s="493"/>
      <c r="G796" s="493"/>
      <c r="H796" s="493"/>
      <c r="I796" s="949" t="s">
        <v>161</v>
      </c>
    </row>
    <row r="797" spans="1:14" s="107" customFormat="1" ht="20.25" customHeight="1" thickTop="1" thickBot="1" x14ac:dyDescent="0.25">
      <c r="A797" s="682" t="s">
        <v>624</v>
      </c>
      <c r="B797" s="685" t="s">
        <v>162</v>
      </c>
      <c r="C797" s="683" t="s">
        <v>163</v>
      </c>
      <c r="D797" s="634" t="s">
        <v>705</v>
      </c>
      <c r="E797" s="686" t="s">
        <v>164</v>
      </c>
      <c r="F797" s="686" t="s">
        <v>165</v>
      </c>
      <c r="G797" s="686" t="s">
        <v>881</v>
      </c>
      <c r="H797" s="686" t="s">
        <v>882</v>
      </c>
      <c r="I797" s="818" t="s">
        <v>883</v>
      </c>
    </row>
    <row r="798" spans="1:14" s="383" customFormat="1" ht="13.5" thickTop="1" thickBot="1" x14ac:dyDescent="0.25">
      <c r="A798" s="1199">
        <v>1</v>
      </c>
      <c r="B798" s="1200">
        <v>2</v>
      </c>
      <c r="C798" s="1200">
        <v>3</v>
      </c>
      <c r="D798" s="1200">
        <v>4</v>
      </c>
      <c r="E798" s="567">
        <v>5</v>
      </c>
      <c r="F798" s="1201">
        <v>6</v>
      </c>
      <c r="G798" s="1201">
        <v>7</v>
      </c>
      <c r="H798" s="1202">
        <v>8</v>
      </c>
      <c r="I798" s="1203" t="s">
        <v>762</v>
      </c>
    </row>
    <row r="799" spans="1:14" s="532" customFormat="1" ht="16.5" thickTop="1" thickBot="1" x14ac:dyDescent="0.3">
      <c r="A799" s="1211">
        <v>60004100032</v>
      </c>
      <c r="B799" s="967">
        <v>2212</v>
      </c>
      <c r="C799" s="1212">
        <v>6121</v>
      </c>
      <c r="D799" s="968">
        <v>12</v>
      </c>
      <c r="E799" s="969" t="s">
        <v>603</v>
      </c>
      <c r="F799" s="889"/>
      <c r="G799" s="1214">
        <v>569</v>
      </c>
      <c r="H799" s="889">
        <v>440</v>
      </c>
      <c r="I799" s="1215">
        <f>(H799/G799)*100</f>
        <v>77.328646748681891</v>
      </c>
    </row>
    <row r="800" spans="1:14" s="532" customFormat="1" ht="18" customHeight="1" thickTop="1" thickBot="1" x14ac:dyDescent="0.3">
      <c r="A800" s="2692" t="s">
        <v>244</v>
      </c>
      <c r="B800" s="2685"/>
      <c r="C800" s="2685"/>
      <c r="D800" s="2685"/>
      <c r="E800" s="2685"/>
      <c r="F800" s="873">
        <f>F799</f>
        <v>0</v>
      </c>
      <c r="G800" s="873">
        <f>G799</f>
        <v>569</v>
      </c>
      <c r="H800" s="873">
        <f>H799</f>
        <v>440</v>
      </c>
      <c r="I800" s="856">
        <f>(H800/G800)*100</f>
        <v>77.328646748681891</v>
      </c>
    </row>
    <row r="801" spans="1:14" s="532" customFormat="1" ht="14.25" thickTop="1" thickBot="1" x14ac:dyDescent="0.25">
      <c r="A801" s="432" t="s">
        <v>1110</v>
      </c>
      <c r="B801" s="643"/>
      <c r="D801" s="814"/>
      <c r="F801" s="493"/>
      <c r="G801" s="493"/>
      <c r="H801" s="493"/>
      <c r="I801" s="949" t="s">
        <v>161</v>
      </c>
    </row>
    <row r="802" spans="1:14" s="107" customFormat="1" ht="20.25" customHeight="1" thickTop="1" thickBot="1" x14ac:dyDescent="0.25">
      <c r="A802" s="682" t="s">
        <v>624</v>
      </c>
      <c r="B802" s="685" t="s">
        <v>162</v>
      </c>
      <c r="C802" s="683" t="s">
        <v>163</v>
      </c>
      <c r="D802" s="634" t="s">
        <v>705</v>
      </c>
      <c r="E802" s="686" t="s">
        <v>164</v>
      </c>
      <c r="F802" s="686" t="s">
        <v>165</v>
      </c>
      <c r="G802" s="686" t="s">
        <v>881</v>
      </c>
      <c r="H802" s="686" t="s">
        <v>882</v>
      </c>
      <c r="I802" s="818" t="s">
        <v>883</v>
      </c>
    </row>
    <row r="803" spans="1:14" s="383" customFormat="1" ht="13.5" thickTop="1" thickBot="1" x14ac:dyDescent="0.25">
      <c r="A803" s="1199">
        <v>1</v>
      </c>
      <c r="B803" s="1200">
        <v>2</v>
      </c>
      <c r="C803" s="1200">
        <v>3</v>
      </c>
      <c r="D803" s="1200">
        <v>4</v>
      </c>
      <c r="E803" s="567">
        <v>5</v>
      </c>
      <c r="F803" s="1201">
        <v>6</v>
      </c>
      <c r="G803" s="1201">
        <v>7</v>
      </c>
      <c r="H803" s="1202">
        <v>8</v>
      </c>
      <c r="I803" s="1203" t="s">
        <v>762</v>
      </c>
    </row>
    <row r="804" spans="1:14" s="532" customFormat="1" ht="16.5" thickTop="1" thickBot="1" x14ac:dyDescent="0.3">
      <c r="A804" s="1211">
        <v>60004100033</v>
      </c>
      <c r="B804" s="967">
        <v>2212</v>
      </c>
      <c r="C804" s="1212">
        <v>6121</v>
      </c>
      <c r="D804" s="968">
        <v>12</v>
      </c>
      <c r="E804" s="969" t="s">
        <v>603</v>
      </c>
      <c r="F804" s="889"/>
      <c r="G804" s="1214">
        <v>36</v>
      </c>
      <c r="H804" s="889">
        <v>23</v>
      </c>
      <c r="I804" s="1215">
        <f>(H804/G804)*100</f>
        <v>63.888888888888886</v>
      </c>
    </row>
    <row r="805" spans="1:14" s="532" customFormat="1" ht="18" customHeight="1" thickTop="1" thickBot="1" x14ac:dyDescent="0.3">
      <c r="A805" s="2692" t="s">
        <v>244</v>
      </c>
      <c r="B805" s="2685"/>
      <c r="C805" s="2685"/>
      <c r="D805" s="2685"/>
      <c r="E805" s="2685"/>
      <c r="F805" s="873">
        <f>F804</f>
        <v>0</v>
      </c>
      <c r="G805" s="873">
        <f>G804</f>
        <v>36</v>
      </c>
      <c r="H805" s="873">
        <f>H804</f>
        <v>23</v>
      </c>
      <c r="I805" s="856">
        <f>(H805/G805)*100</f>
        <v>63.888888888888886</v>
      </c>
    </row>
    <row r="806" spans="1:14" ht="13.5" thickTop="1" x14ac:dyDescent="0.2">
      <c r="K806" s="911"/>
      <c r="L806" s="911"/>
      <c r="M806" s="911"/>
      <c r="N806" s="432"/>
    </row>
    <row r="807" spans="1:14" x14ac:dyDescent="0.2">
      <c r="K807" s="911"/>
      <c r="L807" s="911"/>
      <c r="M807" s="911"/>
      <c r="N807" s="432"/>
    </row>
    <row r="808" spans="1:14" s="532" customFormat="1" ht="13.5" thickBot="1" x14ac:dyDescent="0.25">
      <c r="A808" s="432" t="s">
        <v>1111</v>
      </c>
      <c r="B808" s="643"/>
      <c r="D808" s="814"/>
      <c r="F808" s="493"/>
      <c r="G808" s="493"/>
      <c r="H808" s="493"/>
      <c r="I808" s="949" t="s">
        <v>161</v>
      </c>
    </row>
    <row r="809" spans="1:14" s="107" customFormat="1" ht="20.25" customHeight="1" thickTop="1" thickBot="1" x14ac:dyDescent="0.25">
      <c r="A809" s="682" t="s">
        <v>624</v>
      </c>
      <c r="B809" s="685" t="s">
        <v>162</v>
      </c>
      <c r="C809" s="683" t="s">
        <v>163</v>
      </c>
      <c r="D809" s="634" t="s">
        <v>705</v>
      </c>
      <c r="E809" s="686" t="s">
        <v>164</v>
      </c>
      <c r="F809" s="686" t="s">
        <v>165</v>
      </c>
      <c r="G809" s="686" t="s">
        <v>881</v>
      </c>
      <c r="H809" s="686" t="s">
        <v>882</v>
      </c>
      <c r="I809" s="818" t="s">
        <v>883</v>
      </c>
    </row>
    <row r="810" spans="1:14" s="383" customFormat="1" ht="13.5" thickTop="1" thickBot="1" x14ac:dyDescent="0.25">
      <c r="A810" s="1199">
        <v>1</v>
      </c>
      <c r="B810" s="1200">
        <v>2</v>
      </c>
      <c r="C810" s="1200">
        <v>3</v>
      </c>
      <c r="D810" s="1200">
        <v>4</v>
      </c>
      <c r="E810" s="567">
        <v>5</v>
      </c>
      <c r="F810" s="1201">
        <v>6</v>
      </c>
      <c r="G810" s="1201">
        <v>7</v>
      </c>
      <c r="H810" s="1202">
        <v>8</v>
      </c>
      <c r="I810" s="1203" t="s">
        <v>762</v>
      </c>
    </row>
    <row r="811" spans="1:14" s="532" customFormat="1" ht="16.5" thickTop="1" thickBot="1" x14ac:dyDescent="0.3">
      <c r="A811" s="1211">
        <v>60004100037</v>
      </c>
      <c r="B811" s="967">
        <v>2212</v>
      </c>
      <c r="C811" s="1212">
        <v>6121</v>
      </c>
      <c r="D811" s="968">
        <v>12</v>
      </c>
      <c r="E811" s="969" t="s">
        <v>603</v>
      </c>
      <c r="F811" s="889"/>
      <c r="G811" s="1214">
        <v>224</v>
      </c>
      <c r="H811" s="889">
        <v>5</v>
      </c>
      <c r="I811" s="1215">
        <f>(H811/G811)*100</f>
        <v>2.2321428571428572</v>
      </c>
    </row>
    <row r="812" spans="1:14" s="532" customFormat="1" ht="18" customHeight="1" thickTop="1" thickBot="1" x14ac:dyDescent="0.3">
      <c r="A812" s="2692" t="s">
        <v>244</v>
      </c>
      <c r="B812" s="2685"/>
      <c r="C812" s="2685"/>
      <c r="D812" s="2685"/>
      <c r="E812" s="2685"/>
      <c r="F812" s="873">
        <f>F811</f>
        <v>0</v>
      </c>
      <c r="G812" s="873">
        <f>G811</f>
        <v>224</v>
      </c>
      <c r="H812" s="873">
        <f>H811</f>
        <v>5</v>
      </c>
      <c r="I812" s="856">
        <f>(H812/G812)*100</f>
        <v>2.2321428571428572</v>
      </c>
    </row>
    <row r="813" spans="1:14" ht="13.5" thickTop="1" x14ac:dyDescent="0.2">
      <c r="K813" s="911"/>
      <c r="L813" s="911"/>
      <c r="M813" s="911"/>
      <c r="N813" s="432"/>
    </row>
    <row r="814" spans="1:14" x14ac:dyDescent="0.2">
      <c r="K814" s="911"/>
      <c r="L814" s="911"/>
      <c r="M814" s="911"/>
      <c r="N814" s="432"/>
    </row>
    <row r="815" spans="1:14" s="532" customFormat="1" ht="13.5" thickBot="1" x14ac:dyDescent="0.25">
      <c r="A815" s="432" t="s">
        <v>1112</v>
      </c>
      <c r="B815" s="643"/>
      <c r="D815" s="814"/>
      <c r="F815" s="493"/>
      <c r="G815" s="493"/>
      <c r="H815" s="493"/>
      <c r="I815" s="949" t="s">
        <v>161</v>
      </c>
    </row>
    <row r="816" spans="1:14" s="107" customFormat="1" ht="20.25" customHeight="1" thickTop="1" thickBot="1" x14ac:dyDescent="0.25">
      <c r="A816" s="682" t="s">
        <v>624</v>
      </c>
      <c r="B816" s="685" t="s">
        <v>162</v>
      </c>
      <c r="C816" s="683" t="s">
        <v>163</v>
      </c>
      <c r="D816" s="634" t="s">
        <v>705</v>
      </c>
      <c r="E816" s="686" t="s">
        <v>164</v>
      </c>
      <c r="F816" s="686" t="s">
        <v>165</v>
      </c>
      <c r="G816" s="686" t="s">
        <v>881</v>
      </c>
      <c r="H816" s="686" t="s">
        <v>882</v>
      </c>
      <c r="I816" s="818" t="s">
        <v>883</v>
      </c>
    </row>
    <row r="817" spans="1:14" s="383" customFormat="1" ht="13.5" thickTop="1" thickBot="1" x14ac:dyDescent="0.25">
      <c r="A817" s="1199">
        <v>1</v>
      </c>
      <c r="B817" s="1200">
        <v>2</v>
      </c>
      <c r="C817" s="1200">
        <v>3</v>
      </c>
      <c r="D817" s="1200">
        <v>4</v>
      </c>
      <c r="E817" s="567">
        <v>5</v>
      </c>
      <c r="F817" s="1201">
        <v>6</v>
      </c>
      <c r="G817" s="1201">
        <v>7</v>
      </c>
      <c r="H817" s="1202">
        <v>8</v>
      </c>
      <c r="I817" s="1203" t="s">
        <v>762</v>
      </c>
    </row>
    <row r="818" spans="1:14" s="532" customFormat="1" ht="15.75" thickTop="1" x14ac:dyDescent="0.25">
      <c r="A818" s="957">
        <v>60004100038</v>
      </c>
      <c r="B818" s="775">
        <v>2212</v>
      </c>
      <c r="C818" s="654">
        <v>6121</v>
      </c>
      <c r="D818" s="973">
        <v>12</v>
      </c>
      <c r="E818" s="790" t="s">
        <v>603</v>
      </c>
      <c r="F818" s="960"/>
      <c r="G818" s="1209">
        <v>21</v>
      </c>
      <c r="H818" s="960">
        <v>17</v>
      </c>
      <c r="I818" s="1210">
        <f>(H818/G818)*100</f>
        <v>80.952380952380949</v>
      </c>
    </row>
    <row r="819" spans="1:14" s="532" customFormat="1" ht="15.75" thickBot="1" x14ac:dyDescent="0.3">
      <c r="A819" s="963">
        <v>60004100038</v>
      </c>
      <c r="B819" s="891">
        <v>2212</v>
      </c>
      <c r="C819" s="891">
        <v>6130</v>
      </c>
      <c r="D819" s="1230">
        <v>12</v>
      </c>
      <c r="E819" s="1229" t="s">
        <v>856</v>
      </c>
      <c r="F819" s="1228"/>
      <c r="G819" s="1228">
        <v>5476</v>
      </c>
      <c r="H819" s="1228">
        <v>5477</v>
      </c>
      <c r="I819" s="974">
        <f>(H819/G819)*100</f>
        <v>100.018261504748</v>
      </c>
    </row>
    <row r="820" spans="1:14" s="532" customFormat="1" ht="18" customHeight="1" thickTop="1" thickBot="1" x14ac:dyDescent="0.3">
      <c r="A820" s="2692" t="s">
        <v>244</v>
      </c>
      <c r="B820" s="2685"/>
      <c r="C820" s="2685"/>
      <c r="D820" s="2685"/>
      <c r="E820" s="2685"/>
      <c r="F820" s="873">
        <f>F818</f>
        <v>0</v>
      </c>
      <c r="G820" s="873">
        <f>G818+G819</f>
        <v>5497</v>
      </c>
      <c r="H820" s="873">
        <f>H818+H819</f>
        <v>5494</v>
      </c>
      <c r="I820" s="856">
        <f>(H820/G820)*100</f>
        <v>99.945424777151175</v>
      </c>
    </row>
    <row r="821" spans="1:14" ht="13.5" thickTop="1" x14ac:dyDescent="0.2">
      <c r="K821" s="911"/>
      <c r="L821" s="911"/>
      <c r="M821" s="911"/>
      <c r="N821" s="432"/>
    </row>
    <row r="822" spans="1:14" x14ac:dyDescent="0.2">
      <c r="K822" s="911"/>
      <c r="L822" s="911"/>
      <c r="M822" s="911"/>
      <c r="N822" s="432"/>
    </row>
    <row r="823" spans="1:14" s="532" customFormat="1" ht="13.5" thickBot="1" x14ac:dyDescent="0.25">
      <c r="A823" s="432" t="s">
        <v>1101</v>
      </c>
      <c r="B823" s="643"/>
      <c r="D823" s="814"/>
      <c r="F823" s="493"/>
      <c r="G823" s="493"/>
      <c r="H823" s="493"/>
      <c r="I823" s="949" t="s">
        <v>161</v>
      </c>
    </row>
    <row r="824" spans="1:14" s="107" customFormat="1" ht="20.25" customHeight="1" thickTop="1" thickBot="1" x14ac:dyDescent="0.25">
      <c r="A824" s="682" t="s">
        <v>624</v>
      </c>
      <c r="B824" s="685" t="s">
        <v>162</v>
      </c>
      <c r="C824" s="683" t="s">
        <v>163</v>
      </c>
      <c r="D824" s="634" t="s">
        <v>705</v>
      </c>
      <c r="E824" s="686" t="s">
        <v>164</v>
      </c>
      <c r="F824" s="686" t="s">
        <v>165</v>
      </c>
      <c r="G824" s="686" t="s">
        <v>881</v>
      </c>
      <c r="H824" s="686" t="s">
        <v>882</v>
      </c>
      <c r="I824" s="818" t="s">
        <v>883</v>
      </c>
    </row>
    <row r="825" spans="1:14" s="383" customFormat="1" ht="13.5" thickTop="1" thickBot="1" x14ac:dyDescent="0.25">
      <c r="A825" s="1199">
        <v>1</v>
      </c>
      <c r="B825" s="1200">
        <v>2</v>
      </c>
      <c r="C825" s="1200">
        <v>3</v>
      </c>
      <c r="D825" s="1200">
        <v>4</v>
      </c>
      <c r="E825" s="567">
        <v>5</v>
      </c>
      <c r="F825" s="1201">
        <v>6</v>
      </c>
      <c r="G825" s="1201">
        <v>7</v>
      </c>
      <c r="H825" s="1202">
        <v>8</v>
      </c>
      <c r="I825" s="1203" t="s">
        <v>762</v>
      </c>
    </row>
    <row r="826" spans="1:14" s="532" customFormat="1" ht="16.5" thickTop="1" thickBot="1" x14ac:dyDescent="0.3">
      <c r="A826" s="1211">
        <v>60004100040</v>
      </c>
      <c r="B826" s="967">
        <v>2212</v>
      </c>
      <c r="C826" s="1212">
        <v>6121</v>
      </c>
      <c r="D826" s="968">
        <v>12</v>
      </c>
      <c r="E826" s="969" t="s">
        <v>603</v>
      </c>
      <c r="F826" s="889"/>
      <c r="G826" s="1214">
        <v>134</v>
      </c>
      <c r="H826" s="889">
        <v>133</v>
      </c>
      <c r="I826" s="1215">
        <f>(H826/G826)*100</f>
        <v>99.253731343283576</v>
      </c>
    </row>
    <row r="827" spans="1:14" s="532" customFormat="1" ht="18" customHeight="1" thickTop="1" thickBot="1" x14ac:dyDescent="0.3">
      <c r="A827" s="2692" t="s">
        <v>244</v>
      </c>
      <c r="B827" s="2685"/>
      <c r="C827" s="2685"/>
      <c r="D827" s="2685"/>
      <c r="E827" s="2685"/>
      <c r="F827" s="873">
        <f>F826</f>
        <v>0</v>
      </c>
      <c r="G827" s="873">
        <f>G826</f>
        <v>134</v>
      </c>
      <c r="H827" s="873">
        <f>H826</f>
        <v>133</v>
      </c>
      <c r="I827" s="856">
        <f>(H827/G827)*100</f>
        <v>99.253731343283576</v>
      </c>
    </row>
    <row r="828" spans="1:14" ht="13.5" thickTop="1" x14ac:dyDescent="0.2">
      <c r="K828" s="911"/>
      <c r="L828" s="911"/>
      <c r="M828" s="911"/>
      <c r="N828" s="432"/>
    </row>
    <row r="829" spans="1:14" x14ac:dyDescent="0.2">
      <c r="K829" s="911"/>
      <c r="L829" s="911"/>
      <c r="M829" s="911"/>
      <c r="N829" s="432"/>
    </row>
    <row r="830" spans="1:14" s="532" customFormat="1" ht="13.5" thickBot="1" x14ac:dyDescent="0.25">
      <c r="A830" s="432" t="s">
        <v>1113</v>
      </c>
      <c r="B830" s="643"/>
      <c r="D830" s="814"/>
      <c r="F830" s="493"/>
      <c r="G830" s="493"/>
      <c r="H830" s="493"/>
      <c r="I830" s="949" t="s">
        <v>161</v>
      </c>
    </row>
    <row r="831" spans="1:14" s="107" customFormat="1" ht="20.25" customHeight="1" thickTop="1" thickBot="1" x14ac:dyDescent="0.25">
      <c r="A831" s="682" t="s">
        <v>624</v>
      </c>
      <c r="B831" s="685" t="s">
        <v>162</v>
      </c>
      <c r="C831" s="683" t="s">
        <v>163</v>
      </c>
      <c r="D831" s="634" t="s">
        <v>705</v>
      </c>
      <c r="E831" s="686" t="s">
        <v>164</v>
      </c>
      <c r="F831" s="686" t="s">
        <v>165</v>
      </c>
      <c r="G831" s="686" t="s">
        <v>881</v>
      </c>
      <c r="H831" s="686" t="s">
        <v>882</v>
      </c>
      <c r="I831" s="818" t="s">
        <v>883</v>
      </c>
    </row>
    <row r="832" spans="1:14" s="383" customFormat="1" ht="13.5" thickTop="1" thickBot="1" x14ac:dyDescent="0.25">
      <c r="A832" s="1199">
        <v>1</v>
      </c>
      <c r="B832" s="1200">
        <v>2</v>
      </c>
      <c r="C832" s="1200">
        <v>3</v>
      </c>
      <c r="D832" s="1200">
        <v>4</v>
      </c>
      <c r="E832" s="1200">
        <v>5</v>
      </c>
      <c r="F832" s="1201">
        <v>6</v>
      </c>
      <c r="G832" s="1201">
        <v>7</v>
      </c>
      <c r="H832" s="1202">
        <v>8</v>
      </c>
      <c r="I832" s="1203" t="s">
        <v>762</v>
      </c>
    </row>
    <row r="833" spans="1:14" s="383" customFormat="1" ht="15.75" thickTop="1" x14ac:dyDescent="0.25">
      <c r="A833" s="1254">
        <v>60004100043</v>
      </c>
      <c r="B833" s="1255">
        <v>2212</v>
      </c>
      <c r="C833" s="1255">
        <v>6121</v>
      </c>
      <c r="D833" s="1227">
        <v>12</v>
      </c>
      <c r="E833" s="1248" t="s">
        <v>603</v>
      </c>
      <c r="F833" s="1247">
        <v>17000</v>
      </c>
      <c r="G833" s="1245">
        <v>0</v>
      </c>
      <c r="H833" s="1245">
        <v>0</v>
      </c>
      <c r="I833" s="1210">
        <v>0</v>
      </c>
    </row>
    <row r="834" spans="1:14" s="532" customFormat="1" ht="15.75" thickBot="1" x14ac:dyDescent="0.3">
      <c r="A834" s="971">
        <v>60004100043</v>
      </c>
      <c r="B834" s="674">
        <v>2212</v>
      </c>
      <c r="C834" s="749">
        <v>6121</v>
      </c>
      <c r="D834" s="964">
        <v>870</v>
      </c>
      <c r="E834" s="1246" t="s">
        <v>603</v>
      </c>
      <c r="F834" s="884"/>
      <c r="G834" s="965">
        <v>8368</v>
      </c>
      <c r="H834" s="884">
        <v>8351</v>
      </c>
      <c r="I834" s="974">
        <f>(H834/G834)*100</f>
        <v>99.796845124282981</v>
      </c>
    </row>
    <row r="835" spans="1:14" s="532" customFormat="1" ht="18" customHeight="1" thickTop="1" thickBot="1" x14ac:dyDescent="0.3">
      <c r="A835" s="2692" t="s">
        <v>244</v>
      </c>
      <c r="B835" s="2685"/>
      <c r="C835" s="2685"/>
      <c r="D835" s="2685"/>
      <c r="E835" s="2685"/>
      <c r="F835" s="873">
        <f>F833</f>
        <v>17000</v>
      </c>
      <c r="G835" s="873">
        <f>G834</f>
        <v>8368</v>
      </c>
      <c r="H835" s="873">
        <f>H834</f>
        <v>8351</v>
      </c>
      <c r="I835" s="856">
        <f>(H835/G835)*100</f>
        <v>99.796845124282981</v>
      </c>
    </row>
    <row r="836" spans="1:14" ht="13.5" thickTop="1" x14ac:dyDescent="0.2">
      <c r="K836" s="911"/>
      <c r="L836" s="911"/>
      <c r="M836" s="911"/>
      <c r="N836" s="432"/>
    </row>
    <row r="837" spans="1:14" x14ac:dyDescent="0.2">
      <c r="K837" s="911"/>
      <c r="L837" s="911"/>
      <c r="M837" s="911"/>
      <c r="N837" s="432"/>
    </row>
    <row r="838" spans="1:14" s="532" customFormat="1" ht="13.5" thickBot="1" x14ac:dyDescent="0.25">
      <c r="A838" s="432" t="s">
        <v>954</v>
      </c>
      <c r="B838" s="643"/>
      <c r="D838" s="814"/>
      <c r="F838" s="493"/>
      <c r="G838" s="493"/>
      <c r="H838" s="493"/>
      <c r="I838" s="949" t="s">
        <v>161</v>
      </c>
    </row>
    <row r="839" spans="1:14" s="107" customFormat="1" ht="20.25" customHeight="1" thickTop="1" thickBot="1" x14ac:dyDescent="0.25">
      <c r="A839" s="682" t="s">
        <v>624</v>
      </c>
      <c r="B839" s="685" t="s">
        <v>162</v>
      </c>
      <c r="C839" s="683" t="s">
        <v>163</v>
      </c>
      <c r="D839" s="634" t="s">
        <v>705</v>
      </c>
      <c r="E839" s="686" t="s">
        <v>164</v>
      </c>
      <c r="F839" s="686" t="s">
        <v>165</v>
      </c>
      <c r="G839" s="686" t="s">
        <v>881</v>
      </c>
      <c r="H839" s="686" t="s">
        <v>882</v>
      </c>
      <c r="I839" s="818" t="s">
        <v>883</v>
      </c>
    </row>
    <row r="840" spans="1:14" s="383" customFormat="1" ht="13.5" thickTop="1" thickBot="1" x14ac:dyDescent="0.25">
      <c r="A840" s="1199">
        <v>1</v>
      </c>
      <c r="B840" s="1200">
        <v>2</v>
      </c>
      <c r="C840" s="1200">
        <v>3</v>
      </c>
      <c r="D840" s="1200">
        <v>4</v>
      </c>
      <c r="E840" s="567">
        <v>5</v>
      </c>
      <c r="F840" s="1201">
        <v>6</v>
      </c>
      <c r="G840" s="1201">
        <v>7</v>
      </c>
      <c r="H840" s="1202">
        <v>8</v>
      </c>
      <c r="I840" s="1203" t="s">
        <v>762</v>
      </c>
    </row>
    <row r="841" spans="1:14" s="383" customFormat="1" ht="15.75" thickTop="1" x14ac:dyDescent="0.25">
      <c r="A841" s="1254">
        <v>60004100044</v>
      </c>
      <c r="B841" s="1255">
        <v>2212</v>
      </c>
      <c r="C841" s="1255">
        <v>6121</v>
      </c>
      <c r="D841" s="1227">
        <v>12</v>
      </c>
      <c r="E841" s="1248" t="s">
        <v>603</v>
      </c>
      <c r="F841" s="1247">
        <v>15000</v>
      </c>
      <c r="G841" s="1245">
        <v>0</v>
      </c>
      <c r="H841" s="1245">
        <v>0</v>
      </c>
      <c r="I841" s="1210">
        <v>0</v>
      </c>
    </row>
    <row r="842" spans="1:14" s="532" customFormat="1" ht="15.75" thickBot="1" x14ac:dyDescent="0.3">
      <c r="A842" s="971">
        <v>60004100044</v>
      </c>
      <c r="B842" s="674">
        <v>2212</v>
      </c>
      <c r="C842" s="749">
        <v>6121</v>
      </c>
      <c r="D842" s="964">
        <v>870</v>
      </c>
      <c r="E842" s="1246" t="s">
        <v>603</v>
      </c>
      <c r="F842" s="884"/>
      <c r="G842" s="965">
        <v>1599</v>
      </c>
      <c r="H842" s="884">
        <v>1536</v>
      </c>
      <c r="I842" s="974">
        <f>(H842/G842)*100</f>
        <v>96.060037523452152</v>
      </c>
    </row>
    <row r="843" spans="1:14" s="532" customFormat="1" ht="18" customHeight="1" thickTop="1" thickBot="1" x14ac:dyDescent="0.3">
      <c r="A843" s="2692" t="s">
        <v>244</v>
      </c>
      <c r="B843" s="2685"/>
      <c r="C843" s="2685"/>
      <c r="D843" s="2685"/>
      <c r="E843" s="2685"/>
      <c r="F843" s="873">
        <f>F841</f>
        <v>15000</v>
      </c>
      <c r="G843" s="873">
        <f>G842</f>
        <v>1599</v>
      </c>
      <c r="H843" s="873">
        <f>H842</f>
        <v>1536</v>
      </c>
      <c r="I843" s="856">
        <v>0</v>
      </c>
    </row>
    <row r="844" spans="1:14" ht="13.5" thickTop="1" x14ac:dyDescent="0.2">
      <c r="K844" s="911"/>
      <c r="L844" s="911"/>
      <c r="M844" s="911"/>
      <c r="N844" s="432"/>
    </row>
    <row r="845" spans="1:14" x14ac:dyDescent="0.2">
      <c r="K845" s="911"/>
      <c r="L845" s="911"/>
      <c r="M845" s="911"/>
      <c r="N845" s="432"/>
    </row>
    <row r="846" spans="1:14" s="532" customFormat="1" ht="13.5" thickBot="1" x14ac:dyDescent="0.25">
      <c r="A846" s="432" t="s">
        <v>358</v>
      </c>
      <c r="B846" s="643"/>
      <c r="D846" s="814"/>
      <c r="F846" s="493"/>
      <c r="G846" s="493"/>
      <c r="H846" s="493"/>
      <c r="I846" s="949" t="s">
        <v>161</v>
      </c>
    </row>
    <row r="847" spans="1:14" s="107" customFormat="1" ht="20.25" customHeight="1" thickTop="1" thickBot="1" x14ac:dyDescent="0.25">
      <c r="A847" s="682" t="s">
        <v>624</v>
      </c>
      <c r="B847" s="685" t="s">
        <v>162</v>
      </c>
      <c r="C847" s="683" t="s">
        <v>163</v>
      </c>
      <c r="D847" s="634" t="s">
        <v>705</v>
      </c>
      <c r="E847" s="686" t="s">
        <v>164</v>
      </c>
      <c r="F847" s="686" t="s">
        <v>165</v>
      </c>
      <c r="G847" s="686" t="s">
        <v>881</v>
      </c>
      <c r="H847" s="686" t="s">
        <v>882</v>
      </c>
      <c r="I847" s="818" t="s">
        <v>883</v>
      </c>
    </row>
    <row r="848" spans="1:14" s="383" customFormat="1" ht="13.5" thickTop="1" thickBot="1" x14ac:dyDescent="0.25">
      <c r="A848" s="1199">
        <v>1</v>
      </c>
      <c r="B848" s="1200">
        <v>2</v>
      </c>
      <c r="C848" s="1200">
        <v>3</v>
      </c>
      <c r="D848" s="1200">
        <v>4</v>
      </c>
      <c r="E848" s="567">
        <v>5</v>
      </c>
      <c r="F848" s="1201">
        <v>6</v>
      </c>
      <c r="G848" s="1201">
        <v>7</v>
      </c>
      <c r="H848" s="1202">
        <v>8</v>
      </c>
      <c r="I848" s="1203" t="s">
        <v>762</v>
      </c>
    </row>
    <row r="849" spans="1:14" s="383" customFormat="1" ht="16.5" thickTop="1" thickBot="1" x14ac:dyDescent="0.3">
      <c r="A849" s="1265">
        <v>60004100046</v>
      </c>
      <c r="B849" s="1266">
        <v>2212</v>
      </c>
      <c r="C849" s="1266">
        <v>6121</v>
      </c>
      <c r="D849" s="1238">
        <v>12</v>
      </c>
      <c r="E849" s="1249" t="s">
        <v>603</v>
      </c>
      <c r="F849" s="1250">
        <v>1000</v>
      </c>
      <c r="G849" s="1251">
        <v>0</v>
      </c>
      <c r="H849" s="1251">
        <v>0</v>
      </c>
      <c r="I849" s="1215">
        <v>0</v>
      </c>
    </row>
    <row r="850" spans="1:14" s="532" customFormat="1" ht="18" customHeight="1" thickTop="1" thickBot="1" x14ac:dyDescent="0.3">
      <c r="A850" s="2692" t="s">
        <v>244</v>
      </c>
      <c r="B850" s="2685"/>
      <c r="C850" s="2685"/>
      <c r="D850" s="2685"/>
      <c r="E850" s="2685"/>
      <c r="F850" s="873">
        <f>F849</f>
        <v>1000</v>
      </c>
      <c r="G850" s="873">
        <f>G849</f>
        <v>0</v>
      </c>
      <c r="H850" s="873">
        <f>H849</f>
        <v>0</v>
      </c>
      <c r="I850" s="856">
        <v>0</v>
      </c>
    </row>
    <row r="851" spans="1:14" ht="13.5" thickTop="1" x14ac:dyDescent="0.2">
      <c r="K851" s="911"/>
      <c r="L851" s="911"/>
      <c r="M851" s="911"/>
      <c r="N851" s="432"/>
    </row>
    <row r="852" spans="1:14" x14ac:dyDescent="0.2">
      <c r="K852" s="911"/>
      <c r="L852" s="911"/>
      <c r="M852" s="911"/>
      <c r="N852" s="432"/>
    </row>
    <row r="853" spans="1:14" s="532" customFormat="1" ht="13.5" thickBot="1" x14ac:dyDescent="0.25">
      <c r="A853" s="432" t="s">
        <v>955</v>
      </c>
      <c r="B853" s="643"/>
      <c r="D853" s="814"/>
      <c r="F853" s="493"/>
      <c r="G853" s="493"/>
      <c r="H853" s="493"/>
      <c r="I853" s="949" t="s">
        <v>161</v>
      </c>
    </row>
    <row r="854" spans="1:14" s="107" customFormat="1" ht="20.25" customHeight="1" thickTop="1" thickBot="1" x14ac:dyDescent="0.25">
      <c r="A854" s="682" t="s">
        <v>624</v>
      </c>
      <c r="B854" s="685" t="s">
        <v>162</v>
      </c>
      <c r="C854" s="683" t="s">
        <v>163</v>
      </c>
      <c r="D854" s="634" t="s">
        <v>705</v>
      </c>
      <c r="E854" s="686" t="s">
        <v>164</v>
      </c>
      <c r="F854" s="686" t="s">
        <v>165</v>
      </c>
      <c r="G854" s="686" t="s">
        <v>881</v>
      </c>
      <c r="H854" s="686" t="s">
        <v>882</v>
      </c>
      <c r="I854" s="818" t="s">
        <v>883</v>
      </c>
    </row>
    <row r="855" spans="1:14" s="383" customFormat="1" ht="13.5" thickTop="1" thickBot="1" x14ac:dyDescent="0.25">
      <c r="A855" s="1199">
        <v>1</v>
      </c>
      <c r="B855" s="1200">
        <v>2</v>
      </c>
      <c r="C855" s="1200">
        <v>3</v>
      </c>
      <c r="D855" s="1200">
        <v>4</v>
      </c>
      <c r="E855" s="567">
        <v>5</v>
      </c>
      <c r="F855" s="1201">
        <v>6</v>
      </c>
      <c r="G855" s="1201">
        <v>7</v>
      </c>
      <c r="H855" s="1202">
        <v>8</v>
      </c>
      <c r="I855" s="1203" t="s">
        <v>762</v>
      </c>
    </row>
    <row r="856" spans="1:14" s="532" customFormat="1" ht="16.5" thickTop="1" thickBot="1" x14ac:dyDescent="0.3">
      <c r="A856" s="1211">
        <v>60004100047</v>
      </c>
      <c r="B856" s="967">
        <v>2212</v>
      </c>
      <c r="C856" s="1212">
        <v>6121</v>
      </c>
      <c r="D856" s="968">
        <v>12</v>
      </c>
      <c r="E856" s="969" t="s">
        <v>603</v>
      </c>
      <c r="F856" s="889"/>
      <c r="G856" s="1214">
        <v>333</v>
      </c>
      <c r="H856" s="889">
        <v>333</v>
      </c>
      <c r="I856" s="1215">
        <f>(H856/G856)*100</f>
        <v>100</v>
      </c>
    </row>
    <row r="857" spans="1:14" s="532" customFormat="1" ht="18" customHeight="1" thickTop="1" thickBot="1" x14ac:dyDescent="0.3">
      <c r="A857" s="2692" t="s">
        <v>244</v>
      </c>
      <c r="B857" s="2685"/>
      <c r="C857" s="2685"/>
      <c r="D857" s="2685"/>
      <c r="E857" s="2685"/>
      <c r="F857" s="873">
        <f>F856</f>
        <v>0</v>
      </c>
      <c r="G857" s="873">
        <f>G856</f>
        <v>333</v>
      </c>
      <c r="H857" s="873">
        <f>H856</f>
        <v>333</v>
      </c>
      <c r="I857" s="856">
        <f>(H857/G857)*100</f>
        <v>100</v>
      </c>
    </row>
    <row r="858" spans="1:14" ht="13.5" thickTop="1" x14ac:dyDescent="0.2">
      <c r="K858" s="911"/>
      <c r="L858" s="911"/>
      <c r="M858" s="911"/>
      <c r="N858" s="432"/>
    </row>
    <row r="859" spans="1:14" x14ac:dyDescent="0.2">
      <c r="K859" s="911"/>
      <c r="L859" s="911"/>
      <c r="M859" s="911"/>
      <c r="N859" s="432"/>
    </row>
    <row r="860" spans="1:14" s="532" customFormat="1" ht="13.5" thickBot="1" x14ac:dyDescent="0.25">
      <c r="A860" s="432" t="s">
        <v>956</v>
      </c>
      <c r="B860" s="643"/>
      <c r="D860" s="814"/>
      <c r="F860" s="493"/>
      <c r="G860" s="493"/>
      <c r="H860" s="493"/>
      <c r="I860" s="949" t="s">
        <v>161</v>
      </c>
    </row>
    <row r="861" spans="1:14" s="107" customFormat="1" ht="20.25" customHeight="1" thickTop="1" thickBot="1" x14ac:dyDescent="0.25">
      <c r="A861" s="682" t="s">
        <v>624</v>
      </c>
      <c r="B861" s="685" t="s">
        <v>162</v>
      </c>
      <c r="C861" s="683" t="s">
        <v>163</v>
      </c>
      <c r="D861" s="634" t="s">
        <v>705</v>
      </c>
      <c r="E861" s="686" t="s">
        <v>164</v>
      </c>
      <c r="F861" s="686" t="s">
        <v>165</v>
      </c>
      <c r="G861" s="686" t="s">
        <v>881</v>
      </c>
      <c r="H861" s="686" t="s">
        <v>882</v>
      </c>
      <c r="I861" s="818" t="s">
        <v>883</v>
      </c>
    </row>
    <row r="862" spans="1:14" s="383" customFormat="1" ht="13.5" thickTop="1" thickBot="1" x14ac:dyDescent="0.25">
      <c r="A862" s="1199">
        <v>1</v>
      </c>
      <c r="B862" s="1200">
        <v>2</v>
      </c>
      <c r="C862" s="1200">
        <v>3</v>
      </c>
      <c r="D862" s="1200">
        <v>4</v>
      </c>
      <c r="E862" s="567">
        <v>5</v>
      </c>
      <c r="F862" s="1201">
        <v>6</v>
      </c>
      <c r="G862" s="1201">
        <v>7</v>
      </c>
      <c r="H862" s="1202">
        <v>8</v>
      </c>
      <c r="I862" s="1203" t="s">
        <v>762</v>
      </c>
    </row>
    <row r="863" spans="1:14" s="532" customFormat="1" ht="16.5" thickTop="1" thickBot="1" x14ac:dyDescent="0.3">
      <c r="A863" s="1211">
        <v>60004100048</v>
      </c>
      <c r="B863" s="967">
        <v>2212</v>
      </c>
      <c r="C863" s="1212">
        <v>6121</v>
      </c>
      <c r="D863" s="968">
        <v>12</v>
      </c>
      <c r="E863" s="969" t="s">
        <v>603</v>
      </c>
      <c r="F863" s="889"/>
      <c r="G863" s="1214">
        <v>2488</v>
      </c>
      <c r="H863" s="889">
        <v>2487</v>
      </c>
      <c r="I863" s="1215">
        <f>(H863/G863)*100</f>
        <v>99.959807073954991</v>
      </c>
    </row>
    <row r="864" spans="1:14" s="532" customFormat="1" ht="18" customHeight="1" thickTop="1" thickBot="1" x14ac:dyDescent="0.3">
      <c r="A864" s="2692" t="s">
        <v>244</v>
      </c>
      <c r="B864" s="2685"/>
      <c r="C864" s="2685"/>
      <c r="D864" s="2685"/>
      <c r="E864" s="2685"/>
      <c r="F864" s="873">
        <f>F863</f>
        <v>0</v>
      </c>
      <c r="G864" s="873">
        <f>G863</f>
        <v>2488</v>
      </c>
      <c r="H864" s="873">
        <f>H863</f>
        <v>2487</v>
      </c>
      <c r="I864" s="856">
        <f>(H864/G864)*100</f>
        <v>99.959807073954991</v>
      </c>
    </row>
    <row r="865" spans="1:14" ht="13.5" thickTop="1" x14ac:dyDescent="0.2">
      <c r="K865" s="911"/>
      <c r="L865" s="911"/>
      <c r="M865" s="911"/>
      <c r="N865" s="432"/>
    </row>
    <row r="866" spans="1:14" x14ac:dyDescent="0.2">
      <c r="K866" s="911"/>
      <c r="L866" s="911"/>
      <c r="M866" s="911"/>
      <c r="N866" s="432"/>
    </row>
    <row r="867" spans="1:14" x14ac:dyDescent="0.2">
      <c r="K867" s="911"/>
      <c r="L867" s="911"/>
      <c r="M867" s="911"/>
      <c r="N867" s="432"/>
    </row>
    <row r="868" spans="1:14" s="532" customFormat="1" ht="13.5" thickBot="1" x14ac:dyDescent="0.25">
      <c r="A868" s="432" t="s">
        <v>957</v>
      </c>
      <c r="B868" s="643"/>
      <c r="D868" s="814"/>
      <c r="F868" s="493"/>
      <c r="G868" s="493"/>
      <c r="H868" s="493"/>
      <c r="I868" s="949" t="s">
        <v>161</v>
      </c>
    </row>
    <row r="869" spans="1:14" s="107" customFormat="1" ht="20.25" customHeight="1" thickTop="1" thickBot="1" x14ac:dyDescent="0.25">
      <c r="A869" s="682" t="s">
        <v>624</v>
      </c>
      <c r="B869" s="685" t="s">
        <v>162</v>
      </c>
      <c r="C869" s="683" t="s">
        <v>163</v>
      </c>
      <c r="D869" s="634" t="s">
        <v>705</v>
      </c>
      <c r="E869" s="686" t="s">
        <v>164</v>
      </c>
      <c r="F869" s="686" t="s">
        <v>165</v>
      </c>
      <c r="G869" s="686" t="s">
        <v>881</v>
      </c>
      <c r="H869" s="686" t="s">
        <v>882</v>
      </c>
      <c r="I869" s="818" t="s">
        <v>883</v>
      </c>
    </row>
    <row r="870" spans="1:14" s="383" customFormat="1" ht="13.5" thickTop="1" thickBot="1" x14ac:dyDescent="0.25">
      <c r="A870" s="1199">
        <v>1</v>
      </c>
      <c r="B870" s="1200">
        <v>2</v>
      </c>
      <c r="C870" s="1200">
        <v>3</v>
      </c>
      <c r="D870" s="1200">
        <v>4</v>
      </c>
      <c r="E870" s="567">
        <v>5</v>
      </c>
      <c r="F870" s="1201">
        <v>6</v>
      </c>
      <c r="G870" s="1201">
        <v>7</v>
      </c>
      <c r="H870" s="1202">
        <v>8</v>
      </c>
      <c r="I870" s="1203" t="s">
        <v>762</v>
      </c>
    </row>
    <row r="871" spans="1:14" s="532" customFormat="1" ht="16.5" thickTop="1" thickBot="1" x14ac:dyDescent="0.3">
      <c r="A871" s="1211">
        <v>60004100050</v>
      </c>
      <c r="B871" s="967">
        <v>2212</v>
      </c>
      <c r="C871" s="1212">
        <v>6121</v>
      </c>
      <c r="D871" s="968">
        <v>12</v>
      </c>
      <c r="E871" s="969" t="s">
        <v>603</v>
      </c>
      <c r="F871" s="889"/>
      <c r="G871" s="1214">
        <v>706</v>
      </c>
      <c r="H871" s="889">
        <v>705</v>
      </c>
      <c r="I871" s="1215">
        <f>(H871/G871)*100</f>
        <v>99.858356940509921</v>
      </c>
    </row>
    <row r="872" spans="1:14" s="532" customFormat="1" ht="18" customHeight="1" thickTop="1" thickBot="1" x14ac:dyDescent="0.3">
      <c r="A872" s="2692" t="s">
        <v>244</v>
      </c>
      <c r="B872" s="2685"/>
      <c r="C872" s="2685"/>
      <c r="D872" s="2685"/>
      <c r="E872" s="2685"/>
      <c r="F872" s="873">
        <f>F871</f>
        <v>0</v>
      </c>
      <c r="G872" s="873">
        <f>G871</f>
        <v>706</v>
      </c>
      <c r="H872" s="873">
        <f>H871</f>
        <v>705</v>
      </c>
      <c r="I872" s="856">
        <f>(H872/G872)*100</f>
        <v>99.858356940509921</v>
      </c>
    </row>
    <row r="873" spans="1:14" ht="13.5" thickTop="1" x14ac:dyDescent="0.2">
      <c r="K873" s="911"/>
      <c r="L873" s="911"/>
      <c r="M873" s="911"/>
      <c r="N873" s="432"/>
    </row>
    <row r="874" spans="1:14" x14ac:dyDescent="0.2">
      <c r="K874" s="911"/>
      <c r="L874" s="911"/>
      <c r="M874" s="911"/>
      <c r="N874" s="432"/>
    </row>
    <row r="875" spans="1:14" s="532" customFormat="1" ht="13.5" thickBot="1" x14ac:dyDescent="0.25">
      <c r="A875" s="432" t="s">
        <v>958</v>
      </c>
      <c r="B875" s="643"/>
      <c r="D875" s="814"/>
      <c r="F875" s="493"/>
      <c r="G875" s="493"/>
      <c r="H875" s="493"/>
      <c r="I875" s="949" t="s">
        <v>161</v>
      </c>
    </row>
    <row r="876" spans="1:14" s="107" customFormat="1" ht="20.25" customHeight="1" thickTop="1" thickBot="1" x14ac:dyDescent="0.25">
      <c r="A876" s="682" t="s">
        <v>624</v>
      </c>
      <c r="B876" s="685" t="s">
        <v>162</v>
      </c>
      <c r="C876" s="683" t="s">
        <v>163</v>
      </c>
      <c r="D876" s="634" t="s">
        <v>705</v>
      </c>
      <c r="E876" s="686" t="s">
        <v>164</v>
      </c>
      <c r="F876" s="686" t="s">
        <v>165</v>
      </c>
      <c r="G876" s="686" t="s">
        <v>881</v>
      </c>
      <c r="H876" s="686" t="s">
        <v>882</v>
      </c>
      <c r="I876" s="818" t="s">
        <v>883</v>
      </c>
    </row>
    <row r="877" spans="1:14" s="383" customFormat="1" ht="13.5" thickTop="1" thickBot="1" x14ac:dyDescent="0.25">
      <c r="A877" s="1199">
        <v>1</v>
      </c>
      <c r="B877" s="1200">
        <v>2</v>
      </c>
      <c r="C877" s="1200">
        <v>3</v>
      </c>
      <c r="D877" s="1200">
        <v>4</v>
      </c>
      <c r="E877" s="567">
        <v>5</v>
      </c>
      <c r="F877" s="1201">
        <v>6</v>
      </c>
      <c r="G877" s="1201">
        <v>7</v>
      </c>
      <c r="H877" s="1202">
        <v>8</v>
      </c>
      <c r="I877" s="1203" t="s">
        <v>762</v>
      </c>
    </row>
    <row r="878" spans="1:14" s="532" customFormat="1" ht="15.75" thickTop="1" x14ac:dyDescent="0.25">
      <c r="A878" s="957">
        <v>60004100060</v>
      </c>
      <c r="B878" s="775">
        <v>2212</v>
      </c>
      <c r="C878" s="654">
        <v>6121</v>
      </c>
      <c r="D878" s="973">
        <v>12</v>
      </c>
      <c r="E878" s="790" t="s">
        <v>603</v>
      </c>
      <c r="F878" s="960"/>
      <c r="G878" s="1209">
        <v>15</v>
      </c>
      <c r="H878" s="960">
        <v>0</v>
      </c>
      <c r="I878" s="1210">
        <f>(H878/G878)*100</f>
        <v>0</v>
      </c>
    </row>
    <row r="879" spans="1:14" s="532" customFormat="1" ht="15.75" thickBot="1" x14ac:dyDescent="0.3">
      <c r="A879" s="963">
        <v>60004100060</v>
      </c>
      <c r="B879" s="891">
        <v>2212</v>
      </c>
      <c r="C879" s="891">
        <v>6130</v>
      </c>
      <c r="D879" s="1230">
        <v>12</v>
      </c>
      <c r="E879" s="1229" t="s">
        <v>856</v>
      </c>
      <c r="F879" s="1228"/>
      <c r="G879" s="1228">
        <v>13</v>
      </c>
      <c r="H879" s="1228">
        <v>13</v>
      </c>
      <c r="I879" s="974">
        <f>(H879/G879)*100</f>
        <v>100</v>
      </c>
    </row>
    <row r="880" spans="1:14" s="532" customFormat="1" ht="18" customHeight="1" thickTop="1" thickBot="1" x14ac:dyDescent="0.3">
      <c r="A880" s="2692" t="s">
        <v>244</v>
      </c>
      <c r="B880" s="2685"/>
      <c r="C880" s="2685"/>
      <c r="D880" s="2685"/>
      <c r="E880" s="2685"/>
      <c r="F880" s="873">
        <f>F878</f>
        <v>0</v>
      </c>
      <c r="G880" s="873">
        <f>G878+G879</f>
        <v>28</v>
      </c>
      <c r="H880" s="873">
        <f>H878+H879</f>
        <v>13</v>
      </c>
      <c r="I880" s="856">
        <f>(H880/G880)*100</f>
        <v>46.428571428571431</v>
      </c>
    </row>
    <row r="881" spans="1:14" ht="13.5" thickTop="1" x14ac:dyDescent="0.2">
      <c r="K881" s="911"/>
      <c r="L881" s="911"/>
      <c r="M881" s="911"/>
      <c r="N881" s="432"/>
    </row>
    <row r="882" spans="1:14" x14ac:dyDescent="0.2">
      <c r="K882" s="911"/>
      <c r="L882" s="911"/>
      <c r="M882" s="911"/>
      <c r="N882" s="432"/>
    </row>
    <row r="883" spans="1:14" s="532" customFormat="1" ht="13.5" thickBot="1" x14ac:dyDescent="0.25">
      <c r="A883" s="432" t="s">
        <v>959</v>
      </c>
      <c r="B883" s="643"/>
      <c r="D883" s="814"/>
      <c r="F883" s="493"/>
      <c r="G883" s="493"/>
      <c r="H883" s="493"/>
      <c r="I883" s="949" t="s">
        <v>161</v>
      </c>
    </row>
    <row r="884" spans="1:14" s="107" customFormat="1" ht="20.25" customHeight="1" thickTop="1" thickBot="1" x14ac:dyDescent="0.25">
      <c r="A884" s="682" t="s">
        <v>624</v>
      </c>
      <c r="B884" s="685" t="s">
        <v>162</v>
      </c>
      <c r="C884" s="683" t="s">
        <v>163</v>
      </c>
      <c r="D884" s="634" t="s">
        <v>705</v>
      </c>
      <c r="E884" s="686" t="s">
        <v>164</v>
      </c>
      <c r="F884" s="686" t="s">
        <v>165</v>
      </c>
      <c r="G884" s="686" t="s">
        <v>881</v>
      </c>
      <c r="H884" s="686" t="s">
        <v>882</v>
      </c>
      <c r="I884" s="818" t="s">
        <v>883</v>
      </c>
    </row>
    <row r="885" spans="1:14" s="383" customFormat="1" ht="13.5" thickTop="1" thickBot="1" x14ac:dyDescent="0.25">
      <c r="A885" s="1199">
        <v>1</v>
      </c>
      <c r="B885" s="1200">
        <v>2</v>
      </c>
      <c r="C885" s="1200">
        <v>3</v>
      </c>
      <c r="D885" s="1200">
        <v>4</v>
      </c>
      <c r="E885" s="567">
        <v>5</v>
      </c>
      <c r="F885" s="1201">
        <v>6</v>
      </c>
      <c r="G885" s="1201">
        <v>7</v>
      </c>
      <c r="H885" s="1202">
        <v>8</v>
      </c>
      <c r="I885" s="1203" t="s">
        <v>762</v>
      </c>
    </row>
    <row r="886" spans="1:14" s="532" customFormat="1" ht="15.75" thickTop="1" x14ac:dyDescent="0.25">
      <c r="A886" s="957">
        <v>60004100061</v>
      </c>
      <c r="B886" s="775">
        <v>2212</v>
      </c>
      <c r="C886" s="654">
        <v>6121</v>
      </c>
      <c r="D886" s="973">
        <v>12</v>
      </c>
      <c r="E886" s="790" t="s">
        <v>603</v>
      </c>
      <c r="F886" s="960">
        <v>31035</v>
      </c>
      <c r="G886" s="1209">
        <v>7959</v>
      </c>
      <c r="H886" s="960">
        <v>7925</v>
      </c>
      <c r="I886" s="1210">
        <f>(H886/G886)*100</f>
        <v>99.572810654604851</v>
      </c>
    </row>
    <row r="887" spans="1:14" s="532" customFormat="1" ht="15.75" thickBot="1" x14ac:dyDescent="0.3">
      <c r="A887" s="963">
        <v>60004100061</v>
      </c>
      <c r="B887" s="891">
        <v>2212</v>
      </c>
      <c r="C887" s="891">
        <v>6121</v>
      </c>
      <c r="D887" s="1230">
        <v>805</v>
      </c>
      <c r="E887" s="1229" t="s">
        <v>603</v>
      </c>
      <c r="F887" s="1228"/>
      <c r="G887" s="1228">
        <v>23814</v>
      </c>
      <c r="H887" s="1228">
        <v>22826</v>
      </c>
      <c r="I887" s="974">
        <f>(H887/G887)*100</f>
        <v>95.851179978164097</v>
      </c>
    </row>
    <row r="888" spans="1:14" s="532" customFormat="1" ht="18" customHeight="1" thickTop="1" thickBot="1" x14ac:dyDescent="0.3">
      <c r="A888" s="2692" t="s">
        <v>244</v>
      </c>
      <c r="B888" s="2685"/>
      <c r="C888" s="2685"/>
      <c r="D888" s="2685"/>
      <c r="E888" s="2685"/>
      <c r="F888" s="873">
        <f>F886</f>
        <v>31035</v>
      </c>
      <c r="G888" s="873">
        <f>G886+G887</f>
        <v>31773</v>
      </c>
      <c r="H888" s="873">
        <f>H886+H887</f>
        <v>30751</v>
      </c>
      <c r="I888" s="856">
        <f>(H888/G888)*100</f>
        <v>96.783432474113241</v>
      </c>
    </row>
    <row r="889" spans="1:14" ht="13.5" thickTop="1" x14ac:dyDescent="0.2">
      <c r="K889" s="911"/>
      <c r="L889" s="911"/>
      <c r="M889" s="911"/>
      <c r="N889" s="432"/>
    </row>
    <row r="890" spans="1:14" x14ac:dyDescent="0.2">
      <c r="K890" s="911"/>
      <c r="L890" s="911"/>
      <c r="M890" s="911"/>
      <c r="N890" s="432"/>
    </row>
    <row r="891" spans="1:14" s="532" customFormat="1" ht="13.5" thickBot="1" x14ac:dyDescent="0.25">
      <c r="A891" s="432" t="s">
        <v>960</v>
      </c>
      <c r="B891" s="643"/>
      <c r="D891" s="814"/>
      <c r="F891" s="493"/>
      <c r="G891" s="493"/>
      <c r="H891" s="493"/>
      <c r="I891" s="949" t="s">
        <v>161</v>
      </c>
    </row>
    <row r="892" spans="1:14" s="107" customFormat="1" ht="20.25" customHeight="1" thickTop="1" thickBot="1" x14ac:dyDescent="0.25">
      <c r="A892" s="682" t="s">
        <v>624</v>
      </c>
      <c r="B892" s="685" t="s">
        <v>162</v>
      </c>
      <c r="C892" s="683" t="s">
        <v>163</v>
      </c>
      <c r="D892" s="634" t="s">
        <v>705</v>
      </c>
      <c r="E892" s="686" t="s">
        <v>164</v>
      </c>
      <c r="F892" s="686" t="s">
        <v>165</v>
      </c>
      <c r="G892" s="686" t="s">
        <v>881</v>
      </c>
      <c r="H892" s="686" t="s">
        <v>882</v>
      </c>
      <c r="I892" s="818" t="s">
        <v>883</v>
      </c>
    </row>
    <row r="893" spans="1:14" s="383" customFormat="1" ht="13.5" thickTop="1" thickBot="1" x14ac:dyDescent="0.25">
      <c r="A893" s="1199">
        <v>1</v>
      </c>
      <c r="B893" s="1200">
        <v>2</v>
      </c>
      <c r="C893" s="1200">
        <v>3</v>
      </c>
      <c r="D893" s="1200">
        <v>4</v>
      </c>
      <c r="E893" s="567">
        <v>5</v>
      </c>
      <c r="F893" s="1201">
        <v>6</v>
      </c>
      <c r="G893" s="1201">
        <v>7</v>
      </c>
      <c r="H893" s="1202">
        <v>8</v>
      </c>
      <c r="I893" s="1203" t="s">
        <v>762</v>
      </c>
    </row>
    <row r="894" spans="1:14" s="383" customFormat="1" ht="15.75" thickTop="1" x14ac:dyDescent="0.25">
      <c r="A894" s="957">
        <v>60004100081</v>
      </c>
      <c r="B894" s="775">
        <v>2212</v>
      </c>
      <c r="C894" s="654">
        <v>6121</v>
      </c>
      <c r="D894" s="973">
        <v>12</v>
      </c>
      <c r="E894" s="790" t="s">
        <v>603</v>
      </c>
      <c r="F894" s="960">
        <v>600</v>
      </c>
      <c r="G894" s="1209">
        <v>0</v>
      </c>
      <c r="H894" s="960">
        <v>0</v>
      </c>
      <c r="I894" s="1210">
        <v>0</v>
      </c>
    </row>
    <row r="895" spans="1:14" s="532" customFormat="1" ht="15.75" thickBot="1" x14ac:dyDescent="0.3">
      <c r="A895" s="963">
        <v>60004100081</v>
      </c>
      <c r="B895" s="891">
        <v>2212</v>
      </c>
      <c r="C895" s="891">
        <v>6121</v>
      </c>
      <c r="D895" s="1230">
        <v>805</v>
      </c>
      <c r="E895" s="1229" t="s">
        <v>603</v>
      </c>
      <c r="F895" s="1228"/>
      <c r="G895" s="1228">
        <v>855</v>
      </c>
      <c r="H895" s="1228">
        <v>743</v>
      </c>
      <c r="I895" s="974">
        <f>(H895/G895)*100</f>
        <v>86.900584795321635</v>
      </c>
    </row>
    <row r="896" spans="1:14" s="532" customFormat="1" ht="18" customHeight="1" thickTop="1" thickBot="1" x14ac:dyDescent="0.3">
      <c r="A896" s="2692" t="s">
        <v>244</v>
      </c>
      <c r="B896" s="2685"/>
      <c r="C896" s="2685"/>
      <c r="D896" s="2685"/>
      <c r="E896" s="2685"/>
      <c r="F896" s="873">
        <f>F894</f>
        <v>600</v>
      </c>
      <c r="G896" s="873">
        <f>G895</f>
        <v>855</v>
      </c>
      <c r="H896" s="873">
        <f>H895</f>
        <v>743</v>
      </c>
      <c r="I896" s="856">
        <f>(H896/G896)*100</f>
        <v>86.900584795321635</v>
      </c>
    </row>
    <row r="897" spans="1:14" ht="13.5" thickTop="1" x14ac:dyDescent="0.2">
      <c r="K897" s="911"/>
      <c r="L897" s="911"/>
      <c r="M897" s="911"/>
      <c r="N897" s="432"/>
    </row>
    <row r="898" spans="1:14" x14ac:dyDescent="0.2">
      <c r="K898" s="911"/>
      <c r="L898" s="911"/>
      <c r="M898" s="911"/>
      <c r="N898" s="432"/>
    </row>
    <row r="899" spans="1:14" s="532" customFormat="1" ht="13.5" thickBot="1" x14ac:dyDescent="0.25">
      <c r="A899" s="432" t="s">
        <v>743</v>
      </c>
      <c r="B899" s="643"/>
      <c r="D899" s="814"/>
      <c r="F899" s="493"/>
      <c r="G899" s="493"/>
      <c r="H899" s="493"/>
      <c r="I899" s="949" t="s">
        <v>161</v>
      </c>
    </row>
    <row r="900" spans="1:14" s="107" customFormat="1" ht="20.25" customHeight="1" thickTop="1" thickBot="1" x14ac:dyDescent="0.25">
      <c r="A900" s="682" t="s">
        <v>624</v>
      </c>
      <c r="B900" s="685" t="s">
        <v>162</v>
      </c>
      <c r="C900" s="683" t="s">
        <v>163</v>
      </c>
      <c r="D900" s="634" t="s">
        <v>705</v>
      </c>
      <c r="E900" s="686" t="s">
        <v>164</v>
      </c>
      <c r="F900" s="686" t="s">
        <v>165</v>
      </c>
      <c r="G900" s="686" t="s">
        <v>881</v>
      </c>
      <c r="H900" s="686" t="s">
        <v>882</v>
      </c>
      <c r="I900" s="818" t="s">
        <v>883</v>
      </c>
    </row>
    <row r="901" spans="1:14" s="383" customFormat="1" ht="13.5" thickTop="1" thickBot="1" x14ac:dyDescent="0.25">
      <c r="A901" s="1199">
        <v>1</v>
      </c>
      <c r="B901" s="1200">
        <v>2</v>
      </c>
      <c r="C901" s="1200">
        <v>3</v>
      </c>
      <c r="D901" s="1200">
        <v>4</v>
      </c>
      <c r="E901" s="567">
        <v>5</v>
      </c>
      <c r="F901" s="1201">
        <v>6</v>
      </c>
      <c r="G901" s="1201">
        <v>7</v>
      </c>
      <c r="H901" s="1202">
        <v>8</v>
      </c>
      <c r="I901" s="1203" t="s">
        <v>762</v>
      </c>
    </row>
    <row r="902" spans="1:14" s="532" customFormat="1" ht="16.5" thickTop="1" thickBot="1" x14ac:dyDescent="0.3">
      <c r="A902" s="1211">
        <v>60004100086</v>
      </c>
      <c r="B902" s="967">
        <v>2212</v>
      </c>
      <c r="C902" s="1212">
        <v>5169</v>
      </c>
      <c r="D902" s="968">
        <v>805</v>
      </c>
      <c r="E902" s="1206" t="s">
        <v>852</v>
      </c>
      <c r="F902" s="889"/>
      <c r="G902" s="1214">
        <v>144</v>
      </c>
      <c r="H902" s="889">
        <v>144</v>
      </c>
      <c r="I902" s="1215">
        <f t="shared" ref="I902:I907" si="2">(H902/G902)*100</f>
        <v>100</v>
      </c>
    </row>
    <row r="903" spans="1:14" s="532" customFormat="1" ht="18" customHeight="1" thickTop="1" thickBot="1" x14ac:dyDescent="0.3">
      <c r="A903" s="2672" t="s">
        <v>245</v>
      </c>
      <c r="B903" s="2673"/>
      <c r="C903" s="2673"/>
      <c r="D903" s="2673"/>
      <c r="E903" s="2673"/>
      <c r="F903" s="873">
        <f>F902</f>
        <v>0</v>
      </c>
      <c r="G903" s="873">
        <f>G902</f>
        <v>144</v>
      </c>
      <c r="H903" s="873">
        <f>H902</f>
        <v>144</v>
      </c>
      <c r="I903" s="856">
        <f t="shared" si="2"/>
        <v>100</v>
      </c>
    </row>
    <row r="904" spans="1:14" s="532" customFormat="1" ht="15.75" thickTop="1" x14ac:dyDescent="0.25">
      <c r="A904" s="957">
        <v>60004100086</v>
      </c>
      <c r="B904" s="775">
        <v>2212</v>
      </c>
      <c r="C904" s="654">
        <v>6121</v>
      </c>
      <c r="D904" s="973">
        <v>12</v>
      </c>
      <c r="E904" s="309" t="s">
        <v>603</v>
      </c>
      <c r="F904" s="960">
        <v>26000</v>
      </c>
      <c r="G904" s="1209">
        <v>889</v>
      </c>
      <c r="H904" s="960">
        <v>861</v>
      </c>
      <c r="I904" s="1210">
        <f t="shared" si="2"/>
        <v>96.850393700787393</v>
      </c>
    </row>
    <row r="905" spans="1:14" s="532" customFormat="1" ht="15" x14ac:dyDescent="0.25">
      <c r="A905" s="1232">
        <v>60004100086</v>
      </c>
      <c r="B905" s="750">
        <v>2212</v>
      </c>
      <c r="C905" s="750">
        <v>6121</v>
      </c>
      <c r="D905" s="1221">
        <v>805</v>
      </c>
      <c r="E905" s="1231" t="s">
        <v>603</v>
      </c>
      <c r="F905" s="846"/>
      <c r="G905" s="846">
        <v>28873</v>
      </c>
      <c r="H905" s="846">
        <v>28838</v>
      </c>
      <c r="I905" s="838">
        <f t="shared" si="2"/>
        <v>99.878779482561569</v>
      </c>
    </row>
    <row r="906" spans="1:14" s="532" customFormat="1" ht="15.75" thickBot="1" x14ac:dyDescent="0.3">
      <c r="A906" s="963">
        <v>60004100086</v>
      </c>
      <c r="B906" s="891">
        <v>2212</v>
      </c>
      <c r="C906" s="891">
        <v>6130</v>
      </c>
      <c r="D906" s="1230">
        <v>805</v>
      </c>
      <c r="E906" s="1229" t="s">
        <v>856</v>
      </c>
      <c r="F906" s="1228"/>
      <c r="G906" s="1228">
        <v>5</v>
      </c>
      <c r="H906" s="1228">
        <v>5</v>
      </c>
      <c r="I906" s="974">
        <f t="shared" si="2"/>
        <v>100</v>
      </c>
    </row>
    <row r="907" spans="1:14" s="532" customFormat="1" ht="18" customHeight="1" thickTop="1" thickBot="1" x14ac:dyDescent="0.3">
      <c r="A907" s="2692" t="s">
        <v>244</v>
      </c>
      <c r="B907" s="2685"/>
      <c r="C907" s="2685"/>
      <c r="D907" s="2685"/>
      <c r="E907" s="2685"/>
      <c r="F907" s="873">
        <f>F904</f>
        <v>26000</v>
      </c>
      <c r="G907" s="873">
        <f>G904+G905+G906</f>
        <v>29767</v>
      </c>
      <c r="H907" s="873">
        <f>H904+H905+H906</f>
        <v>29704</v>
      </c>
      <c r="I907" s="856">
        <f t="shared" si="2"/>
        <v>99.788356233412841</v>
      </c>
    </row>
    <row r="908" spans="1:14" ht="13.5" thickTop="1" x14ac:dyDescent="0.2">
      <c r="K908" s="911"/>
      <c r="L908" s="911"/>
      <c r="M908" s="911"/>
      <c r="N908" s="432"/>
    </row>
    <row r="909" spans="1:14" x14ac:dyDescent="0.2">
      <c r="K909" s="911"/>
      <c r="L909" s="911"/>
      <c r="M909" s="911"/>
      <c r="N909" s="432"/>
    </row>
    <row r="910" spans="1:14" s="532" customFormat="1" ht="13.5" thickBot="1" x14ac:dyDescent="0.25">
      <c r="A910" s="432" t="s">
        <v>744</v>
      </c>
      <c r="B910" s="643"/>
      <c r="D910" s="814"/>
      <c r="F910" s="493"/>
      <c r="G910" s="493"/>
      <c r="H910" s="493"/>
      <c r="I910" s="949" t="s">
        <v>161</v>
      </c>
    </row>
    <row r="911" spans="1:14" s="107" customFormat="1" ht="20.25" customHeight="1" thickTop="1" thickBot="1" x14ac:dyDescent="0.25">
      <c r="A911" s="682" t="s">
        <v>624</v>
      </c>
      <c r="B911" s="685" t="s">
        <v>162</v>
      </c>
      <c r="C911" s="683" t="s">
        <v>163</v>
      </c>
      <c r="D911" s="634" t="s">
        <v>705</v>
      </c>
      <c r="E911" s="686" t="s">
        <v>164</v>
      </c>
      <c r="F911" s="686" t="s">
        <v>165</v>
      </c>
      <c r="G911" s="686" t="s">
        <v>881</v>
      </c>
      <c r="H911" s="686" t="s">
        <v>882</v>
      </c>
      <c r="I911" s="818" t="s">
        <v>883</v>
      </c>
    </row>
    <row r="912" spans="1:14" s="383" customFormat="1" ht="13.5" thickTop="1" thickBot="1" x14ac:dyDescent="0.25">
      <c r="A912" s="1199">
        <v>1</v>
      </c>
      <c r="B912" s="1200">
        <v>2</v>
      </c>
      <c r="C912" s="1200">
        <v>3</v>
      </c>
      <c r="D912" s="1200">
        <v>4</v>
      </c>
      <c r="E912" s="567">
        <v>5</v>
      </c>
      <c r="F912" s="1201">
        <v>6</v>
      </c>
      <c r="G912" s="1201">
        <v>7</v>
      </c>
      <c r="H912" s="1202">
        <v>8</v>
      </c>
      <c r="I912" s="1203" t="s">
        <v>762</v>
      </c>
    </row>
    <row r="913" spans="1:14" s="532" customFormat="1" ht="16.5" thickTop="1" thickBot="1" x14ac:dyDescent="0.3">
      <c r="A913" s="1211">
        <v>60004100099</v>
      </c>
      <c r="B913" s="967">
        <v>2212</v>
      </c>
      <c r="C913" s="1212">
        <v>6121</v>
      </c>
      <c r="D913" s="968">
        <v>12</v>
      </c>
      <c r="E913" s="969" t="s">
        <v>603</v>
      </c>
      <c r="F913" s="889"/>
      <c r="G913" s="1214">
        <v>3642</v>
      </c>
      <c r="H913" s="889">
        <v>3642</v>
      </c>
      <c r="I913" s="1215">
        <f>(H913/G913)*100</f>
        <v>100</v>
      </c>
    </row>
    <row r="914" spans="1:14" s="532" customFormat="1" ht="18" customHeight="1" thickTop="1" thickBot="1" x14ac:dyDescent="0.3">
      <c r="A914" s="2692" t="s">
        <v>244</v>
      </c>
      <c r="B914" s="2685"/>
      <c r="C914" s="2685"/>
      <c r="D914" s="2685"/>
      <c r="E914" s="2685"/>
      <c r="F914" s="873">
        <f>F913</f>
        <v>0</v>
      </c>
      <c r="G914" s="873">
        <f>G913</f>
        <v>3642</v>
      </c>
      <c r="H914" s="873">
        <f>H913</f>
        <v>3642</v>
      </c>
      <c r="I914" s="856">
        <f>(H914/G914)*100</f>
        <v>100</v>
      </c>
    </row>
    <row r="915" spans="1:14" ht="13.5" thickTop="1" x14ac:dyDescent="0.2">
      <c r="K915" s="911"/>
      <c r="L915" s="911"/>
      <c r="M915" s="911"/>
      <c r="N915" s="432"/>
    </row>
    <row r="916" spans="1:14" x14ac:dyDescent="0.2">
      <c r="K916" s="911"/>
      <c r="L916" s="911"/>
      <c r="M916" s="911"/>
      <c r="N916" s="432"/>
    </row>
    <row r="917" spans="1:14" s="532" customFormat="1" ht="13.5" thickBot="1" x14ac:dyDescent="0.25">
      <c r="A917" s="432" t="s">
        <v>745</v>
      </c>
      <c r="B917" s="643"/>
      <c r="D917" s="814"/>
      <c r="F917" s="493"/>
      <c r="G917" s="493"/>
      <c r="H917" s="493"/>
      <c r="I917" s="949" t="s">
        <v>161</v>
      </c>
    </row>
    <row r="918" spans="1:14" s="107" customFormat="1" ht="20.25" customHeight="1" thickTop="1" thickBot="1" x14ac:dyDescent="0.25">
      <c r="A918" s="682" t="s">
        <v>624</v>
      </c>
      <c r="B918" s="685" t="s">
        <v>162</v>
      </c>
      <c r="C918" s="683" t="s">
        <v>163</v>
      </c>
      <c r="D918" s="634" t="s">
        <v>705</v>
      </c>
      <c r="E918" s="686" t="s">
        <v>164</v>
      </c>
      <c r="F918" s="686" t="s">
        <v>165</v>
      </c>
      <c r="G918" s="686" t="s">
        <v>881</v>
      </c>
      <c r="H918" s="686" t="s">
        <v>882</v>
      </c>
      <c r="I918" s="818" t="s">
        <v>883</v>
      </c>
    </row>
    <row r="919" spans="1:14" s="383" customFormat="1" ht="13.5" thickTop="1" thickBot="1" x14ac:dyDescent="0.25">
      <c r="A919" s="1199">
        <v>1</v>
      </c>
      <c r="B919" s="1200">
        <v>2</v>
      </c>
      <c r="C919" s="1200">
        <v>3</v>
      </c>
      <c r="D919" s="1200">
        <v>4</v>
      </c>
      <c r="E919" s="567">
        <v>5</v>
      </c>
      <c r="F919" s="1201">
        <v>6</v>
      </c>
      <c r="G919" s="1201">
        <v>7</v>
      </c>
      <c r="H919" s="1202">
        <v>8</v>
      </c>
      <c r="I919" s="1203" t="s">
        <v>762</v>
      </c>
    </row>
    <row r="920" spans="1:14" s="532" customFormat="1" ht="16.5" thickTop="1" thickBot="1" x14ac:dyDescent="0.3">
      <c r="A920" s="1211">
        <v>60004100104</v>
      </c>
      <c r="B920" s="967">
        <v>2212</v>
      </c>
      <c r="C920" s="1212">
        <v>6121</v>
      </c>
      <c r="D920" s="968">
        <v>12</v>
      </c>
      <c r="E920" s="969" t="s">
        <v>603</v>
      </c>
      <c r="F920" s="889"/>
      <c r="G920" s="1214">
        <v>554</v>
      </c>
      <c r="H920" s="889">
        <v>553</v>
      </c>
      <c r="I920" s="1215">
        <f>(H920/G920)*100</f>
        <v>99.819494584837543</v>
      </c>
    </row>
    <row r="921" spans="1:14" s="532" customFormat="1" ht="18" customHeight="1" thickTop="1" thickBot="1" x14ac:dyDescent="0.3">
      <c r="A921" s="2692" t="s">
        <v>244</v>
      </c>
      <c r="B921" s="2685"/>
      <c r="C921" s="2685"/>
      <c r="D921" s="2685"/>
      <c r="E921" s="2685"/>
      <c r="F921" s="873">
        <f>F920</f>
        <v>0</v>
      </c>
      <c r="G921" s="873">
        <f>G920</f>
        <v>554</v>
      </c>
      <c r="H921" s="873">
        <f>H920</f>
        <v>553</v>
      </c>
      <c r="I921" s="856">
        <f>(H921/G921)*100</f>
        <v>99.819494584837543</v>
      </c>
    </row>
    <row r="922" spans="1:14" ht="13.5" thickTop="1" x14ac:dyDescent="0.2">
      <c r="K922" s="911"/>
      <c r="L922" s="911"/>
      <c r="M922" s="911"/>
      <c r="N922" s="432"/>
    </row>
    <row r="923" spans="1:14" x14ac:dyDescent="0.2">
      <c r="K923" s="911"/>
      <c r="L923" s="911"/>
      <c r="M923" s="911"/>
      <c r="N923" s="432"/>
    </row>
    <row r="924" spans="1:14" s="532" customFormat="1" ht="13.5" thickBot="1" x14ac:dyDescent="0.25">
      <c r="A924" s="432" t="s">
        <v>746</v>
      </c>
      <c r="B924" s="643"/>
      <c r="D924" s="814"/>
      <c r="F924" s="493"/>
      <c r="G924" s="493"/>
      <c r="H924" s="493"/>
      <c r="I924" s="949" t="s">
        <v>161</v>
      </c>
    </row>
    <row r="925" spans="1:14" s="107" customFormat="1" ht="20.25" customHeight="1" thickTop="1" thickBot="1" x14ac:dyDescent="0.25">
      <c r="A925" s="682" t="s">
        <v>624</v>
      </c>
      <c r="B925" s="685" t="s">
        <v>162</v>
      </c>
      <c r="C925" s="683" t="s">
        <v>163</v>
      </c>
      <c r="D925" s="634" t="s">
        <v>705</v>
      </c>
      <c r="E925" s="686" t="s">
        <v>164</v>
      </c>
      <c r="F925" s="686" t="s">
        <v>165</v>
      </c>
      <c r="G925" s="686" t="s">
        <v>881</v>
      </c>
      <c r="H925" s="686" t="s">
        <v>882</v>
      </c>
      <c r="I925" s="818" t="s">
        <v>883</v>
      </c>
    </row>
    <row r="926" spans="1:14" s="383" customFormat="1" ht="13.5" thickTop="1" thickBot="1" x14ac:dyDescent="0.25">
      <c r="A926" s="1199">
        <v>1</v>
      </c>
      <c r="B926" s="1200">
        <v>2</v>
      </c>
      <c r="C926" s="1200">
        <v>3</v>
      </c>
      <c r="D926" s="1200">
        <v>4</v>
      </c>
      <c r="E926" s="567">
        <v>5</v>
      </c>
      <c r="F926" s="1201">
        <v>6</v>
      </c>
      <c r="G926" s="1201">
        <v>7</v>
      </c>
      <c r="H926" s="1202">
        <v>8</v>
      </c>
      <c r="I926" s="1203" t="s">
        <v>762</v>
      </c>
    </row>
    <row r="927" spans="1:14" s="532" customFormat="1" ht="16.5" thickTop="1" thickBot="1" x14ac:dyDescent="0.3">
      <c r="A927" s="1211">
        <v>60004100107</v>
      </c>
      <c r="B927" s="967">
        <v>2212</v>
      </c>
      <c r="C927" s="1212">
        <v>6121</v>
      </c>
      <c r="D927" s="968">
        <v>12</v>
      </c>
      <c r="E927" s="969" t="s">
        <v>603</v>
      </c>
      <c r="F927" s="889"/>
      <c r="G927" s="1214">
        <v>1072</v>
      </c>
      <c r="H927" s="889">
        <v>1072</v>
      </c>
      <c r="I927" s="1215">
        <f>(H927/G927)*100</f>
        <v>100</v>
      </c>
    </row>
    <row r="928" spans="1:14" s="532" customFormat="1" ht="18" customHeight="1" thickTop="1" thickBot="1" x14ac:dyDescent="0.3">
      <c r="A928" s="2692" t="s">
        <v>244</v>
      </c>
      <c r="B928" s="2685"/>
      <c r="C928" s="2685"/>
      <c r="D928" s="2685"/>
      <c r="E928" s="2685"/>
      <c r="F928" s="873">
        <f>F927</f>
        <v>0</v>
      </c>
      <c r="G928" s="873">
        <f>G927</f>
        <v>1072</v>
      </c>
      <c r="H928" s="873">
        <f>H927</f>
        <v>1072</v>
      </c>
      <c r="I928" s="856">
        <f>(H928/G928)*100</f>
        <v>100</v>
      </c>
    </row>
    <row r="929" spans="1:14" ht="13.5" thickTop="1" x14ac:dyDescent="0.2">
      <c r="K929" s="911"/>
      <c r="L929" s="911"/>
      <c r="M929" s="911"/>
      <c r="N929" s="432"/>
    </row>
    <row r="930" spans="1:14" x14ac:dyDescent="0.2">
      <c r="K930" s="911"/>
      <c r="L930" s="911"/>
      <c r="M930" s="911"/>
      <c r="N930" s="432"/>
    </row>
    <row r="931" spans="1:14" x14ac:dyDescent="0.2">
      <c r="K931" s="911"/>
      <c r="L931" s="911"/>
      <c r="M931" s="911"/>
      <c r="N931" s="432"/>
    </row>
    <row r="932" spans="1:14" x14ac:dyDescent="0.2">
      <c r="K932" s="911"/>
      <c r="L932" s="911"/>
      <c r="M932" s="911"/>
      <c r="N932" s="432"/>
    </row>
    <row r="933" spans="1:14" x14ac:dyDescent="0.2">
      <c r="K933" s="911"/>
      <c r="L933" s="911"/>
      <c r="M933" s="911"/>
      <c r="N933" s="432"/>
    </row>
    <row r="934" spans="1:14" x14ac:dyDescent="0.2">
      <c r="K934" s="911"/>
      <c r="L934" s="911"/>
      <c r="M934" s="911"/>
      <c r="N934" s="432"/>
    </row>
    <row r="935" spans="1:14" s="532" customFormat="1" ht="13.5" thickBot="1" x14ac:dyDescent="0.25">
      <c r="A935" s="432" t="s">
        <v>747</v>
      </c>
      <c r="B935" s="643"/>
      <c r="D935" s="814"/>
      <c r="F935" s="493"/>
      <c r="G935" s="493"/>
      <c r="H935" s="493"/>
      <c r="I935" s="949" t="s">
        <v>161</v>
      </c>
    </row>
    <row r="936" spans="1:14" s="107" customFormat="1" ht="20.25" customHeight="1" thickTop="1" thickBot="1" x14ac:dyDescent="0.25">
      <c r="A936" s="682" t="s">
        <v>624</v>
      </c>
      <c r="B936" s="685" t="s">
        <v>162</v>
      </c>
      <c r="C936" s="683" t="s">
        <v>163</v>
      </c>
      <c r="D936" s="634" t="s">
        <v>705</v>
      </c>
      <c r="E936" s="686" t="s">
        <v>164</v>
      </c>
      <c r="F936" s="686" t="s">
        <v>165</v>
      </c>
      <c r="G936" s="686" t="s">
        <v>881</v>
      </c>
      <c r="H936" s="686" t="s">
        <v>882</v>
      </c>
      <c r="I936" s="818" t="s">
        <v>883</v>
      </c>
    </row>
    <row r="937" spans="1:14" s="383" customFormat="1" ht="13.5" thickTop="1" thickBot="1" x14ac:dyDescent="0.25">
      <c r="A937" s="1199">
        <v>1</v>
      </c>
      <c r="B937" s="1200">
        <v>2</v>
      </c>
      <c r="C937" s="1200">
        <v>3</v>
      </c>
      <c r="D937" s="1200">
        <v>4</v>
      </c>
      <c r="E937" s="567">
        <v>5</v>
      </c>
      <c r="F937" s="1201">
        <v>6</v>
      </c>
      <c r="G937" s="1201">
        <v>7</v>
      </c>
      <c r="H937" s="1202">
        <v>8</v>
      </c>
      <c r="I937" s="1203" t="s">
        <v>762</v>
      </c>
    </row>
    <row r="938" spans="1:14" s="532" customFormat="1" ht="16.5" thickTop="1" thickBot="1" x14ac:dyDescent="0.3">
      <c r="A938" s="1211">
        <v>60004100108</v>
      </c>
      <c r="B938" s="967">
        <v>2212</v>
      </c>
      <c r="C938" s="1212">
        <v>6121</v>
      </c>
      <c r="D938" s="968">
        <v>12</v>
      </c>
      <c r="E938" s="969" t="s">
        <v>603</v>
      </c>
      <c r="F938" s="889"/>
      <c r="G938" s="1214">
        <v>609</v>
      </c>
      <c r="H938" s="889">
        <v>609</v>
      </c>
      <c r="I938" s="1215">
        <f>(H938/G938)*100</f>
        <v>100</v>
      </c>
    </row>
    <row r="939" spans="1:14" s="532" customFormat="1" ht="18" customHeight="1" thickTop="1" thickBot="1" x14ac:dyDescent="0.3">
      <c r="A939" s="2692" t="s">
        <v>244</v>
      </c>
      <c r="B939" s="2685"/>
      <c r="C939" s="2685"/>
      <c r="D939" s="2685"/>
      <c r="E939" s="2685"/>
      <c r="F939" s="873">
        <f>F938</f>
        <v>0</v>
      </c>
      <c r="G939" s="873">
        <f>G938</f>
        <v>609</v>
      </c>
      <c r="H939" s="873">
        <f>H938</f>
        <v>609</v>
      </c>
      <c r="I939" s="856">
        <f>(H939/G939)*100</f>
        <v>100</v>
      </c>
    </row>
    <row r="940" spans="1:14" ht="13.5" thickTop="1" x14ac:dyDescent="0.2">
      <c r="K940" s="911"/>
      <c r="L940" s="911"/>
      <c r="M940" s="911"/>
      <c r="N940" s="432"/>
    </row>
    <row r="941" spans="1:14" x14ac:dyDescent="0.2">
      <c r="K941" s="911"/>
      <c r="L941" s="911"/>
      <c r="M941" s="911"/>
      <c r="N941" s="432"/>
    </row>
    <row r="942" spans="1:14" s="532" customFormat="1" ht="13.5" thickBot="1" x14ac:dyDescent="0.25">
      <c r="A942" s="432" t="s">
        <v>513</v>
      </c>
      <c r="B942" s="643"/>
      <c r="D942" s="814"/>
      <c r="F942" s="493"/>
      <c r="G942" s="493"/>
      <c r="H942" s="493"/>
      <c r="I942" s="949" t="s">
        <v>161</v>
      </c>
    </row>
    <row r="943" spans="1:14" s="107" customFormat="1" ht="20.25" customHeight="1" thickTop="1" thickBot="1" x14ac:dyDescent="0.25">
      <c r="A943" s="682" t="s">
        <v>624</v>
      </c>
      <c r="B943" s="685" t="s">
        <v>162</v>
      </c>
      <c r="C943" s="683" t="s">
        <v>163</v>
      </c>
      <c r="D943" s="634" t="s">
        <v>705</v>
      </c>
      <c r="E943" s="686" t="s">
        <v>164</v>
      </c>
      <c r="F943" s="686" t="s">
        <v>165</v>
      </c>
      <c r="G943" s="686" t="s">
        <v>881</v>
      </c>
      <c r="H943" s="686" t="s">
        <v>882</v>
      </c>
      <c r="I943" s="818" t="s">
        <v>883</v>
      </c>
    </row>
    <row r="944" spans="1:14" s="383" customFormat="1" ht="13.5" thickTop="1" thickBot="1" x14ac:dyDescent="0.25">
      <c r="A944" s="1199">
        <v>1</v>
      </c>
      <c r="B944" s="1200">
        <v>2</v>
      </c>
      <c r="C944" s="1200">
        <v>3</v>
      </c>
      <c r="D944" s="1200">
        <v>4</v>
      </c>
      <c r="E944" s="567">
        <v>5</v>
      </c>
      <c r="F944" s="1201">
        <v>6</v>
      </c>
      <c r="G944" s="1201">
        <v>7</v>
      </c>
      <c r="H944" s="1202">
        <v>8</v>
      </c>
      <c r="I944" s="1203" t="s">
        <v>762</v>
      </c>
    </row>
    <row r="945" spans="1:14" s="532" customFormat="1" ht="16.5" thickTop="1" thickBot="1" x14ac:dyDescent="0.3">
      <c r="A945" s="1211">
        <v>60004100109</v>
      </c>
      <c r="B945" s="967">
        <v>2212</v>
      </c>
      <c r="C945" s="1212">
        <v>6121</v>
      </c>
      <c r="D945" s="968">
        <v>12</v>
      </c>
      <c r="E945" s="969" t="s">
        <v>603</v>
      </c>
      <c r="F945" s="889"/>
      <c r="G945" s="1214">
        <v>1102</v>
      </c>
      <c r="H945" s="889">
        <v>725</v>
      </c>
      <c r="I945" s="1215">
        <f>(H945/G945)*100</f>
        <v>65.789473684210535</v>
      </c>
    </row>
    <row r="946" spans="1:14" s="532" customFormat="1" ht="18" customHeight="1" thickTop="1" thickBot="1" x14ac:dyDescent="0.3">
      <c r="A946" s="2692" t="s">
        <v>244</v>
      </c>
      <c r="B946" s="2685"/>
      <c r="C946" s="2685"/>
      <c r="D946" s="2685"/>
      <c r="E946" s="2685"/>
      <c r="F946" s="873">
        <f>F945</f>
        <v>0</v>
      </c>
      <c r="G946" s="873">
        <f>G945</f>
        <v>1102</v>
      </c>
      <c r="H946" s="873">
        <f>H945</f>
        <v>725</v>
      </c>
      <c r="I946" s="856">
        <f>(H946/G946)*100</f>
        <v>65.789473684210535</v>
      </c>
    </row>
    <row r="947" spans="1:14" ht="13.5" thickTop="1" x14ac:dyDescent="0.2">
      <c r="K947" s="911"/>
      <c r="L947" s="911"/>
      <c r="M947" s="911"/>
      <c r="N947" s="432"/>
    </row>
    <row r="948" spans="1:14" x14ac:dyDescent="0.2">
      <c r="K948" s="911"/>
      <c r="L948" s="911"/>
      <c r="M948" s="911"/>
      <c r="N948" s="432"/>
    </row>
    <row r="949" spans="1:14" s="532" customFormat="1" ht="13.5" thickBot="1" x14ac:dyDescent="0.25">
      <c r="A949" s="432" t="s">
        <v>514</v>
      </c>
      <c r="B949" s="643"/>
      <c r="D949" s="814"/>
      <c r="F949" s="493"/>
      <c r="G949" s="493"/>
      <c r="H949" s="493"/>
      <c r="I949" s="949" t="s">
        <v>161</v>
      </c>
    </row>
    <row r="950" spans="1:14" s="107" customFormat="1" ht="20.25" customHeight="1" thickTop="1" thickBot="1" x14ac:dyDescent="0.25">
      <c r="A950" s="682" t="s">
        <v>624</v>
      </c>
      <c r="B950" s="685" t="s">
        <v>162</v>
      </c>
      <c r="C950" s="683" t="s">
        <v>163</v>
      </c>
      <c r="D950" s="634" t="s">
        <v>705</v>
      </c>
      <c r="E950" s="686" t="s">
        <v>164</v>
      </c>
      <c r="F950" s="686" t="s">
        <v>165</v>
      </c>
      <c r="G950" s="686" t="s">
        <v>881</v>
      </c>
      <c r="H950" s="686" t="s">
        <v>882</v>
      </c>
      <c r="I950" s="818" t="s">
        <v>883</v>
      </c>
    </row>
    <row r="951" spans="1:14" s="383" customFormat="1" ht="13.5" thickTop="1" thickBot="1" x14ac:dyDescent="0.25">
      <c r="A951" s="1199">
        <v>1</v>
      </c>
      <c r="B951" s="1200">
        <v>2</v>
      </c>
      <c r="C951" s="1200">
        <v>3</v>
      </c>
      <c r="D951" s="1200">
        <v>4</v>
      </c>
      <c r="E951" s="567">
        <v>5</v>
      </c>
      <c r="F951" s="1201">
        <v>6</v>
      </c>
      <c r="G951" s="1201">
        <v>7</v>
      </c>
      <c r="H951" s="1202">
        <v>8</v>
      </c>
      <c r="I951" s="1203" t="s">
        <v>762</v>
      </c>
    </row>
    <row r="952" spans="1:14" s="532" customFormat="1" ht="16.5" thickTop="1" thickBot="1" x14ac:dyDescent="0.3">
      <c r="A952" s="1211">
        <v>60004100110</v>
      </c>
      <c r="B952" s="967">
        <v>2212</v>
      </c>
      <c r="C952" s="1212">
        <v>6121</v>
      </c>
      <c r="D952" s="968">
        <v>12</v>
      </c>
      <c r="E952" s="969" t="s">
        <v>603</v>
      </c>
      <c r="F952" s="889"/>
      <c r="G952" s="1214">
        <v>292</v>
      </c>
      <c r="H952" s="889">
        <v>292</v>
      </c>
      <c r="I952" s="1215">
        <f>(H952/G952)*100</f>
        <v>100</v>
      </c>
    </row>
    <row r="953" spans="1:14" s="532" customFormat="1" ht="18" customHeight="1" thickTop="1" thickBot="1" x14ac:dyDescent="0.3">
      <c r="A953" s="2692" t="s">
        <v>244</v>
      </c>
      <c r="B953" s="2685"/>
      <c r="C953" s="2685"/>
      <c r="D953" s="2685"/>
      <c r="E953" s="2685"/>
      <c r="F953" s="873">
        <f>F952</f>
        <v>0</v>
      </c>
      <c r="G953" s="873">
        <f>G952</f>
        <v>292</v>
      </c>
      <c r="H953" s="873">
        <f>H952</f>
        <v>292</v>
      </c>
      <c r="I953" s="856">
        <f>(H953/G953)*100</f>
        <v>100</v>
      </c>
    </row>
    <row r="954" spans="1:14" ht="13.5" thickTop="1" x14ac:dyDescent="0.2">
      <c r="K954" s="911"/>
      <c r="L954" s="911"/>
      <c r="M954" s="911"/>
      <c r="N954" s="432"/>
    </row>
    <row r="955" spans="1:14" x14ac:dyDescent="0.2">
      <c r="K955" s="911"/>
      <c r="L955" s="911"/>
      <c r="M955" s="911"/>
      <c r="N955" s="432"/>
    </row>
    <row r="956" spans="1:14" s="532" customFormat="1" ht="13.5" thickBot="1" x14ac:dyDescent="0.25">
      <c r="A956" s="432" t="s">
        <v>515</v>
      </c>
      <c r="B956" s="643"/>
      <c r="D956" s="814"/>
      <c r="F956" s="493"/>
      <c r="G956" s="493"/>
      <c r="H956" s="493"/>
      <c r="I956" s="949" t="s">
        <v>161</v>
      </c>
    </row>
    <row r="957" spans="1:14" s="107" customFormat="1" ht="20.25" customHeight="1" thickTop="1" thickBot="1" x14ac:dyDescent="0.25">
      <c r="A957" s="682" t="s">
        <v>624</v>
      </c>
      <c r="B957" s="685" t="s">
        <v>162</v>
      </c>
      <c r="C957" s="683" t="s">
        <v>163</v>
      </c>
      <c r="D957" s="634" t="s">
        <v>705</v>
      </c>
      <c r="E957" s="686" t="s">
        <v>164</v>
      </c>
      <c r="F957" s="686" t="s">
        <v>165</v>
      </c>
      <c r="G957" s="686" t="s">
        <v>881</v>
      </c>
      <c r="H957" s="686" t="s">
        <v>882</v>
      </c>
      <c r="I957" s="818" t="s">
        <v>883</v>
      </c>
    </row>
    <row r="958" spans="1:14" s="383" customFormat="1" ht="13.5" thickTop="1" thickBot="1" x14ac:dyDescent="0.25">
      <c r="A958" s="1199">
        <v>1</v>
      </c>
      <c r="B958" s="1200">
        <v>2</v>
      </c>
      <c r="C958" s="1200">
        <v>3</v>
      </c>
      <c r="D958" s="1200">
        <v>4</v>
      </c>
      <c r="E958" s="567">
        <v>5</v>
      </c>
      <c r="F958" s="1201">
        <v>6</v>
      </c>
      <c r="G958" s="1201">
        <v>7</v>
      </c>
      <c r="H958" s="1202">
        <v>8</v>
      </c>
      <c r="I958" s="1203" t="s">
        <v>762</v>
      </c>
    </row>
    <row r="959" spans="1:14" s="532" customFormat="1" ht="16.5" thickTop="1" thickBot="1" x14ac:dyDescent="0.3">
      <c r="A959" s="1211">
        <v>60004100111</v>
      </c>
      <c r="B959" s="967">
        <v>2212</v>
      </c>
      <c r="C959" s="1212">
        <v>6121</v>
      </c>
      <c r="D959" s="968">
        <v>12</v>
      </c>
      <c r="E959" s="969" t="s">
        <v>603</v>
      </c>
      <c r="F959" s="889"/>
      <c r="G959" s="1214">
        <v>200</v>
      </c>
      <c r="H959" s="889">
        <v>199</v>
      </c>
      <c r="I959" s="1215">
        <f>(H959/G959)*100</f>
        <v>99.5</v>
      </c>
    </row>
    <row r="960" spans="1:14" s="532" customFormat="1" ht="18" customHeight="1" thickTop="1" thickBot="1" x14ac:dyDescent="0.3">
      <c r="A960" s="2692" t="s">
        <v>244</v>
      </c>
      <c r="B960" s="2685"/>
      <c r="C960" s="2685"/>
      <c r="D960" s="2685"/>
      <c r="E960" s="2685"/>
      <c r="F960" s="873">
        <f>F959</f>
        <v>0</v>
      </c>
      <c r="G960" s="873">
        <f>G959</f>
        <v>200</v>
      </c>
      <c r="H960" s="873">
        <f>H959</f>
        <v>199</v>
      </c>
      <c r="I960" s="856">
        <f>(H960/G960)*100</f>
        <v>99.5</v>
      </c>
    </row>
    <row r="961" spans="1:14" ht="13.5" thickTop="1" x14ac:dyDescent="0.2">
      <c r="K961" s="911"/>
      <c r="L961" s="911"/>
      <c r="M961" s="911"/>
      <c r="N961" s="432"/>
    </row>
    <row r="962" spans="1:14" x14ac:dyDescent="0.2">
      <c r="K962" s="911"/>
      <c r="L962" s="911"/>
      <c r="M962" s="911"/>
      <c r="N962" s="432"/>
    </row>
    <row r="963" spans="1:14" s="532" customFormat="1" ht="13.5" thickBot="1" x14ac:dyDescent="0.25">
      <c r="A963" s="432" t="s">
        <v>1071</v>
      </c>
      <c r="B963" s="643"/>
      <c r="D963" s="814"/>
      <c r="F963" s="493"/>
      <c r="G963" s="493"/>
      <c r="H963" s="493"/>
      <c r="I963" s="949" t="s">
        <v>161</v>
      </c>
    </row>
    <row r="964" spans="1:14" s="107" customFormat="1" ht="20.25" customHeight="1" thickTop="1" thickBot="1" x14ac:dyDescent="0.25">
      <c r="A964" s="682" t="s">
        <v>624</v>
      </c>
      <c r="B964" s="685" t="s">
        <v>162</v>
      </c>
      <c r="C964" s="683" t="s">
        <v>163</v>
      </c>
      <c r="D964" s="634" t="s">
        <v>705</v>
      </c>
      <c r="E964" s="686" t="s">
        <v>164</v>
      </c>
      <c r="F964" s="686" t="s">
        <v>165</v>
      </c>
      <c r="G964" s="686" t="s">
        <v>881</v>
      </c>
      <c r="H964" s="686" t="s">
        <v>882</v>
      </c>
      <c r="I964" s="818" t="s">
        <v>883</v>
      </c>
    </row>
    <row r="965" spans="1:14" s="383" customFormat="1" ht="13.5" thickTop="1" thickBot="1" x14ac:dyDescent="0.25">
      <c r="A965" s="1199">
        <v>1</v>
      </c>
      <c r="B965" s="1200">
        <v>2</v>
      </c>
      <c r="C965" s="1200">
        <v>3</v>
      </c>
      <c r="D965" s="1200">
        <v>4</v>
      </c>
      <c r="E965" s="567">
        <v>5</v>
      </c>
      <c r="F965" s="1201">
        <v>6</v>
      </c>
      <c r="G965" s="1201">
        <v>7</v>
      </c>
      <c r="H965" s="1202">
        <v>8</v>
      </c>
      <c r="I965" s="1203" t="s">
        <v>762</v>
      </c>
    </row>
    <row r="966" spans="1:14" s="532" customFormat="1" ht="16.5" thickTop="1" thickBot="1" x14ac:dyDescent="0.3">
      <c r="A966" s="1211">
        <v>60004100114</v>
      </c>
      <c r="B966" s="967">
        <v>2212</v>
      </c>
      <c r="C966" s="1212">
        <v>6121</v>
      </c>
      <c r="D966" s="968">
        <v>12</v>
      </c>
      <c r="E966" s="969" t="s">
        <v>603</v>
      </c>
      <c r="F966" s="889"/>
      <c r="G966" s="1214">
        <v>1538</v>
      </c>
      <c r="H966" s="889">
        <v>1537</v>
      </c>
      <c r="I966" s="1215">
        <f>(H966/G966)*100</f>
        <v>99.934980494148235</v>
      </c>
    </row>
    <row r="967" spans="1:14" s="532" customFormat="1" ht="18" customHeight="1" thickTop="1" thickBot="1" x14ac:dyDescent="0.3">
      <c r="A967" s="2692" t="s">
        <v>244</v>
      </c>
      <c r="B967" s="2685"/>
      <c r="C967" s="2685"/>
      <c r="D967" s="2685"/>
      <c r="E967" s="2685"/>
      <c r="F967" s="873">
        <f>F966</f>
        <v>0</v>
      </c>
      <c r="G967" s="873">
        <f>G966</f>
        <v>1538</v>
      </c>
      <c r="H967" s="873">
        <f>H966</f>
        <v>1537</v>
      </c>
      <c r="I967" s="856">
        <f>(H967/G967)*100</f>
        <v>99.934980494148235</v>
      </c>
    </row>
    <row r="968" spans="1:14" ht="13.5" thickTop="1" x14ac:dyDescent="0.2">
      <c r="K968" s="911"/>
      <c r="L968" s="911"/>
      <c r="M968" s="911"/>
      <c r="N968" s="432"/>
    </row>
    <row r="969" spans="1:14" x14ac:dyDescent="0.2">
      <c r="K969" s="911"/>
      <c r="L969" s="911"/>
      <c r="M969" s="911"/>
      <c r="N969" s="432"/>
    </row>
    <row r="970" spans="1:14" s="532" customFormat="1" ht="13.5" thickBot="1" x14ac:dyDescent="0.25">
      <c r="A970" s="432" t="s">
        <v>33</v>
      </c>
      <c r="B970" s="643"/>
      <c r="D970" s="814"/>
      <c r="F970" s="493"/>
      <c r="G970" s="493"/>
      <c r="H970" s="493"/>
      <c r="I970" s="949" t="s">
        <v>161</v>
      </c>
    </row>
    <row r="971" spans="1:14" s="107" customFormat="1" ht="20.25" customHeight="1" thickTop="1" thickBot="1" x14ac:dyDescent="0.25">
      <c r="A971" s="682" t="s">
        <v>624</v>
      </c>
      <c r="B971" s="685" t="s">
        <v>162</v>
      </c>
      <c r="C971" s="683" t="s">
        <v>163</v>
      </c>
      <c r="D971" s="634" t="s">
        <v>705</v>
      </c>
      <c r="E971" s="686" t="s">
        <v>164</v>
      </c>
      <c r="F971" s="686" t="s">
        <v>165</v>
      </c>
      <c r="G971" s="686" t="s">
        <v>881</v>
      </c>
      <c r="H971" s="686" t="s">
        <v>882</v>
      </c>
      <c r="I971" s="818" t="s">
        <v>883</v>
      </c>
    </row>
    <row r="972" spans="1:14" s="383" customFormat="1" ht="13.5" thickTop="1" thickBot="1" x14ac:dyDescent="0.25">
      <c r="A972" s="1199">
        <v>1</v>
      </c>
      <c r="B972" s="1200">
        <v>2</v>
      </c>
      <c r="C972" s="1200">
        <v>3</v>
      </c>
      <c r="D972" s="1200">
        <v>4</v>
      </c>
      <c r="E972" s="567">
        <v>5</v>
      </c>
      <c r="F972" s="1201">
        <v>6</v>
      </c>
      <c r="G972" s="1201">
        <v>7</v>
      </c>
      <c r="H972" s="1202">
        <v>8</v>
      </c>
      <c r="I972" s="1203" t="s">
        <v>762</v>
      </c>
    </row>
    <row r="973" spans="1:14" s="532" customFormat="1" ht="16.5" thickTop="1" thickBot="1" x14ac:dyDescent="0.3">
      <c r="A973" s="1211">
        <v>60004100115</v>
      </c>
      <c r="B973" s="967">
        <v>2212</v>
      </c>
      <c r="C973" s="1212">
        <v>6121</v>
      </c>
      <c r="D973" s="968">
        <v>12</v>
      </c>
      <c r="E973" s="969" t="s">
        <v>603</v>
      </c>
      <c r="F973" s="889"/>
      <c r="G973" s="1214">
        <v>1437</v>
      </c>
      <c r="H973" s="889">
        <v>1436</v>
      </c>
      <c r="I973" s="1215">
        <f>(H973/G973)*100</f>
        <v>99.930410577592212</v>
      </c>
    </row>
    <row r="974" spans="1:14" s="532" customFormat="1" ht="18" customHeight="1" thickTop="1" thickBot="1" x14ac:dyDescent="0.3">
      <c r="A974" s="2692" t="s">
        <v>244</v>
      </c>
      <c r="B974" s="2685"/>
      <c r="C974" s="2685"/>
      <c r="D974" s="2685"/>
      <c r="E974" s="2685"/>
      <c r="F974" s="873">
        <f>F973</f>
        <v>0</v>
      </c>
      <c r="G974" s="873">
        <f>G973</f>
        <v>1437</v>
      </c>
      <c r="H974" s="873">
        <f>H973</f>
        <v>1436</v>
      </c>
      <c r="I974" s="856">
        <f>(H974/G974)*100</f>
        <v>99.930410577592212</v>
      </c>
    </row>
    <row r="975" spans="1:14" ht="13.5" thickTop="1" x14ac:dyDescent="0.2">
      <c r="K975" s="911"/>
      <c r="L975" s="911"/>
      <c r="M975" s="911"/>
      <c r="N975" s="432"/>
    </row>
    <row r="976" spans="1:14" x14ac:dyDescent="0.2">
      <c r="K976" s="911"/>
      <c r="L976" s="911"/>
      <c r="M976" s="911"/>
      <c r="N976" s="432"/>
    </row>
    <row r="977" spans="1:14" s="532" customFormat="1" ht="13.5" thickBot="1" x14ac:dyDescent="0.25">
      <c r="A977" s="432" t="s">
        <v>275</v>
      </c>
      <c r="B977" s="643"/>
      <c r="D977" s="814"/>
      <c r="F977" s="493"/>
      <c r="G977" s="493"/>
      <c r="H977" s="493"/>
      <c r="I977" s="949" t="s">
        <v>161</v>
      </c>
    </row>
    <row r="978" spans="1:14" s="107" customFormat="1" ht="20.25" customHeight="1" thickTop="1" thickBot="1" x14ac:dyDescent="0.25">
      <c r="A978" s="682" t="s">
        <v>624</v>
      </c>
      <c r="B978" s="685" t="s">
        <v>162</v>
      </c>
      <c r="C978" s="683" t="s">
        <v>163</v>
      </c>
      <c r="D978" s="634" t="s">
        <v>705</v>
      </c>
      <c r="E978" s="686" t="s">
        <v>164</v>
      </c>
      <c r="F978" s="686" t="s">
        <v>165</v>
      </c>
      <c r="G978" s="686" t="s">
        <v>881</v>
      </c>
      <c r="H978" s="686" t="s">
        <v>882</v>
      </c>
      <c r="I978" s="818" t="s">
        <v>883</v>
      </c>
    </row>
    <row r="979" spans="1:14" s="383" customFormat="1" ht="13.5" thickTop="1" thickBot="1" x14ac:dyDescent="0.25">
      <c r="A979" s="1199">
        <v>1</v>
      </c>
      <c r="B979" s="1200">
        <v>2</v>
      </c>
      <c r="C979" s="1200">
        <v>3</v>
      </c>
      <c r="D979" s="1200">
        <v>4</v>
      </c>
      <c r="E979" s="567">
        <v>5</v>
      </c>
      <c r="F979" s="1201">
        <v>6</v>
      </c>
      <c r="G979" s="1201">
        <v>7</v>
      </c>
      <c r="H979" s="1202">
        <v>8</v>
      </c>
      <c r="I979" s="1203" t="s">
        <v>762</v>
      </c>
    </row>
    <row r="980" spans="1:14" s="532" customFormat="1" ht="16.5" thickTop="1" thickBot="1" x14ac:dyDescent="0.3">
      <c r="A980" s="1211">
        <v>60004100130</v>
      </c>
      <c r="B980" s="967">
        <v>2212</v>
      </c>
      <c r="C980" s="1212">
        <v>5166</v>
      </c>
      <c r="D980" s="968">
        <v>12</v>
      </c>
      <c r="E980" s="969" t="s">
        <v>603</v>
      </c>
      <c r="F980" s="889">
        <v>1000</v>
      </c>
      <c r="G980" s="1214">
        <v>8</v>
      </c>
      <c r="H980" s="889">
        <v>0</v>
      </c>
      <c r="I980" s="1215">
        <f>(H980/G980)*100</f>
        <v>0</v>
      </c>
    </row>
    <row r="981" spans="1:14" s="532" customFormat="1" ht="18" customHeight="1" thickTop="1" thickBot="1" x14ac:dyDescent="0.3">
      <c r="A981" s="2692" t="s">
        <v>245</v>
      </c>
      <c r="B981" s="2685"/>
      <c r="C981" s="2685"/>
      <c r="D981" s="2685"/>
      <c r="E981" s="2685"/>
      <c r="F981" s="873">
        <f>F980</f>
        <v>1000</v>
      </c>
      <c r="G981" s="873">
        <f>G980</f>
        <v>8</v>
      </c>
      <c r="H981" s="873">
        <f>H980</f>
        <v>0</v>
      </c>
      <c r="I981" s="856">
        <f>(H981/G981)*100</f>
        <v>0</v>
      </c>
    </row>
    <row r="982" spans="1:14" ht="13.5" thickTop="1" x14ac:dyDescent="0.2">
      <c r="K982" s="911"/>
      <c r="L982" s="911"/>
      <c r="M982" s="911"/>
      <c r="N982" s="432"/>
    </row>
    <row r="983" spans="1:14" x14ac:dyDescent="0.2">
      <c r="K983" s="911"/>
      <c r="L983" s="911"/>
      <c r="M983" s="911"/>
      <c r="N983" s="432"/>
    </row>
    <row r="984" spans="1:14" s="532" customFormat="1" ht="13.5" thickBot="1" x14ac:dyDescent="0.25">
      <c r="A984" s="432" t="s">
        <v>276</v>
      </c>
      <c r="B984" s="643"/>
      <c r="D984" s="814"/>
      <c r="F984" s="493"/>
      <c r="G984" s="493"/>
      <c r="H984" s="493"/>
      <c r="I984" s="949" t="s">
        <v>161</v>
      </c>
    </row>
    <row r="985" spans="1:14" s="107" customFormat="1" ht="20.25" customHeight="1" thickTop="1" thickBot="1" x14ac:dyDescent="0.25">
      <c r="A985" s="682" t="s">
        <v>624</v>
      </c>
      <c r="B985" s="685" t="s">
        <v>162</v>
      </c>
      <c r="C985" s="683" t="s">
        <v>163</v>
      </c>
      <c r="D985" s="634" t="s">
        <v>705</v>
      </c>
      <c r="E985" s="686" t="s">
        <v>164</v>
      </c>
      <c r="F985" s="686" t="s">
        <v>165</v>
      </c>
      <c r="G985" s="686" t="s">
        <v>881</v>
      </c>
      <c r="H985" s="686" t="s">
        <v>882</v>
      </c>
      <c r="I985" s="818" t="s">
        <v>883</v>
      </c>
    </row>
    <row r="986" spans="1:14" s="383" customFormat="1" ht="13.5" thickTop="1" thickBot="1" x14ac:dyDescent="0.25">
      <c r="A986" s="1199">
        <v>1</v>
      </c>
      <c r="B986" s="1200">
        <v>2</v>
      </c>
      <c r="C986" s="1200">
        <v>3</v>
      </c>
      <c r="D986" s="1200">
        <v>4</v>
      </c>
      <c r="E986" s="567">
        <v>5</v>
      </c>
      <c r="F986" s="1201">
        <v>6</v>
      </c>
      <c r="G986" s="1201">
        <v>7</v>
      </c>
      <c r="H986" s="1202">
        <v>8</v>
      </c>
      <c r="I986" s="1203" t="s">
        <v>762</v>
      </c>
    </row>
    <row r="987" spans="1:14" s="532" customFormat="1" ht="16.5" thickTop="1" thickBot="1" x14ac:dyDescent="0.3">
      <c r="A987" s="1211">
        <v>60004100139</v>
      </c>
      <c r="B987" s="967">
        <v>2212</v>
      </c>
      <c r="C987" s="1212">
        <v>5169</v>
      </c>
      <c r="D987" s="968">
        <v>805</v>
      </c>
      <c r="E987" s="969" t="s">
        <v>852</v>
      </c>
      <c r="F987" s="889"/>
      <c r="G987" s="1214">
        <v>53</v>
      </c>
      <c r="H987" s="889">
        <v>53</v>
      </c>
      <c r="I987" s="1215">
        <f>(H987/G987)*100</f>
        <v>100</v>
      </c>
    </row>
    <row r="988" spans="1:14" s="532" customFormat="1" ht="16.5" thickTop="1" thickBot="1" x14ac:dyDescent="0.3">
      <c r="A988" s="2672" t="s">
        <v>245</v>
      </c>
      <c r="B988" s="2673"/>
      <c r="C988" s="2673"/>
      <c r="D988" s="2673"/>
      <c r="E988" s="2673"/>
      <c r="F988" s="889">
        <v>0</v>
      </c>
      <c r="G988" s="889">
        <f>G987</f>
        <v>53</v>
      </c>
      <c r="H988" s="889">
        <f>H987</f>
        <v>53</v>
      </c>
      <c r="I988" s="1215">
        <f>(H988/G988)*100</f>
        <v>100</v>
      </c>
    </row>
    <row r="989" spans="1:14" s="532" customFormat="1" ht="16.5" thickTop="1" thickBot="1" x14ac:dyDescent="0.3">
      <c r="A989" s="966">
        <v>60004100139</v>
      </c>
      <c r="B989" s="1237">
        <v>2212</v>
      </c>
      <c r="C989" s="1237">
        <v>6121</v>
      </c>
      <c r="D989" s="1238">
        <v>805</v>
      </c>
      <c r="E989" s="1239" t="s">
        <v>603</v>
      </c>
      <c r="F989" s="1240"/>
      <c r="G989" s="1240">
        <v>16298</v>
      </c>
      <c r="H989" s="1240">
        <v>16298</v>
      </c>
      <c r="I989" s="1215">
        <f>(H989/G989)*100</f>
        <v>100</v>
      </c>
    </row>
    <row r="990" spans="1:14" s="532" customFormat="1" ht="18" customHeight="1" thickTop="1" thickBot="1" x14ac:dyDescent="0.3">
      <c r="A990" s="2692" t="s">
        <v>244</v>
      </c>
      <c r="B990" s="2685"/>
      <c r="C990" s="2685"/>
      <c r="D990" s="2685"/>
      <c r="E990" s="2685"/>
      <c r="F990" s="873">
        <f>F987</f>
        <v>0</v>
      </c>
      <c r="G990" s="873">
        <f>G989</f>
        <v>16298</v>
      </c>
      <c r="H990" s="873">
        <f>H989</f>
        <v>16298</v>
      </c>
      <c r="I990" s="856">
        <f>(H990/G990)*100</f>
        <v>100</v>
      </c>
    </row>
    <row r="991" spans="1:14" ht="13.5" thickTop="1" x14ac:dyDescent="0.2">
      <c r="K991" s="911"/>
      <c r="L991" s="911"/>
      <c r="M991" s="911"/>
      <c r="N991" s="432"/>
    </row>
    <row r="992" spans="1:14" x14ac:dyDescent="0.2">
      <c r="K992" s="911"/>
      <c r="L992" s="911"/>
      <c r="M992" s="911"/>
      <c r="N992" s="432"/>
    </row>
    <row r="993" spans="1:14" s="532" customFormat="1" ht="13.5" thickBot="1" x14ac:dyDescent="0.25">
      <c r="A993" s="432" t="s">
        <v>277</v>
      </c>
      <c r="B993" s="643"/>
      <c r="D993" s="814"/>
      <c r="F993" s="493"/>
      <c r="G993" s="493"/>
      <c r="H993" s="493"/>
      <c r="I993" s="949" t="s">
        <v>161</v>
      </c>
    </row>
    <row r="994" spans="1:14" s="107" customFormat="1" ht="20.25" customHeight="1" thickTop="1" thickBot="1" x14ac:dyDescent="0.25">
      <c r="A994" s="682" t="s">
        <v>624</v>
      </c>
      <c r="B994" s="685" t="s">
        <v>162</v>
      </c>
      <c r="C994" s="683" t="s">
        <v>163</v>
      </c>
      <c r="D994" s="634" t="s">
        <v>705</v>
      </c>
      <c r="E994" s="686" t="s">
        <v>164</v>
      </c>
      <c r="F994" s="686" t="s">
        <v>165</v>
      </c>
      <c r="G994" s="686" t="s">
        <v>881</v>
      </c>
      <c r="H994" s="686" t="s">
        <v>882</v>
      </c>
      <c r="I994" s="818" t="s">
        <v>883</v>
      </c>
    </row>
    <row r="995" spans="1:14" s="383" customFormat="1" ht="13.5" thickTop="1" thickBot="1" x14ac:dyDescent="0.25">
      <c r="A995" s="1199">
        <v>1</v>
      </c>
      <c r="B995" s="1200">
        <v>2</v>
      </c>
      <c r="C995" s="1200">
        <v>3</v>
      </c>
      <c r="D995" s="1200">
        <v>4</v>
      </c>
      <c r="E995" s="567">
        <v>5</v>
      </c>
      <c r="F995" s="1201">
        <v>6</v>
      </c>
      <c r="G995" s="1201">
        <v>7</v>
      </c>
      <c r="H995" s="1202">
        <v>8</v>
      </c>
      <c r="I995" s="1203" t="s">
        <v>762</v>
      </c>
    </row>
    <row r="996" spans="1:14" s="532" customFormat="1" ht="16.5" thickTop="1" thickBot="1" x14ac:dyDescent="0.3">
      <c r="A996" s="1211">
        <v>60004100290</v>
      </c>
      <c r="B996" s="967">
        <v>2212</v>
      </c>
      <c r="C996" s="1212">
        <v>6121</v>
      </c>
      <c r="D996" s="968">
        <v>870</v>
      </c>
      <c r="E996" s="969" t="s">
        <v>603</v>
      </c>
      <c r="F996" s="889"/>
      <c r="G996" s="1214">
        <v>11029</v>
      </c>
      <c r="H996" s="889">
        <v>11007</v>
      </c>
      <c r="I996" s="1215">
        <f>(H996/G996)*100</f>
        <v>99.800525886299752</v>
      </c>
    </row>
    <row r="997" spans="1:14" s="532" customFormat="1" ht="18" customHeight="1" thickTop="1" thickBot="1" x14ac:dyDescent="0.3">
      <c r="A997" s="2692" t="s">
        <v>244</v>
      </c>
      <c r="B997" s="2685"/>
      <c r="C997" s="2685"/>
      <c r="D997" s="2685"/>
      <c r="E997" s="2685"/>
      <c r="F997" s="873">
        <f>F996</f>
        <v>0</v>
      </c>
      <c r="G997" s="873">
        <f>G996</f>
        <v>11029</v>
      </c>
      <c r="H997" s="873">
        <f>H996</f>
        <v>11007</v>
      </c>
      <c r="I997" s="856">
        <f>(H997/G997)*100</f>
        <v>99.800525886299752</v>
      </c>
    </row>
    <row r="998" spans="1:14" ht="13.5" thickTop="1" x14ac:dyDescent="0.2">
      <c r="K998" s="911"/>
      <c r="L998" s="911"/>
      <c r="M998" s="911"/>
      <c r="N998" s="432"/>
    </row>
    <row r="999" spans="1:14" x14ac:dyDescent="0.2">
      <c r="K999" s="911"/>
      <c r="L999" s="911"/>
      <c r="M999" s="911"/>
      <c r="N999" s="432"/>
    </row>
    <row r="1000" spans="1:14" x14ac:dyDescent="0.2">
      <c r="K1000" s="911"/>
      <c r="L1000" s="911"/>
      <c r="M1000" s="911"/>
      <c r="N1000" s="432"/>
    </row>
    <row r="1001" spans="1:14" x14ac:dyDescent="0.2">
      <c r="K1001" s="911"/>
      <c r="L1001" s="911"/>
      <c r="M1001" s="911"/>
      <c r="N1001" s="432"/>
    </row>
    <row r="1002" spans="1:14" s="532" customFormat="1" ht="13.5" thickBot="1" x14ac:dyDescent="0.25">
      <c r="A1002" s="432" t="s">
        <v>278</v>
      </c>
      <c r="B1002" s="643"/>
      <c r="D1002" s="814"/>
      <c r="F1002" s="493"/>
      <c r="G1002" s="493"/>
      <c r="H1002" s="493"/>
      <c r="I1002" s="949" t="s">
        <v>161</v>
      </c>
    </row>
    <row r="1003" spans="1:14" s="107" customFormat="1" ht="20.25" customHeight="1" thickTop="1" thickBot="1" x14ac:dyDescent="0.25">
      <c r="A1003" s="682" t="s">
        <v>624</v>
      </c>
      <c r="B1003" s="685" t="s">
        <v>162</v>
      </c>
      <c r="C1003" s="683" t="s">
        <v>163</v>
      </c>
      <c r="D1003" s="634" t="s">
        <v>705</v>
      </c>
      <c r="E1003" s="686" t="s">
        <v>164</v>
      </c>
      <c r="F1003" s="686" t="s">
        <v>165</v>
      </c>
      <c r="G1003" s="686" t="s">
        <v>881</v>
      </c>
      <c r="H1003" s="686" t="s">
        <v>882</v>
      </c>
      <c r="I1003" s="818" t="s">
        <v>883</v>
      </c>
    </row>
    <row r="1004" spans="1:14" s="383" customFormat="1" ht="13.5" thickTop="1" thickBot="1" x14ac:dyDescent="0.25">
      <c r="A1004" s="1199">
        <v>1</v>
      </c>
      <c r="B1004" s="1200">
        <v>2</v>
      </c>
      <c r="C1004" s="1200">
        <v>3</v>
      </c>
      <c r="D1004" s="1200">
        <v>4</v>
      </c>
      <c r="E1004" s="567">
        <v>5</v>
      </c>
      <c r="F1004" s="1201">
        <v>6</v>
      </c>
      <c r="G1004" s="1201">
        <v>7</v>
      </c>
      <c r="H1004" s="1202">
        <v>8</v>
      </c>
      <c r="I1004" s="1203" t="s">
        <v>762</v>
      </c>
    </row>
    <row r="1005" spans="1:14" s="532" customFormat="1" ht="16.5" thickTop="1" thickBot="1" x14ac:dyDescent="0.3">
      <c r="A1005" s="1211">
        <v>60004100291</v>
      </c>
      <c r="B1005" s="967">
        <v>2212</v>
      </c>
      <c r="C1005" s="1212">
        <v>6121</v>
      </c>
      <c r="D1005" s="968">
        <v>870</v>
      </c>
      <c r="E1005" s="969" t="s">
        <v>603</v>
      </c>
      <c r="F1005" s="889"/>
      <c r="G1005" s="1214">
        <v>8280</v>
      </c>
      <c r="H1005" s="889">
        <v>8219</v>
      </c>
      <c r="I1005" s="1215">
        <f>(H1005/G1005)*100</f>
        <v>99.263285024154584</v>
      </c>
    </row>
    <row r="1006" spans="1:14" s="532" customFormat="1" ht="18" customHeight="1" thickTop="1" thickBot="1" x14ac:dyDescent="0.3">
      <c r="A1006" s="2692" t="s">
        <v>244</v>
      </c>
      <c r="B1006" s="2685"/>
      <c r="C1006" s="2685"/>
      <c r="D1006" s="2685"/>
      <c r="E1006" s="2685"/>
      <c r="F1006" s="873">
        <f>F1005</f>
        <v>0</v>
      </c>
      <c r="G1006" s="873">
        <f>G1005</f>
        <v>8280</v>
      </c>
      <c r="H1006" s="873">
        <f>H1005</f>
        <v>8219</v>
      </c>
      <c r="I1006" s="856">
        <f>(H1006/G1006)*100</f>
        <v>99.263285024154584</v>
      </c>
    </row>
    <row r="1007" spans="1:14" ht="13.5" thickTop="1" x14ac:dyDescent="0.2">
      <c r="K1007" s="911"/>
      <c r="L1007" s="911"/>
      <c r="M1007" s="911"/>
      <c r="N1007" s="432"/>
    </row>
    <row r="1008" spans="1:14" x14ac:dyDescent="0.2">
      <c r="K1008" s="911"/>
      <c r="L1008" s="911"/>
      <c r="M1008" s="911"/>
      <c r="N1008" s="432"/>
    </row>
    <row r="1009" spans="1:14" s="532" customFormat="1" ht="13.5" thickBot="1" x14ac:dyDescent="0.25">
      <c r="A1009" s="432" t="s">
        <v>279</v>
      </c>
      <c r="B1009" s="643"/>
      <c r="D1009" s="814"/>
      <c r="F1009" s="493"/>
      <c r="G1009" s="493"/>
      <c r="H1009" s="493"/>
      <c r="I1009" s="949" t="s">
        <v>161</v>
      </c>
    </row>
    <row r="1010" spans="1:14" s="107" customFormat="1" ht="20.25" customHeight="1" thickTop="1" thickBot="1" x14ac:dyDescent="0.25">
      <c r="A1010" s="682" t="s">
        <v>624</v>
      </c>
      <c r="B1010" s="685" t="s">
        <v>162</v>
      </c>
      <c r="C1010" s="683" t="s">
        <v>163</v>
      </c>
      <c r="D1010" s="634" t="s">
        <v>705</v>
      </c>
      <c r="E1010" s="686" t="s">
        <v>164</v>
      </c>
      <c r="F1010" s="686" t="s">
        <v>165</v>
      </c>
      <c r="G1010" s="686" t="s">
        <v>881</v>
      </c>
      <c r="H1010" s="686" t="s">
        <v>882</v>
      </c>
      <c r="I1010" s="818" t="s">
        <v>883</v>
      </c>
    </row>
    <row r="1011" spans="1:14" s="383" customFormat="1" ht="13.5" thickTop="1" thickBot="1" x14ac:dyDescent="0.25">
      <c r="A1011" s="1199">
        <v>1</v>
      </c>
      <c r="B1011" s="1200">
        <v>2</v>
      </c>
      <c r="C1011" s="1200">
        <v>3</v>
      </c>
      <c r="D1011" s="1200">
        <v>4</v>
      </c>
      <c r="E1011" s="567">
        <v>5</v>
      </c>
      <c r="F1011" s="1201">
        <v>6</v>
      </c>
      <c r="G1011" s="1201">
        <v>7</v>
      </c>
      <c r="H1011" s="1202">
        <v>8</v>
      </c>
      <c r="I1011" s="1203" t="s">
        <v>762</v>
      </c>
    </row>
    <row r="1012" spans="1:14" s="532" customFormat="1" ht="16.5" thickTop="1" thickBot="1" x14ac:dyDescent="0.3">
      <c r="A1012" s="1211">
        <v>60004100292</v>
      </c>
      <c r="B1012" s="967">
        <v>2212</v>
      </c>
      <c r="C1012" s="1212">
        <v>6121</v>
      </c>
      <c r="D1012" s="968">
        <v>870</v>
      </c>
      <c r="E1012" s="969" t="s">
        <v>603</v>
      </c>
      <c r="F1012" s="889"/>
      <c r="G1012" s="1214">
        <v>7607</v>
      </c>
      <c r="H1012" s="889">
        <v>5389</v>
      </c>
      <c r="I1012" s="1215">
        <f>(H1012/G1012)*100</f>
        <v>70.842644932299208</v>
      </c>
    </row>
    <row r="1013" spans="1:14" s="532" customFormat="1" ht="18" customHeight="1" thickTop="1" thickBot="1" x14ac:dyDescent="0.3">
      <c r="A1013" s="2692" t="s">
        <v>244</v>
      </c>
      <c r="B1013" s="2685"/>
      <c r="C1013" s="2685"/>
      <c r="D1013" s="2685"/>
      <c r="E1013" s="2685"/>
      <c r="F1013" s="873">
        <f>F1012</f>
        <v>0</v>
      </c>
      <c r="G1013" s="873">
        <f>G1012</f>
        <v>7607</v>
      </c>
      <c r="H1013" s="873">
        <f>H1012</f>
        <v>5389</v>
      </c>
      <c r="I1013" s="856">
        <f>(H1013/G1013)*100</f>
        <v>70.842644932299208</v>
      </c>
    </row>
    <row r="1014" spans="1:14" ht="13.5" thickTop="1" x14ac:dyDescent="0.2">
      <c r="K1014" s="911"/>
      <c r="L1014" s="911"/>
      <c r="M1014" s="911"/>
      <c r="N1014" s="432"/>
    </row>
    <row r="1015" spans="1:14" x14ac:dyDescent="0.2">
      <c r="K1015" s="911"/>
      <c r="L1015" s="911"/>
      <c r="M1015" s="911"/>
      <c r="N1015" s="432"/>
    </row>
    <row r="1016" spans="1:14" s="532" customFormat="1" ht="13.5" thickBot="1" x14ac:dyDescent="0.25">
      <c r="A1016" s="432" t="s">
        <v>280</v>
      </c>
      <c r="B1016" s="643"/>
      <c r="D1016" s="814"/>
      <c r="F1016" s="493"/>
      <c r="G1016" s="493"/>
      <c r="H1016" s="493"/>
      <c r="I1016" s="949" t="s">
        <v>161</v>
      </c>
    </row>
    <row r="1017" spans="1:14" s="107" customFormat="1" ht="20.25" customHeight="1" thickTop="1" thickBot="1" x14ac:dyDescent="0.25">
      <c r="A1017" s="682" t="s">
        <v>624</v>
      </c>
      <c r="B1017" s="685" t="s">
        <v>162</v>
      </c>
      <c r="C1017" s="683" t="s">
        <v>163</v>
      </c>
      <c r="D1017" s="634" t="s">
        <v>705</v>
      </c>
      <c r="E1017" s="686" t="s">
        <v>164</v>
      </c>
      <c r="F1017" s="686" t="s">
        <v>165</v>
      </c>
      <c r="G1017" s="686" t="s">
        <v>881</v>
      </c>
      <c r="H1017" s="686" t="s">
        <v>882</v>
      </c>
      <c r="I1017" s="818" t="s">
        <v>883</v>
      </c>
    </row>
    <row r="1018" spans="1:14" s="383" customFormat="1" ht="13.5" thickTop="1" thickBot="1" x14ac:dyDescent="0.25">
      <c r="A1018" s="1199">
        <v>1</v>
      </c>
      <c r="B1018" s="1200">
        <v>2</v>
      </c>
      <c r="C1018" s="1200">
        <v>3</v>
      </c>
      <c r="D1018" s="1200">
        <v>4</v>
      </c>
      <c r="E1018" s="567">
        <v>5</v>
      </c>
      <c r="F1018" s="1201">
        <v>6</v>
      </c>
      <c r="G1018" s="1201">
        <v>7</v>
      </c>
      <c r="H1018" s="1202">
        <v>8</v>
      </c>
      <c r="I1018" s="1203" t="s">
        <v>762</v>
      </c>
    </row>
    <row r="1019" spans="1:14" s="532" customFormat="1" ht="16.5" thickTop="1" thickBot="1" x14ac:dyDescent="0.3">
      <c r="A1019" s="1211">
        <v>60004100341</v>
      </c>
      <c r="B1019" s="967">
        <v>2212</v>
      </c>
      <c r="C1019" s="1212">
        <v>5171</v>
      </c>
      <c r="D1019" s="968">
        <v>12</v>
      </c>
      <c r="E1019" s="969" t="s">
        <v>896</v>
      </c>
      <c r="F1019" s="889"/>
      <c r="G1019" s="1214">
        <v>441</v>
      </c>
      <c r="H1019" s="889">
        <v>441</v>
      </c>
      <c r="I1019" s="1215">
        <f>(H1019/G1019)*100</f>
        <v>100</v>
      </c>
    </row>
    <row r="1020" spans="1:14" s="532" customFormat="1" ht="18" customHeight="1" thickTop="1" thickBot="1" x14ac:dyDescent="0.3">
      <c r="A1020" s="2692" t="s">
        <v>245</v>
      </c>
      <c r="B1020" s="2685"/>
      <c r="C1020" s="2685"/>
      <c r="D1020" s="2685"/>
      <c r="E1020" s="2685"/>
      <c r="F1020" s="873">
        <f>F1019</f>
        <v>0</v>
      </c>
      <c r="G1020" s="873">
        <f>G1019</f>
        <v>441</v>
      </c>
      <c r="H1020" s="873">
        <f>H1019</f>
        <v>441</v>
      </c>
      <c r="I1020" s="856">
        <f>(H1020/G1020)*100</f>
        <v>100</v>
      </c>
    </row>
    <row r="1021" spans="1:14" ht="13.5" thickTop="1" x14ac:dyDescent="0.2">
      <c r="K1021" s="911"/>
      <c r="L1021" s="911"/>
      <c r="M1021" s="911"/>
      <c r="N1021" s="432"/>
    </row>
    <row r="1022" spans="1:14" x14ac:dyDescent="0.2">
      <c r="K1022" s="911"/>
      <c r="L1022" s="911"/>
      <c r="M1022" s="911"/>
      <c r="N1022" s="432"/>
    </row>
    <row r="1023" spans="1:14" s="532" customFormat="1" ht="13.5" thickBot="1" x14ac:dyDescent="0.25">
      <c r="A1023" s="432" t="s">
        <v>281</v>
      </c>
      <c r="B1023" s="643"/>
      <c r="D1023" s="814"/>
      <c r="F1023" s="493"/>
      <c r="G1023" s="493"/>
      <c r="H1023" s="493"/>
      <c r="I1023" s="949" t="s">
        <v>161</v>
      </c>
    </row>
    <row r="1024" spans="1:14" s="107" customFormat="1" ht="20.25" customHeight="1" thickTop="1" thickBot="1" x14ac:dyDescent="0.25">
      <c r="A1024" s="682" t="s">
        <v>624</v>
      </c>
      <c r="B1024" s="685" t="s">
        <v>162</v>
      </c>
      <c r="C1024" s="683" t="s">
        <v>163</v>
      </c>
      <c r="D1024" s="634" t="s">
        <v>705</v>
      </c>
      <c r="E1024" s="686" t="s">
        <v>164</v>
      </c>
      <c r="F1024" s="686" t="s">
        <v>165</v>
      </c>
      <c r="G1024" s="686" t="s">
        <v>881</v>
      </c>
      <c r="H1024" s="686" t="s">
        <v>882</v>
      </c>
      <c r="I1024" s="818" t="s">
        <v>883</v>
      </c>
    </row>
    <row r="1025" spans="1:14" s="383" customFormat="1" ht="13.5" thickTop="1" thickBot="1" x14ac:dyDescent="0.25">
      <c r="A1025" s="1199">
        <v>1</v>
      </c>
      <c r="B1025" s="1200">
        <v>2</v>
      </c>
      <c r="C1025" s="1200">
        <v>3</v>
      </c>
      <c r="D1025" s="1200">
        <v>4</v>
      </c>
      <c r="E1025" s="567">
        <v>5</v>
      </c>
      <c r="F1025" s="1201">
        <v>6</v>
      </c>
      <c r="G1025" s="1201">
        <v>7</v>
      </c>
      <c r="H1025" s="1202">
        <v>8</v>
      </c>
      <c r="I1025" s="1203" t="s">
        <v>762</v>
      </c>
    </row>
    <row r="1026" spans="1:14" s="532" customFormat="1" ht="16.5" thickTop="1" thickBot="1" x14ac:dyDescent="0.3">
      <c r="A1026" s="1211">
        <v>60004100342</v>
      </c>
      <c r="B1026" s="967">
        <v>2212</v>
      </c>
      <c r="C1026" s="1212">
        <v>5171</v>
      </c>
      <c r="D1026" s="968">
        <v>12</v>
      </c>
      <c r="E1026" s="969" t="s">
        <v>896</v>
      </c>
      <c r="F1026" s="889"/>
      <c r="G1026" s="1214">
        <v>10255</v>
      </c>
      <c r="H1026" s="889">
        <v>10243</v>
      </c>
      <c r="I1026" s="1215">
        <f>(H1026/G1026)*100</f>
        <v>99.882983910287663</v>
      </c>
    </row>
    <row r="1027" spans="1:14" s="532" customFormat="1" ht="18" customHeight="1" thickTop="1" thickBot="1" x14ac:dyDescent="0.3">
      <c r="A1027" s="2692" t="s">
        <v>245</v>
      </c>
      <c r="B1027" s="2685"/>
      <c r="C1027" s="2685"/>
      <c r="D1027" s="2685"/>
      <c r="E1027" s="2685"/>
      <c r="F1027" s="873">
        <f>F1026</f>
        <v>0</v>
      </c>
      <c r="G1027" s="873">
        <f>G1026</f>
        <v>10255</v>
      </c>
      <c r="H1027" s="873">
        <f>H1026</f>
        <v>10243</v>
      </c>
      <c r="I1027" s="856">
        <f>(H1027/G1027)*100</f>
        <v>99.882983910287663</v>
      </c>
      <c r="K1027" s="493">
        <f>F772+F779+F786+F793+F800+F805+F812+F820+F835+F843+F850+F857+F864+F872+F880+F888+F896+F903+F907+F914+F921+F928+F939+F946+F953+F960+F967+F974+F981+F988+F990+F997+F1006+F1013+F1020+F1027</f>
        <v>106635</v>
      </c>
      <c r="L1027" s="493">
        <f>G772+G779+G786+G793+G800+G805+G812+G820+G827+G835+G843+G850+G857+G864+G872+G880+G888+G896+G903+G907+G914+G921+G928+G939+G946+G953+G960+G967+G974+G981+G988+G990+G997+G1006+G1013+G1020+G1027</f>
        <v>232034</v>
      </c>
      <c r="M1027" s="493">
        <f>H772+H779+H786+H793+H800+H805+H812+H820+H827+H835+H843+H850+H857+H864+H872+H880+H888+H896+H903+H907+H914+H921+H928+H939+H946+H953+H960+H967+H974+H981+H988+H990+H997+H1006+H1013+H1020+H1027</f>
        <v>227096</v>
      </c>
      <c r="N1027" s="532" t="s">
        <v>1097</v>
      </c>
    </row>
    <row r="1028" spans="1:14" ht="13.5" thickTop="1" x14ac:dyDescent="0.2">
      <c r="K1028" s="911"/>
      <c r="L1028" s="911"/>
      <c r="M1028" s="911"/>
      <c r="N1028" s="432"/>
    </row>
    <row r="1029" spans="1:14" x14ac:dyDescent="0.2">
      <c r="K1029" s="911"/>
      <c r="L1029" s="911"/>
      <c r="M1029" s="911"/>
      <c r="N1029" s="432"/>
    </row>
    <row r="1030" spans="1:14" s="532" customFormat="1" ht="13.5" thickBot="1" x14ac:dyDescent="0.25">
      <c r="A1030" s="432" t="s">
        <v>282</v>
      </c>
      <c r="B1030" s="643"/>
      <c r="D1030" s="814"/>
      <c r="F1030" s="493"/>
      <c r="G1030" s="493"/>
      <c r="H1030" s="493"/>
      <c r="I1030" s="949" t="s">
        <v>161</v>
      </c>
    </row>
    <row r="1031" spans="1:14" s="107" customFormat="1" ht="20.25" customHeight="1" thickTop="1" thickBot="1" x14ac:dyDescent="0.25">
      <c r="A1031" s="682" t="s">
        <v>624</v>
      </c>
      <c r="B1031" s="685" t="s">
        <v>162</v>
      </c>
      <c r="C1031" s="683" t="s">
        <v>163</v>
      </c>
      <c r="D1031" s="634" t="s">
        <v>705</v>
      </c>
      <c r="E1031" s="686" t="s">
        <v>164</v>
      </c>
      <c r="F1031" s="686" t="s">
        <v>165</v>
      </c>
      <c r="G1031" s="686" t="s">
        <v>881</v>
      </c>
      <c r="H1031" s="686" t="s">
        <v>882</v>
      </c>
      <c r="I1031" s="818" t="s">
        <v>883</v>
      </c>
    </row>
    <row r="1032" spans="1:14" s="383" customFormat="1" ht="13.5" thickTop="1" thickBot="1" x14ac:dyDescent="0.25">
      <c r="A1032" s="1199">
        <v>1</v>
      </c>
      <c r="B1032" s="1200">
        <v>2</v>
      </c>
      <c r="C1032" s="1200">
        <v>3</v>
      </c>
      <c r="D1032" s="1200">
        <v>4</v>
      </c>
      <c r="E1032" s="567">
        <v>5</v>
      </c>
      <c r="F1032" s="1201">
        <v>6</v>
      </c>
      <c r="G1032" s="1201">
        <v>7</v>
      </c>
      <c r="H1032" s="1202">
        <v>8</v>
      </c>
      <c r="I1032" s="1203" t="s">
        <v>762</v>
      </c>
    </row>
    <row r="1033" spans="1:14" s="532" customFormat="1" ht="16.5" thickTop="1" thickBot="1" x14ac:dyDescent="0.3">
      <c r="A1033" s="1211">
        <v>60005100072</v>
      </c>
      <c r="B1033" s="967">
        <v>3522</v>
      </c>
      <c r="C1033" s="1212">
        <v>6121</v>
      </c>
      <c r="D1033" s="968">
        <v>25</v>
      </c>
      <c r="E1033" s="969" t="s">
        <v>603</v>
      </c>
      <c r="F1033" s="889">
        <v>1595</v>
      </c>
      <c r="G1033" s="1214">
        <v>1595</v>
      </c>
      <c r="H1033" s="889">
        <v>1595</v>
      </c>
      <c r="I1033" s="1215">
        <f>(H1033/G1033)*100</f>
        <v>100</v>
      </c>
    </row>
    <row r="1034" spans="1:14" s="532" customFormat="1" ht="18" customHeight="1" thickTop="1" thickBot="1" x14ac:dyDescent="0.3">
      <c r="A1034" s="2692" t="s">
        <v>244</v>
      </c>
      <c r="B1034" s="2685"/>
      <c r="C1034" s="2685"/>
      <c r="D1034" s="2685"/>
      <c r="E1034" s="2685"/>
      <c r="F1034" s="873">
        <f>F1033</f>
        <v>1595</v>
      </c>
      <c r="G1034" s="873">
        <f>G1033</f>
        <v>1595</v>
      </c>
      <c r="H1034" s="873">
        <f>H1033</f>
        <v>1595</v>
      </c>
      <c r="I1034" s="856">
        <f>(H1034/G1034)*100</f>
        <v>100</v>
      </c>
    </row>
    <row r="1035" spans="1:14" ht="13.5" thickTop="1" x14ac:dyDescent="0.2">
      <c r="K1035" s="911"/>
      <c r="L1035" s="911"/>
      <c r="M1035" s="911"/>
      <c r="N1035" s="432"/>
    </row>
    <row r="1036" spans="1:14" x14ac:dyDescent="0.2">
      <c r="K1036" s="911"/>
      <c r="L1036" s="911"/>
      <c r="M1036" s="911"/>
      <c r="N1036" s="432"/>
    </row>
    <row r="1037" spans="1:14" s="532" customFormat="1" ht="13.5" thickBot="1" x14ac:dyDescent="0.25">
      <c r="A1037" s="432" t="s">
        <v>283</v>
      </c>
      <c r="B1037" s="643"/>
      <c r="D1037" s="814"/>
      <c r="F1037" s="493"/>
      <c r="G1037" s="493"/>
      <c r="H1037" s="493"/>
      <c r="I1037" s="949" t="s">
        <v>161</v>
      </c>
    </row>
    <row r="1038" spans="1:14" s="107" customFormat="1" ht="20.25" customHeight="1" thickTop="1" thickBot="1" x14ac:dyDescent="0.25">
      <c r="A1038" s="682" t="s">
        <v>624</v>
      </c>
      <c r="B1038" s="685" t="s">
        <v>162</v>
      </c>
      <c r="C1038" s="683" t="s">
        <v>163</v>
      </c>
      <c r="D1038" s="634" t="s">
        <v>705</v>
      </c>
      <c r="E1038" s="686" t="s">
        <v>164</v>
      </c>
      <c r="F1038" s="686" t="s">
        <v>165</v>
      </c>
      <c r="G1038" s="686" t="s">
        <v>881</v>
      </c>
      <c r="H1038" s="686" t="s">
        <v>882</v>
      </c>
      <c r="I1038" s="818" t="s">
        <v>883</v>
      </c>
    </row>
    <row r="1039" spans="1:14" s="383" customFormat="1" ht="13.5" thickTop="1" thickBot="1" x14ac:dyDescent="0.25">
      <c r="A1039" s="1199">
        <v>1</v>
      </c>
      <c r="B1039" s="1200">
        <v>2</v>
      </c>
      <c r="C1039" s="1200">
        <v>3</v>
      </c>
      <c r="D1039" s="1200">
        <v>4</v>
      </c>
      <c r="E1039" s="567">
        <v>5</v>
      </c>
      <c r="F1039" s="1201">
        <v>6</v>
      </c>
      <c r="G1039" s="1201">
        <v>7</v>
      </c>
      <c r="H1039" s="1202">
        <v>8</v>
      </c>
      <c r="I1039" s="1203" t="s">
        <v>762</v>
      </c>
    </row>
    <row r="1040" spans="1:14" s="532" customFormat="1" ht="16.5" thickTop="1" thickBot="1" x14ac:dyDescent="0.3">
      <c r="A1040" s="1211">
        <v>60005100080</v>
      </c>
      <c r="B1040" s="967">
        <v>3522</v>
      </c>
      <c r="C1040" s="1212">
        <v>6121</v>
      </c>
      <c r="D1040" s="968">
        <v>14</v>
      </c>
      <c r="E1040" s="969" t="s">
        <v>603</v>
      </c>
      <c r="F1040" s="889">
        <v>1433</v>
      </c>
      <c r="G1040" s="1214">
        <v>1800</v>
      </c>
      <c r="H1040" s="889">
        <v>1669</v>
      </c>
      <c r="I1040" s="1215">
        <f>(H1040/G1040)*100</f>
        <v>92.722222222222214</v>
      </c>
    </row>
    <row r="1041" spans="1:14" s="532" customFormat="1" ht="18" customHeight="1" thickTop="1" thickBot="1" x14ac:dyDescent="0.3">
      <c r="A1041" s="2692" t="s">
        <v>244</v>
      </c>
      <c r="B1041" s="2685"/>
      <c r="C1041" s="2685"/>
      <c r="D1041" s="2685"/>
      <c r="E1041" s="2685"/>
      <c r="F1041" s="873">
        <f>F1040</f>
        <v>1433</v>
      </c>
      <c r="G1041" s="873">
        <f>G1040</f>
        <v>1800</v>
      </c>
      <c r="H1041" s="873">
        <f>H1040</f>
        <v>1669</v>
      </c>
      <c r="I1041" s="856">
        <f>(H1041/G1041)*100</f>
        <v>92.722222222222214</v>
      </c>
    </row>
    <row r="1042" spans="1:14" ht="13.5" thickTop="1" x14ac:dyDescent="0.2">
      <c r="K1042" s="911"/>
      <c r="L1042" s="911"/>
      <c r="M1042" s="911"/>
      <c r="N1042" s="432"/>
    </row>
    <row r="1043" spans="1:14" x14ac:dyDescent="0.2">
      <c r="K1043" s="911"/>
      <c r="L1043" s="911"/>
      <c r="M1043" s="911"/>
      <c r="N1043" s="432"/>
    </row>
    <row r="1044" spans="1:14" s="532" customFormat="1" ht="13.5" thickBot="1" x14ac:dyDescent="0.25">
      <c r="A1044" s="432" t="s">
        <v>285</v>
      </c>
      <c r="B1044" s="643"/>
      <c r="D1044" s="814"/>
      <c r="F1044" s="493"/>
      <c r="G1044" s="493"/>
      <c r="H1044" s="493"/>
      <c r="I1044" s="949" t="s">
        <v>161</v>
      </c>
    </row>
    <row r="1045" spans="1:14" s="107" customFormat="1" ht="20.25" customHeight="1" thickTop="1" thickBot="1" x14ac:dyDescent="0.25">
      <c r="A1045" s="682" t="s">
        <v>624</v>
      </c>
      <c r="B1045" s="685" t="s">
        <v>162</v>
      </c>
      <c r="C1045" s="683" t="s">
        <v>163</v>
      </c>
      <c r="D1045" s="634" t="s">
        <v>705</v>
      </c>
      <c r="E1045" s="686" t="s">
        <v>164</v>
      </c>
      <c r="F1045" s="686" t="s">
        <v>165</v>
      </c>
      <c r="G1045" s="686" t="s">
        <v>881</v>
      </c>
      <c r="H1045" s="686" t="s">
        <v>882</v>
      </c>
      <c r="I1045" s="818" t="s">
        <v>883</v>
      </c>
    </row>
    <row r="1046" spans="1:14" s="383" customFormat="1" ht="13.5" thickTop="1" thickBot="1" x14ac:dyDescent="0.25">
      <c r="A1046" s="566">
        <v>1</v>
      </c>
      <c r="B1046" s="567">
        <v>2</v>
      </c>
      <c r="C1046" s="567">
        <v>3</v>
      </c>
      <c r="D1046" s="567">
        <v>4</v>
      </c>
      <c r="E1046" s="567">
        <v>5</v>
      </c>
      <c r="F1046" s="541">
        <v>6</v>
      </c>
      <c r="G1046" s="541">
        <v>7</v>
      </c>
      <c r="H1046" s="542">
        <v>8</v>
      </c>
      <c r="I1046" s="636" t="s">
        <v>762</v>
      </c>
    </row>
    <row r="1047" spans="1:14" s="383" customFormat="1" ht="15.75" thickTop="1" x14ac:dyDescent="0.25">
      <c r="A1047" s="1257">
        <v>60005100136</v>
      </c>
      <c r="B1047" s="1258">
        <v>3522</v>
      </c>
      <c r="C1047" s="1258">
        <v>5137</v>
      </c>
      <c r="D1047" s="1221">
        <v>870</v>
      </c>
      <c r="E1047" s="1220" t="s">
        <v>284</v>
      </c>
      <c r="F1047" s="1219"/>
      <c r="G1047" s="1219">
        <v>752</v>
      </c>
      <c r="H1047" s="1219">
        <v>752</v>
      </c>
      <c r="I1047" s="836">
        <f t="shared" ref="I1047:I1054" si="3">(H1047/G1047)*100</f>
        <v>100</v>
      </c>
    </row>
    <row r="1048" spans="1:14" s="383" customFormat="1" ht="15.75" thickBot="1" x14ac:dyDescent="0.3">
      <c r="A1048" s="1260">
        <v>60005100136</v>
      </c>
      <c r="B1048" s="1261">
        <v>3522</v>
      </c>
      <c r="C1048" s="1262">
        <v>5172</v>
      </c>
      <c r="D1048" s="964">
        <v>870</v>
      </c>
      <c r="E1048" s="1216" t="s">
        <v>897</v>
      </c>
      <c r="F1048" s="1217"/>
      <c r="G1048" s="1218">
        <v>121</v>
      </c>
      <c r="H1048" s="1217">
        <v>121</v>
      </c>
      <c r="I1048" s="972">
        <f t="shared" si="3"/>
        <v>100</v>
      </c>
    </row>
    <row r="1049" spans="1:14" s="532" customFormat="1" ht="18" customHeight="1" thickTop="1" thickBot="1" x14ac:dyDescent="0.3">
      <c r="A1049" s="2672" t="s">
        <v>245</v>
      </c>
      <c r="B1049" s="2673"/>
      <c r="C1049" s="2673"/>
      <c r="D1049" s="2673"/>
      <c r="E1049" s="2673"/>
      <c r="F1049" s="824">
        <v>0</v>
      </c>
      <c r="G1049" s="824">
        <f>G1047+G1048</f>
        <v>873</v>
      </c>
      <c r="H1049" s="824">
        <f>H1047+H1048</f>
        <v>873</v>
      </c>
      <c r="I1049" s="825">
        <f t="shared" si="3"/>
        <v>100</v>
      </c>
    </row>
    <row r="1050" spans="1:14" s="532" customFormat="1" ht="18" customHeight="1" thickTop="1" x14ac:dyDescent="0.25">
      <c r="A1050" s="1257">
        <v>60005100136</v>
      </c>
      <c r="B1050" s="1258">
        <v>3522</v>
      </c>
      <c r="C1050" s="1258">
        <v>6121</v>
      </c>
      <c r="D1050" s="1221">
        <v>14</v>
      </c>
      <c r="E1050" s="1220" t="s">
        <v>603</v>
      </c>
      <c r="F1050" s="1219">
        <v>36279</v>
      </c>
      <c r="G1050" s="1219">
        <v>31347</v>
      </c>
      <c r="H1050" s="1219">
        <v>31079</v>
      </c>
      <c r="I1050" s="836">
        <f>(H1050/G1050)*100</f>
        <v>99.145053753150222</v>
      </c>
    </row>
    <row r="1051" spans="1:14" s="383" customFormat="1" ht="15" x14ac:dyDescent="0.25">
      <c r="A1051" s="1257">
        <v>60005100136</v>
      </c>
      <c r="B1051" s="1258">
        <v>3522</v>
      </c>
      <c r="C1051" s="1259">
        <v>6121</v>
      </c>
      <c r="D1051" s="958">
        <v>870</v>
      </c>
      <c r="E1051" s="1204" t="s">
        <v>603</v>
      </c>
      <c r="F1051" s="413"/>
      <c r="G1051" s="1208">
        <v>31347</v>
      </c>
      <c r="H1051" s="413">
        <v>31079</v>
      </c>
      <c r="I1051" s="836">
        <f t="shared" si="3"/>
        <v>99.145053753150222</v>
      </c>
    </row>
    <row r="1052" spans="1:14" s="383" customFormat="1" ht="15" x14ac:dyDescent="0.25">
      <c r="A1052" s="1257">
        <v>60005100136</v>
      </c>
      <c r="B1052" s="1258">
        <v>3522</v>
      </c>
      <c r="C1052" s="1258">
        <v>6122</v>
      </c>
      <c r="D1052" s="1221">
        <v>870</v>
      </c>
      <c r="E1052" s="1220" t="s">
        <v>604</v>
      </c>
      <c r="F1052" s="1219"/>
      <c r="G1052" s="1219">
        <v>3626</v>
      </c>
      <c r="H1052" s="1219">
        <v>3626</v>
      </c>
      <c r="I1052" s="836">
        <f t="shared" si="3"/>
        <v>100</v>
      </c>
    </row>
    <row r="1053" spans="1:14" s="383" customFormat="1" ht="15.75" thickBot="1" x14ac:dyDescent="0.3">
      <c r="A1053" s="1260">
        <v>60005100136</v>
      </c>
      <c r="B1053" s="1261">
        <v>3522</v>
      </c>
      <c r="C1053" s="1262">
        <v>6125</v>
      </c>
      <c r="D1053" s="964">
        <v>870</v>
      </c>
      <c r="E1053" s="1216" t="s">
        <v>175</v>
      </c>
      <c r="F1053" s="1217"/>
      <c r="G1053" s="1218">
        <v>701</v>
      </c>
      <c r="H1053" s="1217">
        <v>701</v>
      </c>
      <c r="I1053" s="972">
        <f t="shared" si="3"/>
        <v>100</v>
      </c>
    </row>
    <row r="1054" spans="1:14" s="532" customFormat="1" ht="18" customHeight="1" thickTop="1" thickBot="1" x14ac:dyDescent="0.3">
      <c r="A1054" s="2692" t="s">
        <v>244</v>
      </c>
      <c r="B1054" s="2685"/>
      <c r="C1054" s="2685"/>
      <c r="D1054" s="2685"/>
      <c r="E1054" s="2685"/>
      <c r="F1054" s="873">
        <f>F1050</f>
        <v>36279</v>
      </c>
      <c r="G1054" s="873">
        <f>G1051+G1052+G1053</f>
        <v>35674</v>
      </c>
      <c r="H1054" s="873">
        <f>H1051+H1052+H1053</f>
        <v>35406</v>
      </c>
      <c r="I1054" s="825">
        <f t="shared" si="3"/>
        <v>99.248752592924816</v>
      </c>
    </row>
    <row r="1055" spans="1:14" ht="13.5" thickTop="1" x14ac:dyDescent="0.2">
      <c r="K1055" s="911"/>
      <c r="L1055" s="911"/>
      <c r="M1055" s="911"/>
      <c r="N1055" s="432"/>
    </row>
    <row r="1056" spans="1:14" x14ac:dyDescent="0.2">
      <c r="K1056" s="911"/>
      <c r="L1056" s="911"/>
      <c r="M1056" s="911"/>
      <c r="N1056" s="432"/>
    </row>
    <row r="1057" spans="1:14" s="532" customFormat="1" ht="13.5" thickBot="1" x14ac:dyDescent="0.25">
      <c r="A1057" s="432" t="s">
        <v>286</v>
      </c>
      <c r="B1057" s="643"/>
      <c r="D1057" s="814"/>
      <c r="F1057" s="493"/>
      <c r="G1057" s="493"/>
      <c r="H1057" s="493"/>
      <c r="I1057" s="949" t="s">
        <v>161</v>
      </c>
    </row>
    <row r="1058" spans="1:14" s="107" customFormat="1" ht="20.25" customHeight="1" thickTop="1" thickBot="1" x14ac:dyDescent="0.25">
      <c r="A1058" s="682" t="s">
        <v>624</v>
      </c>
      <c r="B1058" s="685" t="s">
        <v>162</v>
      </c>
      <c r="C1058" s="683" t="s">
        <v>163</v>
      </c>
      <c r="D1058" s="634" t="s">
        <v>705</v>
      </c>
      <c r="E1058" s="686" t="s">
        <v>164</v>
      </c>
      <c r="F1058" s="686" t="s">
        <v>165</v>
      </c>
      <c r="G1058" s="686" t="s">
        <v>881</v>
      </c>
      <c r="H1058" s="686" t="s">
        <v>882</v>
      </c>
      <c r="I1058" s="818" t="s">
        <v>883</v>
      </c>
    </row>
    <row r="1059" spans="1:14" s="383" customFormat="1" ht="13.5" thickTop="1" thickBot="1" x14ac:dyDescent="0.25">
      <c r="A1059" s="1199">
        <v>1</v>
      </c>
      <c r="B1059" s="1200">
        <v>2</v>
      </c>
      <c r="C1059" s="1200">
        <v>3</v>
      </c>
      <c r="D1059" s="1200">
        <v>4</v>
      </c>
      <c r="E1059" s="567">
        <v>5</v>
      </c>
      <c r="F1059" s="1201">
        <v>6</v>
      </c>
      <c r="G1059" s="1201">
        <v>7</v>
      </c>
      <c r="H1059" s="1202">
        <v>8</v>
      </c>
      <c r="I1059" s="1203" t="s">
        <v>762</v>
      </c>
    </row>
    <row r="1060" spans="1:14" s="532" customFormat="1" ht="16.5" thickTop="1" thickBot="1" x14ac:dyDescent="0.3">
      <c r="A1060" s="1211">
        <v>60005100293</v>
      </c>
      <c r="B1060" s="967">
        <v>3523</v>
      </c>
      <c r="C1060" s="1212">
        <v>6121</v>
      </c>
      <c r="D1060" s="968">
        <v>14</v>
      </c>
      <c r="E1060" s="969" t="s">
        <v>603</v>
      </c>
      <c r="F1060" s="889"/>
      <c r="G1060" s="1214">
        <v>5135</v>
      </c>
      <c r="H1060" s="889">
        <v>5112</v>
      </c>
      <c r="I1060" s="1215">
        <f>(H1060/G1060)*100</f>
        <v>99.552093476144108</v>
      </c>
    </row>
    <row r="1061" spans="1:14" s="532" customFormat="1" ht="18" customHeight="1" thickTop="1" thickBot="1" x14ac:dyDescent="0.3">
      <c r="A1061" s="2692" t="s">
        <v>244</v>
      </c>
      <c r="B1061" s="2685"/>
      <c r="C1061" s="2685"/>
      <c r="D1061" s="2685"/>
      <c r="E1061" s="2685"/>
      <c r="F1061" s="873">
        <f>F1060</f>
        <v>0</v>
      </c>
      <c r="G1061" s="873">
        <f>G1060</f>
        <v>5135</v>
      </c>
      <c r="H1061" s="873">
        <f>H1060</f>
        <v>5112</v>
      </c>
      <c r="I1061" s="856">
        <f>(H1061/G1061)*100</f>
        <v>99.552093476144108</v>
      </c>
    </row>
    <row r="1062" spans="1:14" ht="13.5" thickTop="1" x14ac:dyDescent="0.2">
      <c r="K1062" s="911"/>
      <c r="L1062" s="911"/>
      <c r="M1062" s="911"/>
      <c r="N1062" s="432"/>
    </row>
    <row r="1063" spans="1:14" x14ac:dyDescent="0.2">
      <c r="K1063" s="911"/>
      <c r="L1063" s="911"/>
      <c r="M1063" s="911"/>
      <c r="N1063" s="432"/>
    </row>
    <row r="1064" spans="1:14" x14ac:dyDescent="0.2">
      <c r="K1064" s="911"/>
      <c r="L1064" s="911"/>
      <c r="M1064" s="911"/>
      <c r="N1064" s="432"/>
    </row>
    <row r="1065" spans="1:14" x14ac:dyDescent="0.2">
      <c r="K1065" s="911"/>
      <c r="L1065" s="911"/>
      <c r="M1065" s="911"/>
      <c r="N1065" s="432"/>
    </row>
    <row r="1066" spans="1:14" x14ac:dyDescent="0.2">
      <c r="K1066" s="911"/>
      <c r="L1066" s="911"/>
      <c r="M1066" s="911"/>
      <c r="N1066" s="432"/>
    </row>
    <row r="1067" spans="1:14" x14ac:dyDescent="0.2">
      <c r="K1067" s="911"/>
      <c r="L1067" s="911"/>
      <c r="M1067" s="911"/>
      <c r="N1067" s="432"/>
    </row>
    <row r="1068" spans="1:14" x14ac:dyDescent="0.2">
      <c r="K1068" s="911"/>
      <c r="L1068" s="911"/>
      <c r="M1068" s="911"/>
      <c r="N1068" s="432"/>
    </row>
    <row r="1069" spans="1:14" s="532" customFormat="1" ht="13.5" thickBot="1" x14ac:dyDescent="0.25">
      <c r="A1069" s="432" t="s">
        <v>287</v>
      </c>
      <c r="B1069" s="643"/>
      <c r="D1069" s="814"/>
      <c r="F1069" s="493"/>
      <c r="G1069" s="493"/>
      <c r="H1069" s="493"/>
      <c r="I1069" s="949" t="s">
        <v>161</v>
      </c>
    </row>
    <row r="1070" spans="1:14" s="107" customFormat="1" ht="20.25" customHeight="1" thickTop="1" thickBot="1" x14ac:dyDescent="0.25">
      <c r="A1070" s="682" t="s">
        <v>624</v>
      </c>
      <c r="B1070" s="685" t="s">
        <v>162</v>
      </c>
      <c r="C1070" s="683" t="s">
        <v>163</v>
      </c>
      <c r="D1070" s="634" t="s">
        <v>705</v>
      </c>
      <c r="E1070" s="686" t="s">
        <v>164</v>
      </c>
      <c r="F1070" s="686" t="s">
        <v>165</v>
      </c>
      <c r="G1070" s="686" t="s">
        <v>881</v>
      </c>
      <c r="H1070" s="686" t="s">
        <v>882</v>
      </c>
      <c r="I1070" s="818" t="s">
        <v>883</v>
      </c>
    </row>
    <row r="1071" spans="1:14" s="383" customFormat="1" ht="13.5" thickTop="1" thickBot="1" x14ac:dyDescent="0.25">
      <c r="A1071" s="1199">
        <v>1</v>
      </c>
      <c r="B1071" s="1200">
        <v>2</v>
      </c>
      <c r="C1071" s="1200">
        <v>3</v>
      </c>
      <c r="D1071" s="1200">
        <v>4</v>
      </c>
      <c r="E1071" s="567">
        <v>5</v>
      </c>
      <c r="F1071" s="1201">
        <v>6</v>
      </c>
      <c r="G1071" s="1201">
        <v>7</v>
      </c>
      <c r="H1071" s="1202">
        <v>8</v>
      </c>
      <c r="I1071" s="1203" t="s">
        <v>762</v>
      </c>
    </row>
    <row r="1072" spans="1:14" s="532" customFormat="1" ht="16.5" thickTop="1" thickBot="1" x14ac:dyDescent="0.3">
      <c r="A1072" s="1211">
        <v>60005100294</v>
      </c>
      <c r="B1072" s="967">
        <v>4322</v>
      </c>
      <c r="C1072" s="1212">
        <v>6121</v>
      </c>
      <c r="D1072" s="968">
        <v>14</v>
      </c>
      <c r="E1072" s="969" t="s">
        <v>603</v>
      </c>
      <c r="F1072" s="889"/>
      <c r="G1072" s="1214">
        <v>1971</v>
      </c>
      <c r="H1072" s="889">
        <v>518</v>
      </c>
      <c r="I1072" s="1215">
        <f>(H1072/G1072)*100</f>
        <v>26.281075596144088</v>
      </c>
    </row>
    <row r="1073" spans="1:14" s="532" customFormat="1" ht="18" customHeight="1" thickTop="1" thickBot="1" x14ac:dyDescent="0.3">
      <c r="A1073" s="2692" t="s">
        <v>244</v>
      </c>
      <c r="B1073" s="2685"/>
      <c r="C1073" s="2685"/>
      <c r="D1073" s="2685"/>
      <c r="E1073" s="2685"/>
      <c r="F1073" s="873">
        <f>F1072</f>
        <v>0</v>
      </c>
      <c r="G1073" s="873">
        <f>G1072</f>
        <v>1971</v>
      </c>
      <c r="H1073" s="873">
        <f>H1072</f>
        <v>518</v>
      </c>
      <c r="I1073" s="856">
        <f>(H1073/G1073)*100</f>
        <v>26.281075596144088</v>
      </c>
    </row>
    <row r="1074" spans="1:14" ht="13.5" thickTop="1" x14ac:dyDescent="0.2">
      <c r="K1074" s="911"/>
      <c r="L1074" s="911"/>
      <c r="M1074" s="911"/>
      <c r="N1074" s="432"/>
    </row>
    <row r="1075" spans="1:14" x14ac:dyDescent="0.2">
      <c r="K1075" s="911"/>
      <c r="L1075" s="911"/>
      <c r="M1075" s="911"/>
      <c r="N1075" s="432"/>
    </row>
    <row r="1076" spans="1:14" s="532" customFormat="1" ht="13.5" thickBot="1" x14ac:dyDescent="0.25">
      <c r="A1076" s="432" t="s">
        <v>288</v>
      </c>
      <c r="B1076" s="643"/>
      <c r="D1076" s="814"/>
      <c r="F1076" s="493"/>
      <c r="G1076" s="493"/>
      <c r="H1076" s="493"/>
      <c r="I1076" s="949" t="s">
        <v>161</v>
      </c>
    </row>
    <row r="1077" spans="1:14" s="107" customFormat="1" ht="20.25" customHeight="1" thickTop="1" thickBot="1" x14ac:dyDescent="0.25">
      <c r="A1077" s="682" t="s">
        <v>624</v>
      </c>
      <c r="B1077" s="685" t="s">
        <v>162</v>
      </c>
      <c r="C1077" s="683" t="s">
        <v>163</v>
      </c>
      <c r="D1077" s="634" t="s">
        <v>705</v>
      </c>
      <c r="E1077" s="686" t="s">
        <v>164</v>
      </c>
      <c r="F1077" s="686" t="s">
        <v>165</v>
      </c>
      <c r="G1077" s="686" t="s">
        <v>881</v>
      </c>
      <c r="H1077" s="686" t="s">
        <v>882</v>
      </c>
      <c r="I1077" s="818" t="s">
        <v>883</v>
      </c>
    </row>
    <row r="1078" spans="1:14" s="383" customFormat="1" ht="13.5" thickTop="1" thickBot="1" x14ac:dyDescent="0.25">
      <c r="A1078" s="1199">
        <v>1</v>
      </c>
      <c r="B1078" s="1200">
        <v>2</v>
      </c>
      <c r="C1078" s="1200">
        <v>3</v>
      </c>
      <c r="D1078" s="1200">
        <v>4</v>
      </c>
      <c r="E1078" s="567">
        <v>5</v>
      </c>
      <c r="F1078" s="1201">
        <v>6</v>
      </c>
      <c r="G1078" s="1201">
        <v>7</v>
      </c>
      <c r="H1078" s="1202">
        <v>8</v>
      </c>
      <c r="I1078" s="1203" t="s">
        <v>762</v>
      </c>
    </row>
    <row r="1079" spans="1:14" s="532" customFormat="1" ht="16.5" thickTop="1" thickBot="1" x14ac:dyDescent="0.3">
      <c r="A1079" s="1211">
        <v>60005100298</v>
      </c>
      <c r="B1079" s="967">
        <v>3523</v>
      </c>
      <c r="C1079" s="1212">
        <v>6121</v>
      </c>
      <c r="D1079" s="968">
        <v>14</v>
      </c>
      <c r="E1079" s="969" t="s">
        <v>603</v>
      </c>
      <c r="F1079" s="889"/>
      <c r="G1079" s="1214">
        <v>500</v>
      </c>
      <c r="H1079" s="889">
        <v>19</v>
      </c>
      <c r="I1079" s="1215">
        <f>(H1079/G1079)*100</f>
        <v>3.8</v>
      </c>
    </row>
    <row r="1080" spans="1:14" s="532" customFormat="1" ht="18" customHeight="1" thickTop="1" thickBot="1" x14ac:dyDescent="0.3">
      <c r="A1080" s="2692" t="s">
        <v>244</v>
      </c>
      <c r="B1080" s="2685"/>
      <c r="C1080" s="2685"/>
      <c r="D1080" s="2685"/>
      <c r="E1080" s="2685"/>
      <c r="F1080" s="873">
        <f>F1079</f>
        <v>0</v>
      </c>
      <c r="G1080" s="873">
        <f>G1079</f>
        <v>500</v>
      </c>
      <c r="H1080" s="873">
        <f>H1079</f>
        <v>19</v>
      </c>
      <c r="I1080" s="856">
        <f>(H1080/G1080)*100</f>
        <v>3.8</v>
      </c>
    </row>
    <row r="1081" spans="1:14" ht="13.5" thickTop="1" x14ac:dyDescent="0.2">
      <c r="K1081" s="911"/>
      <c r="L1081" s="911"/>
      <c r="M1081" s="911"/>
      <c r="N1081" s="432"/>
    </row>
    <row r="1082" spans="1:14" x14ac:dyDescent="0.2">
      <c r="K1082" s="911"/>
      <c r="L1082" s="911"/>
      <c r="M1082" s="911"/>
      <c r="N1082" s="432"/>
    </row>
    <row r="1083" spans="1:14" s="532" customFormat="1" ht="13.5" thickBot="1" x14ac:dyDescent="0.25">
      <c r="A1083" s="432" t="s">
        <v>1163</v>
      </c>
      <c r="B1083" s="643"/>
      <c r="D1083" s="814"/>
      <c r="F1083" s="493"/>
      <c r="G1083" s="493"/>
      <c r="H1083" s="493"/>
      <c r="I1083" s="949" t="s">
        <v>161</v>
      </c>
    </row>
    <row r="1084" spans="1:14" s="107" customFormat="1" ht="20.25" customHeight="1" thickTop="1" thickBot="1" x14ac:dyDescent="0.25">
      <c r="A1084" s="682" t="s">
        <v>624</v>
      </c>
      <c r="B1084" s="685" t="s">
        <v>162</v>
      </c>
      <c r="C1084" s="683" t="s">
        <v>163</v>
      </c>
      <c r="D1084" s="634" t="s">
        <v>705</v>
      </c>
      <c r="E1084" s="686" t="s">
        <v>164</v>
      </c>
      <c r="F1084" s="686" t="s">
        <v>165</v>
      </c>
      <c r="G1084" s="686" t="s">
        <v>881</v>
      </c>
      <c r="H1084" s="686" t="s">
        <v>882</v>
      </c>
      <c r="I1084" s="818" t="s">
        <v>883</v>
      </c>
    </row>
    <row r="1085" spans="1:14" s="383" customFormat="1" ht="13.5" thickTop="1" thickBot="1" x14ac:dyDescent="0.25">
      <c r="A1085" s="1199">
        <v>1</v>
      </c>
      <c r="B1085" s="1200">
        <v>2</v>
      </c>
      <c r="C1085" s="1200">
        <v>3</v>
      </c>
      <c r="D1085" s="1200">
        <v>4</v>
      </c>
      <c r="E1085" s="567">
        <v>5</v>
      </c>
      <c r="F1085" s="1201">
        <v>6</v>
      </c>
      <c r="G1085" s="1201">
        <v>7</v>
      </c>
      <c r="H1085" s="1202">
        <v>8</v>
      </c>
      <c r="I1085" s="1203" t="s">
        <v>762</v>
      </c>
    </row>
    <row r="1086" spans="1:14" s="532" customFormat="1" ht="16.5" thickTop="1" thickBot="1" x14ac:dyDescent="0.3">
      <c r="A1086" s="1211">
        <v>60005100299</v>
      </c>
      <c r="B1086" s="967">
        <v>3522</v>
      </c>
      <c r="C1086" s="1212">
        <v>6121</v>
      </c>
      <c r="D1086" s="968">
        <v>14</v>
      </c>
      <c r="E1086" s="969" t="s">
        <v>603</v>
      </c>
      <c r="F1086" s="889"/>
      <c r="G1086" s="1214">
        <v>118</v>
      </c>
      <c r="H1086" s="889">
        <v>118</v>
      </c>
      <c r="I1086" s="1215">
        <f>(H1086/G1086)*100</f>
        <v>100</v>
      </c>
    </row>
    <row r="1087" spans="1:14" s="532" customFormat="1" ht="18" customHeight="1" thickTop="1" thickBot="1" x14ac:dyDescent="0.3">
      <c r="A1087" s="2692" t="s">
        <v>244</v>
      </c>
      <c r="B1087" s="2685"/>
      <c r="C1087" s="2685"/>
      <c r="D1087" s="2685"/>
      <c r="E1087" s="2685"/>
      <c r="F1087" s="873">
        <f>F1086</f>
        <v>0</v>
      </c>
      <c r="G1087" s="873">
        <f>G1086</f>
        <v>118</v>
      </c>
      <c r="H1087" s="873">
        <f>H1086</f>
        <v>118</v>
      </c>
      <c r="I1087" s="856">
        <f>(H1087/G1087)*100</f>
        <v>100</v>
      </c>
    </row>
    <row r="1088" spans="1:14" ht="13.5" thickTop="1" x14ac:dyDescent="0.2">
      <c r="K1088" s="911"/>
      <c r="L1088" s="911"/>
      <c r="M1088" s="911"/>
      <c r="N1088" s="432"/>
    </row>
    <row r="1089" spans="1:14" x14ac:dyDescent="0.2">
      <c r="K1089" s="911"/>
      <c r="L1089" s="911"/>
      <c r="M1089" s="911"/>
      <c r="N1089" s="432"/>
    </row>
    <row r="1090" spans="1:14" s="532" customFormat="1" ht="13.5" thickBot="1" x14ac:dyDescent="0.25">
      <c r="A1090" s="432" t="s">
        <v>1164</v>
      </c>
      <c r="B1090" s="643"/>
      <c r="D1090" s="814"/>
      <c r="F1090" s="493"/>
      <c r="G1090" s="493"/>
      <c r="H1090" s="493"/>
      <c r="I1090" s="949" t="s">
        <v>161</v>
      </c>
    </row>
    <row r="1091" spans="1:14" s="107" customFormat="1" ht="20.25" customHeight="1" thickTop="1" thickBot="1" x14ac:dyDescent="0.25">
      <c r="A1091" s="682" t="s">
        <v>624</v>
      </c>
      <c r="B1091" s="685" t="s">
        <v>162</v>
      </c>
      <c r="C1091" s="683" t="s">
        <v>163</v>
      </c>
      <c r="D1091" s="634" t="s">
        <v>705</v>
      </c>
      <c r="E1091" s="686" t="s">
        <v>164</v>
      </c>
      <c r="F1091" s="686" t="s">
        <v>165</v>
      </c>
      <c r="G1091" s="686" t="s">
        <v>881</v>
      </c>
      <c r="H1091" s="686" t="s">
        <v>882</v>
      </c>
      <c r="I1091" s="818" t="s">
        <v>883</v>
      </c>
    </row>
    <row r="1092" spans="1:14" s="383" customFormat="1" ht="13.5" thickTop="1" thickBot="1" x14ac:dyDescent="0.25">
      <c r="A1092" s="1199">
        <v>1</v>
      </c>
      <c r="B1092" s="1200">
        <v>2</v>
      </c>
      <c r="C1092" s="1200">
        <v>3</v>
      </c>
      <c r="D1092" s="1200">
        <v>4</v>
      </c>
      <c r="E1092" s="567">
        <v>5</v>
      </c>
      <c r="F1092" s="1201">
        <v>6</v>
      </c>
      <c r="G1092" s="1201">
        <v>7</v>
      </c>
      <c r="H1092" s="1202">
        <v>8</v>
      </c>
      <c r="I1092" s="1203" t="s">
        <v>762</v>
      </c>
    </row>
    <row r="1093" spans="1:14" s="532" customFormat="1" ht="16.5" thickTop="1" thickBot="1" x14ac:dyDescent="0.3">
      <c r="A1093" s="1211">
        <v>60005100300</v>
      </c>
      <c r="B1093" s="967">
        <v>3523</v>
      </c>
      <c r="C1093" s="1212">
        <v>6121</v>
      </c>
      <c r="D1093" s="968">
        <v>14</v>
      </c>
      <c r="E1093" s="969" t="s">
        <v>603</v>
      </c>
      <c r="F1093" s="889"/>
      <c r="G1093" s="1214">
        <v>1200</v>
      </c>
      <c r="H1093" s="889">
        <v>1115</v>
      </c>
      <c r="I1093" s="1215">
        <f>(H1093/G1093)*100</f>
        <v>92.916666666666671</v>
      </c>
    </row>
    <row r="1094" spans="1:14" s="532" customFormat="1" ht="18" customHeight="1" thickTop="1" thickBot="1" x14ac:dyDescent="0.3">
      <c r="A1094" s="2692" t="s">
        <v>244</v>
      </c>
      <c r="B1094" s="2685"/>
      <c r="C1094" s="2685"/>
      <c r="D1094" s="2685"/>
      <c r="E1094" s="2685"/>
      <c r="F1094" s="873">
        <f>F1093</f>
        <v>0</v>
      </c>
      <c r="G1094" s="873">
        <f>G1093</f>
        <v>1200</v>
      </c>
      <c r="H1094" s="873">
        <f>H1093</f>
        <v>1115</v>
      </c>
      <c r="I1094" s="856">
        <f>(H1094/G1094)*100</f>
        <v>92.916666666666671</v>
      </c>
    </row>
    <row r="1095" spans="1:14" ht="13.5" thickTop="1" x14ac:dyDescent="0.2">
      <c r="K1095" s="911"/>
      <c r="L1095" s="911"/>
      <c r="M1095" s="911"/>
      <c r="N1095" s="432"/>
    </row>
    <row r="1096" spans="1:14" x14ac:dyDescent="0.2">
      <c r="K1096" s="911"/>
      <c r="L1096" s="911"/>
      <c r="M1096" s="911"/>
      <c r="N1096" s="432"/>
    </row>
    <row r="1097" spans="1:14" s="532" customFormat="1" ht="13.5" thickBot="1" x14ac:dyDescent="0.25">
      <c r="A1097" s="432" t="s">
        <v>1165</v>
      </c>
      <c r="B1097" s="643"/>
      <c r="D1097" s="814"/>
      <c r="F1097" s="493"/>
      <c r="G1097" s="493"/>
      <c r="H1097" s="493"/>
      <c r="I1097" s="949" t="s">
        <v>161</v>
      </c>
    </row>
    <row r="1098" spans="1:14" s="107" customFormat="1" ht="20.25" customHeight="1" thickTop="1" thickBot="1" x14ac:dyDescent="0.25">
      <c r="A1098" s="682" t="s">
        <v>624</v>
      </c>
      <c r="B1098" s="685" t="s">
        <v>162</v>
      </c>
      <c r="C1098" s="683" t="s">
        <v>163</v>
      </c>
      <c r="D1098" s="634" t="s">
        <v>705</v>
      </c>
      <c r="E1098" s="686" t="s">
        <v>164</v>
      </c>
      <c r="F1098" s="686" t="s">
        <v>165</v>
      </c>
      <c r="G1098" s="686" t="s">
        <v>881</v>
      </c>
      <c r="H1098" s="686" t="s">
        <v>882</v>
      </c>
      <c r="I1098" s="818" t="s">
        <v>883</v>
      </c>
    </row>
    <row r="1099" spans="1:14" s="383" customFormat="1" ht="13.5" thickTop="1" thickBot="1" x14ac:dyDescent="0.25">
      <c r="A1099" s="1199">
        <v>1</v>
      </c>
      <c r="B1099" s="1200">
        <v>2</v>
      </c>
      <c r="C1099" s="1200">
        <v>3</v>
      </c>
      <c r="D1099" s="1200">
        <v>4</v>
      </c>
      <c r="E1099" s="567">
        <v>5</v>
      </c>
      <c r="F1099" s="1201">
        <v>6</v>
      </c>
      <c r="G1099" s="1201">
        <v>7</v>
      </c>
      <c r="H1099" s="1202">
        <v>8</v>
      </c>
      <c r="I1099" s="1203" t="s">
        <v>762</v>
      </c>
    </row>
    <row r="1100" spans="1:14" s="532" customFormat="1" ht="16.5" thickTop="1" thickBot="1" x14ac:dyDescent="0.3">
      <c r="A1100" s="1211">
        <v>60005100301</v>
      </c>
      <c r="B1100" s="967">
        <v>3523</v>
      </c>
      <c r="C1100" s="1212">
        <v>6121</v>
      </c>
      <c r="D1100" s="968">
        <v>870</v>
      </c>
      <c r="E1100" s="969" t="s">
        <v>603</v>
      </c>
      <c r="F1100" s="889"/>
      <c r="G1100" s="1214">
        <v>7196</v>
      </c>
      <c r="H1100" s="889">
        <v>3446</v>
      </c>
      <c r="I1100" s="1215">
        <f>(H1100/G1100)*100</f>
        <v>47.887715397443024</v>
      </c>
    </row>
    <row r="1101" spans="1:14" s="532" customFormat="1" ht="18" customHeight="1" thickTop="1" thickBot="1" x14ac:dyDescent="0.3">
      <c r="A1101" s="2692" t="s">
        <v>244</v>
      </c>
      <c r="B1101" s="2685"/>
      <c r="C1101" s="2685"/>
      <c r="D1101" s="2685"/>
      <c r="E1101" s="2685"/>
      <c r="F1101" s="873">
        <f>F1100</f>
        <v>0</v>
      </c>
      <c r="G1101" s="873">
        <f>G1100</f>
        <v>7196</v>
      </c>
      <c r="H1101" s="873">
        <f>H1100</f>
        <v>3446</v>
      </c>
      <c r="I1101" s="856">
        <f>(H1101/G1101)*100</f>
        <v>47.887715397443024</v>
      </c>
    </row>
    <row r="1102" spans="1:14" ht="13.5" thickTop="1" x14ac:dyDescent="0.2">
      <c r="K1102" s="911"/>
      <c r="L1102" s="911"/>
      <c r="M1102" s="911"/>
      <c r="N1102" s="432"/>
    </row>
    <row r="1103" spans="1:14" x14ac:dyDescent="0.2">
      <c r="K1103" s="911"/>
      <c r="L1103" s="911"/>
      <c r="M1103" s="911"/>
      <c r="N1103" s="432"/>
    </row>
    <row r="1104" spans="1:14" s="532" customFormat="1" ht="13.5" thickBot="1" x14ac:dyDescent="0.25">
      <c r="A1104" s="432" t="s">
        <v>18</v>
      </c>
      <c r="B1104" s="643"/>
      <c r="D1104" s="814"/>
      <c r="F1104" s="493"/>
      <c r="G1104" s="493"/>
      <c r="H1104" s="493"/>
      <c r="I1104" s="949" t="s">
        <v>161</v>
      </c>
    </row>
    <row r="1105" spans="1:14" s="107" customFormat="1" ht="20.25" customHeight="1" thickTop="1" thickBot="1" x14ac:dyDescent="0.25">
      <c r="A1105" s="682" t="s">
        <v>624</v>
      </c>
      <c r="B1105" s="685" t="s">
        <v>162</v>
      </c>
      <c r="C1105" s="683" t="s">
        <v>163</v>
      </c>
      <c r="D1105" s="634" t="s">
        <v>705</v>
      </c>
      <c r="E1105" s="686" t="s">
        <v>164</v>
      </c>
      <c r="F1105" s="686" t="s">
        <v>165</v>
      </c>
      <c r="G1105" s="686" t="s">
        <v>881</v>
      </c>
      <c r="H1105" s="686" t="s">
        <v>882</v>
      </c>
      <c r="I1105" s="818" t="s">
        <v>883</v>
      </c>
    </row>
    <row r="1106" spans="1:14" s="383" customFormat="1" ht="13.5" thickTop="1" thickBot="1" x14ac:dyDescent="0.25">
      <c r="A1106" s="1199">
        <v>1</v>
      </c>
      <c r="B1106" s="1200">
        <v>2</v>
      </c>
      <c r="C1106" s="1200">
        <v>3</v>
      </c>
      <c r="D1106" s="1200">
        <v>4</v>
      </c>
      <c r="E1106" s="567">
        <v>5</v>
      </c>
      <c r="F1106" s="1201">
        <v>6</v>
      </c>
      <c r="G1106" s="1201">
        <v>7</v>
      </c>
      <c r="H1106" s="1202">
        <v>8</v>
      </c>
      <c r="I1106" s="1203" t="s">
        <v>762</v>
      </c>
    </row>
    <row r="1107" spans="1:14" s="532" customFormat="1" ht="16.5" thickTop="1" thickBot="1" x14ac:dyDescent="0.3">
      <c r="A1107" s="1211">
        <v>60005100302</v>
      </c>
      <c r="B1107" s="967">
        <v>3522</v>
      </c>
      <c r="C1107" s="1212">
        <v>6121</v>
      </c>
      <c r="D1107" s="968">
        <v>14</v>
      </c>
      <c r="E1107" s="969" t="s">
        <v>603</v>
      </c>
      <c r="F1107" s="889"/>
      <c r="G1107" s="1214">
        <v>2079</v>
      </c>
      <c r="H1107" s="889">
        <v>1879</v>
      </c>
      <c r="I1107" s="1215">
        <f>(H1107/G1107)*100</f>
        <v>90.379990379990389</v>
      </c>
    </row>
    <row r="1108" spans="1:14" s="532" customFormat="1" ht="18" customHeight="1" thickTop="1" thickBot="1" x14ac:dyDescent="0.3">
      <c r="A1108" s="2692" t="s">
        <v>244</v>
      </c>
      <c r="B1108" s="2685"/>
      <c r="C1108" s="2685"/>
      <c r="D1108" s="2685"/>
      <c r="E1108" s="2685"/>
      <c r="F1108" s="873">
        <f>F1107</f>
        <v>0</v>
      </c>
      <c r="G1108" s="873">
        <f>G1107</f>
        <v>2079</v>
      </c>
      <c r="H1108" s="873">
        <f>H1107</f>
        <v>1879</v>
      </c>
      <c r="I1108" s="856">
        <f>(H1108/G1108)*100</f>
        <v>90.379990379990389</v>
      </c>
    </row>
    <row r="1109" spans="1:14" ht="13.5" thickTop="1" x14ac:dyDescent="0.2">
      <c r="K1109" s="911"/>
      <c r="L1109" s="911"/>
      <c r="M1109" s="911"/>
      <c r="N1109" s="432"/>
    </row>
    <row r="1110" spans="1:14" x14ac:dyDescent="0.2">
      <c r="K1110" s="911"/>
      <c r="L1110" s="911"/>
      <c r="M1110" s="911"/>
      <c r="N1110" s="432"/>
    </row>
    <row r="1111" spans="1:14" s="532" customFormat="1" ht="13.5" thickBot="1" x14ac:dyDescent="0.25">
      <c r="A1111" s="432" t="s">
        <v>19</v>
      </c>
      <c r="B1111" s="643"/>
      <c r="D1111" s="814"/>
      <c r="F1111" s="493"/>
      <c r="G1111" s="493"/>
      <c r="H1111" s="493"/>
      <c r="I1111" s="949" t="s">
        <v>161</v>
      </c>
    </row>
    <row r="1112" spans="1:14" s="107" customFormat="1" ht="20.25" customHeight="1" thickTop="1" thickBot="1" x14ac:dyDescent="0.25">
      <c r="A1112" s="682" t="s">
        <v>624</v>
      </c>
      <c r="B1112" s="685" t="s">
        <v>162</v>
      </c>
      <c r="C1112" s="683" t="s">
        <v>163</v>
      </c>
      <c r="D1112" s="634" t="s">
        <v>705</v>
      </c>
      <c r="E1112" s="686" t="s">
        <v>164</v>
      </c>
      <c r="F1112" s="686" t="s">
        <v>165</v>
      </c>
      <c r="G1112" s="686" t="s">
        <v>881</v>
      </c>
      <c r="H1112" s="686" t="s">
        <v>882</v>
      </c>
      <c r="I1112" s="818" t="s">
        <v>883</v>
      </c>
    </row>
    <row r="1113" spans="1:14" s="383" customFormat="1" ht="13.5" thickTop="1" thickBot="1" x14ac:dyDescent="0.25">
      <c r="A1113" s="1199">
        <v>1</v>
      </c>
      <c r="B1113" s="1200">
        <v>2</v>
      </c>
      <c r="C1113" s="1200">
        <v>3</v>
      </c>
      <c r="D1113" s="1200">
        <v>4</v>
      </c>
      <c r="E1113" s="567">
        <v>5</v>
      </c>
      <c r="F1113" s="1201">
        <v>6</v>
      </c>
      <c r="G1113" s="1201">
        <v>7</v>
      </c>
      <c r="H1113" s="1202">
        <v>8</v>
      </c>
      <c r="I1113" s="1203" t="s">
        <v>762</v>
      </c>
    </row>
    <row r="1114" spans="1:14" s="532" customFormat="1" ht="16.5" thickTop="1" thickBot="1" x14ac:dyDescent="0.3">
      <c r="A1114" s="1211">
        <v>60005100303</v>
      </c>
      <c r="B1114" s="967">
        <v>3522</v>
      </c>
      <c r="C1114" s="1212">
        <v>6121</v>
      </c>
      <c r="D1114" s="968">
        <v>14</v>
      </c>
      <c r="E1114" s="969" t="s">
        <v>603</v>
      </c>
      <c r="F1114" s="889"/>
      <c r="G1114" s="1214">
        <v>60</v>
      </c>
      <c r="H1114" s="889">
        <v>60</v>
      </c>
      <c r="I1114" s="1215">
        <f>(H1114/G1114)*100</f>
        <v>100</v>
      </c>
    </row>
    <row r="1115" spans="1:14" s="532" customFormat="1" ht="18" customHeight="1" thickTop="1" thickBot="1" x14ac:dyDescent="0.3">
      <c r="A1115" s="2692" t="s">
        <v>244</v>
      </c>
      <c r="B1115" s="2685"/>
      <c r="C1115" s="2685"/>
      <c r="D1115" s="2685"/>
      <c r="E1115" s="2685"/>
      <c r="F1115" s="873">
        <f>F1114</f>
        <v>0</v>
      </c>
      <c r="G1115" s="873">
        <f>G1114</f>
        <v>60</v>
      </c>
      <c r="H1115" s="873">
        <f>H1114</f>
        <v>60</v>
      </c>
      <c r="I1115" s="856">
        <f>(H1115/G1115)*100</f>
        <v>100</v>
      </c>
    </row>
    <row r="1116" spans="1:14" ht="13.5" thickTop="1" x14ac:dyDescent="0.2">
      <c r="K1116" s="911"/>
      <c r="L1116" s="911"/>
      <c r="M1116" s="911"/>
      <c r="N1116" s="432"/>
    </row>
    <row r="1117" spans="1:14" x14ac:dyDescent="0.2">
      <c r="K1117" s="911"/>
      <c r="L1117" s="911"/>
      <c r="M1117" s="911"/>
      <c r="N1117" s="432"/>
    </row>
    <row r="1118" spans="1:14" s="532" customFormat="1" ht="13.5" thickBot="1" x14ac:dyDescent="0.25">
      <c r="A1118" s="432" t="s">
        <v>20</v>
      </c>
      <c r="B1118" s="643"/>
      <c r="D1118" s="814"/>
      <c r="F1118" s="493"/>
      <c r="G1118" s="493"/>
      <c r="H1118" s="493"/>
      <c r="I1118" s="949" t="s">
        <v>161</v>
      </c>
    </row>
    <row r="1119" spans="1:14" s="107" customFormat="1" ht="20.25" customHeight="1" thickTop="1" thickBot="1" x14ac:dyDescent="0.25">
      <c r="A1119" s="682" t="s">
        <v>624</v>
      </c>
      <c r="B1119" s="685" t="s">
        <v>162</v>
      </c>
      <c r="C1119" s="683" t="s">
        <v>163</v>
      </c>
      <c r="D1119" s="634" t="s">
        <v>705</v>
      </c>
      <c r="E1119" s="686" t="s">
        <v>164</v>
      </c>
      <c r="F1119" s="686" t="s">
        <v>165</v>
      </c>
      <c r="G1119" s="686" t="s">
        <v>881</v>
      </c>
      <c r="H1119" s="686" t="s">
        <v>882</v>
      </c>
      <c r="I1119" s="818" t="s">
        <v>883</v>
      </c>
    </row>
    <row r="1120" spans="1:14" s="383" customFormat="1" ht="13.5" thickTop="1" thickBot="1" x14ac:dyDescent="0.25">
      <c r="A1120" s="1199">
        <v>1</v>
      </c>
      <c r="B1120" s="1200">
        <v>2</v>
      </c>
      <c r="C1120" s="1200">
        <v>3</v>
      </c>
      <c r="D1120" s="1200">
        <v>4</v>
      </c>
      <c r="E1120" s="567">
        <v>5</v>
      </c>
      <c r="F1120" s="1201">
        <v>6</v>
      </c>
      <c r="G1120" s="1201">
        <v>7</v>
      </c>
      <c r="H1120" s="1202">
        <v>8</v>
      </c>
      <c r="I1120" s="1203" t="s">
        <v>762</v>
      </c>
    </row>
    <row r="1121" spans="1:14" s="532" customFormat="1" ht="16.5" thickTop="1" thickBot="1" x14ac:dyDescent="0.3">
      <c r="A1121" s="1211">
        <v>60005100304</v>
      </c>
      <c r="B1121" s="967">
        <v>3522</v>
      </c>
      <c r="C1121" s="1212">
        <v>6121</v>
      </c>
      <c r="D1121" s="968">
        <v>25</v>
      </c>
      <c r="E1121" s="969" t="s">
        <v>603</v>
      </c>
      <c r="F1121" s="889"/>
      <c r="G1121" s="1214">
        <v>7082</v>
      </c>
      <c r="H1121" s="889">
        <v>7081</v>
      </c>
      <c r="I1121" s="1215">
        <f>(H1121/G1121)*100</f>
        <v>99.985879695001415</v>
      </c>
    </row>
    <row r="1122" spans="1:14" s="532" customFormat="1" ht="18" customHeight="1" thickTop="1" thickBot="1" x14ac:dyDescent="0.3">
      <c r="A1122" s="2692" t="s">
        <v>244</v>
      </c>
      <c r="B1122" s="2685"/>
      <c r="C1122" s="2685"/>
      <c r="D1122" s="2685"/>
      <c r="E1122" s="2685"/>
      <c r="F1122" s="873">
        <f>F1121</f>
        <v>0</v>
      </c>
      <c r="G1122" s="873">
        <f>G1121</f>
        <v>7082</v>
      </c>
      <c r="H1122" s="873">
        <f>H1121</f>
        <v>7081</v>
      </c>
      <c r="I1122" s="856">
        <f>(H1122/G1122)*100</f>
        <v>99.985879695001415</v>
      </c>
    </row>
    <row r="1123" spans="1:14" ht="13.5" thickTop="1" x14ac:dyDescent="0.2">
      <c r="K1123" s="911"/>
      <c r="L1123" s="911"/>
      <c r="M1123" s="911"/>
      <c r="N1123" s="432"/>
    </row>
    <row r="1124" spans="1:14" x14ac:dyDescent="0.2">
      <c r="K1124" s="911"/>
      <c r="L1124" s="911"/>
      <c r="M1124" s="911"/>
      <c r="N1124" s="432"/>
    </row>
    <row r="1125" spans="1:14" s="532" customFormat="1" ht="13.5" thickBot="1" x14ac:dyDescent="0.25">
      <c r="A1125" s="432" t="s">
        <v>21</v>
      </c>
      <c r="B1125" s="643"/>
      <c r="D1125" s="814"/>
      <c r="F1125" s="493"/>
      <c r="G1125" s="493"/>
      <c r="H1125" s="493"/>
      <c r="I1125" s="949" t="s">
        <v>161</v>
      </c>
    </row>
    <row r="1126" spans="1:14" s="107" customFormat="1" ht="20.25" customHeight="1" thickTop="1" thickBot="1" x14ac:dyDescent="0.25">
      <c r="A1126" s="682" t="s">
        <v>624</v>
      </c>
      <c r="B1126" s="685" t="s">
        <v>162</v>
      </c>
      <c r="C1126" s="683" t="s">
        <v>163</v>
      </c>
      <c r="D1126" s="634" t="s">
        <v>705</v>
      </c>
      <c r="E1126" s="686" t="s">
        <v>164</v>
      </c>
      <c r="F1126" s="686" t="s">
        <v>165</v>
      </c>
      <c r="G1126" s="686" t="s">
        <v>881</v>
      </c>
      <c r="H1126" s="686" t="s">
        <v>882</v>
      </c>
      <c r="I1126" s="818" t="s">
        <v>883</v>
      </c>
    </row>
    <row r="1127" spans="1:14" s="383" customFormat="1" ht="13.5" thickTop="1" thickBot="1" x14ac:dyDescent="0.25">
      <c r="A1127" s="1199">
        <v>1</v>
      </c>
      <c r="B1127" s="1200">
        <v>2</v>
      </c>
      <c r="C1127" s="1200">
        <v>3</v>
      </c>
      <c r="D1127" s="1200">
        <v>4</v>
      </c>
      <c r="E1127" s="567">
        <v>5</v>
      </c>
      <c r="F1127" s="1201">
        <v>6</v>
      </c>
      <c r="G1127" s="1201">
        <v>7</v>
      </c>
      <c r="H1127" s="1202">
        <v>8</v>
      </c>
      <c r="I1127" s="1203" t="s">
        <v>762</v>
      </c>
    </row>
    <row r="1128" spans="1:14" s="532" customFormat="1" ht="16.5" thickTop="1" thickBot="1" x14ac:dyDescent="0.3">
      <c r="A1128" s="1211">
        <v>60005100305</v>
      </c>
      <c r="B1128" s="967">
        <v>3522</v>
      </c>
      <c r="C1128" s="1212">
        <v>6121</v>
      </c>
      <c r="D1128" s="968">
        <v>25</v>
      </c>
      <c r="E1128" s="969" t="s">
        <v>603</v>
      </c>
      <c r="F1128" s="889"/>
      <c r="G1128" s="1214">
        <v>366</v>
      </c>
      <c r="H1128" s="889">
        <v>339</v>
      </c>
      <c r="I1128" s="1215">
        <f>(H1128/G1128)*100</f>
        <v>92.622950819672127</v>
      </c>
    </row>
    <row r="1129" spans="1:14" s="532" customFormat="1" ht="18" customHeight="1" thickTop="1" thickBot="1" x14ac:dyDescent="0.3">
      <c r="A1129" s="2692" t="s">
        <v>244</v>
      </c>
      <c r="B1129" s="2685"/>
      <c r="C1129" s="2685"/>
      <c r="D1129" s="2685"/>
      <c r="E1129" s="2685"/>
      <c r="F1129" s="873">
        <f>F1128</f>
        <v>0</v>
      </c>
      <c r="G1129" s="873">
        <f>G1128</f>
        <v>366</v>
      </c>
      <c r="H1129" s="873">
        <f>H1128</f>
        <v>339</v>
      </c>
      <c r="I1129" s="856">
        <f>(H1129/G1129)*100</f>
        <v>92.622950819672127</v>
      </c>
    </row>
    <row r="1130" spans="1:14" ht="13.5" thickTop="1" x14ac:dyDescent="0.2">
      <c r="K1130" s="911"/>
      <c r="L1130" s="911"/>
      <c r="M1130" s="911"/>
      <c r="N1130" s="432"/>
    </row>
    <row r="1131" spans="1:14" x14ac:dyDescent="0.2">
      <c r="K1131" s="911"/>
      <c r="L1131" s="911"/>
      <c r="M1131" s="911"/>
      <c r="N1131" s="432"/>
    </row>
    <row r="1132" spans="1:14" x14ac:dyDescent="0.2">
      <c r="K1132" s="911"/>
      <c r="L1132" s="911"/>
      <c r="M1132" s="911"/>
      <c r="N1132" s="432"/>
    </row>
    <row r="1133" spans="1:14" x14ac:dyDescent="0.2">
      <c r="K1133" s="911"/>
      <c r="L1133" s="911"/>
      <c r="M1133" s="911"/>
      <c r="N1133" s="432"/>
    </row>
    <row r="1134" spans="1:14" x14ac:dyDescent="0.2">
      <c r="K1134" s="911"/>
      <c r="L1134" s="911"/>
      <c r="M1134" s="911"/>
      <c r="N1134" s="432"/>
    </row>
    <row r="1135" spans="1:14" x14ac:dyDescent="0.2">
      <c r="K1135" s="911"/>
      <c r="L1135" s="911"/>
      <c r="M1135" s="911"/>
      <c r="N1135" s="432"/>
    </row>
    <row r="1136" spans="1:14" s="532" customFormat="1" ht="13.5" thickBot="1" x14ac:dyDescent="0.25">
      <c r="A1136" s="432" t="s">
        <v>209</v>
      </c>
      <c r="B1136" s="643"/>
      <c r="D1136" s="814"/>
      <c r="F1136" s="493"/>
      <c r="G1136" s="493"/>
      <c r="H1136" s="493"/>
      <c r="I1136" s="949" t="s">
        <v>161</v>
      </c>
    </row>
    <row r="1137" spans="1:14" s="107" customFormat="1" ht="20.25" customHeight="1" thickTop="1" thickBot="1" x14ac:dyDescent="0.25">
      <c r="A1137" s="682" t="s">
        <v>624</v>
      </c>
      <c r="B1137" s="685" t="s">
        <v>162</v>
      </c>
      <c r="C1137" s="683" t="s">
        <v>163</v>
      </c>
      <c r="D1137" s="634" t="s">
        <v>705</v>
      </c>
      <c r="E1137" s="686" t="s">
        <v>164</v>
      </c>
      <c r="F1137" s="686" t="s">
        <v>165</v>
      </c>
      <c r="G1137" s="686" t="s">
        <v>881</v>
      </c>
      <c r="H1137" s="686" t="s">
        <v>882</v>
      </c>
      <c r="I1137" s="818" t="s">
        <v>883</v>
      </c>
    </row>
    <row r="1138" spans="1:14" s="383" customFormat="1" ht="13.5" thickTop="1" thickBot="1" x14ac:dyDescent="0.25">
      <c r="A1138" s="1199">
        <v>1</v>
      </c>
      <c r="B1138" s="1200">
        <v>2</v>
      </c>
      <c r="C1138" s="1200">
        <v>3</v>
      </c>
      <c r="D1138" s="1200">
        <v>4</v>
      </c>
      <c r="E1138" s="567">
        <v>5</v>
      </c>
      <c r="F1138" s="1201">
        <v>6</v>
      </c>
      <c r="G1138" s="1201">
        <v>7</v>
      </c>
      <c r="H1138" s="1202">
        <v>8</v>
      </c>
      <c r="I1138" s="1203" t="s">
        <v>762</v>
      </c>
    </row>
    <row r="1139" spans="1:14" s="532" customFormat="1" ht="16.5" thickTop="1" thickBot="1" x14ac:dyDescent="0.3">
      <c r="A1139" s="1211">
        <v>60005100306</v>
      </c>
      <c r="B1139" s="967">
        <v>3522</v>
      </c>
      <c r="C1139" s="1212">
        <v>6121</v>
      </c>
      <c r="D1139" s="968">
        <v>25</v>
      </c>
      <c r="E1139" s="969" t="s">
        <v>603</v>
      </c>
      <c r="F1139" s="889"/>
      <c r="G1139" s="1214">
        <v>99</v>
      </c>
      <c r="H1139" s="889">
        <v>98</v>
      </c>
      <c r="I1139" s="1215">
        <f>(H1139/G1139)*100</f>
        <v>98.98989898989899</v>
      </c>
    </row>
    <row r="1140" spans="1:14" s="532" customFormat="1" ht="18" customHeight="1" thickTop="1" thickBot="1" x14ac:dyDescent="0.3">
      <c r="A1140" s="2692" t="s">
        <v>244</v>
      </c>
      <c r="B1140" s="2685"/>
      <c r="C1140" s="2685"/>
      <c r="D1140" s="2685"/>
      <c r="E1140" s="2685"/>
      <c r="F1140" s="873">
        <f>F1139</f>
        <v>0</v>
      </c>
      <c r="G1140" s="873">
        <f>G1139</f>
        <v>99</v>
      </c>
      <c r="H1140" s="873">
        <f>H1139</f>
        <v>98</v>
      </c>
      <c r="I1140" s="856">
        <f>(H1140/G1140)*100</f>
        <v>98.98989898989899</v>
      </c>
    </row>
    <row r="1141" spans="1:14" ht="13.5" thickTop="1" x14ac:dyDescent="0.2">
      <c r="K1141" s="911"/>
      <c r="L1141" s="911"/>
      <c r="M1141" s="911"/>
      <c r="N1141" s="432"/>
    </row>
    <row r="1142" spans="1:14" x14ac:dyDescent="0.2">
      <c r="K1142" s="911"/>
      <c r="L1142" s="911"/>
      <c r="M1142" s="911"/>
      <c r="N1142" s="432"/>
    </row>
    <row r="1143" spans="1:14" s="532" customFormat="1" ht="13.5" thickBot="1" x14ac:dyDescent="0.25">
      <c r="A1143" s="432" t="s">
        <v>595</v>
      </c>
      <c r="B1143" s="643"/>
      <c r="D1143" s="814"/>
      <c r="F1143" s="493"/>
      <c r="G1143" s="493"/>
      <c r="H1143" s="493"/>
      <c r="I1143" s="949" t="s">
        <v>161</v>
      </c>
    </row>
    <row r="1144" spans="1:14" s="107" customFormat="1" ht="20.25" customHeight="1" thickTop="1" thickBot="1" x14ac:dyDescent="0.25">
      <c r="A1144" s="682" t="s">
        <v>624</v>
      </c>
      <c r="B1144" s="685" t="s">
        <v>162</v>
      </c>
      <c r="C1144" s="683" t="s">
        <v>163</v>
      </c>
      <c r="D1144" s="634" t="s">
        <v>705</v>
      </c>
      <c r="E1144" s="686" t="s">
        <v>164</v>
      </c>
      <c r="F1144" s="686" t="s">
        <v>165</v>
      </c>
      <c r="G1144" s="686" t="s">
        <v>881</v>
      </c>
      <c r="H1144" s="686" t="s">
        <v>882</v>
      </c>
      <c r="I1144" s="818" t="s">
        <v>883</v>
      </c>
    </row>
    <row r="1145" spans="1:14" s="383" customFormat="1" ht="13.5" thickTop="1" thickBot="1" x14ac:dyDescent="0.25">
      <c r="A1145" s="1199">
        <v>1</v>
      </c>
      <c r="B1145" s="1200">
        <v>2</v>
      </c>
      <c r="C1145" s="1200">
        <v>3</v>
      </c>
      <c r="D1145" s="1200">
        <v>4</v>
      </c>
      <c r="E1145" s="567">
        <v>5</v>
      </c>
      <c r="F1145" s="1201">
        <v>6</v>
      </c>
      <c r="G1145" s="1201">
        <v>7</v>
      </c>
      <c r="H1145" s="1202">
        <v>8</v>
      </c>
      <c r="I1145" s="1203" t="s">
        <v>762</v>
      </c>
    </row>
    <row r="1146" spans="1:14" s="532" customFormat="1" ht="16.5" thickTop="1" thickBot="1" x14ac:dyDescent="0.3">
      <c r="A1146" s="1211">
        <v>60005100307</v>
      </c>
      <c r="B1146" s="967">
        <v>3522</v>
      </c>
      <c r="C1146" s="1212">
        <v>6121</v>
      </c>
      <c r="D1146" s="968">
        <v>25</v>
      </c>
      <c r="E1146" s="969" t="s">
        <v>603</v>
      </c>
      <c r="F1146" s="889"/>
      <c r="G1146" s="1214">
        <v>171</v>
      </c>
      <c r="H1146" s="889">
        <v>100</v>
      </c>
      <c r="I1146" s="1215">
        <f>(H1146/G1146)*100</f>
        <v>58.479532163742689</v>
      </c>
    </row>
    <row r="1147" spans="1:14" s="532" customFormat="1" ht="18" customHeight="1" thickTop="1" thickBot="1" x14ac:dyDescent="0.3">
      <c r="A1147" s="2692" t="s">
        <v>244</v>
      </c>
      <c r="B1147" s="2685"/>
      <c r="C1147" s="2685"/>
      <c r="D1147" s="2685"/>
      <c r="E1147" s="2685"/>
      <c r="F1147" s="873">
        <f>F1146</f>
        <v>0</v>
      </c>
      <c r="G1147" s="873">
        <f>G1146</f>
        <v>171</v>
      </c>
      <c r="H1147" s="873">
        <f>H1146</f>
        <v>100</v>
      </c>
      <c r="I1147" s="856">
        <f>(H1147/G1147)*100</f>
        <v>58.479532163742689</v>
      </c>
    </row>
    <row r="1148" spans="1:14" ht="13.5" thickTop="1" x14ac:dyDescent="0.2">
      <c r="K1148" s="911"/>
      <c r="L1148" s="911"/>
      <c r="M1148" s="911"/>
      <c r="N1148" s="432"/>
    </row>
    <row r="1149" spans="1:14" x14ac:dyDescent="0.2">
      <c r="K1149" s="911"/>
      <c r="L1149" s="911"/>
      <c r="M1149" s="911"/>
      <c r="N1149" s="432"/>
    </row>
    <row r="1150" spans="1:14" s="532" customFormat="1" ht="13.5" thickBot="1" x14ac:dyDescent="0.25">
      <c r="A1150" s="432" t="s">
        <v>596</v>
      </c>
      <c r="B1150" s="643"/>
      <c r="D1150" s="814"/>
      <c r="F1150" s="493"/>
      <c r="G1150" s="493"/>
      <c r="H1150" s="493"/>
      <c r="I1150" s="949" t="s">
        <v>161</v>
      </c>
    </row>
    <row r="1151" spans="1:14" s="107" customFormat="1" ht="20.25" customHeight="1" thickTop="1" thickBot="1" x14ac:dyDescent="0.25">
      <c r="A1151" s="682" t="s">
        <v>624</v>
      </c>
      <c r="B1151" s="685" t="s">
        <v>162</v>
      </c>
      <c r="C1151" s="683" t="s">
        <v>163</v>
      </c>
      <c r="D1151" s="634" t="s">
        <v>705</v>
      </c>
      <c r="E1151" s="686" t="s">
        <v>164</v>
      </c>
      <c r="F1151" s="686" t="s">
        <v>165</v>
      </c>
      <c r="G1151" s="686" t="s">
        <v>881</v>
      </c>
      <c r="H1151" s="686" t="s">
        <v>882</v>
      </c>
      <c r="I1151" s="818" t="s">
        <v>883</v>
      </c>
    </row>
    <row r="1152" spans="1:14" s="383" customFormat="1" ht="13.5" thickTop="1" thickBot="1" x14ac:dyDescent="0.25">
      <c r="A1152" s="1199">
        <v>1</v>
      </c>
      <c r="B1152" s="1200">
        <v>2</v>
      </c>
      <c r="C1152" s="1200">
        <v>3</v>
      </c>
      <c r="D1152" s="1200">
        <v>4</v>
      </c>
      <c r="E1152" s="567">
        <v>5</v>
      </c>
      <c r="F1152" s="1201">
        <v>6</v>
      </c>
      <c r="G1152" s="1201">
        <v>7</v>
      </c>
      <c r="H1152" s="1202">
        <v>8</v>
      </c>
      <c r="I1152" s="1203" t="s">
        <v>762</v>
      </c>
    </row>
    <row r="1153" spans="1:14" s="532" customFormat="1" ht="16.5" thickTop="1" thickBot="1" x14ac:dyDescent="0.3">
      <c r="A1153" s="1211">
        <v>60005100308</v>
      </c>
      <c r="B1153" s="967">
        <v>3522</v>
      </c>
      <c r="C1153" s="1212">
        <v>6121</v>
      </c>
      <c r="D1153" s="968">
        <v>25</v>
      </c>
      <c r="E1153" s="969" t="s">
        <v>603</v>
      </c>
      <c r="F1153" s="889"/>
      <c r="G1153" s="1214">
        <v>1698</v>
      </c>
      <c r="H1153" s="889">
        <v>1698</v>
      </c>
      <c r="I1153" s="1215">
        <f>(H1153/G1153)*100</f>
        <v>100</v>
      </c>
    </row>
    <row r="1154" spans="1:14" s="532" customFormat="1" ht="18" customHeight="1" thickTop="1" thickBot="1" x14ac:dyDescent="0.3">
      <c r="A1154" s="2692" t="s">
        <v>244</v>
      </c>
      <c r="B1154" s="2685"/>
      <c r="C1154" s="2685"/>
      <c r="D1154" s="2685"/>
      <c r="E1154" s="2685"/>
      <c r="F1154" s="873">
        <f>F1153</f>
        <v>0</v>
      </c>
      <c r="G1154" s="873">
        <f>G1153</f>
        <v>1698</v>
      </c>
      <c r="H1154" s="873">
        <f>H1153</f>
        <v>1698</v>
      </c>
      <c r="I1154" s="856">
        <f>(H1154/G1154)*100</f>
        <v>100</v>
      </c>
    </row>
    <row r="1155" spans="1:14" ht="13.5" thickTop="1" x14ac:dyDescent="0.2">
      <c r="K1155" s="911"/>
      <c r="L1155" s="911"/>
      <c r="M1155" s="911"/>
      <c r="N1155" s="432"/>
    </row>
    <row r="1156" spans="1:14" x14ac:dyDescent="0.2">
      <c r="K1156" s="911"/>
      <c r="L1156" s="911"/>
      <c r="M1156" s="911"/>
      <c r="N1156" s="432"/>
    </row>
    <row r="1157" spans="1:14" s="532" customFormat="1" ht="13.5" thickBot="1" x14ac:dyDescent="0.25">
      <c r="A1157" s="432" t="s">
        <v>597</v>
      </c>
      <c r="B1157" s="643"/>
      <c r="D1157" s="814"/>
      <c r="F1157" s="493"/>
      <c r="G1157" s="493"/>
      <c r="H1157" s="493"/>
      <c r="I1157" s="949" t="s">
        <v>161</v>
      </c>
    </row>
    <row r="1158" spans="1:14" s="107" customFormat="1" ht="20.25" customHeight="1" thickTop="1" thickBot="1" x14ac:dyDescent="0.25">
      <c r="A1158" s="682" t="s">
        <v>624</v>
      </c>
      <c r="B1158" s="685" t="s">
        <v>162</v>
      </c>
      <c r="C1158" s="683" t="s">
        <v>163</v>
      </c>
      <c r="D1158" s="634" t="s">
        <v>705</v>
      </c>
      <c r="E1158" s="686" t="s">
        <v>164</v>
      </c>
      <c r="F1158" s="686" t="s">
        <v>165</v>
      </c>
      <c r="G1158" s="686" t="s">
        <v>881</v>
      </c>
      <c r="H1158" s="686" t="s">
        <v>882</v>
      </c>
      <c r="I1158" s="818" t="s">
        <v>883</v>
      </c>
    </row>
    <row r="1159" spans="1:14" s="383" customFormat="1" ht="13.5" thickTop="1" thickBot="1" x14ac:dyDescent="0.25">
      <c r="A1159" s="1199">
        <v>1</v>
      </c>
      <c r="B1159" s="1200">
        <v>2</v>
      </c>
      <c r="C1159" s="1200">
        <v>3</v>
      </c>
      <c r="D1159" s="1200">
        <v>4</v>
      </c>
      <c r="E1159" s="567">
        <v>5</v>
      </c>
      <c r="F1159" s="1201">
        <v>6</v>
      </c>
      <c r="G1159" s="1201">
        <v>7</v>
      </c>
      <c r="H1159" s="1202">
        <v>8</v>
      </c>
      <c r="I1159" s="1203" t="s">
        <v>762</v>
      </c>
    </row>
    <row r="1160" spans="1:14" s="532" customFormat="1" ht="16.5" thickTop="1" thickBot="1" x14ac:dyDescent="0.3">
      <c r="A1160" s="1211">
        <v>60005100309</v>
      </c>
      <c r="B1160" s="967">
        <v>3522</v>
      </c>
      <c r="C1160" s="1212">
        <v>6121</v>
      </c>
      <c r="D1160" s="968">
        <v>25</v>
      </c>
      <c r="E1160" s="969" t="s">
        <v>603</v>
      </c>
      <c r="F1160" s="889"/>
      <c r="G1160" s="1214">
        <v>5429</v>
      </c>
      <c r="H1160" s="889">
        <v>5429</v>
      </c>
      <c r="I1160" s="1215">
        <f>(H1160/G1160)*100</f>
        <v>100</v>
      </c>
    </row>
    <row r="1161" spans="1:14" s="532" customFormat="1" ht="18" customHeight="1" thickTop="1" thickBot="1" x14ac:dyDescent="0.3">
      <c r="A1161" s="2692" t="s">
        <v>244</v>
      </c>
      <c r="B1161" s="2685"/>
      <c r="C1161" s="2685"/>
      <c r="D1161" s="2685"/>
      <c r="E1161" s="2685"/>
      <c r="F1161" s="873">
        <f>F1160</f>
        <v>0</v>
      </c>
      <c r="G1161" s="873">
        <f>G1160</f>
        <v>5429</v>
      </c>
      <c r="H1161" s="873">
        <f>H1160</f>
        <v>5429</v>
      </c>
      <c r="I1161" s="856">
        <f>(H1161/G1161)*100</f>
        <v>100</v>
      </c>
    </row>
    <row r="1162" spans="1:14" ht="13.5" thickTop="1" x14ac:dyDescent="0.2">
      <c r="K1162" s="911"/>
      <c r="L1162" s="911"/>
      <c r="M1162" s="911"/>
      <c r="N1162" s="432"/>
    </row>
    <row r="1163" spans="1:14" x14ac:dyDescent="0.2">
      <c r="K1163" s="911"/>
      <c r="L1163" s="911"/>
      <c r="M1163" s="911"/>
      <c r="N1163" s="432"/>
    </row>
    <row r="1164" spans="1:14" s="532" customFormat="1" ht="13.5" thickBot="1" x14ac:dyDescent="0.25">
      <c r="A1164" s="432" t="s">
        <v>218</v>
      </c>
      <c r="B1164" s="643"/>
      <c r="D1164" s="814"/>
      <c r="F1164" s="493"/>
      <c r="G1164" s="493"/>
      <c r="H1164" s="493"/>
      <c r="I1164" s="949" t="s">
        <v>161</v>
      </c>
    </row>
    <row r="1165" spans="1:14" s="107" customFormat="1" ht="20.25" customHeight="1" thickTop="1" thickBot="1" x14ac:dyDescent="0.25">
      <c r="A1165" s="682" t="s">
        <v>624</v>
      </c>
      <c r="B1165" s="685" t="s">
        <v>162</v>
      </c>
      <c r="C1165" s="683" t="s">
        <v>163</v>
      </c>
      <c r="D1165" s="634" t="s">
        <v>705</v>
      </c>
      <c r="E1165" s="686" t="s">
        <v>164</v>
      </c>
      <c r="F1165" s="686" t="s">
        <v>165</v>
      </c>
      <c r="G1165" s="686" t="s">
        <v>881</v>
      </c>
      <c r="H1165" s="686" t="s">
        <v>882</v>
      </c>
      <c r="I1165" s="818" t="s">
        <v>883</v>
      </c>
    </row>
    <row r="1166" spans="1:14" s="383" customFormat="1" ht="13.5" thickTop="1" thickBot="1" x14ac:dyDescent="0.25">
      <c r="A1166" s="1199">
        <v>1</v>
      </c>
      <c r="B1166" s="1200">
        <v>2</v>
      </c>
      <c r="C1166" s="1200">
        <v>3</v>
      </c>
      <c r="D1166" s="1200">
        <v>4</v>
      </c>
      <c r="E1166" s="567">
        <v>5</v>
      </c>
      <c r="F1166" s="1201">
        <v>6</v>
      </c>
      <c r="G1166" s="1201">
        <v>7</v>
      </c>
      <c r="H1166" s="1202">
        <v>8</v>
      </c>
      <c r="I1166" s="1203" t="s">
        <v>762</v>
      </c>
    </row>
    <row r="1167" spans="1:14" s="532" customFormat="1" ht="16.5" thickTop="1" thickBot="1" x14ac:dyDescent="0.3">
      <c r="A1167" s="1211">
        <v>60005100310</v>
      </c>
      <c r="B1167" s="967">
        <v>3522</v>
      </c>
      <c r="C1167" s="1212">
        <v>6121</v>
      </c>
      <c r="D1167" s="968">
        <v>25</v>
      </c>
      <c r="E1167" s="969" t="s">
        <v>603</v>
      </c>
      <c r="F1167" s="889"/>
      <c r="G1167" s="1214">
        <v>4115</v>
      </c>
      <c r="H1167" s="889">
        <v>0</v>
      </c>
      <c r="I1167" s="1215">
        <f>(H1167/G1167)*100</f>
        <v>0</v>
      </c>
    </row>
    <row r="1168" spans="1:14" s="532" customFormat="1" ht="18" customHeight="1" thickTop="1" thickBot="1" x14ac:dyDescent="0.3">
      <c r="A1168" s="2692" t="s">
        <v>244</v>
      </c>
      <c r="B1168" s="2685"/>
      <c r="C1168" s="2685"/>
      <c r="D1168" s="2685"/>
      <c r="E1168" s="2685"/>
      <c r="F1168" s="873">
        <f>F1167</f>
        <v>0</v>
      </c>
      <c r="G1168" s="873">
        <f>G1167</f>
        <v>4115</v>
      </c>
      <c r="H1168" s="873">
        <f>H1167</f>
        <v>0</v>
      </c>
      <c r="I1168" s="856">
        <f>(H1168/G1168)*100</f>
        <v>0</v>
      </c>
    </row>
    <row r="1169" spans="1:14" ht="13.5" thickTop="1" x14ac:dyDescent="0.2">
      <c r="K1169" s="911"/>
      <c r="L1169" s="911"/>
      <c r="M1169" s="911"/>
      <c r="N1169" s="432"/>
    </row>
    <row r="1170" spans="1:14" x14ac:dyDescent="0.2">
      <c r="K1170" s="911"/>
      <c r="L1170" s="911"/>
      <c r="M1170" s="911"/>
      <c r="N1170" s="432"/>
    </row>
    <row r="1171" spans="1:14" s="532" customFormat="1" ht="13.5" thickBot="1" x14ac:dyDescent="0.25">
      <c r="A1171" s="432" t="s">
        <v>219</v>
      </c>
      <c r="B1171" s="643"/>
      <c r="D1171" s="814"/>
      <c r="F1171" s="493"/>
      <c r="G1171" s="493"/>
      <c r="H1171" s="493"/>
      <c r="I1171" s="949" t="s">
        <v>161</v>
      </c>
    </row>
    <row r="1172" spans="1:14" s="107" customFormat="1" ht="20.25" customHeight="1" thickTop="1" thickBot="1" x14ac:dyDescent="0.25">
      <c r="A1172" s="682" t="s">
        <v>624</v>
      </c>
      <c r="B1172" s="685" t="s">
        <v>162</v>
      </c>
      <c r="C1172" s="683" t="s">
        <v>163</v>
      </c>
      <c r="D1172" s="634" t="s">
        <v>705</v>
      </c>
      <c r="E1172" s="686" t="s">
        <v>164</v>
      </c>
      <c r="F1172" s="686" t="s">
        <v>165</v>
      </c>
      <c r="G1172" s="686" t="s">
        <v>881</v>
      </c>
      <c r="H1172" s="686" t="s">
        <v>882</v>
      </c>
      <c r="I1172" s="818" t="s">
        <v>883</v>
      </c>
    </row>
    <row r="1173" spans="1:14" s="383" customFormat="1" ht="13.5" thickTop="1" thickBot="1" x14ac:dyDescent="0.25">
      <c r="A1173" s="1199">
        <v>1</v>
      </c>
      <c r="B1173" s="1200">
        <v>2</v>
      </c>
      <c r="C1173" s="1200">
        <v>3</v>
      </c>
      <c r="D1173" s="1200">
        <v>4</v>
      </c>
      <c r="E1173" s="567">
        <v>5</v>
      </c>
      <c r="F1173" s="1201">
        <v>6</v>
      </c>
      <c r="G1173" s="1201">
        <v>7</v>
      </c>
      <c r="H1173" s="1202">
        <v>8</v>
      </c>
      <c r="I1173" s="1203" t="s">
        <v>762</v>
      </c>
    </row>
    <row r="1174" spans="1:14" s="532" customFormat="1" ht="16.5" thickTop="1" thickBot="1" x14ac:dyDescent="0.3">
      <c r="A1174" s="1211">
        <v>60005100311</v>
      </c>
      <c r="B1174" s="967">
        <v>3522</v>
      </c>
      <c r="C1174" s="1212">
        <v>6121</v>
      </c>
      <c r="D1174" s="968">
        <v>25</v>
      </c>
      <c r="E1174" s="969" t="s">
        <v>603</v>
      </c>
      <c r="F1174" s="889"/>
      <c r="G1174" s="1214">
        <v>843</v>
      </c>
      <c r="H1174" s="889">
        <v>842</v>
      </c>
      <c r="I1174" s="1215">
        <f>(H1174/G1174)*100</f>
        <v>99.881376037959669</v>
      </c>
    </row>
    <row r="1175" spans="1:14" s="532" customFormat="1" ht="18" customHeight="1" thickTop="1" thickBot="1" x14ac:dyDescent="0.3">
      <c r="A1175" s="2692" t="s">
        <v>244</v>
      </c>
      <c r="B1175" s="2685"/>
      <c r="C1175" s="2685"/>
      <c r="D1175" s="2685"/>
      <c r="E1175" s="2685"/>
      <c r="F1175" s="873">
        <f>F1174</f>
        <v>0</v>
      </c>
      <c r="G1175" s="873">
        <f>G1174</f>
        <v>843</v>
      </c>
      <c r="H1175" s="873">
        <f>H1174</f>
        <v>842</v>
      </c>
      <c r="I1175" s="856">
        <f>(H1175/G1175)*100</f>
        <v>99.881376037959669</v>
      </c>
    </row>
    <row r="1176" spans="1:14" ht="13.5" thickTop="1" x14ac:dyDescent="0.2">
      <c r="K1176" s="911"/>
      <c r="L1176" s="911"/>
      <c r="M1176" s="911"/>
      <c r="N1176" s="432"/>
    </row>
    <row r="1177" spans="1:14" x14ac:dyDescent="0.2">
      <c r="K1177" s="911"/>
      <c r="L1177" s="911"/>
      <c r="M1177" s="911"/>
      <c r="N1177" s="432"/>
    </row>
    <row r="1178" spans="1:14" s="532" customFormat="1" ht="13.5" thickBot="1" x14ac:dyDescent="0.25">
      <c r="A1178" s="432" t="s">
        <v>75</v>
      </c>
      <c r="B1178" s="643"/>
      <c r="D1178" s="814"/>
      <c r="F1178" s="493"/>
      <c r="G1178" s="493"/>
      <c r="H1178" s="493"/>
      <c r="I1178" s="949" t="s">
        <v>161</v>
      </c>
    </row>
    <row r="1179" spans="1:14" s="107" customFormat="1" ht="20.25" customHeight="1" thickTop="1" thickBot="1" x14ac:dyDescent="0.25">
      <c r="A1179" s="682" t="s">
        <v>624</v>
      </c>
      <c r="B1179" s="685" t="s">
        <v>162</v>
      </c>
      <c r="C1179" s="683" t="s">
        <v>163</v>
      </c>
      <c r="D1179" s="634" t="s">
        <v>705</v>
      </c>
      <c r="E1179" s="686" t="s">
        <v>164</v>
      </c>
      <c r="F1179" s="686" t="s">
        <v>165</v>
      </c>
      <c r="G1179" s="686" t="s">
        <v>881</v>
      </c>
      <c r="H1179" s="686" t="s">
        <v>882</v>
      </c>
      <c r="I1179" s="818" t="s">
        <v>883</v>
      </c>
    </row>
    <row r="1180" spans="1:14" s="383" customFormat="1" ht="13.5" thickTop="1" thickBot="1" x14ac:dyDescent="0.25">
      <c r="A1180" s="1199">
        <v>1</v>
      </c>
      <c r="B1180" s="1200">
        <v>2</v>
      </c>
      <c r="C1180" s="1200">
        <v>3</v>
      </c>
      <c r="D1180" s="1200">
        <v>4</v>
      </c>
      <c r="E1180" s="567">
        <v>5</v>
      </c>
      <c r="F1180" s="1201">
        <v>6</v>
      </c>
      <c r="G1180" s="1201">
        <v>7</v>
      </c>
      <c r="H1180" s="1202">
        <v>8</v>
      </c>
      <c r="I1180" s="1203" t="s">
        <v>762</v>
      </c>
    </row>
    <row r="1181" spans="1:14" s="532" customFormat="1" ht="16.5" thickTop="1" thickBot="1" x14ac:dyDescent="0.3">
      <c r="A1181" s="1211">
        <v>60005100312</v>
      </c>
      <c r="B1181" s="967">
        <v>3522</v>
      </c>
      <c r="C1181" s="1212">
        <v>6121</v>
      </c>
      <c r="D1181" s="968">
        <v>25</v>
      </c>
      <c r="E1181" s="969" t="s">
        <v>603</v>
      </c>
      <c r="F1181" s="889"/>
      <c r="G1181" s="1214">
        <v>1549</v>
      </c>
      <c r="H1181" s="889">
        <v>0</v>
      </c>
      <c r="I1181" s="1215">
        <f>(H1181/G1181)*100</f>
        <v>0</v>
      </c>
    </row>
    <row r="1182" spans="1:14" s="532" customFormat="1" ht="18" customHeight="1" thickTop="1" thickBot="1" x14ac:dyDescent="0.3">
      <c r="A1182" s="2692" t="s">
        <v>244</v>
      </c>
      <c r="B1182" s="2685"/>
      <c r="C1182" s="2685"/>
      <c r="D1182" s="2685"/>
      <c r="E1182" s="2685"/>
      <c r="F1182" s="873">
        <f>F1181</f>
        <v>0</v>
      </c>
      <c r="G1182" s="873">
        <f>G1181</f>
        <v>1549</v>
      </c>
      <c r="H1182" s="873">
        <f>H1181</f>
        <v>0</v>
      </c>
      <c r="I1182" s="856">
        <f>(H1182/G1182)*100</f>
        <v>0</v>
      </c>
    </row>
    <row r="1183" spans="1:14" ht="13.5" thickTop="1" x14ac:dyDescent="0.2">
      <c r="K1183" s="911"/>
      <c r="L1183" s="911"/>
      <c r="M1183" s="911"/>
      <c r="N1183" s="432"/>
    </row>
    <row r="1184" spans="1:14" x14ac:dyDescent="0.2">
      <c r="K1184" s="911"/>
      <c r="L1184" s="911"/>
      <c r="M1184" s="911"/>
      <c r="N1184" s="432"/>
    </row>
    <row r="1185" spans="1:14" s="532" customFormat="1" ht="13.5" thickBot="1" x14ac:dyDescent="0.25">
      <c r="A1185" s="432" t="s">
        <v>76</v>
      </c>
      <c r="B1185" s="643"/>
      <c r="D1185" s="814"/>
      <c r="F1185" s="493"/>
      <c r="G1185" s="493"/>
      <c r="H1185" s="493"/>
      <c r="I1185" s="949" t="s">
        <v>161</v>
      </c>
    </row>
    <row r="1186" spans="1:14" s="107" customFormat="1" ht="20.25" customHeight="1" thickTop="1" thickBot="1" x14ac:dyDescent="0.25">
      <c r="A1186" s="682" t="s">
        <v>624</v>
      </c>
      <c r="B1186" s="685" t="s">
        <v>162</v>
      </c>
      <c r="C1186" s="683" t="s">
        <v>163</v>
      </c>
      <c r="D1186" s="634" t="s">
        <v>705</v>
      </c>
      <c r="E1186" s="686" t="s">
        <v>164</v>
      </c>
      <c r="F1186" s="686" t="s">
        <v>165</v>
      </c>
      <c r="G1186" s="686" t="s">
        <v>881</v>
      </c>
      <c r="H1186" s="686" t="s">
        <v>882</v>
      </c>
      <c r="I1186" s="818" t="s">
        <v>883</v>
      </c>
    </row>
    <row r="1187" spans="1:14" s="383" customFormat="1" ht="13.5" thickTop="1" thickBot="1" x14ac:dyDescent="0.25">
      <c r="A1187" s="1199">
        <v>1</v>
      </c>
      <c r="B1187" s="1200">
        <v>2</v>
      </c>
      <c r="C1187" s="1200">
        <v>3</v>
      </c>
      <c r="D1187" s="1200">
        <v>4</v>
      </c>
      <c r="E1187" s="567">
        <v>5</v>
      </c>
      <c r="F1187" s="1201">
        <v>6</v>
      </c>
      <c r="G1187" s="1201">
        <v>7</v>
      </c>
      <c r="H1187" s="1202">
        <v>8</v>
      </c>
      <c r="I1187" s="1203" t="s">
        <v>762</v>
      </c>
    </row>
    <row r="1188" spans="1:14" s="532" customFormat="1" ht="16.5" thickTop="1" thickBot="1" x14ac:dyDescent="0.3">
      <c r="A1188" s="1211">
        <v>60005100313</v>
      </c>
      <c r="B1188" s="967">
        <v>3522</v>
      </c>
      <c r="C1188" s="1212">
        <v>6121</v>
      </c>
      <c r="D1188" s="968">
        <v>25</v>
      </c>
      <c r="E1188" s="969" t="s">
        <v>603</v>
      </c>
      <c r="F1188" s="889"/>
      <c r="G1188" s="1214">
        <v>380</v>
      </c>
      <c r="H1188" s="889">
        <v>173</v>
      </c>
      <c r="I1188" s="1215">
        <f>(H1188/G1188)*100</f>
        <v>45.526315789473685</v>
      </c>
    </row>
    <row r="1189" spans="1:14" s="532" customFormat="1" ht="18" customHeight="1" thickTop="1" thickBot="1" x14ac:dyDescent="0.3">
      <c r="A1189" s="2692" t="s">
        <v>244</v>
      </c>
      <c r="B1189" s="2685"/>
      <c r="C1189" s="2685"/>
      <c r="D1189" s="2685"/>
      <c r="E1189" s="2685"/>
      <c r="F1189" s="873">
        <f>F1188</f>
        <v>0</v>
      </c>
      <c r="G1189" s="873">
        <f>G1188</f>
        <v>380</v>
      </c>
      <c r="H1189" s="873">
        <f>H1188</f>
        <v>173</v>
      </c>
      <c r="I1189" s="856">
        <f>(H1189/G1189)*100</f>
        <v>45.526315789473685</v>
      </c>
    </row>
    <row r="1190" spans="1:14" ht="13.5" thickTop="1" x14ac:dyDescent="0.2">
      <c r="K1190" s="911"/>
      <c r="L1190" s="911"/>
      <c r="M1190" s="911"/>
      <c r="N1190" s="432"/>
    </row>
    <row r="1191" spans="1:14" x14ac:dyDescent="0.2">
      <c r="K1191" s="911"/>
      <c r="L1191" s="911"/>
      <c r="M1191" s="911"/>
      <c r="N1191" s="432"/>
    </row>
    <row r="1192" spans="1:14" s="532" customFormat="1" ht="13.5" thickBot="1" x14ac:dyDescent="0.25">
      <c r="A1192" s="432" t="s">
        <v>330</v>
      </c>
      <c r="B1192" s="643"/>
      <c r="D1192" s="814"/>
      <c r="F1192" s="493"/>
      <c r="G1192" s="493"/>
      <c r="H1192" s="493"/>
      <c r="I1192" s="949" t="s">
        <v>161</v>
      </c>
    </row>
    <row r="1193" spans="1:14" s="107" customFormat="1" ht="20.25" customHeight="1" thickTop="1" thickBot="1" x14ac:dyDescent="0.25">
      <c r="A1193" s="682" t="s">
        <v>624</v>
      </c>
      <c r="B1193" s="685" t="s">
        <v>162</v>
      </c>
      <c r="C1193" s="683" t="s">
        <v>163</v>
      </c>
      <c r="D1193" s="634" t="s">
        <v>705</v>
      </c>
      <c r="E1193" s="686" t="s">
        <v>164</v>
      </c>
      <c r="F1193" s="686" t="s">
        <v>165</v>
      </c>
      <c r="G1193" s="686" t="s">
        <v>881</v>
      </c>
      <c r="H1193" s="686" t="s">
        <v>882</v>
      </c>
      <c r="I1193" s="818" t="s">
        <v>883</v>
      </c>
    </row>
    <row r="1194" spans="1:14" s="383" customFormat="1" ht="13.5" thickTop="1" thickBot="1" x14ac:dyDescent="0.25">
      <c r="A1194" s="1199">
        <v>1</v>
      </c>
      <c r="B1194" s="1200">
        <v>2</v>
      </c>
      <c r="C1194" s="1200">
        <v>3</v>
      </c>
      <c r="D1194" s="1200">
        <v>4</v>
      </c>
      <c r="E1194" s="567">
        <v>5</v>
      </c>
      <c r="F1194" s="1201">
        <v>6</v>
      </c>
      <c r="G1194" s="1201">
        <v>7</v>
      </c>
      <c r="H1194" s="1202">
        <v>8</v>
      </c>
      <c r="I1194" s="1203" t="s">
        <v>762</v>
      </c>
    </row>
    <row r="1195" spans="1:14" s="532" customFormat="1" ht="16.5" thickTop="1" thickBot="1" x14ac:dyDescent="0.3">
      <c r="A1195" s="1211">
        <v>60005100339</v>
      </c>
      <c r="B1195" s="967">
        <v>3522</v>
      </c>
      <c r="C1195" s="1212">
        <v>6121</v>
      </c>
      <c r="D1195" s="968">
        <v>25</v>
      </c>
      <c r="E1195" s="969" t="s">
        <v>603</v>
      </c>
      <c r="F1195" s="889"/>
      <c r="G1195" s="1214">
        <v>4918</v>
      </c>
      <c r="H1195" s="889">
        <v>845</v>
      </c>
      <c r="I1195" s="1215">
        <f>(H1195/G1195)*100</f>
        <v>17.181781211874746</v>
      </c>
    </row>
    <row r="1196" spans="1:14" s="532" customFormat="1" ht="18" customHeight="1" thickTop="1" thickBot="1" x14ac:dyDescent="0.3">
      <c r="A1196" s="2692" t="s">
        <v>244</v>
      </c>
      <c r="B1196" s="2685"/>
      <c r="C1196" s="2685"/>
      <c r="D1196" s="2685"/>
      <c r="E1196" s="2685"/>
      <c r="F1196" s="873">
        <f>F1195</f>
        <v>0</v>
      </c>
      <c r="G1196" s="873">
        <f>G1195</f>
        <v>4918</v>
      </c>
      <c r="H1196" s="873">
        <f>H1195</f>
        <v>845</v>
      </c>
      <c r="I1196" s="856">
        <f>(H1196/G1196)*100</f>
        <v>17.181781211874746</v>
      </c>
    </row>
    <row r="1197" spans="1:14" ht="13.5" thickTop="1" x14ac:dyDescent="0.2">
      <c r="K1197" s="911"/>
      <c r="L1197" s="911"/>
      <c r="M1197" s="911"/>
      <c r="N1197" s="432"/>
    </row>
    <row r="1198" spans="1:14" x14ac:dyDescent="0.2">
      <c r="K1198" s="911"/>
      <c r="L1198" s="911"/>
      <c r="M1198" s="911"/>
      <c r="N1198" s="432"/>
    </row>
    <row r="1199" spans="1:14" x14ac:dyDescent="0.2">
      <c r="K1199" s="911"/>
      <c r="L1199" s="911"/>
      <c r="M1199" s="911"/>
      <c r="N1199" s="432"/>
    </row>
    <row r="1200" spans="1:14" x14ac:dyDescent="0.2">
      <c r="K1200" s="911"/>
      <c r="L1200" s="911"/>
      <c r="M1200" s="911"/>
      <c r="N1200" s="432"/>
    </row>
    <row r="1201" spans="1:14" x14ac:dyDescent="0.2">
      <c r="K1201" s="911"/>
      <c r="L1201" s="911"/>
      <c r="M1201" s="911"/>
      <c r="N1201" s="432"/>
    </row>
    <row r="1202" spans="1:14" x14ac:dyDescent="0.2">
      <c r="K1202" s="911"/>
      <c r="L1202" s="911"/>
      <c r="M1202" s="911"/>
      <c r="N1202" s="432"/>
    </row>
    <row r="1203" spans="1:14" s="532" customFormat="1" ht="13.5" thickBot="1" x14ac:dyDescent="0.25">
      <c r="A1203" s="432" t="s">
        <v>331</v>
      </c>
      <c r="B1203" s="643"/>
      <c r="D1203" s="814"/>
      <c r="F1203" s="493"/>
      <c r="G1203" s="493"/>
      <c r="H1203" s="493"/>
      <c r="I1203" s="949" t="s">
        <v>161</v>
      </c>
    </row>
    <row r="1204" spans="1:14" s="107" customFormat="1" ht="20.25" customHeight="1" thickTop="1" thickBot="1" x14ac:dyDescent="0.25">
      <c r="A1204" s="682" t="s">
        <v>624</v>
      </c>
      <c r="B1204" s="685" t="s">
        <v>162</v>
      </c>
      <c r="C1204" s="683" t="s">
        <v>163</v>
      </c>
      <c r="D1204" s="634" t="s">
        <v>705</v>
      </c>
      <c r="E1204" s="686" t="s">
        <v>164</v>
      </c>
      <c r="F1204" s="686" t="s">
        <v>165</v>
      </c>
      <c r="G1204" s="686" t="s">
        <v>881</v>
      </c>
      <c r="H1204" s="686" t="s">
        <v>882</v>
      </c>
      <c r="I1204" s="818" t="s">
        <v>883</v>
      </c>
    </row>
    <row r="1205" spans="1:14" s="383" customFormat="1" ht="13.5" thickTop="1" thickBot="1" x14ac:dyDescent="0.25">
      <c r="A1205" s="1199">
        <v>1</v>
      </c>
      <c r="B1205" s="1200">
        <v>2</v>
      </c>
      <c r="C1205" s="1200">
        <v>3</v>
      </c>
      <c r="D1205" s="1200">
        <v>4</v>
      </c>
      <c r="E1205" s="567">
        <v>5</v>
      </c>
      <c r="F1205" s="1201">
        <v>6</v>
      </c>
      <c r="G1205" s="1201">
        <v>7</v>
      </c>
      <c r="H1205" s="1202">
        <v>8</v>
      </c>
      <c r="I1205" s="1203" t="s">
        <v>762</v>
      </c>
    </row>
    <row r="1206" spans="1:14" s="532" customFormat="1" ht="16.5" thickTop="1" thickBot="1" x14ac:dyDescent="0.3">
      <c r="A1206" s="1211">
        <v>60005100340</v>
      </c>
      <c r="B1206" s="967">
        <v>3522</v>
      </c>
      <c r="C1206" s="1212">
        <v>6121</v>
      </c>
      <c r="D1206" s="968">
        <v>25</v>
      </c>
      <c r="E1206" s="969" t="s">
        <v>603</v>
      </c>
      <c r="F1206" s="889"/>
      <c r="G1206" s="1214">
        <v>100</v>
      </c>
      <c r="H1206" s="889">
        <v>94</v>
      </c>
      <c r="I1206" s="1215">
        <f>(H1206/G1206)*100</f>
        <v>94</v>
      </c>
    </row>
    <row r="1207" spans="1:14" s="532" customFormat="1" ht="18" customHeight="1" thickTop="1" thickBot="1" x14ac:dyDescent="0.3">
      <c r="A1207" s="2692" t="s">
        <v>244</v>
      </c>
      <c r="B1207" s="2685"/>
      <c r="C1207" s="2685"/>
      <c r="D1207" s="2685"/>
      <c r="E1207" s="2685"/>
      <c r="F1207" s="873">
        <f>F1206</f>
        <v>0</v>
      </c>
      <c r="G1207" s="873">
        <f>G1206</f>
        <v>100</v>
      </c>
      <c r="H1207" s="873">
        <f>H1206</f>
        <v>94</v>
      </c>
      <c r="I1207" s="856">
        <f>(H1207/G1207)*100</f>
        <v>94</v>
      </c>
    </row>
    <row r="1208" spans="1:14" ht="13.5" thickTop="1" x14ac:dyDescent="0.2">
      <c r="K1208" s="911"/>
      <c r="L1208" s="911"/>
      <c r="M1208" s="911"/>
      <c r="N1208" s="432"/>
    </row>
    <row r="1209" spans="1:14" x14ac:dyDescent="0.2">
      <c r="K1209" s="911"/>
      <c r="L1209" s="911"/>
      <c r="M1209" s="911"/>
      <c r="N1209" s="432"/>
    </row>
    <row r="1210" spans="1:14" s="532" customFormat="1" ht="13.5" thickBot="1" x14ac:dyDescent="0.25">
      <c r="A1210" s="432" t="s">
        <v>1069</v>
      </c>
      <c r="B1210" s="643"/>
      <c r="D1210" s="814"/>
      <c r="F1210" s="493"/>
      <c r="G1210" s="493"/>
      <c r="H1210" s="493"/>
      <c r="I1210" s="949" t="s">
        <v>161</v>
      </c>
    </row>
    <row r="1211" spans="1:14" s="107" customFormat="1" ht="20.25" customHeight="1" thickTop="1" thickBot="1" x14ac:dyDescent="0.25">
      <c r="A1211" s="682" t="s">
        <v>624</v>
      </c>
      <c r="B1211" s="685" t="s">
        <v>162</v>
      </c>
      <c r="C1211" s="683" t="s">
        <v>163</v>
      </c>
      <c r="D1211" s="634" t="s">
        <v>705</v>
      </c>
      <c r="E1211" s="686" t="s">
        <v>164</v>
      </c>
      <c r="F1211" s="686" t="s">
        <v>165</v>
      </c>
      <c r="G1211" s="686" t="s">
        <v>881</v>
      </c>
      <c r="H1211" s="686" t="s">
        <v>882</v>
      </c>
      <c r="I1211" s="818" t="s">
        <v>883</v>
      </c>
    </row>
    <row r="1212" spans="1:14" s="383" customFormat="1" ht="13.5" thickTop="1" thickBot="1" x14ac:dyDescent="0.25">
      <c r="A1212" s="1199">
        <v>1</v>
      </c>
      <c r="B1212" s="1200">
        <v>2</v>
      </c>
      <c r="C1212" s="1200">
        <v>3</v>
      </c>
      <c r="D1212" s="1200">
        <v>4</v>
      </c>
      <c r="E1212" s="567">
        <v>5</v>
      </c>
      <c r="F1212" s="1201">
        <v>6</v>
      </c>
      <c r="G1212" s="1201">
        <v>7</v>
      </c>
      <c r="H1212" s="1202">
        <v>8</v>
      </c>
      <c r="I1212" s="1203" t="s">
        <v>762</v>
      </c>
    </row>
    <row r="1213" spans="1:14" s="532" customFormat="1" ht="16.5" thickTop="1" thickBot="1" x14ac:dyDescent="0.3">
      <c r="A1213" s="1211">
        <v>60005100344</v>
      </c>
      <c r="B1213" s="967">
        <v>3522</v>
      </c>
      <c r="C1213" s="1212">
        <v>6121</v>
      </c>
      <c r="D1213" s="968">
        <v>25</v>
      </c>
      <c r="E1213" s="969" t="s">
        <v>603</v>
      </c>
      <c r="F1213" s="889"/>
      <c r="G1213" s="1214">
        <v>380</v>
      </c>
      <c r="H1213" s="889">
        <v>0</v>
      </c>
      <c r="I1213" s="1215">
        <f>(H1213/G1213)*100</f>
        <v>0</v>
      </c>
    </row>
    <row r="1214" spans="1:14" s="532" customFormat="1" ht="18" customHeight="1" thickTop="1" thickBot="1" x14ac:dyDescent="0.3">
      <c r="A1214" s="2692" t="s">
        <v>244</v>
      </c>
      <c r="B1214" s="2685"/>
      <c r="C1214" s="2685"/>
      <c r="D1214" s="2685"/>
      <c r="E1214" s="2685"/>
      <c r="F1214" s="873">
        <f>F1213</f>
        <v>0</v>
      </c>
      <c r="G1214" s="873">
        <f>G1213</f>
        <v>380</v>
      </c>
      <c r="H1214" s="873">
        <f>H1213</f>
        <v>0</v>
      </c>
      <c r="I1214" s="856">
        <f>(H1214/G1214)*100</f>
        <v>0</v>
      </c>
      <c r="K1214" s="493">
        <f>F1034+F1041+F1049+F1054+F1061+F1073+F1080+F1087+F1094+F1101+F1108+F1115+F1122+F1129+F1140+F1147+F1154+F1161+F1168+F1175+F1182+F1189+F1196+F1207+F1214</f>
        <v>39307</v>
      </c>
      <c r="L1214" s="493">
        <f>G1034+G1041+G1049+G1054+G1061+G1073+G1080+G1087+G1094+G1101+G1108+G1115+G1122+G1129+G1140+G1147+G1154+G1161+G1168+G1175+G1182+G1189+G1196+G1207+G1214</f>
        <v>85331</v>
      </c>
      <c r="M1214" s="493">
        <f>H1034+H1041+H1049+H1054+H1061+H1073+H1080+H1087+H1094+H1101+H1108+H1115+H1122+H1129+H1140+H1147+H1154+H1161+H1168+H1175+H1182+H1189+H1196+H1207+H1214</f>
        <v>68509</v>
      </c>
      <c r="N1214" s="532" t="s">
        <v>1098</v>
      </c>
    </row>
    <row r="1215" spans="1:14" ht="13.5" thickTop="1" x14ac:dyDescent="0.2">
      <c r="K1215" s="911"/>
      <c r="L1215" s="911"/>
      <c r="M1215" s="911"/>
      <c r="N1215" s="432"/>
    </row>
    <row r="1216" spans="1:14" x14ac:dyDescent="0.2">
      <c r="K1216" s="911"/>
      <c r="L1216" s="911"/>
      <c r="M1216" s="911"/>
      <c r="N1216" s="432"/>
    </row>
    <row r="1217" spans="1:15" s="532" customFormat="1" ht="13.5" thickBot="1" x14ac:dyDescent="0.25">
      <c r="A1217" s="432" t="s">
        <v>1070</v>
      </c>
      <c r="B1217" s="643"/>
      <c r="D1217" s="814"/>
      <c r="F1217" s="493"/>
      <c r="G1217" s="493"/>
      <c r="H1217" s="493"/>
      <c r="I1217" s="949" t="s">
        <v>161</v>
      </c>
    </row>
    <row r="1218" spans="1:15" s="107" customFormat="1" ht="20.25" customHeight="1" thickTop="1" thickBot="1" x14ac:dyDescent="0.25">
      <c r="A1218" s="682" t="s">
        <v>624</v>
      </c>
      <c r="B1218" s="685" t="s">
        <v>162</v>
      </c>
      <c r="C1218" s="683" t="s">
        <v>163</v>
      </c>
      <c r="D1218" s="634" t="s">
        <v>705</v>
      </c>
      <c r="E1218" s="686" t="s">
        <v>164</v>
      </c>
      <c r="F1218" s="686" t="s">
        <v>165</v>
      </c>
      <c r="G1218" s="686" t="s">
        <v>881</v>
      </c>
      <c r="H1218" s="686" t="s">
        <v>882</v>
      </c>
      <c r="I1218" s="818" t="s">
        <v>883</v>
      </c>
    </row>
    <row r="1219" spans="1:15" s="383" customFormat="1" ht="13.5" thickTop="1" thickBot="1" x14ac:dyDescent="0.25">
      <c r="A1219" s="1199">
        <v>1</v>
      </c>
      <c r="B1219" s="1200">
        <v>2</v>
      </c>
      <c r="C1219" s="1200">
        <v>3</v>
      </c>
      <c r="D1219" s="1200">
        <v>4</v>
      </c>
      <c r="E1219" s="567">
        <v>5</v>
      </c>
      <c r="F1219" s="1201">
        <v>6</v>
      </c>
      <c r="G1219" s="1201">
        <v>7</v>
      </c>
      <c r="H1219" s="1202">
        <v>8</v>
      </c>
      <c r="I1219" s="1203" t="s">
        <v>762</v>
      </c>
    </row>
    <row r="1220" spans="1:15" s="532" customFormat="1" ht="16.5" thickTop="1" thickBot="1" x14ac:dyDescent="0.3">
      <c r="A1220" s="1211">
        <v>60008100137</v>
      </c>
      <c r="B1220" s="967">
        <v>3315</v>
      </c>
      <c r="C1220" s="1212">
        <v>6121</v>
      </c>
      <c r="D1220" s="968">
        <v>0</v>
      </c>
      <c r="E1220" s="969" t="s">
        <v>603</v>
      </c>
      <c r="F1220" s="889"/>
      <c r="G1220" s="1214">
        <v>1590</v>
      </c>
      <c r="H1220" s="889">
        <v>248</v>
      </c>
      <c r="I1220" s="1215">
        <f>(H1220/G1220)*100</f>
        <v>15.59748427672956</v>
      </c>
    </row>
    <row r="1221" spans="1:15" s="532" customFormat="1" ht="18" customHeight="1" thickTop="1" thickBot="1" x14ac:dyDescent="0.3">
      <c r="A1221" s="2692" t="s">
        <v>244</v>
      </c>
      <c r="B1221" s="2685"/>
      <c r="C1221" s="2685"/>
      <c r="D1221" s="2685"/>
      <c r="E1221" s="2685"/>
      <c r="F1221" s="873">
        <f>F1220</f>
        <v>0</v>
      </c>
      <c r="G1221" s="873">
        <f>G1220</f>
        <v>1590</v>
      </c>
      <c r="H1221" s="873">
        <f>H1220</f>
        <v>248</v>
      </c>
      <c r="I1221" s="856">
        <f>(H1221/G1221)*100</f>
        <v>15.59748427672956</v>
      </c>
      <c r="K1221" s="493">
        <f>F1221</f>
        <v>0</v>
      </c>
      <c r="L1221" s="493">
        <f>G1221</f>
        <v>1590</v>
      </c>
      <c r="M1221" s="493">
        <f>H1221</f>
        <v>248</v>
      </c>
      <c r="N1221" s="532" t="s">
        <v>1099</v>
      </c>
    </row>
    <row r="1222" spans="1:15" ht="13.5" thickTop="1" x14ac:dyDescent="0.2">
      <c r="K1222" s="911"/>
      <c r="L1222" s="911"/>
      <c r="M1222" s="911"/>
      <c r="N1222" s="432"/>
    </row>
    <row r="1223" spans="1:15" x14ac:dyDescent="0.2">
      <c r="K1223" s="911"/>
      <c r="L1223" s="911"/>
      <c r="M1223" s="911"/>
      <c r="N1223" s="432"/>
    </row>
    <row r="1224" spans="1:15" s="981" customFormat="1" ht="27.75" customHeight="1" thickBot="1" x14ac:dyDescent="0.4">
      <c r="A1224" s="976" t="s">
        <v>593</v>
      </c>
      <c r="B1224" s="977"/>
      <c r="C1224" s="977"/>
      <c r="D1224" s="977"/>
      <c r="E1224" s="978"/>
      <c r="F1224" s="979">
        <f>K1234</f>
        <v>253286</v>
      </c>
      <c r="G1224" s="979">
        <f>L1234</f>
        <v>662054</v>
      </c>
      <c r="H1224" s="979">
        <f>M1234</f>
        <v>597273</v>
      </c>
      <c r="I1224" s="980">
        <f>(H1224/G1224)*100</f>
        <v>90.21514861325511</v>
      </c>
      <c r="K1224" s="982"/>
      <c r="L1224" s="982"/>
      <c r="M1224" s="982"/>
      <c r="N1224" s="983"/>
    </row>
    <row r="1225" spans="1:15" ht="13.5" thickTop="1" x14ac:dyDescent="0.2">
      <c r="K1225" s="911"/>
      <c r="L1225" s="911"/>
      <c r="M1225" s="911"/>
    </row>
    <row r="1227" spans="1:15" x14ac:dyDescent="0.2">
      <c r="A1227" s="2728" t="s">
        <v>448</v>
      </c>
      <c r="B1227" s="2649"/>
      <c r="C1227" s="2649"/>
      <c r="D1227" s="2649"/>
      <c r="E1227" s="2649"/>
      <c r="F1227" s="2649"/>
      <c r="G1227" s="2649"/>
      <c r="H1227" s="2649"/>
      <c r="I1227" s="2649"/>
      <c r="K1227" s="911"/>
      <c r="L1227" s="911"/>
      <c r="M1227" s="911"/>
    </row>
    <row r="1228" spans="1:15" s="532" customFormat="1" x14ac:dyDescent="0.2">
      <c r="A1228" s="2649"/>
      <c r="B1228" s="2649"/>
      <c r="C1228" s="2649"/>
      <c r="D1228" s="2649"/>
      <c r="E1228" s="2649"/>
      <c r="F1228" s="2649"/>
      <c r="G1228" s="2649"/>
      <c r="H1228" s="2649"/>
      <c r="I1228" s="2649"/>
      <c r="J1228" s="665"/>
      <c r="K1228" s="906">
        <f>K1027</f>
        <v>106635</v>
      </c>
      <c r="L1228" s="906">
        <f>L1027</f>
        <v>232034</v>
      </c>
      <c r="M1228" s="906">
        <f>M1027</f>
        <v>227096</v>
      </c>
      <c r="N1228" s="432" t="s">
        <v>1097</v>
      </c>
      <c r="O1228" s="107"/>
    </row>
    <row r="1229" spans="1:15" s="532" customFormat="1" x14ac:dyDescent="0.2">
      <c r="A1229" s="955"/>
      <c r="B1229" s="956"/>
      <c r="C1229" s="665"/>
      <c r="D1229" s="667"/>
      <c r="E1229" s="665"/>
      <c r="F1229" s="667"/>
      <c r="G1229" s="667"/>
      <c r="H1229" s="667"/>
      <c r="I1229" s="954"/>
      <c r="J1229" s="665"/>
      <c r="K1229" s="975">
        <f>K413</f>
        <v>62847</v>
      </c>
      <c r="L1229" s="975">
        <f>L413</f>
        <v>229852</v>
      </c>
      <c r="M1229" s="975">
        <f>M413</f>
        <v>210636</v>
      </c>
      <c r="N1229" s="432" t="s">
        <v>1095</v>
      </c>
      <c r="O1229" s="383"/>
    </row>
    <row r="1230" spans="1:15" x14ac:dyDescent="0.2">
      <c r="K1230" s="667">
        <f>K764</f>
        <v>34847</v>
      </c>
      <c r="L1230" s="667">
        <f>L764</f>
        <v>70661</v>
      </c>
      <c r="M1230" s="667">
        <f>M764</f>
        <v>61431</v>
      </c>
      <c r="N1230" s="432" t="s">
        <v>1100</v>
      </c>
    </row>
    <row r="1231" spans="1:15" x14ac:dyDescent="0.2">
      <c r="K1231" s="667">
        <f>K640</f>
        <v>9650</v>
      </c>
      <c r="L1231" s="667">
        <f>L640</f>
        <v>42586</v>
      </c>
      <c r="M1231" s="667">
        <f>M640</f>
        <v>29353</v>
      </c>
      <c r="N1231" s="432" t="s">
        <v>1096</v>
      </c>
    </row>
    <row r="1232" spans="1:15" x14ac:dyDescent="0.2">
      <c r="K1232" s="667">
        <f>K1214</f>
        <v>39307</v>
      </c>
      <c r="L1232" s="667">
        <f>L1214</f>
        <v>85331</v>
      </c>
      <c r="M1232" s="667">
        <f>M1214</f>
        <v>68509</v>
      </c>
      <c r="N1232" s="432" t="s">
        <v>1098</v>
      </c>
    </row>
    <row r="1233" spans="11:15" ht="23.25" x14ac:dyDescent="0.35">
      <c r="K1233" s="982">
        <f>K1221</f>
        <v>0</v>
      </c>
      <c r="L1233" s="982">
        <f>L1221</f>
        <v>1590</v>
      </c>
      <c r="M1233" s="982">
        <f>M1221</f>
        <v>248</v>
      </c>
      <c r="N1233" s="983" t="s">
        <v>751</v>
      </c>
      <c r="O1233" s="981"/>
    </row>
    <row r="1234" spans="11:15" x14ac:dyDescent="0.2">
      <c r="K1234" s="911">
        <f>K1228+K1229+K1230+K1231+K1232+K1233</f>
        <v>253286</v>
      </c>
      <c r="L1234" s="911">
        <f>L1228+L1229+L1230+L1231+L1232+L1233</f>
        <v>662054</v>
      </c>
      <c r="M1234" s="911">
        <f>M1228+M1229+M1230+M1231+M1232+M1233</f>
        <v>597273</v>
      </c>
      <c r="N1234" s="432" t="s">
        <v>763</v>
      </c>
    </row>
  </sheetData>
  <mergeCells count="173">
    <mergeCell ref="A864:E864"/>
    <mergeCell ref="A872:E872"/>
    <mergeCell ref="A880:E880"/>
    <mergeCell ref="A888:E888"/>
    <mergeCell ref="A903:E903"/>
    <mergeCell ref="A907:E907"/>
    <mergeCell ref="A800:E800"/>
    <mergeCell ref="A805:E805"/>
    <mergeCell ref="A812:E812"/>
    <mergeCell ref="A820:E820"/>
    <mergeCell ref="A857:E857"/>
    <mergeCell ref="A896:E896"/>
    <mergeCell ref="A850:E850"/>
    <mergeCell ref="A539:E539"/>
    <mergeCell ref="A546:E546"/>
    <mergeCell ref="A497:E497"/>
    <mergeCell ref="A504:E504"/>
    <mergeCell ref="A511:E511"/>
    <mergeCell ref="A518:E518"/>
    <mergeCell ref="A734:E734"/>
    <mergeCell ref="A739:E739"/>
    <mergeCell ref="A748:E748"/>
    <mergeCell ref="A641:E641"/>
    <mergeCell ref="A648:E648"/>
    <mergeCell ref="A655:E655"/>
    <mergeCell ref="A664:E664"/>
    <mergeCell ref="A662:E662"/>
    <mergeCell ref="A673:E673"/>
    <mergeCell ref="A706:E706"/>
    <mergeCell ref="A713:E713"/>
    <mergeCell ref="A720:E720"/>
    <mergeCell ref="A678:E678"/>
    <mergeCell ref="A685:E685"/>
    <mergeCell ref="A692:E692"/>
    <mergeCell ref="A699:E699"/>
    <mergeCell ref="A727:E727"/>
    <mergeCell ref="A244:E244"/>
    <mergeCell ref="A346:E346"/>
    <mergeCell ref="A354:E354"/>
    <mergeCell ref="A349:H350"/>
    <mergeCell ref="A329:E329"/>
    <mergeCell ref="A339:E339"/>
    <mergeCell ref="A251:E251"/>
    <mergeCell ref="A322:E322"/>
    <mergeCell ref="A258:E258"/>
    <mergeCell ref="A261:E261"/>
    <mergeCell ref="A272:E272"/>
    <mergeCell ref="A279:E279"/>
    <mergeCell ref="A315:E315"/>
    <mergeCell ref="A286:E286"/>
    <mergeCell ref="A294:E294"/>
    <mergeCell ref="A301:E301"/>
    <mergeCell ref="A308:E308"/>
    <mergeCell ref="A227:E227"/>
    <mergeCell ref="A230:E230"/>
    <mergeCell ref="A198:E198"/>
    <mergeCell ref="A219:E219"/>
    <mergeCell ref="A160:E160"/>
    <mergeCell ref="A237:E237"/>
    <mergeCell ref="A212:E212"/>
    <mergeCell ref="A170:E170"/>
    <mergeCell ref="A191:E191"/>
    <mergeCell ref="A14:E14"/>
    <mergeCell ref="A33:E33"/>
    <mergeCell ref="A41:E41"/>
    <mergeCell ref="A205:E205"/>
    <mergeCell ref="A163:E163"/>
    <mergeCell ref="A177:E177"/>
    <mergeCell ref="A21:E21"/>
    <mergeCell ref="A86:E86"/>
    <mergeCell ref="A29:E29"/>
    <mergeCell ref="A94:E94"/>
    <mergeCell ref="A101:E101"/>
    <mergeCell ref="A108:E108"/>
    <mergeCell ref="A115:E115"/>
    <mergeCell ref="A48:E48"/>
    <mergeCell ref="A56:E56"/>
    <mergeCell ref="A63:E63"/>
    <mergeCell ref="A72:E72"/>
    <mergeCell ref="A79:E79"/>
    <mergeCell ref="A139:E139"/>
    <mergeCell ref="A146:E146"/>
    <mergeCell ref="A153:E153"/>
    <mergeCell ref="A122:E122"/>
    <mergeCell ref="A129:E129"/>
    <mergeCell ref="A184:E184"/>
    <mergeCell ref="A361:E361"/>
    <mergeCell ref="A379:E379"/>
    <mergeCell ref="A413:E413"/>
    <mergeCell ref="A406:E406"/>
    <mergeCell ref="A387:E387"/>
    <mergeCell ref="A394:E394"/>
    <mergeCell ref="A369:E369"/>
    <mergeCell ref="A371:E371"/>
    <mergeCell ref="A420:E420"/>
    <mergeCell ref="A427:E427"/>
    <mergeCell ref="A434:E434"/>
    <mergeCell ref="A613:E613"/>
    <mergeCell ref="A620:E620"/>
    <mergeCell ref="A627:E627"/>
    <mergeCell ref="A634:E634"/>
    <mergeCell ref="A581:E581"/>
    <mergeCell ref="A589:E589"/>
    <mergeCell ref="A596:E596"/>
    <mergeCell ref="A606:E606"/>
    <mergeCell ref="A553:E553"/>
    <mergeCell ref="A560:E560"/>
    <mergeCell ref="A567:E567"/>
    <mergeCell ref="A574:E574"/>
    <mergeCell ref="A525:E525"/>
    <mergeCell ref="A473:E473"/>
    <mergeCell ref="A483:E483"/>
    <mergeCell ref="A490:E490"/>
    <mergeCell ref="A441:E441"/>
    <mergeCell ref="A448:E448"/>
    <mergeCell ref="A455:E455"/>
    <mergeCell ref="A462:E462"/>
    <mergeCell ref="A476:E476"/>
    <mergeCell ref="A532:E532"/>
    <mergeCell ref="A772:E772"/>
    <mergeCell ref="A779:E779"/>
    <mergeCell ref="A746:E746"/>
    <mergeCell ref="A793:E793"/>
    <mergeCell ref="A786:E786"/>
    <mergeCell ref="A764:E764"/>
    <mergeCell ref="A756:E756"/>
    <mergeCell ref="A835:E835"/>
    <mergeCell ref="A843:E843"/>
    <mergeCell ref="A827:E827"/>
    <mergeCell ref="A1041:E1041"/>
    <mergeCell ref="A1049:E1049"/>
    <mergeCell ref="A1054:E1054"/>
    <mergeCell ref="A1061:E1061"/>
    <mergeCell ref="A988:E988"/>
    <mergeCell ref="A990:E990"/>
    <mergeCell ref="A1027:E1027"/>
    <mergeCell ref="A1034:E1034"/>
    <mergeCell ref="A997:E997"/>
    <mergeCell ref="A1006:E1006"/>
    <mergeCell ref="A1013:E1013"/>
    <mergeCell ref="A1020:E1020"/>
    <mergeCell ref="A967:E967"/>
    <mergeCell ref="A928:E928"/>
    <mergeCell ref="A974:E974"/>
    <mergeCell ref="A981:E981"/>
    <mergeCell ref="A953:E953"/>
    <mergeCell ref="A960:E960"/>
    <mergeCell ref="A939:E939"/>
    <mergeCell ref="A946:E946"/>
    <mergeCell ref="A914:E914"/>
    <mergeCell ref="A921:E921"/>
    <mergeCell ref="A1129:E1129"/>
    <mergeCell ref="A1140:E1140"/>
    <mergeCell ref="A1147:E1147"/>
    <mergeCell ref="A1154:E1154"/>
    <mergeCell ref="A1101:E1101"/>
    <mergeCell ref="A1108:E1108"/>
    <mergeCell ref="A1115:E1115"/>
    <mergeCell ref="A1122:E1122"/>
    <mergeCell ref="A1073:E1073"/>
    <mergeCell ref="A1080:E1080"/>
    <mergeCell ref="A1087:E1087"/>
    <mergeCell ref="A1094:E1094"/>
    <mergeCell ref="A1227:I1228"/>
    <mergeCell ref="A1221:E1221"/>
    <mergeCell ref="A1189:E1189"/>
    <mergeCell ref="A1196:E1196"/>
    <mergeCell ref="A1207:E1207"/>
    <mergeCell ref="A1214:E1214"/>
    <mergeCell ref="A1161:E1161"/>
    <mergeCell ref="A1168:E1168"/>
    <mergeCell ref="A1175:E1175"/>
    <mergeCell ref="A1182:E1182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30" orientation="portrait" r:id="rId1"/>
  <headerFooter alignWithMargins="0">
    <oddFooter xml:space="preserve">&amp;L&amp;"Arial,Kurzíva"Rada Olomouckého kraje 3.6.2010
4.3.- Rozpočet Olomouckého kraje 2009 - závěrečný  účet
Příloha č. 3: Plnění rozpočtu výdajů Olomouckého kraje k 31.12.2009&amp;R&amp;"Arial,Kurzíva"Strana &amp;P (Celkem 458)
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U89"/>
  <sheetViews>
    <sheetView showGridLines="0" view="pageBreakPreview" topLeftCell="A34" zoomScaleNormal="100" zoomScaleSheetLayoutView="100" workbookViewId="0">
      <selection activeCell="I10" sqref="I10"/>
    </sheetView>
  </sheetViews>
  <sheetFormatPr defaultRowHeight="12.75" x14ac:dyDescent="0.2"/>
  <cols>
    <col min="1" max="1" width="5.7109375" style="381" customWidth="1"/>
    <col min="2" max="2" width="5.5703125" style="381" customWidth="1"/>
    <col min="3" max="3" width="10.140625" style="381" customWidth="1"/>
    <col min="4" max="4" width="47.42578125" style="381" customWidth="1"/>
    <col min="5" max="5" width="13.85546875" style="381" customWidth="1"/>
    <col min="6" max="6" width="12.7109375" style="381" customWidth="1"/>
    <col min="7" max="7" width="12.140625" style="381" customWidth="1"/>
    <col min="8" max="8" width="9.140625" style="1735" customWidth="1"/>
    <col min="9" max="16384" width="9.140625" style="381"/>
  </cols>
  <sheetData>
    <row r="1" spans="1:9" ht="21.75" customHeight="1" thickBot="1" x14ac:dyDescent="0.3">
      <c r="A1" s="463" t="s">
        <v>1638</v>
      </c>
      <c r="B1" s="464"/>
      <c r="C1" s="464"/>
      <c r="D1" s="475"/>
      <c r="E1" s="466"/>
      <c r="F1" s="467" t="s">
        <v>1639</v>
      </c>
      <c r="G1" s="382"/>
      <c r="I1" s="17"/>
    </row>
    <row r="2" spans="1:9" ht="12.75" customHeight="1" x14ac:dyDescent="0.25">
      <c r="A2" s="6"/>
      <c r="B2" s="28"/>
      <c r="C2" s="28"/>
      <c r="D2" s="10"/>
      <c r="E2" s="307"/>
      <c r="F2" s="307"/>
      <c r="G2" s="16"/>
      <c r="H2" s="194"/>
      <c r="I2" s="17"/>
    </row>
    <row r="3" spans="1:9" ht="12.75" customHeight="1" x14ac:dyDescent="0.25">
      <c r="A3" s="67" t="s">
        <v>367</v>
      </c>
      <c r="B3" s="28"/>
      <c r="C3" s="523" t="s">
        <v>1641</v>
      </c>
      <c r="D3" s="627"/>
      <c r="E3" s="307"/>
      <c r="F3" s="16"/>
      <c r="G3" s="17"/>
      <c r="H3" s="194"/>
    </row>
    <row r="4" spans="1:9" ht="16.5" customHeight="1" x14ac:dyDescent="0.25">
      <c r="A4" s="6"/>
      <c r="B4" s="28"/>
      <c r="C4" s="523" t="s">
        <v>1640</v>
      </c>
      <c r="D4" s="382"/>
      <c r="E4" s="307"/>
      <c r="F4" s="16"/>
      <c r="G4" s="17"/>
      <c r="H4" s="194"/>
    </row>
    <row r="5" spans="1:9" ht="12.75" customHeight="1" x14ac:dyDescent="0.25">
      <c r="A5" s="6"/>
      <c r="B5" s="28"/>
      <c r="C5" s="28"/>
      <c r="D5" s="10"/>
      <c r="E5" s="307"/>
      <c r="F5" s="307"/>
      <c r="G5" s="16"/>
      <c r="H5" s="194"/>
      <c r="I5" s="17"/>
    </row>
    <row r="6" spans="1:9" ht="18" x14ac:dyDescent="0.25">
      <c r="A6" s="33" t="s">
        <v>884</v>
      </c>
      <c r="B6" s="28"/>
      <c r="C6" s="28"/>
      <c r="D6" s="10"/>
      <c r="E6" s="307"/>
      <c r="F6" s="307"/>
      <c r="G6" s="16"/>
      <c r="H6" s="194"/>
      <c r="I6" s="17"/>
    </row>
    <row r="7" spans="1:9" ht="13.5" thickBot="1" x14ac:dyDescent="0.25">
      <c r="A7" s="629"/>
      <c r="B7" s="629"/>
      <c r="C7" s="629"/>
      <c r="D7" s="630"/>
      <c r="E7" s="382"/>
      <c r="F7" s="382"/>
      <c r="G7" s="617"/>
      <c r="H7" s="2455" t="s">
        <v>161</v>
      </c>
    </row>
    <row r="8" spans="1:9" s="107" customFormat="1" ht="20.25" customHeight="1" thickTop="1" thickBot="1" x14ac:dyDescent="0.25">
      <c r="A8" s="631" t="s">
        <v>162</v>
      </c>
      <c r="B8" s="632" t="s">
        <v>163</v>
      </c>
      <c r="C8" s="633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635" t="s">
        <v>883</v>
      </c>
    </row>
    <row r="9" spans="1:9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636" t="s">
        <v>61</v>
      </c>
      <c r="I9" s="107"/>
    </row>
    <row r="10" spans="1:9" s="383" customFormat="1" ht="15.75" thickTop="1" x14ac:dyDescent="0.25">
      <c r="A10" s="1166">
        <v>3341</v>
      </c>
      <c r="B10" s="268">
        <v>5169</v>
      </c>
      <c r="C10" s="1069"/>
      <c r="D10" s="68" t="s">
        <v>852</v>
      </c>
      <c r="E10" s="60">
        <v>3000</v>
      </c>
      <c r="F10" s="315">
        <v>3000</v>
      </c>
      <c r="G10" s="315">
        <v>2865</v>
      </c>
      <c r="H10" s="203">
        <f t="shared" ref="H10:H54" si="0">(G10/F10)*100</f>
        <v>95.5</v>
      </c>
      <c r="I10" s="107"/>
    </row>
    <row r="11" spans="1:9" s="383" customFormat="1" ht="14.25" x14ac:dyDescent="0.2">
      <c r="A11" s="1166"/>
      <c r="B11" s="268"/>
      <c r="C11" s="1069" t="s">
        <v>1345</v>
      </c>
      <c r="D11" s="1063" t="s">
        <v>1642</v>
      </c>
      <c r="E11" s="124">
        <v>3000</v>
      </c>
      <c r="F11" s="314">
        <v>3000</v>
      </c>
      <c r="G11" s="316">
        <v>2865</v>
      </c>
      <c r="H11" s="1065">
        <f t="shared" si="0"/>
        <v>95.5</v>
      </c>
      <c r="I11" s="107"/>
    </row>
    <row r="12" spans="1:9" s="383" customFormat="1" ht="15" x14ac:dyDescent="0.25">
      <c r="A12" s="1166">
        <v>3349</v>
      </c>
      <c r="B12" s="268">
        <v>5139</v>
      </c>
      <c r="C12" s="1069"/>
      <c r="D12" s="128" t="s">
        <v>765</v>
      </c>
      <c r="E12" s="124"/>
      <c r="F12" s="313">
        <v>2156</v>
      </c>
      <c r="G12" s="315">
        <v>2081</v>
      </c>
      <c r="H12" s="203">
        <f t="shared" si="0"/>
        <v>96.521335807050093</v>
      </c>
      <c r="I12" s="107"/>
    </row>
    <row r="13" spans="1:9" s="383" customFormat="1" ht="14.25" x14ac:dyDescent="0.2">
      <c r="A13" s="1166"/>
      <c r="B13" s="268"/>
      <c r="C13" s="1069" t="s">
        <v>1345</v>
      </c>
      <c r="D13" s="1063" t="s">
        <v>1642</v>
      </c>
      <c r="E13" s="124"/>
      <c r="F13" s="314">
        <v>2156</v>
      </c>
      <c r="G13" s="316">
        <v>2081</v>
      </c>
      <c r="H13" s="1065">
        <f t="shared" si="0"/>
        <v>96.521335807050093</v>
      </c>
      <c r="I13" s="107"/>
    </row>
    <row r="14" spans="1:9" s="383" customFormat="1" ht="15" x14ac:dyDescent="0.25">
      <c r="A14" s="1166">
        <v>3349</v>
      </c>
      <c r="B14" s="268">
        <v>5169</v>
      </c>
      <c r="C14" s="1069"/>
      <c r="D14" s="68" t="s">
        <v>852</v>
      </c>
      <c r="E14" s="60">
        <v>3950</v>
      </c>
      <c r="F14" s="313">
        <v>1784</v>
      </c>
      <c r="G14" s="315">
        <v>1725</v>
      </c>
      <c r="H14" s="203">
        <f t="shared" si="0"/>
        <v>96.692825112107627</v>
      </c>
      <c r="I14" s="107"/>
    </row>
    <row r="15" spans="1:9" s="383" customFormat="1" ht="14.25" x14ac:dyDescent="0.2">
      <c r="A15" s="1166"/>
      <c r="B15" s="268"/>
      <c r="C15" s="1069" t="s">
        <v>1345</v>
      </c>
      <c r="D15" s="1063" t="s">
        <v>1642</v>
      </c>
      <c r="E15" s="124">
        <v>3950</v>
      </c>
      <c r="F15" s="314">
        <v>1784</v>
      </c>
      <c r="G15" s="316">
        <v>1725</v>
      </c>
      <c r="H15" s="1065">
        <f t="shared" si="0"/>
        <v>96.692825112107627</v>
      </c>
      <c r="I15" s="107"/>
    </row>
    <row r="16" spans="1:9" s="383" customFormat="1" ht="15" x14ac:dyDescent="0.25">
      <c r="A16" s="1166">
        <v>6113</v>
      </c>
      <c r="B16" s="268">
        <v>5021</v>
      </c>
      <c r="C16" s="1069"/>
      <c r="D16" s="68" t="s">
        <v>389</v>
      </c>
      <c r="E16" s="60">
        <v>4265</v>
      </c>
      <c r="F16" s="313">
        <v>4465</v>
      </c>
      <c r="G16" s="315">
        <v>4190</v>
      </c>
      <c r="H16" s="203">
        <f t="shared" si="0"/>
        <v>93.840985442329227</v>
      </c>
      <c r="I16" s="107"/>
    </row>
    <row r="17" spans="1:21" s="383" customFormat="1" ht="14.25" x14ac:dyDescent="0.2">
      <c r="A17" s="1166"/>
      <c r="B17" s="268"/>
      <c r="C17" s="1069" t="s">
        <v>1644</v>
      </c>
      <c r="D17" s="166" t="s">
        <v>1643</v>
      </c>
      <c r="E17" s="124">
        <v>4265</v>
      </c>
      <c r="F17" s="314">
        <v>4465</v>
      </c>
      <c r="G17" s="316">
        <v>4190</v>
      </c>
      <c r="H17" s="1065">
        <f t="shared" si="0"/>
        <v>93.840985442329227</v>
      </c>
      <c r="I17" s="107"/>
    </row>
    <row r="18" spans="1:21" s="383" customFormat="1" ht="30" x14ac:dyDescent="0.2">
      <c r="A18" s="2403">
        <v>6113</v>
      </c>
      <c r="B18" s="2402">
        <v>5031</v>
      </c>
      <c r="C18" s="1069"/>
      <c r="D18" s="1568" t="s">
        <v>1865</v>
      </c>
      <c r="E18" s="124"/>
      <c r="F18" s="2404">
        <v>1140</v>
      </c>
      <c r="G18" s="447">
        <v>1047</v>
      </c>
      <c r="H18" s="2405">
        <f t="shared" si="0"/>
        <v>91.84210526315789</v>
      </c>
      <c r="I18" s="107"/>
    </row>
    <row r="19" spans="1:21" s="383" customFormat="1" ht="14.25" x14ac:dyDescent="0.2">
      <c r="A19" s="1166"/>
      <c r="B19" s="268"/>
      <c r="C19" s="1069" t="s">
        <v>1644</v>
      </c>
      <c r="D19" s="166" t="s">
        <v>1643</v>
      </c>
      <c r="E19" s="124"/>
      <c r="F19" s="314">
        <v>1140</v>
      </c>
      <c r="G19" s="316">
        <v>1047</v>
      </c>
      <c r="H19" s="1065">
        <f t="shared" si="0"/>
        <v>91.84210526315789</v>
      </c>
      <c r="I19" s="107"/>
    </row>
    <row r="20" spans="1:21" s="383" customFormat="1" ht="15" x14ac:dyDescent="0.25">
      <c r="A20" s="1166">
        <v>6113</v>
      </c>
      <c r="B20" s="268">
        <v>5032</v>
      </c>
      <c r="C20" s="1069"/>
      <c r="D20" s="128" t="s">
        <v>1460</v>
      </c>
      <c r="E20" s="60">
        <v>418</v>
      </c>
      <c r="F20" s="60">
        <v>418</v>
      </c>
      <c r="G20" s="60">
        <v>377</v>
      </c>
      <c r="H20" s="2139">
        <v>0</v>
      </c>
      <c r="I20" s="107"/>
    </row>
    <row r="21" spans="1:21" s="383" customFormat="1" ht="14.25" x14ac:dyDescent="0.2">
      <c r="A21" s="1166"/>
      <c r="B21" s="268"/>
      <c r="C21" s="1069" t="s">
        <v>1644</v>
      </c>
      <c r="D21" s="166" t="s">
        <v>1643</v>
      </c>
      <c r="E21" s="124">
        <v>418</v>
      </c>
      <c r="F21" s="124">
        <v>418</v>
      </c>
      <c r="G21" s="124">
        <v>377</v>
      </c>
      <c r="H21" s="1065">
        <f t="shared" si="0"/>
        <v>90.191387559808618</v>
      </c>
      <c r="I21" s="107"/>
    </row>
    <row r="22" spans="1:21" s="383" customFormat="1" ht="15" x14ac:dyDescent="0.25">
      <c r="A22" s="1166">
        <v>6113</v>
      </c>
      <c r="B22" s="268">
        <v>5137</v>
      </c>
      <c r="C22" s="1069"/>
      <c r="D22" s="128" t="s">
        <v>155</v>
      </c>
      <c r="E22" s="60">
        <v>100</v>
      </c>
      <c r="F22" s="60">
        <v>148</v>
      </c>
      <c r="G22" s="60">
        <v>68</v>
      </c>
      <c r="H22" s="203">
        <f t="shared" si="0"/>
        <v>45.945945945945951</v>
      </c>
      <c r="I22" s="107"/>
    </row>
    <row r="23" spans="1:21" s="383" customFormat="1" ht="15" x14ac:dyDescent="0.25">
      <c r="A23" s="1166">
        <v>6113</v>
      </c>
      <c r="B23" s="268">
        <v>5139</v>
      </c>
      <c r="C23" s="1069"/>
      <c r="D23" s="128" t="s">
        <v>765</v>
      </c>
      <c r="E23" s="60">
        <v>3175</v>
      </c>
      <c r="F23" s="313">
        <v>2854</v>
      </c>
      <c r="G23" s="315">
        <v>2548</v>
      </c>
      <c r="H23" s="203">
        <f t="shared" si="0"/>
        <v>89.278206026629292</v>
      </c>
      <c r="I23" s="107"/>
    </row>
    <row r="24" spans="1:21" s="383" customFormat="1" ht="14.25" x14ac:dyDescent="0.2">
      <c r="A24" s="1166"/>
      <c r="B24" s="268"/>
      <c r="C24" s="1069" t="s">
        <v>1645</v>
      </c>
      <c r="D24" s="166" t="s">
        <v>1646</v>
      </c>
      <c r="E24" s="124">
        <v>3175</v>
      </c>
      <c r="F24" s="314">
        <v>2854</v>
      </c>
      <c r="G24" s="316">
        <v>2548</v>
      </c>
      <c r="H24" s="1065">
        <f t="shared" si="0"/>
        <v>89.278206026629292</v>
      </c>
      <c r="I24" s="107"/>
    </row>
    <row r="25" spans="1:21" s="383" customFormat="1" ht="15" x14ac:dyDescent="0.25">
      <c r="A25" s="1166">
        <v>6113</v>
      </c>
      <c r="B25" s="268">
        <v>5164</v>
      </c>
      <c r="C25" s="1069"/>
      <c r="D25" s="1057" t="s">
        <v>170</v>
      </c>
      <c r="E25" s="60">
        <v>100</v>
      </c>
      <c r="F25" s="313">
        <v>130</v>
      </c>
      <c r="G25" s="315">
        <f>G26+G27</f>
        <v>77</v>
      </c>
      <c r="H25" s="203">
        <f t="shared" si="0"/>
        <v>59.230769230769234</v>
      </c>
      <c r="I25" s="107"/>
    </row>
    <row r="26" spans="1:21" s="383" customFormat="1" ht="14.25" x14ac:dyDescent="0.2">
      <c r="A26" s="1166"/>
      <c r="B26" s="268"/>
      <c r="C26" s="1069" t="s">
        <v>1645</v>
      </c>
      <c r="D26" s="166" t="s">
        <v>1646</v>
      </c>
      <c r="E26" s="124">
        <v>100</v>
      </c>
      <c r="F26" s="314">
        <v>100</v>
      </c>
      <c r="G26" s="316">
        <v>65</v>
      </c>
      <c r="H26" s="1065">
        <f t="shared" si="0"/>
        <v>65</v>
      </c>
      <c r="I26" s="107"/>
    </row>
    <row r="27" spans="1:21" s="383" customFormat="1" ht="14.25" x14ac:dyDescent="0.2">
      <c r="A27" s="1166"/>
      <c r="B27" s="268"/>
      <c r="C27" s="1069" t="s">
        <v>1867</v>
      </c>
      <c r="D27" s="1063" t="s">
        <v>1866</v>
      </c>
      <c r="E27" s="124"/>
      <c r="F27" s="314">
        <v>30</v>
      </c>
      <c r="G27" s="316">
        <v>12</v>
      </c>
      <c r="H27" s="1065">
        <f t="shared" si="0"/>
        <v>40</v>
      </c>
      <c r="I27" s="107"/>
    </row>
    <row r="28" spans="1:21" s="1056" customFormat="1" ht="15" x14ac:dyDescent="0.25">
      <c r="A28" s="1166">
        <v>6113</v>
      </c>
      <c r="B28" s="268">
        <v>5166</v>
      </c>
      <c r="C28" s="1069"/>
      <c r="D28" s="68" t="s">
        <v>671</v>
      </c>
      <c r="E28" s="60">
        <v>5500</v>
      </c>
      <c r="F28" s="313">
        <v>5400</v>
      </c>
      <c r="G28" s="315">
        <v>5114</v>
      </c>
      <c r="H28" s="203">
        <f t="shared" si="0"/>
        <v>94.703703703703695</v>
      </c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</row>
    <row r="29" spans="1:21" ht="15" x14ac:dyDescent="0.25">
      <c r="A29" s="1166">
        <v>6113</v>
      </c>
      <c r="B29" s="268">
        <v>5169</v>
      </c>
      <c r="C29" s="1069"/>
      <c r="D29" s="68" t="s">
        <v>852</v>
      </c>
      <c r="E29" s="60">
        <f>E30+E32+E33+E34</f>
        <v>3500</v>
      </c>
      <c r="F29" s="315">
        <f>F30+F31+F32+F33+F34</f>
        <v>2558</v>
      </c>
      <c r="G29" s="315">
        <f>G30+G31+G32+G33+G34</f>
        <v>1501</v>
      </c>
      <c r="H29" s="203">
        <f t="shared" si="0"/>
        <v>58.678655199374511</v>
      </c>
    </row>
    <row r="30" spans="1:21" ht="14.25" x14ac:dyDescent="0.2">
      <c r="A30" s="1166"/>
      <c r="B30" s="268"/>
      <c r="C30" s="1069" t="s">
        <v>753</v>
      </c>
      <c r="D30" s="1063" t="s">
        <v>1259</v>
      </c>
      <c r="E30" s="124">
        <v>1000</v>
      </c>
      <c r="F30" s="314">
        <v>944</v>
      </c>
      <c r="G30" s="316">
        <v>168</v>
      </c>
      <c r="H30" s="1065">
        <f t="shared" si="0"/>
        <v>17.796610169491526</v>
      </c>
    </row>
    <row r="31" spans="1:21" ht="14.25" x14ac:dyDescent="0.2">
      <c r="A31" s="1166"/>
      <c r="B31" s="268"/>
      <c r="C31" s="1069" t="s">
        <v>247</v>
      </c>
      <c r="D31" s="117" t="s">
        <v>1868</v>
      </c>
      <c r="E31" s="124"/>
      <c r="F31" s="314">
        <v>30</v>
      </c>
      <c r="G31" s="316">
        <v>30</v>
      </c>
      <c r="H31" s="1065">
        <f t="shared" si="0"/>
        <v>100</v>
      </c>
    </row>
    <row r="32" spans="1:21" ht="14.25" x14ac:dyDescent="0.2">
      <c r="A32" s="1166"/>
      <c r="B32" s="268"/>
      <c r="C32" s="1069" t="s">
        <v>1644</v>
      </c>
      <c r="D32" s="166" t="s">
        <v>1643</v>
      </c>
      <c r="E32" s="124">
        <v>390</v>
      </c>
      <c r="F32" s="314">
        <v>305</v>
      </c>
      <c r="G32" s="316">
        <v>268</v>
      </c>
      <c r="H32" s="1065">
        <f t="shared" si="0"/>
        <v>87.868852459016395</v>
      </c>
    </row>
    <row r="33" spans="1:8" ht="14.25" x14ac:dyDescent="0.2">
      <c r="A33" s="1166"/>
      <c r="B33" s="268"/>
      <c r="C33" s="1069" t="s">
        <v>1645</v>
      </c>
      <c r="D33" s="166" t="s">
        <v>1646</v>
      </c>
      <c r="E33" s="124">
        <v>1860</v>
      </c>
      <c r="F33" s="314">
        <v>1059</v>
      </c>
      <c r="G33" s="316">
        <v>901</v>
      </c>
      <c r="H33" s="1065">
        <f t="shared" si="0"/>
        <v>85.080264400377715</v>
      </c>
    </row>
    <row r="34" spans="1:8" ht="14.25" x14ac:dyDescent="0.2">
      <c r="A34" s="1166"/>
      <c r="B34" s="268"/>
      <c r="C34" s="1069" t="s">
        <v>1867</v>
      </c>
      <c r="D34" s="1063" t="s">
        <v>1866</v>
      </c>
      <c r="E34" s="124">
        <v>250</v>
      </c>
      <c r="F34" s="314">
        <v>220</v>
      </c>
      <c r="G34" s="316">
        <v>134</v>
      </c>
      <c r="H34" s="1065">
        <f t="shared" si="0"/>
        <v>60.909090909090914</v>
      </c>
    </row>
    <row r="35" spans="1:8" ht="15" x14ac:dyDescent="0.25">
      <c r="A35" s="1166">
        <v>6113</v>
      </c>
      <c r="B35" s="268">
        <v>5171</v>
      </c>
      <c r="C35" s="1069"/>
      <c r="D35" s="128" t="s">
        <v>896</v>
      </c>
      <c r="E35" s="124"/>
      <c r="F35" s="313">
        <v>1</v>
      </c>
      <c r="G35" s="315">
        <v>1</v>
      </c>
      <c r="H35" s="203">
        <f t="shared" si="0"/>
        <v>100</v>
      </c>
    </row>
    <row r="36" spans="1:8" ht="14.25" x14ac:dyDescent="0.2">
      <c r="A36" s="1166"/>
      <c r="B36" s="268"/>
      <c r="C36" s="1069" t="s">
        <v>1645</v>
      </c>
      <c r="D36" s="166" t="s">
        <v>1646</v>
      </c>
      <c r="E36" s="124"/>
      <c r="F36" s="314">
        <v>1</v>
      </c>
      <c r="G36" s="316">
        <v>1</v>
      </c>
      <c r="H36" s="1065">
        <f t="shared" si="0"/>
        <v>100</v>
      </c>
    </row>
    <row r="37" spans="1:8" ht="15" x14ac:dyDescent="0.25">
      <c r="A37" s="1166">
        <v>6113</v>
      </c>
      <c r="B37" s="268">
        <v>5175</v>
      </c>
      <c r="C37" s="1069"/>
      <c r="D37" s="128" t="s">
        <v>669</v>
      </c>
      <c r="E37" s="60">
        <v>655</v>
      </c>
      <c r="F37" s="315">
        <f>F38+F39+F40+F41</f>
        <v>910</v>
      </c>
      <c r="G37" s="315">
        <f>G38+G39+G40+G41</f>
        <v>653</v>
      </c>
      <c r="H37" s="203">
        <f t="shared" si="0"/>
        <v>71.758241758241752</v>
      </c>
    </row>
    <row r="38" spans="1:8" ht="15" x14ac:dyDescent="0.25">
      <c r="A38" s="1166"/>
      <c r="B38" s="268"/>
      <c r="C38" s="1069" t="s">
        <v>247</v>
      </c>
      <c r="D38" s="117" t="s">
        <v>1868</v>
      </c>
      <c r="E38" s="60"/>
      <c r="F38" s="314">
        <v>170</v>
      </c>
      <c r="G38" s="316">
        <v>170</v>
      </c>
      <c r="H38" s="2140">
        <f t="shared" si="0"/>
        <v>100</v>
      </c>
    </row>
    <row r="39" spans="1:8" s="58" customFormat="1" ht="17.25" customHeight="1" x14ac:dyDescent="0.35">
      <c r="A39" s="1166"/>
      <c r="B39" s="268"/>
      <c r="C39" s="1069" t="s">
        <v>1644</v>
      </c>
      <c r="D39" s="166" t="s">
        <v>1643</v>
      </c>
      <c r="E39" s="60"/>
      <c r="F39" s="124">
        <v>85</v>
      </c>
      <c r="G39" s="124">
        <v>76</v>
      </c>
      <c r="H39" s="2141">
        <v>0</v>
      </c>
    </row>
    <row r="40" spans="1:8" ht="14.25" x14ac:dyDescent="0.2">
      <c r="A40" s="1166"/>
      <c r="B40" s="268"/>
      <c r="C40" s="1069" t="s">
        <v>1645</v>
      </c>
      <c r="D40" s="166" t="s">
        <v>1646</v>
      </c>
      <c r="E40" s="124">
        <v>605</v>
      </c>
      <c r="F40" s="314">
        <v>605</v>
      </c>
      <c r="G40" s="316">
        <v>390</v>
      </c>
      <c r="H40" s="2140">
        <f t="shared" si="0"/>
        <v>64.462809917355372</v>
      </c>
    </row>
    <row r="41" spans="1:8" ht="14.25" x14ac:dyDescent="0.2">
      <c r="A41" s="1166"/>
      <c r="B41" s="268"/>
      <c r="C41" s="1069" t="s">
        <v>1867</v>
      </c>
      <c r="D41" s="1063" t="s">
        <v>1866</v>
      </c>
      <c r="E41" s="124">
        <v>50</v>
      </c>
      <c r="F41" s="314">
        <v>50</v>
      </c>
      <c r="G41" s="316">
        <v>17</v>
      </c>
      <c r="H41" s="2140">
        <f t="shared" si="0"/>
        <v>34</v>
      </c>
    </row>
    <row r="42" spans="1:8" ht="15" x14ac:dyDescent="0.25">
      <c r="A42" s="223">
        <v>6113</v>
      </c>
      <c r="B42" s="96">
        <v>5229</v>
      </c>
      <c r="C42" s="1069"/>
      <c r="D42" s="1341" t="s">
        <v>1132</v>
      </c>
      <c r="E42" s="60">
        <v>700</v>
      </c>
      <c r="F42" s="315">
        <v>700</v>
      </c>
      <c r="G42" s="315">
        <v>700</v>
      </c>
      <c r="H42" s="2137">
        <f t="shared" si="0"/>
        <v>100</v>
      </c>
    </row>
    <row r="43" spans="1:8" ht="14.25" x14ac:dyDescent="0.2">
      <c r="A43" s="223"/>
      <c r="B43" s="96"/>
      <c r="C43" s="1069" t="s">
        <v>1644</v>
      </c>
      <c r="D43" s="166" t="s">
        <v>1643</v>
      </c>
      <c r="E43" s="124">
        <v>700</v>
      </c>
      <c r="F43" s="316">
        <v>700</v>
      </c>
      <c r="G43" s="316">
        <v>700</v>
      </c>
      <c r="H43" s="2140">
        <f t="shared" si="0"/>
        <v>100</v>
      </c>
    </row>
    <row r="44" spans="1:8" ht="15" x14ac:dyDescent="0.25">
      <c r="A44" s="223">
        <v>6172</v>
      </c>
      <c r="B44" s="96">
        <v>5139</v>
      </c>
      <c r="C44" s="1069"/>
      <c r="D44" s="128" t="s">
        <v>765</v>
      </c>
      <c r="E44" s="124"/>
      <c r="F44" s="315">
        <v>953</v>
      </c>
      <c r="G44" s="315">
        <v>618</v>
      </c>
      <c r="H44" s="2137">
        <f t="shared" si="0"/>
        <v>64.847848898216171</v>
      </c>
    </row>
    <row r="45" spans="1:8" ht="14.25" x14ac:dyDescent="0.2">
      <c r="A45" s="223"/>
      <c r="B45" s="96"/>
      <c r="C45" s="1069" t="s">
        <v>1345</v>
      </c>
      <c r="D45" s="1063" t="s">
        <v>1642</v>
      </c>
      <c r="E45" s="124"/>
      <c r="F45" s="316">
        <v>953</v>
      </c>
      <c r="G45" s="316">
        <v>618</v>
      </c>
      <c r="H45" s="2140">
        <f t="shared" si="0"/>
        <v>64.847848898216171</v>
      </c>
    </row>
    <row r="46" spans="1:8" ht="15" x14ac:dyDescent="0.25">
      <c r="A46" s="223">
        <v>6172</v>
      </c>
      <c r="B46" s="96">
        <v>5166</v>
      </c>
      <c r="C46" s="1069"/>
      <c r="D46" s="68" t="s">
        <v>671</v>
      </c>
      <c r="E46" s="124"/>
      <c r="F46" s="315">
        <v>294</v>
      </c>
      <c r="G46" s="315">
        <v>294</v>
      </c>
      <c r="H46" s="2137">
        <f t="shared" si="0"/>
        <v>100</v>
      </c>
    </row>
    <row r="47" spans="1:8" ht="15" x14ac:dyDescent="0.25">
      <c r="A47" s="223">
        <v>6172</v>
      </c>
      <c r="B47" s="96">
        <v>5168</v>
      </c>
      <c r="C47" s="1069"/>
      <c r="D47" s="2632" t="s">
        <v>1836</v>
      </c>
      <c r="E47" s="124"/>
      <c r="F47" s="315">
        <v>18</v>
      </c>
      <c r="G47" s="315">
        <v>14</v>
      </c>
      <c r="H47" s="2137">
        <f t="shared" si="0"/>
        <v>77.777777777777786</v>
      </c>
    </row>
    <row r="48" spans="1:8" ht="14.25" x14ac:dyDescent="0.2">
      <c r="A48" s="223"/>
      <c r="B48" s="96"/>
      <c r="C48" s="1069"/>
      <c r="D48" s="2633"/>
      <c r="E48" s="124"/>
      <c r="F48" s="316"/>
      <c r="G48" s="316"/>
      <c r="H48" s="2140"/>
    </row>
    <row r="49" spans="1:8" ht="14.25" x14ac:dyDescent="0.2">
      <c r="A49" s="223"/>
      <c r="B49" s="96"/>
      <c r="C49" s="1069" t="s">
        <v>1345</v>
      </c>
      <c r="D49" s="1063" t="s">
        <v>1642</v>
      </c>
      <c r="E49" s="124"/>
      <c r="F49" s="316">
        <v>18</v>
      </c>
      <c r="G49" s="316">
        <v>15</v>
      </c>
      <c r="H49" s="2140">
        <f t="shared" si="0"/>
        <v>83.333333333333343</v>
      </c>
    </row>
    <row r="50" spans="1:8" ht="15" x14ac:dyDescent="0.25">
      <c r="A50" s="223">
        <v>6172</v>
      </c>
      <c r="B50" s="96">
        <v>5169</v>
      </c>
      <c r="C50" s="1069"/>
      <c r="D50" s="68" t="s">
        <v>852</v>
      </c>
      <c r="E50" s="60">
        <v>1240</v>
      </c>
      <c r="F50" s="60">
        <v>1222</v>
      </c>
      <c r="G50" s="60">
        <v>835</v>
      </c>
      <c r="H50" s="2137">
        <f t="shared" si="0"/>
        <v>68.330605564648124</v>
      </c>
    </row>
    <row r="51" spans="1:8" ht="14.25" x14ac:dyDescent="0.2">
      <c r="A51" s="223"/>
      <c r="B51" s="96"/>
      <c r="C51" s="1069" t="s">
        <v>1345</v>
      </c>
      <c r="D51" s="1063" t="s">
        <v>1642</v>
      </c>
      <c r="E51" s="124">
        <v>1240</v>
      </c>
      <c r="F51" s="316">
        <v>1222</v>
      </c>
      <c r="G51" s="316">
        <v>835</v>
      </c>
      <c r="H51" s="2140">
        <f t="shared" si="0"/>
        <v>68.330605564648124</v>
      </c>
    </row>
    <row r="52" spans="1:8" ht="15" x14ac:dyDescent="0.25">
      <c r="A52" s="223">
        <v>6172</v>
      </c>
      <c r="B52" s="96">
        <v>5175</v>
      </c>
      <c r="C52" s="1069"/>
      <c r="D52" s="128" t="s">
        <v>669</v>
      </c>
      <c r="E52" s="60">
        <v>100</v>
      </c>
      <c r="F52" s="60">
        <v>62</v>
      </c>
      <c r="G52" s="60">
        <v>18</v>
      </c>
      <c r="H52" s="2137">
        <f t="shared" si="0"/>
        <v>29.032258064516132</v>
      </c>
    </row>
    <row r="53" spans="1:8" ht="14.25" x14ac:dyDescent="0.2">
      <c r="A53" s="223"/>
      <c r="B53" s="96"/>
      <c r="C53" s="1069" t="s">
        <v>1345</v>
      </c>
      <c r="D53" s="1063" t="s">
        <v>1642</v>
      </c>
      <c r="E53" s="124">
        <v>100</v>
      </c>
      <c r="F53" s="316">
        <v>62</v>
      </c>
      <c r="G53" s="316">
        <v>18</v>
      </c>
      <c r="H53" s="2140">
        <f t="shared" si="0"/>
        <v>29.032258064516132</v>
      </c>
    </row>
    <row r="54" spans="1:8" ht="15.75" thickBot="1" x14ac:dyDescent="0.3">
      <c r="A54" s="223">
        <v>6409</v>
      </c>
      <c r="B54" s="96">
        <v>5169</v>
      </c>
      <c r="C54" s="1069"/>
      <c r="D54" s="68" t="s">
        <v>852</v>
      </c>
      <c r="E54" s="60">
        <v>5400</v>
      </c>
      <c r="F54" s="315">
        <v>5400</v>
      </c>
      <c r="G54" s="315">
        <v>5400</v>
      </c>
      <c r="H54" s="2137">
        <f t="shared" si="0"/>
        <v>100</v>
      </c>
    </row>
    <row r="55" spans="1:8" ht="32.25" customHeight="1" thickTop="1" thickBot="1" x14ac:dyDescent="0.35">
      <c r="A55" s="991" t="s">
        <v>245</v>
      </c>
      <c r="B55" s="992"/>
      <c r="C55" s="993"/>
      <c r="D55" s="994"/>
      <c r="E55" s="641">
        <f>E52+E50+E42+E37+E28+E25+E23+E22+E20+E16+E14+E10+E54+E29</f>
        <v>32103</v>
      </c>
      <c r="F55" s="641">
        <f>F10+F12+F14+F16+F18+F20+F22+F23+F25+F28+F29+F35+F37+F42+F44+F46+F47+F50+F52+F54</f>
        <v>33613</v>
      </c>
      <c r="G55" s="641">
        <f>G10+G12+G14+G16+G18+G20+G22+G23+G25+G28+G29+G35+G37+G42+G44+G46+G47+G50+G52+G54</f>
        <v>30126</v>
      </c>
      <c r="H55" s="642">
        <f>G55/F55*100</f>
        <v>89.626037544997473</v>
      </c>
    </row>
    <row r="56" spans="1:8" ht="13.5" thickTop="1" x14ac:dyDescent="0.2"/>
    <row r="69" spans="1:9" s="1581" customFormat="1" ht="18" x14ac:dyDescent="0.25">
      <c r="A69" s="1659" t="s">
        <v>1248</v>
      </c>
      <c r="B69" s="1658"/>
      <c r="C69" s="1657"/>
      <c r="D69" s="1656"/>
      <c r="E69" s="1655"/>
      <c r="F69" s="2442"/>
      <c r="G69" s="1654"/>
      <c r="H69" s="1653"/>
    </row>
    <row r="70" spans="1:9" s="1581" customFormat="1" ht="13.5" thickBot="1" x14ac:dyDescent="0.25">
      <c r="A70" s="1652"/>
      <c r="B70" s="1652"/>
      <c r="C70" s="1651"/>
      <c r="E70" s="1586"/>
      <c r="F70" s="1650"/>
      <c r="G70" s="1586"/>
      <c r="H70" s="1585" t="s">
        <v>161</v>
      </c>
      <c r="I70" s="1644"/>
    </row>
    <row r="71" spans="1:9" s="1644" customFormat="1" ht="20.25" customHeight="1" thickTop="1" thickBot="1" x14ac:dyDescent="0.25">
      <c r="A71" s="1649" t="s">
        <v>162</v>
      </c>
      <c r="B71" s="1648" t="s">
        <v>163</v>
      </c>
      <c r="C71" s="1647" t="s">
        <v>705</v>
      </c>
      <c r="D71" s="1646" t="s">
        <v>164</v>
      </c>
      <c r="E71" s="1646" t="s">
        <v>165</v>
      </c>
      <c r="F71" s="1646" t="s">
        <v>881</v>
      </c>
      <c r="G71" s="1646" t="s">
        <v>882</v>
      </c>
      <c r="H71" s="1645" t="s">
        <v>883</v>
      </c>
      <c r="I71" s="1581"/>
    </row>
    <row r="72" spans="1:9" s="1638" customFormat="1" ht="13.5" thickTop="1" thickBot="1" x14ac:dyDescent="0.25">
      <c r="A72" s="1643">
        <v>1</v>
      </c>
      <c r="B72" s="1642">
        <v>2</v>
      </c>
      <c r="C72" s="1642">
        <v>3</v>
      </c>
      <c r="D72" s="1642">
        <v>4</v>
      </c>
      <c r="E72" s="1642">
        <v>5</v>
      </c>
      <c r="F72" s="1641">
        <v>6</v>
      </c>
      <c r="G72" s="1641">
        <v>7</v>
      </c>
      <c r="H72" s="1640" t="s">
        <v>61</v>
      </c>
      <c r="I72" s="1639"/>
    </row>
    <row r="73" spans="1:9" s="1638" customFormat="1" ht="16.5" thickTop="1" thickBot="1" x14ac:dyDescent="0.3">
      <c r="A73" s="1623">
        <v>6113</v>
      </c>
      <c r="B73" s="1622">
        <v>6122</v>
      </c>
      <c r="C73" s="1621"/>
      <c r="D73" s="2406" t="s">
        <v>604</v>
      </c>
      <c r="E73" s="1856"/>
      <c r="F73" s="1628">
        <v>209</v>
      </c>
      <c r="G73" s="1627">
        <v>209</v>
      </c>
      <c r="H73" s="1634">
        <f>(G73/F73)*100</f>
        <v>100</v>
      </c>
      <c r="I73" s="1639"/>
    </row>
    <row r="74" spans="1:9" s="1609" customFormat="1" ht="35.25" customHeight="1" thickTop="1" thickBot="1" x14ac:dyDescent="0.3">
      <c r="A74" s="1615" t="s">
        <v>244</v>
      </c>
      <c r="B74" s="1614"/>
      <c r="C74" s="1613"/>
      <c r="D74" s="1612"/>
      <c r="E74" s="1611">
        <v>0</v>
      </c>
      <c r="F74" s="1611">
        <f>F73</f>
        <v>209</v>
      </c>
      <c r="G74" s="1611">
        <f>G73</f>
        <v>209</v>
      </c>
      <c r="H74" s="1610">
        <f t="shared" ref="H74" si="1">(G74/F74)*100</f>
        <v>100</v>
      </c>
      <c r="I74" s="1581"/>
    </row>
    <row r="75" spans="1:9" ht="13.5" thickTop="1" x14ac:dyDescent="0.2"/>
    <row r="80" spans="1:9" ht="15" customHeight="1" x14ac:dyDescent="0.25">
      <c r="A80" s="2732" t="s">
        <v>1647</v>
      </c>
      <c r="B80" s="2666"/>
      <c r="C80" s="2666"/>
      <c r="D80" s="2666"/>
      <c r="E80" s="934">
        <f>E82+E83+E84+E85</f>
        <v>32103</v>
      </c>
      <c r="F80" s="934">
        <f>F82+F83+F84+F85</f>
        <v>33822</v>
      </c>
      <c r="G80" s="934">
        <f>G82+G83+G84+G85</f>
        <v>30335</v>
      </c>
      <c r="H80" s="305">
        <f>G80/F80*100</f>
        <v>89.690142510791787</v>
      </c>
    </row>
    <row r="81" spans="1:11" ht="15" customHeight="1" x14ac:dyDescent="0.25">
      <c r="A81" s="2666"/>
      <c r="B81" s="2666"/>
      <c r="C81" s="2666"/>
      <c r="D81" s="2666"/>
      <c r="E81" s="934"/>
      <c r="F81" s="934"/>
      <c r="G81" s="934"/>
      <c r="H81" s="305"/>
    </row>
    <row r="82" spans="1:11" ht="15" x14ac:dyDescent="0.2">
      <c r="A82" s="555" t="s">
        <v>263</v>
      </c>
      <c r="B82" s="809"/>
      <c r="C82" s="1452"/>
      <c r="D82" s="1452"/>
      <c r="E82" s="592">
        <f>E55</f>
        <v>32103</v>
      </c>
      <c r="F82" s="592">
        <f>F55</f>
        <v>33613</v>
      </c>
      <c r="G82" s="592">
        <f>G55</f>
        <v>30126</v>
      </c>
      <c r="H82" s="306">
        <f>G82/F82*100</f>
        <v>89.626037544997473</v>
      </c>
    </row>
    <row r="83" spans="1:11" ht="15" x14ac:dyDescent="0.2">
      <c r="A83" s="555" t="s">
        <v>264</v>
      </c>
      <c r="B83" s="1453"/>
      <c r="C83" s="1452"/>
      <c r="D83" s="1452"/>
      <c r="E83" s="936">
        <f>E74</f>
        <v>0</v>
      </c>
      <c r="F83" s="936">
        <f>F74</f>
        <v>209</v>
      </c>
      <c r="G83" s="936">
        <f>G74</f>
        <v>209</v>
      </c>
      <c r="H83" s="306">
        <f>G83/F83*100</f>
        <v>100</v>
      </c>
    </row>
    <row r="84" spans="1:11" ht="15" x14ac:dyDescent="0.2">
      <c r="A84" s="555" t="s">
        <v>208</v>
      </c>
      <c r="B84" s="1453"/>
      <c r="C84" s="1452"/>
      <c r="D84" s="1452"/>
      <c r="E84" s="592">
        <v>0</v>
      </c>
      <c r="F84" s="588">
        <v>0</v>
      </c>
      <c r="G84" s="588">
        <v>0</v>
      </c>
      <c r="H84" s="306">
        <v>0</v>
      </c>
      <c r="J84" s="382"/>
      <c r="K84" s="382"/>
    </row>
    <row r="85" spans="1:11" ht="15" x14ac:dyDescent="0.2">
      <c r="A85" s="555" t="s">
        <v>1147</v>
      </c>
      <c r="B85" s="1453"/>
      <c r="C85" s="1452"/>
      <c r="D85" s="1452"/>
      <c r="E85" s="592">
        <v>0</v>
      </c>
      <c r="F85" s="592">
        <v>0</v>
      </c>
      <c r="G85" s="592">
        <v>0</v>
      </c>
      <c r="H85" s="306">
        <v>0</v>
      </c>
    </row>
    <row r="86" spans="1:11" ht="15" x14ac:dyDescent="0.25">
      <c r="A86" s="746"/>
      <c r="B86" s="746"/>
      <c r="C86" s="997"/>
      <c r="D86" s="119"/>
      <c r="E86" s="998"/>
      <c r="F86" s="314"/>
      <c r="G86" s="314"/>
      <c r="H86" s="999"/>
      <c r="I86" s="382"/>
      <c r="J86" s="382"/>
    </row>
    <row r="87" spans="1:11" ht="18" x14ac:dyDescent="0.25">
      <c r="A87" s="1000"/>
      <c r="B87" s="1000"/>
      <c r="C87" s="1001"/>
      <c r="D87" s="228"/>
      <c r="E87" s="1002"/>
      <c r="F87" s="1003"/>
      <c r="G87" s="1004"/>
      <c r="H87" s="1005"/>
      <c r="I87" s="382"/>
      <c r="J87" s="382"/>
    </row>
    <row r="88" spans="1:11" s="981" customFormat="1" ht="37.5" customHeight="1" thickBot="1" x14ac:dyDescent="0.4">
      <c r="A88" s="2737" t="s">
        <v>1648</v>
      </c>
      <c r="B88" s="2738"/>
      <c r="C88" s="2738"/>
      <c r="D88" s="2738"/>
      <c r="E88" s="1006">
        <f>E80</f>
        <v>32103</v>
      </c>
      <c r="F88" s="1006">
        <f>F80</f>
        <v>33822</v>
      </c>
      <c r="G88" s="1006">
        <f>G80</f>
        <v>30335</v>
      </c>
      <c r="H88" s="2142">
        <f>(G88/F88)*100</f>
        <v>89.690142510791787</v>
      </c>
      <c r="I88" s="1007"/>
    </row>
    <row r="89" spans="1:11" ht="13.5" thickTop="1" x14ac:dyDescent="0.2"/>
  </sheetData>
  <mergeCells count="3">
    <mergeCell ref="A80:D81"/>
    <mergeCell ref="A88:D88"/>
    <mergeCell ref="D47:D48"/>
  </mergeCells>
  <pageMargins left="0.98425196850393704" right="0.98425196850393704" top="0.98425196850393704" bottom="0.98425196850393704" header="0.51181102362204722" footer="0.51181102362204722"/>
  <pageSetup paperSize="9" scale="70" firstPageNumber="120" orientation="portrait" useFirstPageNumber="1" r:id="rId1"/>
  <headerFooter>
    <oddFooter xml:space="preserve">&amp;L&amp;"Arial,Kurzíva"Zastupitelstvo Olomouckého kraje 26.6.2015
4. - Závěrečný  účet Olomouckého kraje za rok 2014
Příloha č. 3: Plnění rozpočtu výdajů Olomouckého kraje k 31.12.2014&amp;R&amp;"Arial,Kurzíva"Strana &amp;P (Celkem 484)&amp;"Arial,Obyčejné"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34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5.7109375" style="1802" customWidth="1"/>
    <col min="2" max="2" width="6.7109375" style="1802" customWidth="1"/>
    <col min="3" max="3" width="10.28515625" style="1802" customWidth="1"/>
    <col min="4" max="4" width="46.42578125" style="1803" customWidth="1"/>
    <col min="5" max="5" width="13.85546875" style="1804" customWidth="1"/>
    <col min="6" max="6" width="14.85546875" style="1804" customWidth="1"/>
    <col min="7" max="7" width="13.85546875" style="1804" customWidth="1"/>
    <col min="8" max="8" width="8.5703125" style="1805" customWidth="1"/>
    <col min="9" max="9" width="9.140625" style="1803"/>
    <col min="10" max="12" width="16" style="1803" bestFit="1" customWidth="1"/>
    <col min="13" max="256" width="9.140625" style="1803"/>
    <col min="257" max="257" width="5.7109375" style="1803" customWidth="1"/>
    <col min="258" max="258" width="6.7109375" style="1803" customWidth="1"/>
    <col min="259" max="259" width="10.28515625" style="1803" customWidth="1"/>
    <col min="260" max="260" width="46.42578125" style="1803" customWidth="1"/>
    <col min="261" max="261" width="13.85546875" style="1803" customWidth="1"/>
    <col min="262" max="262" width="14.85546875" style="1803" customWidth="1"/>
    <col min="263" max="263" width="13.85546875" style="1803" customWidth="1"/>
    <col min="264" max="264" width="8.5703125" style="1803" customWidth="1"/>
    <col min="265" max="265" width="9.140625" style="1803"/>
    <col min="266" max="268" width="16" style="1803" bestFit="1" customWidth="1"/>
    <col min="269" max="512" width="9.140625" style="1803"/>
    <col min="513" max="513" width="5.7109375" style="1803" customWidth="1"/>
    <col min="514" max="514" width="6.7109375" style="1803" customWidth="1"/>
    <col min="515" max="515" width="10.28515625" style="1803" customWidth="1"/>
    <col min="516" max="516" width="46.42578125" style="1803" customWidth="1"/>
    <col min="517" max="517" width="13.85546875" style="1803" customWidth="1"/>
    <col min="518" max="518" width="14.85546875" style="1803" customWidth="1"/>
    <col min="519" max="519" width="13.85546875" style="1803" customWidth="1"/>
    <col min="520" max="520" width="8.5703125" style="1803" customWidth="1"/>
    <col min="521" max="521" width="9.140625" style="1803"/>
    <col min="522" max="524" width="16" style="1803" bestFit="1" customWidth="1"/>
    <col min="525" max="768" width="9.140625" style="1803"/>
    <col min="769" max="769" width="5.7109375" style="1803" customWidth="1"/>
    <col min="770" max="770" width="6.7109375" style="1803" customWidth="1"/>
    <col min="771" max="771" width="10.28515625" style="1803" customWidth="1"/>
    <col min="772" max="772" width="46.42578125" style="1803" customWidth="1"/>
    <col min="773" max="773" width="13.85546875" style="1803" customWidth="1"/>
    <col min="774" max="774" width="14.85546875" style="1803" customWidth="1"/>
    <col min="775" max="775" width="13.85546875" style="1803" customWidth="1"/>
    <col min="776" max="776" width="8.5703125" style="1803" customWidth="1"/>
    <col min="777" max="777" width="9.140625" style="1803"/>
    <col min="778" max="780" width="16" style="1803" bestFit="1" customWidth="1"/>
    <col min="781" max="1024" width="9.140625" style="1803"/>
    <col min="1025" max="1025" width="5.7109375" style="1803" customWidth="1"/>
    <col min="1026" max="1026" width="6.7109375" style="1803" customWidth="1"/>
    <col min="1027" max="1027" width="10.28515625" style="1803" customWidth="1"/>
    <col min="1028" max="1028" width="46.42578125" style="1803" customWidth="1"/>
    <col min="1029" max="1029" width="13.85546875" style="1803" customWidth="1"/>
    <col min="1030" max="1030" width="14.85546875" style="1803" customWidth="1"/>
    <col min="1031" max="1031" width="13.85546875" style="1803" customWidth="1"/>
    <col min="1032" max="1032" width="8.5703125" style="1803" customWidth="1"/>
    <col min="1033" max="1033" width="9.140625" style="1803"/>
    <col min="1034" max="1036" width="16" style="1803" bestFit="1" customWidth="1"/>
    <col min="1037" max="1280" width="9.140625" style="1803"/>
    <col min="1281" max="1281" width="5.7109375" style="1803" customWidth="1"/>
    <col min="1282" max="1282" width="6.7109375" style="1803" customWidth="1"/>
    <col min="1283" max="1283" width="10.28515625" style="1803" customWidth="1"/>
    <col min="1284" max="1284" width="46.42578125" style="1803" customWidth="1"/>
    <col min="1285" max="1285" width="13.85546875" style="1803" customWidth="1"/>
    <col min="1286" max="1286" width="14.85546875" style="1803" customWidth="1"/>
    <col min="1287" max="1287" width="13.85546875" style="1803" customWidth="1"/>
    <col min="1288" max="1288" width="8.5703125" style="1803" customWidth="1"/>
    <col min="1289" max="1289" width="9.140625" style="1803"/>
    <col min="1290" max="1292" width="16" style="1803" bestFit="1" customWidth="1"/>
    <col min="1293" max="1536" width="9.140625" style="1803"/>
    <col min="1537" max="1537" width="5.7109375" style="1803" customWidth="1"/>
    <col min="1538" max="1538" width="6.7109375" style="1803" customWidth="1"/>
    <col min="1539" max="1539" width="10.28515625" style="1803" customWidth="1"/>
    <col min="1540" max="1540" width="46.42578125" style="1803" customWidth="1"/>
    <col min="1541" max="1541" width="13.85546875" style="1803" customWidth="1"/>
    <col min="1542" max="1542" width="14.85546875" style="1803" customWidth="1"/>
    <col min="1543" max="1543" width="13.85546875" style="1803" customWidth="1"/>
    <col min="1544" max="1544" width="8.5703125" style="1803" customWidth="1"/>
    <col min="1545" max="1545" width="9.140625" style="1803"/>
    <col min="1546" max="1548" width="16" style="1803" bestFit="1" customWidth="1"/>
    <col min="1549" max="1792" width="9.140625" style="1803"/>
    <col min="1793" max="1793" width="5.7109375" style="1803" customWidth="1"/>
    <col min="1794" max="1794" width="6.7109375" style="1803" customWidth="1"/>
    <col min="1795" max="1795" width="10.28515625" style="1803" customWidth="1"/>
    <col min="1796" max="1796" width="46.42578125" style="1803" customWidth="1"/>
    <col min="1797" max="1797" width="13.85546875" style="1803" customWidth="1"/>
    <col min="1798" max="1798" width="14.85546875" style="1803" customWidth="1"/>
    <col min="1799" max="1799" width="13.85546875" style="1803" customWidth="1"/>
    <col min="1800" max="1800" width="8.5703125" style="1803" customWidth="1"/>
    <col min="1801" max="1801" width="9.140625" style="1803"/>
    <col min="1802" max="1804" width="16" style="1803" bestFit="1" customWidth="1"/>
    <col min="1805" max="2048" width="9.140625" style="1803"/>
    <col min="2049" max="2049" width="5.7109375" style="1803" customWidth="1"/>
    <col min="2050" max="2050" width="6.7109375" style="1803" customWidth="1"/>
    <col min="2051" max="2051" width="10.28515625" style="1803" customWidth="1"/>
    <col min="2052" max="2052" width="46.42578125" style="1803" customWidth="1"/>
    <col min="2053" max="2053" width="13.85546875" style="1803" customWidth="1"/>
    <col min="2054" max="2054" width="14.85546875" style="1803" customWidth="1"/>
    <col min="2055" max="2055" width="13.85546875" style="1803" customWidth="1"/>
    <col min="2056" max="2056" width="8.5703125" style="1803" customWidth="1"/>
    <col min="2057" max="2057" width="9.140625" style="1803"/>
    <col min="2058" max="2060" width="16" style="1803" bestFit="1" customWidth="1"/>
    <col min="2061" max="2304" width="9.140625" style="1803"/>
    <col min="2305" max="2305" width="5.7109375" style="1803" customWidth="1"/>
    <col min="2306" max="2306" width="6.7109375" style="1803" customWidth="1"/>
    <col min="2307" max="2307" width="10.28515625" style="1803" customWidth="1"/>
    <col min="2308" max="2308" width="46.42578125" style="1803" customWidth="1"/>
    <col min="2309" max="2309" width="13.85546875" style="1803" customWidth="1"/>
    <col min="2310" max="2310" width="14.85546875" style="1803" customWidth="1"/>
    <col min="2311" max="2311" width="13.85546875" style="1803" customWidth="1"/>
    <col min="2312" max="2312" width="8.5703125" style="1803" customWidth="1"/>
    <col min="2313" max="2313" width="9.140625" style="1803"/>
    <col min="2314" max="2316" width="16" style="1803" bestFit="1" customWidth="1"/>
    <col min="2317" max="2560" width="9.140625" style="1803"/>
    <col min="2561" max="2561" width="5.7109375" style="1803" customWidth="1"/>
    <col min="2562" max="2562" width="6.7109375" style="1803" customWidth="1"/>
    <col min="2563" max="2563" width="10.28515625" style="1803" customWidth="1"/>
    <col min="2564" max="2564" width="46.42578125" style="1803" customWidth="1"/>
    <col min="2565" max="2565" width="13.85546875" style="1803" customWidth="1"/>
    <col min="2566" max="2566" width="14.85546875" style="1803" customWidth="1"/>
    <col min="2567" max="2567" width="13.85546875" style="1803" customWidth="1"/>
    <col min="2568" max="2568" width="8.5703125" style="1803" customWidth="1"/>
    <col min="2569" max="2569" width="9.140625" style="1803"/>
    <col min="2570" max="2572" width="16" style="1803" bestFit="1" customWidth="1"/>
    <col min="2573" max="2816" width="9.140625" style="1803"/>
    <col min="2817" max="2817" width="5.7109375" style="1803" customWidth="1"/>
    <col min="2818" max="2818" width="6.7109375" style="1803" customWidth="1"/>
    <col min="2819" max="2819" width="10.28515625" style="1803" customWidth="1"/>
    <col min="2820" max="2820" width="46.42578125" style="1803" customWidth="1"/>
    <col min="2821" max="2821" width="13.85546875" style="1803" customWidth="1"/>
    <col min="2822" max="2822" width="14.85546875" style="1803" customWidth="1"/>
    <col min="2823" max="2823" width="13.85546875" style="1803" customWidth="1"/>
    <col min="2824" max="2824" width="8.5703125" style="1803" customWidth="1"/>
    <col min="2825" max="2825" width="9.140625" style="1803"/>
    <col min="2826" max="2828" width="16" style="1803" bestFit="1" customWidth="1"/>
    <col min="2829" max="3072" width="9.140625" style="1803"/>
    <col min="3073" max="3073" width="5.7109375" style="1803" customWidth="1"/>
    <col min="3074" max="3074" width="6.7109375" style="1803" customWidth="1"/>
    <col min="3075" max="3075" width="10.28515625" style="1803" customWidth="1"/>
    <col min="3076" max="3076" width="46.42578125" style="1803" customWidth="1"/>
    <col min="3077" max="3077" width="13.85546875" style="1803" customWidth="1"/>
    <col min="3078" max="3078" width="14.85546875" style="1803" customWidth="1"/>
    <col min="3079" max="3079" width="13.85546875" style="1803" customWidth="1"/>
    <col min="3080" max="3080" width="8.5703125" style="1803" customWidth="1"/>
    <col min="3081" max="3081" width="9.140625" style="1803"/>
    <col min="3082" max="3084" width="16" style="1803" bestFit="1" customWidth="1"/>
    <col min="3085" max="3328" width="9.140625" style="1803"/>
    <col min="3329" max="3329" width="5.7109375" style="1803" customWidth="1"/>
    <col min="3330" max="3330" width="6.7109375" style="1803" customWidth="1"/>
    <col min="3331" max="3331" width="10.28515625" style="1803" customWidth="1"/>
    <col min="3332" max="3332" width="46.42578125" style="1803" customWidth="1"/>
    <col min="3333" max="3333" width="13.85546875" style="1803" customWidth="1"/>
    <col min="3334" max="3334" width="14.85546875" style="1803" customWidth="1"/>
    <col min="3335" max="3335" width="13.85546875" style="1803" customWidth="1"/>
    <col min="3336" max="3336" width="8.5703125" style="1803" customWidth="1"/>
    <col min="3337" max="3337" width="9.140625" style="1803"/>
    <col min="3338" max="3340" width="16" style="1803" bestFit="1" customWidth="1"/>
    <col min="3341" max="3584" width="9.140625" style="1803"/>
    <col min="3585" max="3585" width="5.7109375" style="1803" customWidth="1"/>
    <col min="3586" max="3586" width="6.7109375" style="1803" customWidth="1"/>
    <col min="3587" max="3587" width="10.28515625" style="1803" customWidth="1"/>
    <col min="3588" max="3588" width="46.42578125" style="1803" customWidth="1"/>
    <col min="3589" max="3589" width="13.85546875" style="1803" customWidth="1"/>
    <col min="3590" max="3590" width="14.85546875" style="1803" customWidth="1"/>
    <col min="3591" max="3591" width="13.85546875" style="1803" customWidth="1"/>
    <col min="3592" max="3592" width="8.5703125" style="1803" customWidth="1"/>
    <col min="3593" max="3593" width="9.140625" style="1803"/>
    <col min="3594" max="3596" width="16" style="1803" bestFit="1" customWidth="1"/>
    <col min="3597" max="3840" width="9.140625" style="1803"/>
    <col min="3841" max="3841" width="5.7109375" style="1803" customWidth="1"/>
    <col min="3842" max="3842" width="6.7109375" style="1803" customWidth="1"/>
    <col min="3843" max="3843" width="10.28515625" style="1803" customWidth="1"/>
    <col min="3844" max="3844" width="46.42578125" style="1803" customWidth="1"/>
    <col min="3845" max="3845" width="13.85546875" style="1803" customWidth="1"/>
    <col min="3846" max="3846" width="14.85546875" style="1803" customWidth="1"/>
    <col min="3847" max="3847" width="13.85546875" style="1803" customWidth="1"/>
    <col min="3848" max="3848" width="8.5703125" style="1803" customWidth="1"/>
    <col min="3849" max="3849" width="9.140625" style="1803"/>
    <col min="3850" max="3852" width="16" style="1803" bestFit="1" customWidth="1"/>
    <col min="3853" max="4096" width="9.140625" style="1803"/>
    <col min="4097" max="4097" width="5.7109375" style="1803" customWidth="1"/>
    <col min="4098" max="4098" width="6.7109375" style="1803" customWidth="1"/>
    <col min="4099" max="4099" width="10.28515625" style="1803" customWidth="1"/>
    <col min="4100" max="4100" width="46.42578125" style="1803" customWidth="1"/>
    <col min="4101" max="4101" width="13.85546875" style="1803" customWidth="1"/>
    <col min="4102" max="4102" width="14.85546875" style="1803" customWidth="1"/>
    <col min="4103" max="4103" width="13.85546875" style="1803" customWidth="1"/>
    <col min="4104" max="4104" width="8.5703125" style="1803" customWidth="1"/>
    <col min="4105" max="4105" width="9.140625" style="1803"/>
    <col min="4106" max="4108" width="16" style="1803" bestFit="1" customWidth="1"/>
    <col min="4109" max="4352" width="9.140625" style="1803"/>
    <col min="4353" max="4353" width="5.7109375" style="1803" customWidth="1"/>
    <col min="4354" max="4354" width="6.7109375" style="1803" customWidth="1"/>
    <col min="4355" max="4355" width="10.28515625" style="1803" customWidth="1"/>
    <col min="4356" max="4356" width="46.42578125" style="1803" customWidth="1"/>
    <col min="4357" max="4357" width="13.85546875" style="1803" customWidth="1"/>
    <col min="4358" max="4358" width="14.85546875" style="1803" customWidth="1"/>
    <col min="4359" max="4359" width="13.85546875" style="1803" customWidth="1"/>
    <col min="4360" max="4360" width="8.5703125" style="1803" customWidth="1"/>
    <col min="4361" max="4361" width="9.140625" style="1803"/>
    <col min="4362" max="4364" width="16" style="1803" bestFit="1" customWidth="1"/>
    <col min="4365" max="4608" width="9.140625" style="1803"/>
    <col min="4609" max="4609" width="5.7109375" style="1803" customWidth="1"/>
    <col min="4610" max="4610" width="6.7109375" style="1803" customWidth="1"/>
    <col min="4611" max="4611" width="10.28515625" style="1803" customWidth="1"/>
    <col min="4612" max="4612" width="46.42578125" style="1803" customWidth="1"/>
    <col min="4613" max="4613" width="13.85546875" style="1803" customWidth="1"/>
    <col min="4614" max="4614" width="14.85546875" style="1803" customWidth="1"/>
    <col min="4615" max="4615" width="13.85546875" style="1803" customWidth="1"/>
    <col min="4616" max="4616" width="8.5703125" style="1803" customWidth="1"/>
    <col min="4617" max="4617" width="9.140625" style="1803"/>
    <col min="4618" max="4620" width="16" style="1803" bestFit="1" customWidth="1"/>
    <col min="4621" max="4864" width="9.140625" style="1803"/>
    <col min="4865" max="4865" width="5.7109375" style="1803" customWidth="1"/>
    <col min="4866" max="4866" width="6.7109375" style="1803" customWidth="1"/>
    <col min="4867" max="4867" width="10.28515625" style="1803" customWidth="1"/>
    <col min="4868" max="4868" width="46.42578125" style="1803" customWidth="1"/>
    <col min="4869" max="4869" width="13.85546875" style="1803" customWidth="1"/>
    <col min="4870" max="4870" width="14.85546875" style="1803" customWidth="1"/>
    <col min="4871" max="4871" width="13.85546875" style="1803" customWidth="1"/>
    <col min="4872" max="4872" width="8.5703125" style="1803" customWidth="1"/>
    <col min="4873" max="4873" width="9.140625" style="1803"/>
    <col min="4874" max="4876" width="16" style="1803" bestFit="1" customWidth="1"/>
    <col min="4877" max="5120" width="9.140625" style="1803"/>
    <col min="5121" max="5121" width="5.7109375" style="1803" customWidth="1"/>
    <col min="5122" max="5122" width="6.7109375" style="1803" customWidth="1"/>
    <col min="5123" max="5123" width="10.28515625" style="1803" customWidth="1"/>
    <col min="5124" max="5124" width="46.42578125" style="1803" customWidth="1"/>
    <col min="5125" max="5125" width="13.85546875" style="1803" customWidth="1"/>
    <col min="5126" max="5126" width="14.85546875" style="1803" customWidth="1"/>
    <col min="5127" max="5127" width="13.85546875" style="1803" customWidth="1"/>
    <col min="5128" max="5128" width="8.5703125" style="1803" customWidth="1"/>
    <col min="5129" max="5129" width="9.140625" style="1803"/>
    <col min="5130" max="5132" width="16" style="1803" bestFit="1" customWidth="1"/>
    <col min="5133" max="5376" width="9.140625" style="1803"/>
    <col min="5377" max="5377" width="5.7109375" style="1803" customWidth="1"/>
    <col min="5378" max="5378" width="6.7109375" style="1803" customWidth="1"/>
    <col min="5379" max="5379" width="10.28515625" style="1803" customWidth="1"/>
    <col min="5380" max="5380" width="46.42578125" style="1803" customWidth="1"/>
    <col min="5381" max="5381" width="13.85546875" style="1803" customWidth="1"/>
    <col min="5382" max="5382" width="14.85546875" style="1803" customWidth="1"/>
    <col min="5383" max="5383" width="13.85546875" style="1803" customWidth="1"/>
    <col min="5384" max="5384" width="8.5703125" style="1803" customWidth="1"/>
    <col min="5385" max="5385" width="9.140625" style="1803"/>
    <col min="5386" max="5388" width="16" style="1803" bestFit="1" customWidth="1"/>
    <col min="5389" max="5632" width="9.140625" style="1803"/>
    <col min="5633" max="5633" width="5.7109375" style="1803" customWidth="1"/>
    <col min="5634" max="5634" width="6.7109375" style="1803" customWidth="1"/>
    <col min="5635" max="5635" width="10.28515625" style="1803" customWidth="1"/>
    <col min="5636" max="5636" width="46.42578125" style="1803" customWidth="1"/>
    <col min="5637" max="5637" width="13.85546875" style="1803" customWidth="1"/>
    <col min="5638" max="5638" width="14.85546875" style="1803" customWidth="1"/>
    <col min="5639" max="5639" width="13.85546875" style="1803" customWidth="1"/>
    <col min="5640" max="5640" width="8.5703125" style="1803" customWidth="1"/>
    <col min="5641" max="5641" width="9.140625" style="1803"/>
    <col min="5642" max="5644" width="16" style="1803" bestFit="1" customWidth="1"/>
    <col min="5645" max="5888" width="9.140625" style="1803"/>
    <col min="5889" max="5889" width="5.7109375" style="1803" customWidth="1"/>
    <col min="5890" max="5890" width="6.7109375" style="1803" customWidth="1"/>
    <col min="5891" max="5891" width="10.28515625" style="1803" customWidth="1"/>
    <col min="5892" max="5892" width="46.42578125" style="1803" customWidth="1"/>
    <col min="5893" max="5893" width="13.85546875" style="1803" customWidth="1"/>
    <col min="5894" max="5894" width="14.85546875" style="1803" customWidth="1"/>
    <col min="5895" max="5895" width="13.85546875" style="1803" customWidth="1"/>
    <col min="5896" max="5896" width="8.5703125" style="1803" customWidth="1"/>
    <col min="5897" max="5897" width="9.140625" style="1803"/>
    <col min="5898" max="5900" width="16" style="1803" bestFit="1" customWidth="1"/>
    <col min="5901" max="6144" width="9.140625" style="1803"/>
    <col min="6145" max="6145" width="5.7109375" style="1803" customWidth="1"/>
    <col min="6146" max="6146" width="6.7109375" style="1803" customWidth="1"/>
    <col min="6147" max="6147" width="10.28515625" style="1803" customWidth="1"/>
    <col min="6148" max="6148" width="46.42578125" style="1803" customWidth="1"/>
    <col min="6149" max="6149" width="13.85546875" style="1803" customWidth="1"/>
    <col min="6150" max="6150" width="14.85546875" style="1803" customWidth="1"/>
    <col min="6151" max="6151" width="13.85546875" style="1803" customWidth="1"/>
    <col min="6152" max="6152" width="8.5703125" style="1803" customWidth="1"/>
    <col min="6153" max="6153" width="9.140625" style="1803"/>
    <col min="6154" max="6156" width="16" style="1803" bestFit="1" customWidth="1"/>
    <col min="6157" max="6400" width="9.140625" style="1803"/>
    <col min="6401" max="6401" width="5.7109375" style="1803" customWidth="1"/>
    <col min="6402" max="6402" width="6.7109375" style="1803" customWidth="1"/>
    <col min="6403" max="6403" width="10.28515625" style="1803" customWidth="1"/>
    <col min="6404" max="6404" width="46.42578125" style="1803" customWidth="1"/>
    <col min="6405" max="6405" width="13.85546875" style="1803" customWidth="1"/>
    <col min="6406" max="6406" width="14.85546875" style="1803" customWidth="1"/>
    <col min="6407" max="6407" width="13.85546875" style="1803" customWidth="1"/>
    <col min="6408" max="6408" width="8.5703125" style="1803" customWidth="1"/>
    <col min="6409" max="6409" width="9.140625" style="1803"/>
    <col min="6410" max="6412" width="16" style="1803" bestFit="1" customWidth="1"/>
    <col min="6413" max="6656" width="9.140625" style="1803"/>
    <col min="6657" max="6657" width="5.7109375" style="1803" customWidth="1"/>
    <col min="6658" max="6658" width="6.7109375" style="1803" customWidth="1"/>
    <col min="6659" max="6659" width="10.28515625" style="1803" customWidth="1"/>
    <col min="6660" max="6660" width="46.42578125" style="1803" customWidth="1"/>
    <col min="6661" max="6661" width="13.85546875" style="1803" customWidth="1"/>
    <col min="6662" max="6662" width="14.85546875" style="1803" customWidth="1"/>
    <col min="6663" max="6663" width="13.85546875" style="1803" customWidth="1"/>
    <col min="6664" max="6664" width="8.5703125" style="1803" customWidth="1"/>
    <col min="6665" max="6665" width="9.140625" style="1803"/>
    <col min="6666" max="6668" width="16" style="1803" bestFit="1" customWidth="1"/>
    <col min="6669" max="6912" width="9.140625" style="1803"/>
    <col min="6913" max="6913" width="5.7109375" style="1803" customWidth="1"/>
    <col min="6914" max="6914" width="6.7109375" style="1803" customWidth="1"/>
    <col min="6915" max="6915" width="10.28515625" style="1803" customWidth="1"/>
    <col min="6916" max="6916" width="46.42578125" style="1803" customWidth="1"/>
    <col min="6917" max="6917" width="13.85546875" style="1803" customWidth="1"/>
    <col min="6918" max="6918" width="14.85546875" style="1803" customWidth="1"/>
    <col min="6919" max="6919" width="13.85546875" style="1803" customWidth="1"/>
    <col min="6920" max="6920" width="8.5703125" style="1803" customWidth="1"/>
    <col min="6921" max="6921" width="9.140625" style="1803"/>
    <col min="6922" max="6924" width="16" style="1803" bestFit="1" customWidth="1"/>
    <col min="6925" max="7168" width="9.140625" style="1803"/>
    <col min="7169" max="7169" width="5.7109375" style="1803" customWidth="1"/>
    <col min="7170" max="7170" width="6.7109375" style="1803" customWidth="1"/>
    <col min="7171" max="7171" width="10.28515625" style="1803" customWidth="1"/>
    <col min="7172" max="7172" width="46.42578125" style="1803" customWidth="1"/>
    <col min="7173" max="7173" width="13.85546875" style="1803" customWidth="1"/>
    <col min="7174" max="7174" width="14.85546875" style="1803" customWidth="1"/>
    <col min="7175" max="7175" width="13.85546875" style="1803" customWidth="1"/>
    <col min="7176" max="7176" width="8.5703125" style="1803" customWidth="1"/>
    <col min="7177" max="7177" width="9.140625" style="1803"/>
    <col min="7178" max="7180" width="16" style="1803" bestFit="1" customWidth="1"/>
    <col min="7181" max="7424" width="9.140625" style="1803"/>
    <col min="7425" max="7425" width="5.7109375" style="1803" customWidth="1"/>
    <col min="7426" max="7426" width="6.7109375" style="1803" customWidth="1"/>
    <col min="7427" max="7427" width="10.28515625" style="1803" customWidth="1"/>
    <col min="7428" max="7428" width="46.42578125" style="1803" customWidth="1"/>
    <col min="7429" max="7429" width="13.85546875" style="1803" customWidth="1"/>
    <col min="7430" max="7430" width="14.85546875" style="1803" customWidth="1"/>
    <col min="7431" max="7431" width="13.85546875" style="1803" customWidth="1"/>
    <col min="7432" max="7432" width="8.5703125" style="1803" customWidth="1"/>
    <col min="7433" max="7433" width="9.140625" style="1803"/>
    <col min="7434" max="7436" width="16" style="1803" bestFit="1" customWidth="1"/>
    <col min="7437" max="7680" width="9.140625" style="1803"/>
    <col min="7681" max="7681" width="5.7109375" style="1803" customWidth="1"/>
    <col min="7682" max="7682" width="6.7109375" style="1803" customWidth="1"/>
    <col min="7683" max="7683" width="10.28515625" style="1803" customWidth="1"/>
    <col min="7684" max="7684" width="46.42578125" style="1803" customWidth="1"/>
    <col min="7685" max="7685" width="13.85546875" style="1803" customWidth="1"/>
    <col min="7686" max="7686" width="14.85546875" style="1803" customWidth="1"/>
    <col min="7687" max="7687" width="13.85546875" style="1803" customWidth="1"/>
    <col min="7688" max="7688" width="8.5703125" style="1803" customWidth="1"/>
    <col min="7689" max="7689" width="9.140625" style="1803"/>
    <col min="7690" max="7692" width="16" style="1803" bestFit="1" customWidth="1"/>
    <col min="7693" max="7936" width="9.140625" style="1803"/>
    <col min="7937" max="7937" width="5.7109375" style="1803" customWidth="1"/>
    <col min="7938" max="7938" width="6.7109375" style="1803" customWidth="1"/>
    <col min="7939" max="7939" width="10.28515625" style="1803" customWidth="1"/>
    <col min="7940" max="7940" width="46.42578125" style="1803" customWidth="1"/>
    <col min="7941" max="7941" width="13.85546875" style="1803" customWidth="1"/>
    <col min="7942" max="7942" width="14.85546875" style="1803" customWidth="1"/>
    <col min="7943" max="7943" width="13.85546875" style="1803" customWidth="1"/>
    <col min="7944" max="7944" width="8.5703125" style="1803" customWidth="1"/>
    <col min="7945" max="7945" width="9.140625" style="1803"/>
    <col min="7946" max="7948" width="16" style="1803" bestFit="1" customWidth="1"/>
    <col min="7949" max="8192" width="9.140625" style="1803"/>
    <col min="8193" max="8193" width="5.7109375" style="1803" customWidth="1"/>
    <col min="8194" max="8194" width="6.7109375" style="1803" customWidth="1"/>
    <col min="8195" max="8195" width="10.28515625" style="1803" customWidth="1"/>
    <col min="8196" max="8196" width="46.42578125" style="1803" customWidth="1"/>
    <col min="8197" max="8197" width="13.85546875" style="1803" customWidth="1"/>
    <col min="8198" max="8198" width="14.85546875" style="1803" customWidth="1"/>
    <col min="8199" max="8199" width="13.85546875" style="1803" customWidth="1"/>
    <col min="8200" max="8200" width="8.5703125" style="1803" customWidth="1"/>
    <col min="8201" max="8201" width="9.140625" style="1803"/>
    <col min="8202" max="8204" width="16" style="1803" bestFit="1" customWidth="1"/>
    <col min="8205" max="8448" width="9.140625" style="1803"/>
    <col min="8449" max="8449" width="5.7109375" style="1803" customWidth="1"/>
    <col min="8450" max="8450" width="6.7109375" style="1803" customWidth="1"/>
    <col min="8451" max="8451" width="10.28515625" style="1803" customWidth="1"/>
    <col min="8452" max="8452" width="46.42578125" style="1803" customWidth="1"/>
    <col min="8453" max="8453" width="13.85546875" style="1803" customWidth="1"/>
    <col min="8454" max="8454" width="14.85546875" style="1803" customWidth="1"/>
    <col min="8455" max="8455" width="13.85546875" style="1803" customWidth="1"/>
    <col min="8456" max="8456" width="8.5703125" style="1803" customWidth="1"/>
    <col min="8457" max="8457" width="9.140625" style="1803"/>
    <col min="8458" max="8460" width="16" style="1803" bestFit="1" customWidth="1"/>
    <col min="8461" max="8704" width="9.140625" style="1803"/>
    <col min="8705" max="8705" width="5.7109375" style="1803" customWidth="1"/>
    <col min="8706" max="8706" width="6.7109375" style="1803" customWidth="1"/>
    <col min="8707" max="8707" width="10.28515625" style="1803" customWidth="1"/>
    <col min="8708" max="8708" width="46.42578125" style="1803" customWidth="1"/>
    <col min="8709" max="8709" width="13.85546875" style="1803" customWidth="1"/>
    <col min="8710" max="8710" width="14.85546875" style="1803" customWidth="1"/>
    <col min="8711" max="8711" width="13.85546875" style="1803" customWidth="1"/>
    <col min="8712" max="8712" width="8.5703125" style="1803" customWidth="1"/>
    <col min="8713" max="8713" width="9.140625" style="1803"/>
    <col min="8714" max="8716" width="16" style="1803" bestFit="1" customWidth="1"/>
    <col min="8717" max="8960" width="9.140625" style="1803"/>
    <col min="8961" max="8961" width="5.7109375" style="1803" customWidth="1"/>
    <col min="8962" max="8962" width="6.7109375" style="1803" customWidth="1"/>
    <col min="8963" max="8963" width="10.28515625" style="1803" customWidth="1"/>
    <col min="8964" max="8964" width="46.42578125" style="1803" customWidth="1"/>
    <col min="8965" max="8965" width="13.85546875" style="1803" customWidth="1"/>
    <col min="8966" max="8966" width="14.85546875" style="1803" customWidth="1"/>
    <col min="8967" max="8967" width="13.85546875" style="1803" customWidth="1"/>
    <col min="8968" max="8968" width="8.5703125" style="1803" customWidth="1"/>
    <col min="8969" max="8969" width="9.140625" style="1803"/>
    <col min="8970" max="8972" width="16" style="1803" bestFit="1" customWidth="1"/>
    <col min="8973" max="9216" width="9.140625" style="1803"/>
    <col min="9217" max="9217" width="5.7109375" style="1803" customWidth="1"/>
    <col min="9218" max="9218" width="6.7109375" style="1803" customWidth="1"/>
    <col min="9219" max="9219" width="10.28515625" style="1803" customWidth="1"/>
    <col min="9220" max="9220" width="46.42578125" style="1803" customWidth="1"/>
    <col min="9221" max="9221" width="13.85546875" style="1803" customWidth="1"/>
    <col min="9222" max="9222" width="14.85546875" style="1803" customWidth="1"/>
    <col min="9223" max="9223" width="13.85546875" style="1803" customWidth="1"/>
    <col min="9224" max="9224" width="8.5703125" style="1803" customWidth="1"/>
    <col min="9225" max="9225" width="9.140625" style="1803"/>
    <col min="9226" max="9228" width="16" style="1803" bestFit="1" customWidth="1"/>
    <col min="9229" max="9472" width="9.140625" style="1803"/>
    <col min="9473" max="9473" width="5.7109375" style="1803" customWidth="1"/>
    <col min="9474" max="9474" width="6.7109375" style="1803" customWidth="1"/>
    <col min="9475" max="9475" width="10.28515625" style="1803" customWidth="1"/>
    <col min="9476" max="9476" width="46.42578125" style="1803" customWidth="1"/>
    <col min="9477" max="9477" width="13.85546875" style="1803" customWidth="1"/>
    <col min="9478" max="9478" width="14.85546875" style="1803" customWidth="1"/>
    <col min="9479" max="9479" width="13.85546875" style="1803" customWidth="1"/>
    <col min="9480" max="9480" width="8.5703125" style="1803" customWidth="1"/>
    <col min="9481" max="9481" width="9.140625" style="1803"/>
    <col min="9482" max="9484" width="16" style="1803" bestFit="1" customWidth="1"/>
    <col min="9485" max="9728" width="9.140625" style="1803"/>
    <col min="9729" max="9729" width="5.7109375" style="1803" customWidth="1"/>
    <col min="9730" max="9730" width="6.7109375" style="1803" customWidth="1"/>
    <col min="9731" max="9731" width="10.28515625" style="1803" customWidth="1"/>
    <col min="9732" max="9732" width="46.42578125" style="1803" customWidth="1"/>
    <col min="9733" max="9733" width="13.85546875" style="1803" customWidth="1"/>
    <col min="9734" max="9734" width="14.85546875" style="1803" customWidth="1"/>
    <col min="9735" max="9735" width="13.85546875" style="1803" customWidth="1"/>
    <col min="9736" max="9736" width="8.5703125" style="1803" customWidth="1"/>
    <col min="9737" max="9737" width="9.140625" style="1803"/>
    <col min="9738" max="9740" width="16" style="1803" bestFit="1" customWidth="1"/>
    <col min="9741" max="9984" width="9.140625" style="1803"/>
    <col min="9985" max="9985" width="5.7109375" style="1803" customWidth="1"/>
    <col min="9986" max="9986" width="6.7109375" style="1803" customWidth="1"/>
    <col min="9987" max="9987" width="10.28515625" style="1803" customWidth="1"/>
    <col min="9988" max="9988" width="46.42578125" style="1803" customWidth="1"/>
    <col min="9989" max="9989" width="13.85546875" style="1803" customWidth="1"/>
    <col min="9990" max="9990" width="14.85546875" style="1803" customWidth="1"/>
    <col min="9991" max="9991" width="13.85546875" style="1803" customWidth="1"/>
    <col min="9992" max="9992" width="8.5703125" style="1803" customWidth="1"/>
    <col min="9993" max="9993" width="9.140625" style="1803"/>
    <col min="9994" max="9996" width="16" style="1803" bestFit="1" customWidth="1"/>
    <col min="9997" max="10240" width="9.140625" style="1803"/>
    <col min="10241" max="10241" width="5.7109375" style="1803" customWidth="1"/>
    <col min="10242" max="10242" width="6.7109375" style="1803" customWidth="1"/>
    <col min="10243" max="10243" width="10.28515625" style="1803" customWidth="1"/>
    <col min="10244" max="10244" width="46.42578125" style="1803" customWidth="1"/>
    <col min="10245" max="10245" width="13.85546875" style="1803" customWidth="1"/>
    <col min="10246" max="10246" width="14.85546875" style="1803" customWidth="1"/>
    <col min="10247" max="10247" width="13.85546875" style="1803" customWidth="1"/>
    <col min="10248" max="10248" width="8.5703125" style="1803" customWidth="1"/>
    <col min="10249" max="10249" width="9.140625" style="1803"/>
    <col min="10250" max="10252" width="16" style="1803" bestFit="1" customWidth="1"/>
    <col min="10253" max="10496" width="9.140625" style="1803"/>
    <col min="10497" max="10497" width="5.7109375" style="1803" customWidth="1"/>
    <col min="10498" max="10498" width="6.7109375" style="1803" customWidth="1"/>
    <col min="10499" max="10499" width="10.28515625" style="1803" customWidth="1"/>
    <col min="10500" max="10500" width="46.42578125" style="1803" customWidth="1"/>
    <col min="10501" max="10501" width="13.85546875" style="1803" customWidth="1"/>
    <col min="10502" max="10502" width="14.85546875" style="1803" customWidth="1"/>
    <col min="10503" max="10503" width="13.85546875" style="1803" customWidth="1"/>
    <col min="10504" max="10504" width="8.5703125" style="1803" customWidth="1"/>
    <col min="10505" max="10505" width="9.140625" style="1803"/>
    <col min="10506" max="10508" width="16" style="1803" bestFit="1" customWidth="1"/>
    <col min="10509" max="10752" width="9.140625" style="1803"/>
    <col min="10753" max="10753" width="5.7109375" style="1803" customWidth="1"/>
    <col min="10754" max="10754" width="6.7109375" style="1803" customWidth="1"/>
    <col min="10755" max="10755" width="10.28515625" style="1803" customWidth="1"/>
    <col min="10756" max="10756" width="46.42578125" style="1803" customWidth="1"/>
    <col min="10757" max="10757" width="13.85546875" style="1803" customWidth="1"/>
    <col min="10758" max="10758" width="14.85546875" style="1803" customWidth="1"/>
    <col min="10759" max="10759" width="13.85546875" style="1803" customWidth="1"/>
    <col min="10760" max="10760" width="8.5703125" style="1803" customWidth="1"/>
    <col min="10761" max="10761" width="9.140625" style="1803"/>
    <col min="10762" max="10764" width="16" style="1803" bestFit="1" customWidth="1"/>
    <col min="10765" max="11008" width="9.140625" style="1803"/>
    <col min="11009" max="11009" width="5.7109375" style="1803" customWidth="1"/>
    <col min="11010" max="11010" width="6.7109375" style="1803" customWidth="1"/>
    <col min="11011" max="11011" width="10.28515625" style="1803" customWidth="1"/>
    <col min="11012" max="11012" width="46.42578125" style="1803" customWidth="1"/>
    <col min="11013" max="11013" width="13.85546875" style="1803" customWidth="1"/>
    <col min="11014" max="11014" width="14.85546875" style="1803" customWidth="1"/>
    <col min="11015" max="11015" width="13.85546875" style="1803" customWidth="1"/>
    <col min="11016" max="11016" width="8.5703125" style="1803" customWidth="1"/>
    <col min="11017" max="11017" width="9.140625" style="1803"/>
    <col min="11018" max="11020" width="16" style="1803" bestFit="1" customWidth="1"/>
    <col min="11021" max="11264" width="9.140625" style="1803"/>
    <col min="11265" max="11265" width="5.7109375" style="1803" customWidth="1"/>
    <col min="11266" max="11266" width="6.7109375" style="1803" customWidth="1"/>
    <col min="11267" max="11267" width="10.28515625" style="1803" customWidth="1"/>
    <col min="11268" max="11268" width="46.42578125" style="1803" customWidth="1"/>
    <col min="11269" max="11269" width="13.85546875" style="1803" customWidth="1"/>
    <col min="11270" max="11270" width="14.85546875" style="1803" customWidth="1"/>
    <col min="11271" max="11271" width="13.85546875" style="1803" customWidth="1"/>
    <col min="11272" max="11272" width="8.5703125" style="1803" customWidth="1"/>
    <col min="11273" max="11273" width="9.140625" style="1803"/>
    <col min="11274" max="11276" width="16" style="1803" bestFit="1" customWidth="1"/>
    <col min="11277" max="11520" width="9.140625" style="1803"/>
    <col min="11521" max="11521" width="5.7109375" style="1803" customWidth="1"/>
    <col min="11522" max="11522" width="6.7109375" style="1803" customWidth="1"/>
    <col min="11523" max="11523" width="10.28515625" style="1803" customWidth="1"/>
    <col min="11524" max="11524" width="46.42578125" style="1803" customWidth="1"/>
    <col min="11525" max="11525" width="13.85546875" style="1803" customWidth="1"/>
    <col min="11526" max="11526" width="14.85546875" style="1803" customWidth="1"/>
    <col min="11527" max="11527" width="13.85546875" style="1803" customWidth="1"/>
    <col min="11528" max="11528" width="8.5703125" style="1803" customWidth="1"/>
    <col min="11529" max="11529" width="9.140625" style="1803"/>
    <col min="11530" max="11532" width="16" style="1803" bestFit="1" customWidth="1"/>
    <col min="11533" max="11776" width="9.140625" style="1803"/>
    <col min="11777" max="11777" width="5.7109375" style="1803" customWidth="1"/>
    <col min="11778" max="11778" width="6.7109375" style="1803" customWidth="1"/>
    <col min="11779" max="11779" width="10.28515625" style="1803" customWidth="1"/>
    <col min="11780" max="11780" width="46.42578125" style="1803" customWidth="1"/>
    <col min="11781" max="11781" width="13.85546875" style="1803" customWidth="1"/>
    <col min="11782" max="11782" width="14.85546875" style="1803" customWidth="1"/>
    <col min="11783" max="11783" width="13.85546875" style="1803" customWidth="1"/>
    <col min="11784" max="11784" width="8.5703125" style="1803" customWidth="1"/>
    <col min="11785" max="11785" width="9.140625" style="1803"/>
    <col min="11786" max="11788" width="16" style="1803" bestFit="1" customWidth="1"/>
    <col min="11789" max="12032" width="9.140625" style="1803"/>
    <col min="12033" max="12033" width="5.7109375" style="1803" customWidth="1"/>
    <col min="12034" max="12034" width="6.7109375" style="1803" customWidth="1"/>
    <col min="12035" max="12035" width="10.28515625" style="1803" customWidth="1"/>
    <col min="12036" max="12036" width="46.42578125" style="1803" customWidth="1"/>
    <col min="12037" max="12037" width="13.85546875" style="1803" customWidth="1"/>
    <col min="12038" max="12038" width="14.85546875" style="1803" customWidth="1"/>
    <col min="12039" max="12039" width="13.85546875" style="1803" customWidth="1"/>
    <col min="12040" max="12040" width="8.5703125" style="1803" customWidth="1"/>
    <col min="12041" max="12041" width="9.140625" style="1803"/>
    <col min="12042" max="12044" width="16" style="1803" bestFit="1" customWidth="1"/>
    <col min="12045" max="12288" width="9.140625" style="1803"/>
    <col min="12289" max="12289" width="5.7109375" style="1803" customWidth="1"/>
    <col min="12290" max="12290" width="6.7109375" style="1803" customWidth="1"/>
    <col min="12291" max="12291" width="10.28515625" style="1803" customWidth="1"/>
    <col min="12292" max="12292" width="46.42578125" style="1803" customWidth="1"/>
    <col min="12293" max="12293" width="13.85546875" style="1803" customWidth="1"/>
    <col min="12294" max="12294" width="14.85546875" style="1803" customWidth="1"/>
    <col min="12295" max="12295" width="13.85546875" style="1803" customWidth="1"/>
    <col min="12296" max="12296" width="8.5703125" style="1803" customWidth="1"/>
    <col min="12297" max="12297" width="9.140625" style="1803"/>
    <col min="12298" max="12300" width="16" style="1803" bestFit="1" customWidth="1"/>
    <col min="12301" max="12544" width="9.140625" style="1803"/>
    <col min="12545" max="12545" width="5.7109375" style="1803" customWidth="1"/>
    <col min="12546" max="12546" width="6.7109375" style="1803" customWidth="1"/>
    <col min="12547" max="12547" width="10.28515625" style="1803" customWidth="1"/>
    <col min="12548" max="12548" width="46.42578125" style="1803" customWidth="1"/>
    <col min="12549" max="12549" width="13.85546875" style="1803" customWidth="1"/>
    <col min="12550" max="12550" width="14.85546875" style="1803" customWidth="1"/>
    <col min="12551" max="12551" width="13.85546875" style="1803" customWidth="1"/>
    <col min="12552" max="12552" width="8.5703125" style="1803" customWidth="1"/>
    <col min="12553" max="12553" width="9.140625" style="1803"/>
    <col min="12554" max="12556" width="16" style="1803" bestFit="1" customWidth="1"/>
    <col min="12557" max="12800" width="9.140625" style="1803"/>
    <col min="12801" max="12801" width="5.7109375" style="1803" customWidth="1"/>
    <col min="12802" max="12802" width="6.7109375" style="1803" customWidth="1"/>
    <col min="12803" max="12803" width="10.28515625" style="1803" customWidth="1"/>
    <col min="12804" max="12804" width="46.42578125" style="1803" customWidth="1"/>
    <col min="12805" max="12805" width="13.85546875" style="1803" customWidth="1"/>
    <col min="12806" max="12806" width="14.85546875" style="1803" customWidth="1"/>
    <col min="12807" max="12807" width="13.85546875" style="1803" customWidth="1"/>
    <col min="12808" max="12808" width="8.5703125" style="1803" customWidth="1"/>
    <col min="12809" max="12809" width="9.140625" style="1803"/>
    <col min="12810" max="12812" width="16" style="1803" bestFit="1" customWidth="1"/>
    <col min="12813" max="13056" width="9.140625" style="1803"/>
    <col min="13057" max="13057" width="5.7109375" style="1803" customWidth="1"/>
    <col min="13058" max="13058" width="6.7109375" style="1803" customWidth="1"/>
    <col min="13059" max="13059" width="10.28515625" style="1803" customWidth="1"/>
    <col min="13060" max="13060" width="46.42578125" style="1803" customWidth="1"/>
    <col min="13061" max="13061" width="13.85546875" style="1803" customWidth="1"/>
    <col min="13062" max="13062" width="14.85546875" style="1803" customWidth="1"/>
    <col min="13063" max="13063" width="13.85546875" style="1803" customWidth="1"/>
    <col min="13064" max="13064" width="8.5703125" style="1803" customWidth="1"/>
    <col min="13065" max="13065" width="9.140625" style="1803"/>
    <col min="13066" max="13068" width="16" style="1803" bestFit="1" customWidth="1"/>
    <col min="13069" max="13312" width="9.140625" style="1803"/>
    <col min="13313" max="13313" width="5.7109375" style="1803" customWidth="1"/>
    <col min="13314" max="13314" width="6.7109375" style="1803" customWidth="1"/>
    <col min="13315" max="13315" width="10.28515625" style="1803" customWidth="1"/>
    <col min="13316" max="13316" width="46.42578125" style="1803" customWidth="1"/>
    <col min="13317" max="13317" width="13.85546875" style="1803" customWidth="1"/>
    <col min="13318" max="13318" width="14.85546875" style="1803" customWidth="1"/>
    <col min="13319" max="13319" width="13.85546875" style="1803" customWidth="1"/>
    <col min="13320" max="13320" width="8.5703125" style="1803" customWidth="1"/>
    <col min="13321" max="13321" width="9.140625" style="1803"/>
    <col min="13322" max="13324" width="16" style="1803" bestFit="1" customWidth="1"/>
    <col min="13325" max="13568" width="9.140625" style="1803"/>
    <col min="13569" max="13569" width="5.7109375" style="1803" customWidth="1"/>
    <col min="13570" max="13570" width="6.7109375" style="1803" customWidth="1"/>
    <col min="13571" max="13571" width="10.28515625" style="1803" customWidth="1"/>
    <col min="13572" max="13572" width="46.42578125" style="1803" customWidth="1"/>
    <col min="13573" max="13573" width="13.85546875" style="1803" customWidth="1"/>
    <col min="13574" max="13574" width="14.85546875" style="1803" customWidth="1"/>
    <col min="13575" max="13575" width="13.85546875" style="1803" customWidth="1"/>
    <col min="13576" max="13576" width="8.5703125" style="1803" customWidth="1"/>
    <col min="13577" max="13577" width="9.140625" style="1803"/>
    <col min="13578" max="13580" width="16" style="1803" bestFit="1" customWidth="1"/>
    <col min="13581" max="13824" width="9.140625" style="1803"/>
    <col min="13825" max="13825" width="5.7109375" style="1803" customWidth="1"/>
    <col min="13826" max="13826" width="6.7109375" style="1803" customWidth="1"/>
    <col min="13827" max="13827" width="10.28515625" style="1803" customWidth="1"/>
    <col min="13828" max="13828" width="46.42578125" style="1803" customWidth="1"/>
    <col min="13829" max="13829" width="13.85546875" style="1803" customWidth="1"/>
    <col min="13830" max="13830" width="14.85546875" style="1803" customWidth="1"/>
    <col min="13831" max="13831" width="13.85546875" style="1803" customWidth="1"/>
    <col min="13832" max="13832" width="8.5703125" style="1803" customWidth="1"/>
    <col min="13833" max="13833" width="9.140625" style="1803"/>
    <col min="13834" max="13836" width="16" style="1803" bestFit="1" customWidth="1"/>
    <col min="13837" max="14080" width="9.140625" style="1803"/>
    <col min="14081" max="14081" width="5.7109375" style="1803" customWidth="1"/>
    <col min="14082" max="14082" width="6.7109375" style="1803" customWidth="1"/>
    <col min="14083" max="14083" width="10.28515625" style="1803" customWidth="1"/>
    <col min="14084" max="14084" width="46.42578125" style="1803" customWidth="1"/>
    <col min="14085" max="14085" width="13.85546875" style="1803" customWidth="1"/>
    <col min="14086" max="14086" width="14.85546875" style="1803" customWidth="1"/>
    <col min="14087" max="14087" width="13.85546875" style="1803" customWidth="1"/>
    <col min="14088" max="14088" width="8.5703125" style="1803" customWidth="1"/>
    <col min="14089" max="14089" width="9.140625" style="1803"/>
    <col min="14090" max="14092" width="16" style="1803" bestFit="1" customWidth="1"/>
    <col min="14093" max="14336" width="9.140625" style="1803"/>
    <col min="14337" max="14337" width="5.7109375" style="1803" customWidth="1"/>
    <col min="14338" max="14338" width="6.7109375" style="1803" customWidth="1"/>
    <col min="14339" max="14339" width="10.28515625" style="1803" customWidth="1"/>
    <col min="14340" max="14340" width="46.42578125" style="1803" customWidth="1"/>
    <col min="14341" max="14341" width="13.85546875" style="1803" customWidth="1"/>
    <col min="14342" max="14342" width="14.85546875" style="1803" customWidth="1"/>
    <col min="14343" max="14343" width="13.85546875" style="1803" customWidth="1"/>
    <col min="14344" max="14344" width="8.5703125" style="1803" customWidth="1"/>
    <col min="14345" max="14345" width="9.140625" style="1803"/>
    <col min="14346" max="14348" width="16" style="1803" bestFit="1" customWidth="1"/>
    <col min="14349" max="14592" width="9.140625" style="1803"/>
    <col min="14593" max="14593" width="5.7109375" style="1803" customWidth="1"/>
    <col min="14594" max="14594" width="6.7109375" style="1803" customWidth="1"/>
    <col min="14595" max="14595" width="10.28515625" style="1803" customWidth="1"/>
    <col min="14596" max="14596" width="46.42578125" style="1803" customWidth="1"/>
    <col min="14597" max="14597" width="13.85546875" style="1803" customWidth="1"/>
    <col min="14598" max="14598" width="14.85546875" style="1803" customWidth="1"/>
    <col min="14599" max="14599" width="13.85546875" style="1803" customWidth="1"/>
    <col min="14600" max="14600" width="8.5703125" style="1803" customWidth="1"/>
    <col min="14601" max="14601" width="9.140625" style="1803"/>
    <col min="14602" max="14604" width="16" style="1803" bestFit="1" customWidth="1"/>
    <col min="14605" max="14848" width="9.140625" style="1803"/>
    <col min="14849" max="14849" width="5.7109375" style="1803" customWidth="1"/>
    <col min="14850" max="14850" width="6.7109375" style="1803" customWidth="1"/>
    <col min="14851" max="14851" width="10.28515625" style="1803" customWidth="1"/>
    <col min="14852" max="14852" width="46.42578125" style="1803" customWidth="1"/>
    <col min="14853" max="14853" width="13.85546875" style="1803" customWidth="1"/>
    <col min="14854" max="14854" width="14.85546875" style="1803" customWidth="1"/>
    <col min="14855" max="14855" width="13.85546875" style="1803" customWidth="1"/>
    <col min="14856" max="14856" width="8.5703125" style="1803" customWidth="1"/>
    <col min="14857" max="14857" width="9.140625" style="1803"/>
    <col min="14858" max="14860" width="16" style="1803" bestFit="1" customWidth="1"/>
    <col min="14861" max="15104" width="9.140625" style="1803"/>
    <col min="15105" max="15105" width="5.7109375" style="1803" customWidth="1"/>
    <col min="15106" max="15106" width="6.7109375" style="1803" customWidth="1"/>
    <col min="15107" max="15107" width="10.28515625" style="1803" customWidth="1"/>
    <col min="15108" max="15108" width="46.42578125" style="1803" customWidth="1"/>
    <col min="15109" max="15109" width="13.85546875" style="1803" customWidth="1"/>
    <col min="15110" max="15110" width="14.85546875" style="1803" customWidth="1"/>
    <col min="15111" max="15111" width="13.85546875" style="1803" customWidth="1"/>
    <col min="15112" max="15112" width="8.5703125" style="1803" customWidth="1"/>
    <col min="15113" max="15113" width="9.140625" style="1803"/>
    <col min="15114" max="15116" width="16" style="1803" bestFit="1" customWidth="1"/>
    <col min="15117" max="15360" width="9.140625" style="1803"/>
    <col min="15361" max="15361" width="5.7109375" style="1803" customWidth="1"/>
    <col min="15362" max="15362" width="6.7109375" style="1803" customWidth="1"/>
    <col min="15363" max="15363" width="10.28515625" style="1803" customWidth="1"/>
    <col min="15364" max="15364" width="46.42578125" style="1803" customWidth="1"/>
    <col min="15365" max="15365" width="13.85546875" style="1803" customWidth="1"/>
    <col min="15366" max="15366" width="14.85546875" style="1803" customWidth="1"/>
    <col min="15367" max="15367" width="13.85546875" style="1803" customWidth="1"/>
    <col min="15368" max="15368" width="8.5703125" style="1803" customWidth="1"/>
    <col min="15369" max="15369" width="9.140625" style="1803"/>
    <col min="15370" max="15372" width="16" style="1803" bestFit="1" customWidth="1"/>
    <col min="15373" max="15616" width="9.140625" style="1803"/>
    <col min="15617" max="15617" width="5.7109375" style="1803" customWidth="1"/>
    <col min="15618" max="15618" width="6.7109375" style="1803" customWidth="1"/>
    <col min="15619" max="15619" width="10.28515625" style="1803" customWidth="1"/>
    <col min="15620" max="15620" width="46.42578125" style="1803" customWidth="1"/>
    <col min="15621" max="15621" width="13.85546875" style="1803" customWidth="1"/>
    <col min="15622" max="15622" width="14.85546875" style="1803" customWidth="1"/>
    <col min="15623" max="15623" width="13.85546875" style="1803" customWidth="1"/>
    <col min="15624" max="15624" width="8.5703125" style="1803" customWidth="1"/>
    <col min="15625" max="15625" width="9.140625" style="1803"/>
    <col min="15626" max="15628" width="16" style="1803" bestFit="1" customWidth="1"/>
    <col min="15629" max="15872" width="9.140625" style="1803"/>
    <col min="15873" max="15873" width="5.7109375" style="1803" customWidth="1"/>
    <col min="15874" max="15874" width="6.7109375" style="1803" customWidth="1"/>
    <col min="15875" max="15875" width="10.28515625" style="1803" customWidth="1"/>
    <col min="15876" max="15876" width="46.42578125" style="1803" customWidth="1"/>
    <col min="15877" max="15877" width="13.85546875" style="1803" customWidth="1"/>
    <col min="15878" max="15878" width="14.85546875" style="1803" customWidth="1"/>
    <col min="15879" max="15879" width="13.85546875" style="1803" customWidth="1"/>
    <col min="15880" max="15880" width="8.5703125" style="1803" customWidth="1"/>
    <col min="15881" max="15881" width="9.140625" style="1803"/>
    <col min="15882" max="15884" width="16" style="1803" bestFit="1" customWidth="1"/>
    <col min="15885" max="16128" width="9.140625" style="1803"/>
    <col min="16129" max="16129" width="5.7109375" style="1803" customWidth="1"/>
    <col min="16130" max="16130" width="6.7109375" style="1803" customWidth="1"/>
    <col min="16131" max="16131" width="10.28515625" style="1803" customWidth="1"/>
    <col min="16132" max="16132" width="46.42578125" style="1803" customWidth="1"/>
    <col min="16133" max="16133" width="13.85546875" style="1803" customWidth="1"/>
    <col min="16134" max="16134" width="14.85546875" style="1803" customWidth="1"/>
    <col min="16135" max="16135" width="13.85546875" style="1803" customWidth="1"/>
    <col min="16136" max="16136" width="8.5703125" style="1803" customWidth="1"/>
    <col min="16137" max="16137" width="9.140625" style="1803"/>
    <col min="16138" max="16140" width="16" style="1803" bestFit="1" customWidth="1"/>
    <col min="16141" max="16384" width="9.140625" style="1803"/>
  </cols>
  <sheetData>
    <row r="1" spans="1:9" s="1581" customFormat="1" ht="18.75" thickBot="1" x14ac:dyDescent="0.3">
      <c r="A1" s="1710" t="s">
        <v>807</v>
      </c>
      <c r="B1" s="1709"/>
      <c r="C1" s="1798"/>
      <c r="D1" s="1708"/>
      <c r="E1" s="1655"/>
      <c r="F1" s="1654"/>
      <c r="G1" s="2739" t="s">
        <v>123</v>
      </c>
      <c r="H1" s="2740"/>
      <c r="I1" s="1586"/>
    </row>
    <row r="2" spans="1:9" s="1581" customFormat="1" ht="12.75" customHeight="1" x14ac:dyDescent="0.25">
      <c r="A2" s="1702"/>
      <c r="B2" s="1658"/>
      <c r="C2" s="1799"/>
      <c r="D2" s="1701"/>
      <c r="E2" s="1655"/>
      <c r="F2" s="1655"/>
      <c r="G2" s="2451"/>
      <c r="H2" s="1800"/>
      <c r="I2" s="1586"/>
    </row>
    <row r="3" spans="1:9" s="1581" customFormat="1" ht="12.75" customHeight="1" x14ac:dyDescent="0.25">
      <c r="A3" s="1705" t="s">
        <v>367</v>
      </c>
      <c r="B3" s="1658"/>
      <c r="C3" s="1801" t="s">
        <v>347</v>
      </c>
      <c r="D3" s="1704"/>
      <c r="E3" s="1655"/>
      <c r="F3" s="2451"/>
      <c r="G3" s="1654"/>
      <c r="H3" s="1800"/>
    </row>
    <row r="4" spans="1:9" s="1581" customFormat="1" ht="12.75" customHeight="1" x14ac:dyDescent="0.25">
      <c r="A4" s="1702"/>
      <c r="B4" s="1658"/>
      <c r="C4" s="1801" t="s">
        <v>348</v>
      </c>
      <c r="D4" s="1586"/>
      <c r="E4" s="1655"/>
      <c r="F4" s="2451"/>
      <c r="G4" s="1654"/>
      <c r="H4" s="1800"/>
    </row>
    <row r="5" spans="1:9" hidden="1" x14ac:dyDescent="0.2"/>
    <row r="6" spans="1:9" ht="18" x14ac:dyDescent="0.25">
      <c r="A6" s="1806" t="s">
        <v>760</v>
      </c>
    </row>
    <row r="7" spans="1:9" ht="12" customHeight="1" x14ac:dyDescent="0.25">
      <c r="A7" s="1807"/>
    </row>
    <row r="8" spans="1:9" ht="15" x14ac:dyDescent="0.25">
      <c r="A8" s="1848"/>
      <c r="B8" s="1848"/>
      <c r="C8" s="1848"/>
      <c r="D8" s="1848"/>
      <c r="E8" s="1824"/>
      <c r="F8" s="1824"/>
      <c r="G8" s="1824"/>
      <c r="H8" s="1849"/>
    </row>
    <row r="9" spans="1:9" ht="13.5" customHeight="1" thickBot="1" x14ac:dyDescent="0.3">
      <c r="A9" s="1808" t="s">
        <v>250</v>
      </c>
      <c r="B9" s="1831"/>
      <c r="C9" s="1831"/>
      <c r="D9" s="1831"/>
      <c r="E9" s="1831"/>
      <c r="F9" s="1831"/>
      <c r="G9" s="1831"/>
      <c r="H9" s="1831" t="s">
        <v>161</v>
      </c>
      <c r="I9" s="1831"/>
    </row>
    <row r="10" spans="1:9" ht="15.75" hidden="1" thickBot="1" x14ac:dyDescent="0.3">
      <c r="A10" s="1808"/>
      <c r="D10" s="1802"/>
      <c r="E10" s="1803"/>
      <c r="F10" s="1829"/>
      <c r="G10" s="1829"/>
      <c r="H10" s="1803" t="s">
        <v>161</v>
      </c>
    </row>
    <row r="11" spans="1:9" ht="25.5" thickTop="1" thickBot="1" x14ac:dyDescent="0.25">
      <c r="A11" s="1809" t="s">
        <v>162</v>
      </c>
      <c r="B11" s="1810" t="s">
        <v>761</v>
      </c>
      <c r="C11" s="1810" t="s">
        <v>377</v>
      </c>
      <c r="D11" s="1811" t="s">
        <v>164</v>
      </c>
      <c r="E11" s="1833" t="s">
        <v>632</v>
      </c>
      <c r="F11" s="1833" t="s">
        <v>633</v>
      </c>
      <c r="G11" s="1834" t="s">
        <v>882</v>
      </c>
      <c r="H11" s="1835" t="s">
        <v>883</v>
      </c>
    </row>
    <row r="12" spans="1:9" s="1638" customFormat="1" ht="13.5" thickTop="1" thickBot="1" x14ac:dyDescent="0.25">
      <c r="A12" s="1643">
        <v>1</v>
      </c>
      <c r="B12" s="1642">
        <v>2</v>
      </c>
      <c r="C12" s="1642">
        <v>3</v>
      </c>
      <c r="D12" s="1642">
        <v>4</v>
      </c>
      <c r="E12" s="1812">
        <v>5</v>
      </c>
      <c r="F12" s="1812">
        <v>6</v>
      </c>
      <c r="G12" s="1813">
        <v>7</v>
      </c>
      <c r="H12" s="1814" t="s">
        <v>61</v>
      </c>
    </row>
    <row r="13" spans="1:9" s="1638" customFormat="1" ht="15.75" hidden="1" thickTop="1" x14ac:dyDescent="0.25">
      <c r="A13" s="1851">
        <v>3636</v>
      </c>
      <c r="B13" s="1816">
        <v>5166</v>
      </c>
      <c r="C13" s="1816"/>
      <c r="D13" s="1836" t="s">
        <v>609</v>
      </c>
      <c r="E13" s="1820">
        <v>0</v>
      </c>
      <c r="F13" s="1853">
        <v>0</v>
      </c>
      <c r="G13" s="1853">
        <v>0</v>
      </c>
      <c r="H13" s="1821">
        <v>0</v>
      </c>
    </row>
    <row r="14" spans="1:9" ht="15.75" thickTop="1" x14ac:dyDescent="0.25">
      <c r="A14" s="1851">
        <v>3636</v>
      </c>
      <c r="B14" s="1816">
        <v>5166</v>
      </c>
      <c r="C14" s="1816"/>
      <c r="D14" s="1836" t="s">
        <v>609</v>
      </c>
      <c r="E14" s="1820">
        <v>30</v>
      </c>
      <c r="F14" s="1853">
        <v>0</v>
      </c>
      <c r="G14" s="1853">
        <v>0</v>
      </c>
      <c r="H14" s="1821">
        <v>0</v>
      </c>
    </row>
    <row r="15" spans="1:9" ht="15" x14ac:dyDescent="0.25">
      <c r="A15" s="1857">
        <v>6330</v>
      </c>
      <c r="B15" s="1816">
        <v>5345</v>
      </c>
      <c r="C15" s="1858"/>
      <c r="D15" s="1836" t="s">
        <v>767</v>
      </c>
      <c r="E15" s="1820">
        <v>0</v>
      </c>
      <c r="F15" s="1853">
        <v>0</v>
      </c>
      <c r="G15" s="1853">
        <v>0</v>
      </c>
      <c r="H15" s="1821">
        <v>0</v>
      </c>
    </row>
    <row r="16" spans="1:9" ht="15" x14ac:dyDescent="0.25">
      <c r="A16" s="1857">
        <v>3636</v>
      </c>
      <c r="B16" s="1816">
        <v>5167</v>
      </c>
      <c r="C16" s="1858"/>
      <c r="D16" s="1836" t="s">
        <v>895</v>
      </c>
      <c r="E16" s="1820">
        <v>0</v>
      </c>
      <c r="F16" s="1853">
        <v>28</v>
      </c>
      <c r="G16" s="1853">
        <v>27</v>
      </c>
      <c r="H16" s="1821">
        <f>G16/F16*100</f>
        <v>96.428571428571431</v>
      </c>
    </row>
    <row r="17" spans="1:13" ht="15" hidden="1" x14ac:dyDescent="0.25">
      <c r="A17" s="1857">
        <v>3122</v>
      </c>
      <c r="B17" s="1816">
        <v>5169</v>
      </c>
      <c r="C17" s="1858"/>
      <c r="D17" s="1836" t="s">
        <v>852</v>
      </c>
      <c r="E17" s="1820">
        <v>0</v>
      </c>
      <c r="F17" s="1853">
        <v>0</v>
      </c>
      <c r="G17" s="1853">
        <v>0</v>
      </c>
      <c r="H17" s="1821">
        <v>0</v>
      </c>
    </row>
    <row r="18" spans="1:13" ht="15.75" thickBot="1" x14ac:dyDescent="0.3">
      <c r="A18" s="1857">
        <v>3636</v>
      </c>
      <c r="B18" s="1816">
        <v>5169</v>
      </c>
      <c r="C18" s="1858"/>
      <c r="D18" s="1836" t="s">
        <v>852</v>
      </c>
      <c r="E18" s="1820">
        <v>30</v>
      </c>
      <c r="F18" s="1853">
        <v>19</v>
      </c>
      <c r="G18" s="1853">
        <v>19</v>
      </c>
      <c r="H18" s="1821">
        <f>G18/F18*100</f>
        <v>100</v>
      </c>
    </row>
    <row r="19" spans="1:13" ht="15.75" hidden="1" thickBot="1" x14ac:dyDescent="0.3">
      <c r="A19" s="1857">
        <v>2143</v>
      </c>
      <c r="B19" s="1816">
        <v>5901</v>
      </c>
      <c r="C19" s="1858"/>
      <c r="D19" s="1836" t="s">
        <v>602</v>
      </c>
      <c r="E19" s="1820">
        <v>0</v>
      </c>
      <c r="F19" s="1853">
        <v>0</v>
      </c>
      <c r="G19" s="1853">
        <v>0</v>
      </c>
      <c r="H19" s="1821"/>
    </row>
    <row r="20" spans="1:13" ht="15.75" hidden="1" thickBot="1" x14ac:dyDescent="0.3">
      <c r="A20" s="1857"/>
      <c r="B20" s="1859"/>
      <c r="C20" s="1859"/>
      <c r="D20" s="1841"/>
      <c r="E20" s="1820"/>
      <c r="F20" s="1853"/>
      <c r="G20" s="1853"/>
      <c r="H20" s="1821"/>
    </row>
    <row r="21" spans="1:13" ht="16.5" thickTop="1" thickBot="1" x14ac:dyDescent="0.3">
      <c r="A21" s="1837" t="s">
        <v>763</v>
      </c>
      <c r="B21" s="1838"/>
      <c r="C21" s="1838"/>
      <c r="D21" s="1839"/>
      <c r="E21" s="1818">
        <f>SUM(E13:E19)</f>
        <v>60</v>
      </c>
      <c r="F21" s="1818">
        <f>SUM(F13:F19)</f>
        <v>47</v>
      </c>
      <c r="G21" s="1818">
        <f>SUM(G13:G19)</f>
        <v>46</v>
      </c>
      <c r="H21" s="1822">
        <f>G21/F21*100</f>
        <v>97.872340425531917</v>
      </c>
    </row>
    <row r="22" spans="1:13" ht="18.75" thickTop="1" x14ac:dyDescent="0.25">
      <c r="A22" s="1806"/>
      <c r="D22" s="1802"/>
      <c r="E22" s="1803"/>
      <c r="F22" s="1829"/>
      <c r="G22" s="1829"/>
      <c r="H22" s="1829"/>
    </row>
    <row r="23" spans="1:13" ht="16.5" x14ac:dyDescent="0.25">
      <c r="A23" s="1860" t="s">
        <v>465</v>
      </c>
      <c r="B23" s="1861"/>
      <c r="C23" s="1862"/>
      <c r="D23" s="1863"/>
      <c r="E23" s="1864">
        <f>SUM(E24:E26)</f>
        <v>60</v>
      </c>
      <c r="F23" s="1864">
        <f>SUM(F24:F26)</f>
        <v>47</v>
      </c>
      <c r="G23" s="1864">
        <f>SUM(G24:G26)</f>
        <v>46</v>
      </c>
      <c r="H23" s="1865">
        <f>G23/F23*100</f>
        <v>97.872340425531917</v>
      </c>
      <c r="J23" s="1866">
        <f>J24+J25+J26</f>
        <v>60000</v>
      </c>
      <c r="K23" s="1866">
        <f>K24+K25+K26</f>
        <v>47500</v>
      </c>
      <c r="L23" s="1866">
        <f>L24+L25+L26</f>
        <v>47143</v>
      </c>
    </row>
    <row r="24" spans="1:13" ht="15" x14ac:dyDescent="0.2">
      <c r="A24" s="1600" t="s">
        <v>263</v>
      </c>
      <c r="B24" s="1603"/>
      <c r="C24" s="1598"/>
      <c r="D24" s="1867"/>
      <c r="E24" s="1601">
        <f>E13+E14+E17+E18+E16</f>
        <v>60</v>
      </c>
      <c r="F24" s="1601">
        <f t="shared" ref="F24:G24" si="0">F13+F14+F17+F18+F16</f>
        <v>47</v>
      </c>
      <c r="G24" s="1601">
        <f t="shared" si="0"/>
        <v>46</v>
      </c>
      <c r="H24" s="1865">
        <f>G24/F24*100</f>
        <v>97.872340425531917</v>
      </c>
      <c r="J24" s="1868">
        <v>60000</v>
      </c>
      <c r="K24" s="1868">
        <v>47500</v>
      </c>
      <c r="L24" s="1868">
        <v>46693</v>
      </c>
    </row>
    <row r="25" spans="1:13" ht="15" x14ac:dyDescent="0.2">
      <c r="A25" s="1600" t="s">
        <v>264</v>
      </c>
      <c r="B25" s="1599"/>
      <c r="C25" s="1598"/>
      <c r="D25" s="1869"/>
      <c r="E25" s="1601">
        <v>0</v>
      </c>
      <c r="F25" s="1601">
        <v>0</v>
      </c>
      <c r="G25" s="1601">
        <v>0</v>
      </c>
      <c r="H25" s="1865">
        <v>0</v>
      </c>
      <c r="J25" s="1868">
        <v>0</v>
      </c>
      <c r="K25" s="1868">
        <v>0</v>
      </c>
      <c r="L25" s="1868">
        <v>0</v>
      </c>
      <c r="M25" s="1804"/>
    </row>
    <row r="26" spans="1:13" ht="15" x14ac:dyDescent="0.2">
      <c r="A26" s="1600" t="s">
        <v>466</v>
      </c>
      <c r="B26" s="1599"/>
      <c r="C26" s="1598"/>
      <c r="D26" s="1869"/>
      <c r="E26" s="1601">
        <f>E15</f>
        <v>0</v>
      </c>
      <c r="F26" s="1601">
        <f>F15</f>
        <v>0</v>
      </c>
      <c r="G26" s="1601">
        <f>G15</f>
        <v>0</v>
      </c>
      <c r="H26" s="1865">
        <v>0</v>
      </c>
      <c r="J26" s="1868">
        <v>0</v>
      </c>
      <c r="K26" s="1868">
        <v>0</v>
      </c>
      <c r="L26" s="1868">
        <v>450</v>
      </c>
    </row>
    <row r="27" spans="1:13" ht="15" x14ac:dyDescent="0.2">
      <c r="A27" s="1600"/>
      <c r="B27" s="1599"/>
      <c r="C27" s="1598"/>
      <c r="D27" s="1869"/>
      <c r="E27" s="1601"/>
      <c r="F27" s="1601"/>
      <c r="G27" s="1601"/>
      <c r="H27" s="1870"/>
      <c r="J27" s="1804"/>
      <c r="K27" s="1804"/>
      <c r="L27" s="1804"/>
    </row>
    <row r="28" spans="1:13" ht="24" thickBot="1" x14ac:dyDescent="0.4">
      <c r="A28" s="2741" t="s">
        <v>1540</v>
      </c>
      <c r="B28" s="2742"/>
      <c r="C28" s="2742"/>
      <c r="D28" s="2742"/>
      <c r="E28" s="1591">
        <f>SUM(E23)</f>
        <v>60</v>
      </c>
      <c r="F28" s="1591">
        <f>SUM(F23)</f>
        <v>47</v>
      </c>
      <c r="G28" s="1591">
        <f>SUM(G23)</f>
        <v>46</v>
      </c>
      <c r="H28" s="1871">
        <f>(G28/F28)*100</f>
        <v>97.872340425531917</v>
      </c>
      <c r="J28" s="1804"/>
      <c r="K28" s="1804"/>
      <c r="L28" s="1804"/>
    </row>
    <row r="29" spans="1:13" s="1872" customFormat="1" ht="13.5" thickTop="1" x14ac:dyDescent="0.2">
      <c r="A29" s="1802"/>
      <c r="B29" s="1802"/>
      <c r="C29" s="1802"/>
      <c r="D29" s="1803"/>
      <c r="E29" s="1804"/>
      <c r="F29" s="1804"/>
      <c r="G29" s="1804"/>
      <c r="H29" s="1805"/>
      <c r="J29" s="1873"/>
      <c r="K29" s="1873"/>
      <c r="L29" s="1873"/>
    </row>
    <row r="30" spans="1:13" s="1581" customFormat="1" x14ac:dyDescent="0.2">
      <c r="A30" s="1802"/>
      <c r="B30" s="1802"/>
      <c r="C30" s="1802"/>
      <c r="D30" s="1803"/>
      <c r="E30" s="1804"/>
      <c r="F30" s="1804"/>
      <c r="G30" s="1804"/>
      <c r="H30" s="1805"/>
    </row>
    <row r="31" spans="1:13" s="1581" customFormat="1" x14ac:dyDescent="0.2">
      <c r="A31" s="1802"/>
      <c r="B31" s="1802"/>
      <c r="C31" s="1802"/>
      <c r="D31" s="1803"/>
      <c r="E31" s="1804"/>
      <c r="F31" s="1804"/>
      <c r="G31" s="1804"/>
      <c r="H31" s="1805"/>
    </row>
    <row r="32" spans="1:13" s="1581" customFormat="1" x14ac:dyDescent="0.2">
      <c r="A32" s="1802"/>
      <c r="B32" s="1802"/>
      <c r="C32" s="1802"/>
      <c r="D32" s="1803"/>
      <c r="E32" s="1804"/>
      <c r="F32" s="1804"/>
      <c r="G32" s="1804"/>
      <c r="H32" s="1805"/>
    </row>
    <row r="33" spans="1:8" s="1581" customFormat="1" x14ac:dyDescent="0.2">
      <c r="A33" s="1802"/>
      <c r="B33" s="1802"/>
      <c r="C33" s="1802"/>
      <c r="D33" s="1803"/>
      <c r="E33" s="1804"/>
      <c r="F33" s="1804"/>
      <c r="G33" s="1804"/>
      <c r="H33" s="1805"/>
    </row>
    <row r="34" spans="1:8" s="1589" customFormat="1" ht="31.5" customHeight="1" x14ac:dyDescent="0.35">
      <c r="A34" s="1802"/>
      <c r="B34" s="1802"/>
      <c r="C34" s="1802"/>
      <c r="D34" s="1803"/>
      <c r="E34" s="1804"/>
      <c r="F34" s="1804"/>
      <c r="G34" s="1804"/>
      <c r="H34" s="1805"/>
    </row>
  </sheetData>
  <mergeCells count="2">
    <mergeCell ref="G1:H1"/>
    <mergeCell ref="A28:D28"/>
  </mergeCells>
  <pageMargins left="0.98425196850393704" right="0.98425196850393704" top="0.98425196850393704" bottom="0.98425196850393704" header="0.51181102362204722" footer="0.51181102362204722"/>
  <pageSetup paperSize="9" scale="65" firstPageNumber="122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0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5.5703125" style="1802" customWidth="1"/>
    <col min="2" max="2" width="6.7109375" style="1802" customWidth="1"/>
    <col min="3" max="3" width="9" style="1802" bestFit="1" customWidth="1"/>
    <col min="4" max="4" width="46.42578125" style="1803" customWidth="1"/>
    <col min="5" max="5" width="13.85546875" style="1829" customWidth="1"/>
    <col min="6" max="6" width="15.28515625" style="1829" customWidth="1"/>
    <col min="7" max="7" width="15.85546875" style="1829" customWidth="1"/>
    <col min="8" max="8" width="8.85546875" style="1803" customWidth="1"/>
    <col min="9" max="9" width="14.7109375" style="1803" bestFit="1" customWidth="1"/>
    <col min="10" max="11" width="9.140625" style="1803"/>
    <col min="12" max="12" width="11.42578125" style="1803" bestFit="1" customWidth="1"/>
    <col min="13" max="256" width="9.140625" style="1803"/>
    <col min="257" max="257" width="5.5703125" style="1803" customWidth="1"/>
    <col min="258" max="258" width="6.7109375" style="1803" customWidth="1"/>
    <col min="259" max="259" width="9" style="1803" bestFit="1" customWidth="1"/>
    <col min="260" max="260" width="46.42578125" style="1803" customWidth="1"/>
    <col min="261" max="261" width="13.85546875" style="1803" customWidth="1"/>
    <col min="262" max="262" width="15.28515625" style="1803" customWidth="1"/>
    <col min="263" max="263" width="15.85546875" style="1803" customWidth="1"/>
    <col min="264" max="264" width="8.85546875" style="1803" customWidth="1"/>
    <col min="265" max="265" width="14.7109375" style="1803" bestFit="1" customWidth="1"/>
    <col min="266" max="512" width="9.140625" style="1803"/>
    <col min="513" max="513" width="5.5703125" style="1803" customWidth="1"/>
    <col min="514" max="514" width="6.7109375" style="1803" customWidth="1"/>
    <col min="515" max="515" width="9" style="1803" bestFit="1" customWidth="1"/>
    <col min="516" max="516" width="46.42578125" style="1803" customWidth="1"/>
    <col min="517" max="517" width="13.85546875" style="1803" customWidth="1"/>
    <col min="518" max="518" width="15.28515625" style="1803" customWidth="1"/>
    <col min="519" max="519" width="15.85546875" style="1803" customWidth="1"/>
    <col min="520" max="520" width="8.85546875" style="1803" customWidth="1"/>
    <col min="521" max="521" width="14.7109375" style="1803" bestFit="1" customWidth="1"/>
    <col min="522" max="768" width="9.140625" style="1803"/>
    <col min="769" max="769" width="5.5703125" style="1803" customWidth="1"/>
    <col min="770" max="770" width="6.7109375" style="1803" customWidth="1"/>
    <col min="771" max="771" width="9" style="1803" bestFit="1" customWidth="1"/>
    <col min="772" max="772" width="46.42578125" style="1803" customWidth="1"/>
    <col min="773" max="773" width="13.85546875" style="1803" customWidth="1"/>
    <col min="774" max="774" width="15.28515625" style="1803" customWidth="1"/>
    <col min="775" max="775" width="15.85546875" style="1803" customWidth="1"/>
    <col min="776" max="776" width="8.85546875" style="1803" customWidth="1"/>
    <col min="777" max="777" width="14.7109375" style="1803" bestFit="1" customWidth="1"/>
    <col min="778" max="1024" width="9.140625" style="1803"/>
    <col min="1025" max="1025" width="5.5703125" style="1803" customWidth="1"/>
    <col min="1026" max="1026" width="6.7109375" style="1803" customWidth="1"/>
    <col min="1027" max="1027" width="9" style="1803" bestFit="1" customWidth="1"/>
    <col min="1028" max="1028" width="46.42578125" style="1803" customWidth="1"/>
    <col min="1029" max="1029" width="13.85546875" style="1803" customWidth="1"/>
    <col min="1030" max="1030" width="15.28515625" style="1803" customWidth="1"/>
    <col min="1031" max="1031" width="15.85546875" style="1803" customWidth="1"/>
    <col min="1032" max="1032" width="8.85546875" style="1803" customWidth="1"/>
    <col min="1033" max="1033" width="14.7109375" style="1803" bestFit="1" customWidth="1"/>
    <col min="1034" max="1280" width="9.140625" style="1803"/>
    <col min="1281" max="1281" width="5.5703125" style="1803" customWidth="1"/>
    <col min="1282" max="1282" width="6.7109375" style="1803" customWidth="1"/>
    <col min="1283" max="1283" width="9" style="1803" bestFit="1" customWidth="1"/>
    <col min="1284" max="1284" width="46.42578125" style="1803" customWidth="1"/>
    <col min="1285" max="1285" width="13.85546875" style="1803" customWidth="1"/>
    <col min="1286" max="1286" width="15.28515625" style="1803" customWidth="1"/>
    <col min="1287" max="1287" width="15.85546875" style="1803" customWidth="1"/>
    <col min="1288" max="1288" width="8.85546875" style="1803" customWidth="1"/>
    <col min="1289" max="1289" width="14.7109375" style="1803" bestFit="1" customWidth="1"/>
    <col min="1290" max="1536" width="9.140625" style="1803"/>
    <col min="1537" max="1537" width="5.5703125" style="1803" customWidth="1"/>
    <col min="1538" max="1538" width="6.7109375" style="1803" customWidth="1"/>
    <col min="1539" max="1539" width="9" style="1803" bestFit="1" customWidth="1"/>
    <col min="1540" max="1540" width="46.42578125" style="1803" customWidth="1"/>
    <col min="1541" max="1541" width="13.85546875" style="1803" customWidth="1"/>
    <col min="1542" max="1542" width="15.28515625" style="1803" customWidth="1"/>
    <col min="1543" max="1543" width="15.85546875" style="1803" customWidth="1"/>
    <col min="1544" max="1544" width="8.85546875" style="1803" customWidth="1"/>
    <col min="1545" max="1545" width="14.7109375" style="1803" bestFit="1" customWidth="1"/>
    <col min="1546" max="1792" width="9.140625" style="1803"/>
    <col min="1793" max="1793" width="5.5703125" style="1803" customWidth="1"/>
    <col min="1794" max="1794" width="6.7109375" style="1803" customWidth="1"/>
    <col min="1795" max="1795" width="9" style="1803" bestFit="1" customWidth="1"/>
    <col min="1796" max="1796" width="46.42578125" style="1803" customWidth="1"/>
    <col min="1797" max="1797" width="13.85546875" style="1803" customWidth="1"/>
    <col min="1798" max="1798" width="15.28515625" style="1803" customWidth="1"/>
    <col min="1799" max="1799" width="15.85546875" style="1803" customWidth="1"/>
    <col min="1800" max="1800" width="8.85546875" style="1803" customWidth="1"/>
    <col min="1801" max="1801" width="14.7109375" style="1803" bestFit="1" customWidth="1"/>
    <col min="1802" max="2048" width="9.140625" style="1803"/>
    <col min="2049" max="2049" width="5.5703125" style="1803" customWidth="1"/>
    <col min="2050" max="2050" width="6.7109375" style="1803" customWidth="1"/>
    <col min="2051" max="2051" width="9" style="1803" bestFit="1" customWidth="1"/>
    <col min="2052" max="2052" width="46.42578125" style="1803" customWidth="1"/>
    <col min="2053" max="2053" width="13.85546875" style="1803" customWidth="1"/>
    <col min="2054" max="2054" width="15.28515625" style="1803" customWidth="1"/>
    <col min="2055" max="2055" width="15.85546875" style="1803" customWidth="1"/>
    <col min="2056" max="2056" width="8.85546875" style="1803" customWidth="1"/>
    <col min="2057" max="2057" width="14.7109375" style="1803" bestFit="1" customWidth="1"/>
    <col min="2058" max="2304" width="9.140625" style="1803"/>
    <col min="2305" max="2305" width="5.5703125" style="1803" customWidth="1"/>
    <col min="2306" max="2306" width="6.7109375" style="1803" customWidth="1"/>
    <col min="2307" max="2307" width="9" style="1803" bestFit="1" customWidth="1"/>
    <col min="2308" max="2308" width="46.42578125" style="1803" customWidth="1"/>
    <col min="2309" max="2309" width="13.85546875" style="1803" customWidth="1"/>
    <col min="2310" max="2310" width="15.28515625" style="1803" customWidth="1"/>
    <col min="2311" max="2311" width="15.85546875" style="1803" customWidth="1"/>
    <col min="2312" max="2312" width="8.85546875" style="1803" customWidth="1"/>
    <col min="2313" max="2313" width="14.7109375" style="1803" bestFit="1" customWidth="1"/>
    <col min="2314" max="2560" width="9.140625" style="1803"/>
    <col min="2561" max="2561" width="5.5703125" style="1803" customWidth="1"/>
    <col min="2562" max="2562" width="6.7109375" style="1803" customWidth="1"/>
    <col min="2563" max="2563" width="9" style="1803" bestFit="1" customWidth="1"/>
    <col min="2564" max="2564" width="46.42578125" style="1803" customWidth="1"/>
    <col min="2565" max="2565" width="13.85546875" style="1803" customWidth="1"/>
    <col min="2566" max="2566" width="15.28515625" style="1803" customWidth="1"/>
    <col min="2567" max="2567" width="15.85546875" style="1803" customWidth="1"/>
    <col min="2568" max="2568" width="8.85546875" style="1803" customWidth="1"/>
    <col min="2569" max="2569" width="14.7109375" style="1803" bestFit="1" customWidth="1"/>
    <col min="2570" max="2816" width="9.140625" style="1803"/>
    <col min="2817" max="2817" width="5.5703125" style="1803" customWidth="1"/>
    <col min="2818" max="2818" width="6.7109375" style="1803" customWidth="1"/>
    <col min="2819" max="2819" width="9" style="1803" bestFit="1" customWidth="1"/>
    <col min="2820" max="2820" width="46.42578125" style="1803" customWidth="1"/>
    <col min="2821" max="2821" width="13.85546875" style="1803" customWidth="1"/>
    <col min="2822" max="2822" width="15.28515625" style="1803" customWidth="1"/>
    <col min="2823" max="2823" width="15.85546875" style="1803" customWidth="1"/>
    <col min="2824" max="2824" width="8.85546875" style="1803" customWidth="1"/>
    <col min="2825" max="2825" width="14.7109375" style="1803" bestFit="1" customWidth="1"/>
    <col min="2826" max="3072" width="9.140625" style="1803"/>
    <col min="3073" max="3073" width="5.5703125" style="1803" customWidth="1"/>
    <col min="3074" max="3074" width="6.7109375" style="1803" customWidth="1"/>
    <col min="3075" max="3075" width="9" style="1803" bestFit="1" customWidth="1"/>
    <col min="3076" max="3076" width="46.42578125" style="1803" customWidth="1"/>
    <col min="3077" max="3077" width="13.85546875" style="1803" customWidth="1"/>
    <col min="3078" max="3078" width="15.28515625" style="1803" customWidth="1"/>
    <col min="3079" max="3079" width="15.85546875" style="1803" customWidth="1"/>
    <col min="3080" max="3080" width="8.85546875" style="1803" customWidth="1"/>
    <col min="3081" max="3081" width="14.7109375" style="1803" bestFit="1" customWidth="1"/>
    <col min="3082" max="3328" width="9.140625" style="1803"/>
    <col min="3329" max="3329" width="5.5703125" style="1803" customWidth="1"/>
    <col min="3330" max="3330" width="6.7109375" style="1803" customWidth="1"/>
    <col min="3331" max="3331" width="9" style="1803" bestFit="1" customWidth="1"/>
    <col min="3332" max="3332" width="46.42578125" style="1803" customWidth="1"/>
    <col min="3333" max="3333" width="13.85546875" style="1803" customWidth="1"/>
    <col min="3334" max="3334" width="15.28515625" style="1803" customWidth="1"/>
    <col min="3335" max="3335" width="15.85546875" style="1803" customWidth="1"/>
    <col min="3336" max="3336" width="8.85546875" style="1803" customWidth="1"/>
    <col min="3337" max="3337" width="14.7109375" style="1803" bestFit="1" customWidth="1"/>
    <col min="3338" max="3584" width="9.140625" style="1803"/>
    <col min="3585" max="3585" width="5.5703125" style="1803" customWidth="1"/>
    <col min="3586" max="3586" width="6.7109375" style="1803" customWidth="1"/>
    <col min="3587" max="3587" width="9" style="1803" bestFit="1" customWidth="1"/>
    <col min="3588" max="3588" width="46.42578125" style="1803" customWidth="1"/>
    <col min="3589" max="3589" width="13.85546875" style="1803" customWidth="1"/>
    <col min="3590" max="3590" width="15.28515625" style="1803" customWidth="1"/>
    <col min="3591" max="3591" width="15.85546875" style="1803" customWidth="1"/>
    <col min="3592" max="3592" width="8.85546875" style="1803" customWidth="1"/>
    <col min="3593" max="3593" width="14.7109375" style="1803" bestFit="1" customWidth="1"/>
    <col min="3594" max="3840" width="9.140625" style="1803"/>
    <col min="3841" max="3841" width="5.5703125" style="1803" customWidth="1"/>
    <col min="3842" max="3842" width="6.7109375" style="1803" customWidth="1"/>
    <col min="3843" max="3843" width="9" style="1803" bestFit="1" customWidth="1"/>
    <col min="3844" max="3844" width="46.42578125" style="1803" customWidth="1"/>
    <col min="3845" max="3845" width="13.85546875" style="1803" customWidth="1"/>
    <col min="3846" max="3846" width="15.28515625" style="1803" customWidth="1"/>
    <col min="3847" max="3847" width="15.85546875" style="1803" customWidth="1"/>
    <col min="3848" max="3848" width="8.85546875" style="1803" customWidth="1"/>
    <col min="3849" max="3849" width="14.7109375" style="1803" bestFit="1" customWidth="1"/>
    <col min="3850" max="4096" width="9.140625" style="1803"/>
    <col min="4097" max="4097" width="5.5703125" style="1803" customWidth="1"/>
    <col min="4098" max="4098" width="6.7109375" style="1803" customWidth="1"/>
    <col min="4099" max="4099" width="9" style="1803" bestFit="1" customWidth="1"/>
    <col min="4100" max="4100" width="46.42578125" style="1803" customWidth="1"/>
    <col min="4101" max="4101" width="13.85546875" style="1803" customWidth="1"/>
    <col min="4102" max="4102" width="15.28515625" style="1803" customWidth="1"/>
    <col min="4103" max="4103" width="15.85546875" style="1803" customWidth="1"/>
    <col min="4104" max="4104" width="8.85546875" style="1803" customWidth="1"/>
    <col min="4105" max="4105" width="14.7109375" style="1803" bestFit="1" customWidth="1"/>
    <col min="4106" max="4352" width="9.140625" style="1803"/>
    <col min="4353" max="4353" width="5.5703125" style="1803" customWidth="1"/>
    <col min="4354" max="4354" width="6.7109375" style="1803" customWidth="1"/>
    <col min="4355" max="4355" width="9" style="1803" bestFit="1" customWidth="1"/>
    <col min="4356" max="4356" width="46.42578125" style="1803" customWidth="1"/>
    <col min="4357" max="4357" width="13.85546875" style="1803" customWidth="1"/>
    <col min="4358" max="4358" width="15.28515625" style="1803" customWidth="1"/>
    <col min="4359" max="4359" width="15.85546875" style="1803" customWidth="1"/>
    <col min="4360" max="4360" width="8.85546875" style="1803" customWidth="1"/>
    <col min="4361" max="4361" width="14.7109375" style="1803" bestFit="1" customWidth="1"/>
    <col min="4362" max="4608" width="9.140625" style="1803"/>
    <col min="4609" max="4609" width="5.5703125" style="1803" customWidth="1"/>
    <col min="4610" max="4610" width="6.7109375" style="1803" customWidth="1"/>
    <col min="4611" max="4611" width="9" style="1803" bestFit="1" customWidth="1"/>
    <col min="4612" max="4612" width="46.42578125" style="1803" customWidth="1"/>
    <col min="4613" max="4613" width="13.85546875" style="1803" customWidth="1"/>
    <col min="4614" max="4614" width="15.28515625" style="1803" customWidth="1"/>
    <col min="4615" max="4615" width="15.85546875" style="1803" customWidth="1"/>
    <col min="4616" max="4616" width="8.85546875" style="1803" customWidth="1"/>
    <col min="4617" max="4617" width="14.7109375" style="1803" bestFit="1" customWidth="1"/>
    <col min="4618" max="4864" width="9.140625" style="1803"/>
    <col min="4865" max="4865" width="5.5703125" style="1803" customWidth="1"/>
    <col min="4866" max="4866" width="6.7109375" style="1803" customWidth="1"/>
    <col min="4867" max="4867" width="9" style="1803" bestFit="1" customWidth="1"/>
    <col min="4868" max="4868" width="46.42578125" style="1803" customWidth="1"/>
    <col min="4869" max="4869" width="13.85546875" style="1803" customWidth="1"/>
    <col min="4870" max="4870" width="15.28515625" style="1803" customWidth="1"/>
    <col min="4871" max="4871" width="15.85546875" style="1803" customWidth="1"/>
    <col min="4872" max="4872" width="8.85546875" style="1803" customWidth="1"/>
    <col min="4873" max="4873" width="14.7109375" style="1803" bestFit="1" customWidth="1"/>
    <col min="4874" max="5120" width="9.140625" style="1803"/>
    <col min="5121" max="5121" width="5.5703125" style="1803" customWidth="1"/>
    <col min="5122" max="5122" width="6.7109375" style="1803" customWidth="1"/>
    <col min="5123" max="5123" width="9" style="1803" bestFit="1" customWidth="1"/>
    <col min="5124" max="5124" width="46.42578125" style="1803" customWidth="1"/>
    <col min="5125" max="5125" width="13.85546875" style="1803" customWidth="1"/>
    <col min="5126" max="5126" width="15.28515625" style="1803" customWidth="1"/>
    <col min="5127" max="5127" width="15.85546875" style="1803" customWidth="1"/>
    <col min="5128" max="5128" width="8.85546875" style="1803" customWidth="1"/>
    <col min="5129" max="5129" width="14.7109375" style="1803" bestFit="1" customWidth="1"/>
    <col min="5130" max="5376" width="9.140625" style="1803"/>
    <col min="5377" max="5377" width="5.5703125" style="1803" customWidth="1"/>
    <col min="5378" max="5378" width="6.7109375" style="1803" customWidth="1"/>
    <col min="5379" max="5379" width="9" style="1803" bestFit="1" customWidth="1"/>
    <col min="5380" max="5380" width="46.42578125" style="1803" customWidth="1"/>
    <col min="5381" max="5381" width="13.85546875" style="1803" customWidth="1"/>
    <col min="5382" max="5382" width="15.28515625" style="1803" customWidth="1"/>
    <col min="5383" max="5383" width="15.85546875" style="1803" customWidth="1"/>
    <col min="5384" max="5384" width="8.85546875" style="1803" customWidth="1"/>
    <col min="5385" max="5385" width="14.7109375" style="1803" bestFit="1" customWidth="1"/>
    <col min="5386" max="5632" width="9.140625" style="1803"/>
    <col min="5633" max="5633" width="5.5703125" style="1803" customWidth="1"/>
    <col min="5634" max="5634" width="6.7109375" style="1803" customWidth="1"/>
    <col min="5635" max="5635" width="9" style="1803" bestFit="1" customWidth="1"/>
    <col min="5636" max="5636" width="46.42578125" style="1803" customWidth="1"/>
    <col min="5637" max="5637" width="13.85546875" style="1803" customWidth="1"/>
    <col min="5638" max="5638" width="15.28515625" style="1803" customWidth="1"/>
    <col min="5639" max="5639" width="15.85546875" style="1803" customWidth="1"/>
    <col min="5640" max="5640" width="8.85546875" style="1803" customWidth="1"/>
    <col min="5641" max="5641" width="14.7109375" style="1803" bestFit="1" customWidth="1"/>
    <col min="5642" max="5888" width="9.140625" style="1803"/>
    <col min="5889" max="5889" width="5.5703125" style="1803" customWidth="1"/>
    <col min="5890" max="5890" width="6.7109375" style="1803" customWidth="1"/>
    <col min="5891" max="5891" width="9" style="1803" bestFit="1" customWidth="1"/>
    <col min="5892" max="5892" width="46.42578125" style="1803" customWidth="1"/>
    <col min="5893" max="5893" width="13.85546875" style="1803" customWidth="1"/>
    <col min="5894" max="5894" width="15.28515625" style="1803" customWidth="1"/>
    <col min="5895" max="5895" width="15.85546875" style="1803" customWidth="1"/>
    <col min="5896" max="5896" width="8.85546875" style="1803" customWidth="1"/>
    <col min="5897" max="5897" width="14.7109375" style="1803" bestFit="1" customWidth="1"/>
    <col min="5898" max="6144" width="9.140625" style="1803"/>
    <col min="6145" max="6145" width="5.5703125" style="1803" customWidth="1"/>
    <col min="6146" max="6146" width="6.7109375" style="1803" customWidth="1"/>
    <col min="6147" max="6147" width="9" style="1803" bestFit="1" customWidth="1"/>
    <col min="6148" max="6148" width="46.42578125" style="1803" customWidth="1"/>
    <col min="6149" max="6149" width="13.85546875" style="1803" customWidth="1"/>
    <col min="6150" max="6150" width="15.28515625" style="1803" customWidth="1"/>
    <col min="6151" max="6151" width="15.85546875" style="1803" customWidth="1"/>
    <col min="6152" max="6152" width="8.85546875" style="1803" customWidth="1"/>
    <col min="6153" max="6153" width="14.7109375" style="1803" bestFit="1" customWidth="1"/>
    <col min="6154" max="6400" width="9.140625" style="1803"/>
    <col min="6401" max="6401" width="5.5703125" style="1803" customWidth="1"/>
    <col min="6402" max="6402" width="6.7109375" style="1803" customWidth="1"/>
    <col min="6403" max="6403" width="9" style="1803" bestFit="1" customWidth="1"/>
    <col min="6404" max="6404" width="46.42578125" style="1803" customWidth="1"/>
    <col min="6405" max="6405" width="13.85546875" style="1803" customWidth="1"/>
    <col min="6406" max="6406" width="15.28515625" style="1803" customWidth="1"/>
    <col min="6407" max="6407" width="15.85546875" style="1803" customWidth="1"/>
    <col min="6408" max="6408" width="8.85546875" style="1803" customWidth="1"/>
    <col min="6409" max="6409" width="14.7109375" style="1803" bestFit="1" customWidth="1"/>
    <col min="6410" max="6656" width="9.140625" style="1803"/>
    <col min="6657" max="6657" width="5.5703125" style="1803" customWidth="1"/>
    <col min="6658" max="6658" width="6.7109375" style="1803" customWidth="1"/>
    <col min="6659" max="6659" width="9" style="1803" bestFit="1" customWidth="1"/>
    <col min="6660" max="6660" width="46.42578125" style="1803" customWidth="1"/>
    <col min="6661" max="6661" width="13.85546875" style="1803" customWidth="1"/>
    <col min="6662" max="6662" width="15.28515625" style="1803" customWidth="1"/>
    <col min="6663" max="6663" width="15.85546875" style="1803" customWidth="1"/>
    <col min="6664" max="6664" width="8.85546875" style="1803" customWidth="1"/>
    <col min="6665" max="6665" width="14.7109375" style="1803" bestFit="1" customWidth="1"/>
    <col min="6666" max="6912" width="9.140625" style="1803"/>
    <col min="6913" max="6913" width="5.5703125" style="1803" customWidth="1"/>
    <col min="6914" max="6914" width="6.7109375" style="1803" customWidth="1"/>
    <col min="6915" max="6915" width="9" style="1803" bestFit="1" customWidth="1"/>
    <col min="6916" max="6916" width="46.42578125" style="1803" customWidth="1"/>
    <col min="6917" max="6917" width="13.85546875" style="1803" customWidth="1"/>
    <col min="6918" max="6918" width="15.28515625" style="1803" customWidth="1"/>
    <col min="6919" max="6919" width="15.85546875" style="1803" customWidth="1"/>
    <col min="6920" max="6920" width="8.85546875" style="1803" customWidth="1"/>
    <col min="6921" max="6921" width="14.7109375" style="1803" bestFit="1" customWidth="1"/>
    <col min="6922" max="7168" width="9.140625" style="1803"/>
    <col min="7169" max="7169" width="5.5703125" style="1803" customWidth="1"/>
    <col min="7170" max="7170" width="6.7109375" style="1803" customWidth="1"/>
    <col min="7171" max="7171" width="9" style="1803" bestFit="1" customWidth="1"/>
    <col min="7172" max="7172" width="46.42578125" style="1803" customWidth="1"/>
    <col min="7173" max="7173" width="13.85546875" style="1803" customWidth="1"/>
    <col min="7174" max="7174" width="15.28515625" style="1803" customWidth="1"/>
    <col min="7175" max="7175" width="15.85546875" style="1803" customWidth="1"/>
    <col min="7176" max="7176" width="8.85546875" style="1803" customWidth="1"/>
    <col min="7177" max="7177" width="14.7109375" style="1803" bestFit="1" customWidth="1"/>
    <col min="7178" max="7424" width="9.140625" style="1803"/>
    <col min="7425" max="7425" width="5.5703125" style="1803" customWidth="1"/>
    <col min="7426" max="7426" width="6.7109375" style="1803" customWidth="1"/>
    <col min="7427" max="7427" width="9" style="1803" bestFit="1" customWidth="1"/>
    <col min="7428" max="7428" width="46.42578125" style="1803" customWidth="1"/>
    <col min="7429" max="7429" width="13.85546875" style="1803" customWidth="1"/>
    <col min="7430" max="7430" width="15.28515625" style="1803" customWidth="1"/>
    <col min="7431" max="7431" width="15.85546875" style="1803" customWidth="1"/>
    <col min="7432" max="7432" width="8.85546875" style="1803" customWidth="1"/>
    <col min="7433" max="7433" width="14.7109375" style="1803" bestFit="1" customWidth="1"/>
    <col min="7434" max="7680" width="9.140625" style="1803"/>
    <col min="7681" max="7681" width="5.5703125" style="1803" customWidth="1"/>
    <col min="7682" max="7682" width="6.7109375" style="1803" customWidth="1"/>
    <col min="7683" max="7683" width="9" style="1803" bestFit="1" customWidth="1"/>
    <col min="7684" max="7684" width="46.42578125" style="1803" customWidth="1"/>
    <col min="7685" max="7685" width="13.85546875" style="1803" customWidth="1"/>
    <col min="7686" max="7686" width="15.28515625" style="1803" customWidth="1"/>
    <col min="7687" max="7687" width="15.85546875" style="1803" customWidth="1"/>
    <col min="7688" max="7688" width="8.85546875" style="1803" customWidth="1"/>
    <col min="7689" max="7689" width="14.7109375" style="1803" bestFit="1" customWidth="1"/>
    <col min="7690" max="7936" width="9.140625" style="1803"/>
    <col min="7937" max="7937" width="5.5703125" style="1803" customWidth="1"/>
    <col min="7938" max="7938" width="6.7109375" style="1803" customWidth="1"/>
    <col min="7939" max="7939" width="9" style="1803" bestFit="1" customWidth="1"/>
    <col min="7940" max="7940" width="46.42578125" style="1803" customWidth="1"/>
    <col min="7941" max="7941" width="13.85546875" style="1803" customWidth="1"/>
    <col min="7942" max="7942" width="15.28515625" style="1803" customWidth="1"/>
    <col min="7943" max="7943" width="15.85546875" style="1803" customWidth="1"/>
    <col min="7944" max="7944" width="8.85546875" style="1803" customWidth="1"/>
    <col min="7945" max="7945" width="14.7109375" style="1803" bestFit="1" customWidth="1"/>
    <col min="7946" max="8192" width="9.140625" style="1803"/>
    <col min="8193" max="8193" width="5.5703125" style="1803" customWidth="1"/>
    <col min="8194" max="8194" width="6.7109375" style="1803" customWidth="1"/>
    <col min="8195" max="8195" width="9" style="1803" bestFit="1" customWidth="1"/>
    <col min="8196" max="8196" width="46.42578125" style="1803" customWidth="1"/>
    <col min="8197" max="8197" width="13.85546875" style="1803" customWidth="1"/>
    <col min="8198" max="8198" width="15.28515625" style="1803" customWidth="1"/>
    <col min="8199" max="8199" width="15.85546875" style="1803" customWidth="1"/>
    <col min="8200" max="8200" width="8.85546875" style="1803" customWidth="1"/>
    <col min="8201" max="8201" width="14.7109375" style="1803" bestFit="1" customWidth="1"/>
    <col min="8202" max="8448" width="9.140625" style="1803"/>
    <col min="8449" max="8449" width="5.5703125" style="1803" customWidth="1"/>
    <col min="8450" max="8450" width="6.7109375" style="1803" customWidth="1"/>
    <col min="8451" max="8451" width="9" style="1803" bestFit="1" customWidth="1"/>
    <col min="8452" max="8452" width="46.42578125" style="1803" customWidth="1"/>
    <col min="8453" max="8453" width="13.85546875" style="1803" customWidth="1"/>
    <col min="8454" max="8454" width="15.28515625" style="1803" customWidth="1"/>
    <col min="8455" max="8455" width="15.85546875" style="1803" customWidth="1"/>
    <col min="8456" max="8456" width="8.85546875" style="1803" customWidth="1"/>
    <col min="8457" max="8457" width="14.7109375" style="1803" bestFit="1" customWidth="1"/>
    <col min="8458" max="8704" width="9.140625" style="1803"/>
    <col min="8705" max="8705" width="5.5703125" style="1803" customWidth="1"/>
    <col min="8706" max="8706" width="6.7109375" style="1803" customWidth="1"/>
    <col min="8707" max="8707" width="9" style="1803" bestFit="1" customWidth="1"/>
    <col min="8708" max="8708" width="46.42578125" style="1803" customWidth="1"/>
    <col min="8709" max="8709" width="13.85546875" style="1803" customWidth="1"/>
    <col min="8710" max="8710" width="15.28515625" style="1803" customWidth="1"/>
    <col min="8711" max="8711" width="15.85546875" style="1803" customWidth="1"/>
    <col min="8712" max="8712" width="8.85546875" style="1803" customWidth="1"/>
    <col min="8713" max="8713" width="14.7109375" style="1803" bestFit="1" customWidth="1"/>
    <col min="8714" max="8960" width="9.140625" style="1803"/>
    <col min="8961" max="8961" width="5.5703125" style="1803" customWidth="1"/>
    <col min="8962" max="8962" width="6.7109375" style="1803" customWidth="1"/>
    <col min="8963" max="8963" width="9" style="1803" bestFit="1" customWidth="1"/>
    <col min="8964" max="8964" width="46.42578125" style="1803" customWidth="1"/>
    <col min="8965" max="8965" width="13.85546875" style="1803" customWidth="1"/>
    <col min="8966" max="8966" width="15.28515625" style="1803" customWidth="1"/>
    <col min="8967" max="8967" width="15.85546875" style="1803" customWidth="1"/>
    <col min="8968" max="8968" width="8.85546875" style="1803" customWidth="1"/>
    <col min="8969" max="8969" width="14.7109375" style="1803" bestFit="1" customWidth="1"/>
    <col min="8970" max="9216" width="9.140625" style="1803"/>
    <col min="9217" max="9217" width="5.5703125" style="1803" customWidth="1"/>
    <col min="9218" max="9218" width="6.7109375" style="1803" customWidth="1"/>
    <col min="9219" max="9219" width="9" style="1803" bestFit="1" customWidth="1"/>
    <col min="9220" max="9220" width="46.42578125" style="1803" customWidth="1"/>
    <col min="9221" max="9221" width="13.85546875" style="1803" customWidth="1"/>
    <col min="9222" max="9222" width="15.28515625" style="1803" customWidth="1"/>
    <col min="9223" max="9223" width="15.85546875" style="1803" customWidth="1"/>
    <col min="9224" max="9224" width="8.85546875" style="1803" customWidth="1"/>
    <col min="9225" max="9225" width="14.7109375" style="1803" bestFit="1" customWidth="1"/>
    <col min="9226" max="9472" width="9.140625" style="1803"/>
    <col min="9473" max="9473" width="5.5703125" style="1803" customWidth="1"/>
    <col min="9474" max="9474" width="6.7109375" style="1803" customWidth="1"/>
    <col min="9475" max="9475" width="9" style="1803" bestFit="1" customWidth="1"/>
    <col min="9476" max="9476" width="46.42578125" style="1803" customWidth="1"/>
    <col min="9477" max="9477" width="13.85546875" style="1803" customWidth="1"/>
    <col min="9478" max="9478" width="15.28515625" style="1803" customWidth="1"/>
    <col min="9479" max="9479" width="15.85546875" style="1803" customWidth="1"/>
    <col min="9480" max="9480" width="8.85546875" style="1803" customWidth="1"/>
    <col min="9481" max="9481" width="14.7109375" style="1803" bestFit="1" customWidth="1"/>
    <col min="9482" max="9728" width="9.140625" style="1803"/>
    <col min="9729" max="9729" width="5.5703125" style="1803" customWidth="1"/>
    <col min="9730" max="9730" width="6.7109375" style="1803" customWidth="1"/>
    <col min="9731" max="9731" width="9" style="1803" bestFit="1" customWidth="1"/>
    <col min="9732" max="9732" width="46.42578125" style="1803" customWidth="1"/>
    <col min="9733" max="9733" width="13.85546875" style="1803" customWidth="1"/>
    <col min="9734" max="9734" width="15.28515625" style="1803" customWidth="1"/>
    <col min="9735" max="9735" width="15.85546875" style="1803" customWidth="1"/>
    <col min="9736" max="9736" width="8.85546875" style="1803" customWidth="1"/>
    <col min="9737" max="9737" width="14.7109375" style="1803" bestFit="1" customWidth="1"/>
    <col min="9738" max="9984" width="9.140625" style="1803"/>
    <col min="9985" max="9985" width="5.5703125" style="1803" customWidth="1"/>
    <col min="9986" max="9986" width="6.7109375" style="1803" customWidth="1"/>
    <col min="9987" max="9987" width="9" style="1803" bestFit="1" customWidth="1"/>
    <col min="9988" max="9988" width="46.42578125" style="1803" customWidth="1"/>
    <col min="9989" max="9989" width="13.85546875" style="1803" customWidth="1"/>
    <col min="9990" max="9990" width="15.28515625" style="1803" customWidth="1"/>
    <col min="9991" max="9991" width="15.85546875" style="1803" customWidth="1"/>
    <col min="9992" max="9992" width="8.85546875" style="1803" customWidth="1"/>
    <col min="9993" max="9993" width="14.7109375" style="1803" bestFit="1" customWidth="1"/>
    <col min="9994" max="10240" width="9.140625" style="1803"/>
    <col min="10241" max="10241" width="5.5703125" style="1803" customWidth="1"/>
    <col min="10242" max="10242" width="6.7109375" style="1803" customWidth="1"/>
    <col min="10243" max="10243" width="9" style="1803" bestFit="1" customWidth="1"/>
    <col min="10244" max="10244" width="46.42578125" style="1803" customWidth="1"/>
    <col min="10245" max="10245" width="13.85546875" style="1803" customWidth="1"/>
    <col min="10246" max="10246" width="15.28515625" style="1803" customWidth="1"/>
    <col min="10247" max="10247" width="15.85546875" style="1803" customWidth="1"/>
    <col min="10248" max="10248" width="8.85546875" style="1803" customWidth="1"/>
    <col min="10249" max="10249" width="14.7109375" style="1803" bestFit="1" customWidth="1"/>
    <col min="10250" max="10496" width="9.140625" style="1803"/>
    <col min="10497" max="10497" width="5.5703125" style="1803" customWidth="1"/>
    <col min="10498" max="10498" width="6.7109375" style="1803" customWidth="1"/>
    <col min="10499" max="10499" width="9" style="1803" bestFit="1" customWidth="1"/>
    <col min="10500" max="10500" width="46.42578125" style="1803" customWidth="1"/>
    <col min="10501" max="10501" width="13.85546875" style="1803" customWidth="1"/>
    <col min="10502" max="10502" width="15.28515625" style="1803" customWidth="1"/>
    <col min="10503" max="10503" width="15.85546875" style="1803" customWidth="1"/>
    <col min="10504" max="10504" width="8.85546875" style="1803" customWidth="1"/>
    <col min="10505" max="10505" width="14.7109375" style="1803" bestFit="1" customWidth="1"/>
    <col min="10506" max="10752" width="9.140625" style="1803"/>
    <col min="10753" max="10753" width="5.5703125" style="1803" customWidth="1"/>
    <col min="10754" max="10754" width="6.7109375" style="1803" customWidth="1"/>
    <col min="10755" max="10755" width="9" style="1803" bestFit="1" customWidth="1"/>
    <col min="10756" max="10756" width="46.42578125" style="1803" customWidth="1"/>
    <col min="10757" max="10757" width="13.85546875" style="1803" customWidth="1"/>
    <col min="10758" max="10758" width="15.28515625" style="1803" customWidth="1"/>
    <col min="10759" max="10759" width="15.85546875" style="1803" customWidth="1"/>
    <col min="10760" max="10760" width="8.85546875" style="1803" customWidth="1"/>
    <col min="10761" max="10761" width="14.7109375" style="1803" bestFit="1" customWidth="1"/>
    <col min="10762" max="11008" width="9.140625" style="1803"/>
    <col min="11009" max="11009" width="5.5703125" style="1803" customWidth="1"/>
    <col min="11010" max="11010" width="6.7109375" style="1803" customWidth="1"/>
    <col min="11011" max="11011" width="9" style="1803" bestFit="1" customWidth="1"/>
    <col min="11012" max="11012" width="46.42578125" style="1803" customWidth="1"/>
    <col min="11013" max="11013" width="13.85546875" style="1803" customWidth="1"/>
    <col min="11014" max="11014" width="15.28515625" style="1803" customWidth="1"/>
    <col min="11015" max="11015" width="15.85546875" style="1803" customWidth="1"/>
    <col min="11016" max="11016" width="8.85546875" style="1803" customWidth="1"/>
    <col min="11017" max="11017" width="14.7109375" style="1803" bestFit="1" customWidth="1"/>
    <col min="11018" max="11264" width="9.140625" style="1803"/>
    <col min="11265" max="11265" width="5.5703125" style="1803" customWidth="1"/>
    <col min="11266" max="11266" width="6.7109375" style="1803" customWidth="1"/>
    <col min="11267" max="11267" width="9" style="1803" bestFit="1" customWidth="1"/>
    <col min="11268" max="11268" width="46.42578125" style="1803" customWidth="1"/>
    <col min="11269" max="11269" width="13.85546875" style="1803" customWidth="1"/>
    <col min="11270" max="11270" width="15.28515625" style="1803" customWidth="1"/>
    <col min="11271" max="11271" width="15.85546875" style="1803" customWidth="1"/>
    <col min="11272" max="11272" width="8.85546875" style="1803" customWidth="1"/>
    <col min="11273" max="11273" width="14.7109375" style="1803" bestFit="1" customWidth="1"/>
    <col min="11274" max="11520" width="9.140625" style="1803"/>
    <col min="11521" max="11521" width="5.5703125" style="1803" customWidth="1"/>
    <col min="11522" max="11522" width="6.7109375" style="1803" customWidth="1"/>
    <col min="11523" max="11523" width="9" style="1803" bestFit="1" customWidth="1"/>
    <col min="11524" max="11524" width="46.42578125" style="1803" customWidth="1"/>
    <col min="11525" max="11525" width="13.85546875" style="1803" customWidth="1"/>
    <col min="11526" max="11526" width="15.28515625" style="1803" customWidth="1"/>
    <col min="11527" max="11527" width="15.85546875" style="1803" customWidth="1"/>
    <col min="11528" max="11528" width="8.85546875" style="1803" customWidth="1"/>
    <col min="11529" max="11529" width="14.7109375" style="1803" bestFit="1" customWidth="1"/>
    <col min="11530" max="11776" width="9.140625" style="1803"/>
    <col min="11777" max="11777" width="5.5703125" style="1803" customWidth="1"/>
    <col min="11778" max="11778" width="6.7109375" style="1803" customWidth="1"/>
    <col min="11779" max="11779" width="9" style="1803" bestFit="1" customWidth="1"/>
    <col min="11780" max="11780" width="46.42578125" style="1803" customWidth="1"/>
    <col min="11781" max="11781" width="13.85546875" style="1803" customWidth="1"/>
    <col min="11782" max="11782" width="15.28515625" style="1803" customWidth="1"/>
    <col min="11783" max="11783" width="15.85546875" style="1803" customWidth="1"/>
    <col min="11784" max="11784" width="8.85546875" style="1803" customWidth="1"/>
    <col min="11785" max="11785" width="14.7109375" style="1803" bestFit="1" customWidth="1"/>
    <col min="11786" max="12032" width="9.140625" style="1803"/>
    <col min="12033" max="12033" width="5.5703125" style="1803" customWidth="1"/>
    <col min="12034" max="12034" width="6.7109375" style="1803" customWidth="1"/>
    <col min="12035" max="12035" width="9" style="1803" bestFit="1" customWidth="1"/>
    <col min="12036" max="12036" width="46.42578125" style="1803" customWidth="1"/>
    <col min="12037" max="12037" width="13.85546875" style="1803" customWidth="1"/>
    <col min="12038" max="12038" width="15.28515625" style="1803" customWidth="1"/>
    <col min="12039" max="12039" width="15.85546875" style="1803" customWidth="1"/>
    <col min="12040" max="12040" width="8.85546875" style="1803" customWidth="1"/>
    <col min="12041" max="12041" width="14.7109375" style="1803" bestFit="1" customWidth="1"/>
    <col min="12042" max="12288" width="9.140625" style="1803"/>
    <col min="12289" max="12289" width="5.5703125" style="1803" customWidth="1"/>
    <col min="12290" max="12290" width="6.7109375" style="1803" customWidth="1"/>
    <col min="12291" max="12291" width="9" style="1803" bestFit="1" customWidth="1"/>
    <col min="12292" max="12292" width="46.42578125" style="1803" customWidth="1"/>
    <col min="12293" max="12293" width="13.85546875" style="1803" customWidth="1"/>
    <col min="12294" max="12294" width="15.28515625" style="1803" customWidth="1"/>
    <col min="12295" max="12295" width="15.85546875" style="1803" customWidth="1"/>
    <col min="12296" max="12296" width="8.85546875" style="1803" customWidth="1"/>
    <col min="12297" max="12297" width="14.7109375" style="1803" bestFit="1" customWidth="1"/>
    <col min="12298" max="12544" width="9.140625" style="1803"/>
    <col min="12545" max="12545" width="5.5703125" style="1803" customWidth="1"/>
    <col min="12546" max="12546" width="6.7109375" style="1803" customWidth="1"/>
    <col min="12547" max="12547" width="9" style="1803" bestFit="1" customWidth="1"/>
    <col min="12548" max="12548" width="46.42578125" style="1803" customWidth="1"/>
    <col min="12549" max="12549" width="13.85546875" style="1803" customWidth="1"/>
    <col min="12550" max="12550" width="15.28515625" style="1803" customWidth="1"/>
    <col min="12551" max="12551" width="15.85546875" style="1803" customWidth="1"/>
    <col min="12552" max="12552" width="8.85546875" style="1803" customWidth="1"/>
    <col min="12553" max="12553" width="14.7109375" style="1803" bestFit="1" customWidth="1"/>
    <col min="12554" max="12800" width="9.140625" style="1803"/>
    <col min="12801" max="12801" width="5.5703125" style="1803" customWidth="1"/>
    <col min="12802" max="12802" width="6.7109375" style="1803" customWidth="1"/>
    <col min="12803" max="12803" width="9" style="1803" bestFit="1" customWidth="1"/>
    <col min="12804" max="12804" width="46.42578125" style="1803" customWidth="1"/>
    <col min="12805" max="12805" width="13.85546875" style="1803" customWidth="1"/>
    <col min="12806" max="12806" width="15.28515625" style="1803" customWidth="1"/>
    <col min="12807" max="12807" width="15.85546875" style="1803" customWidth="1"/>
    <col min="12808" max="12808" width="8.85546875" style="1803" customWidth="1"/>
    <col min="12809" max="12809" width="14.7109375" style="1803" bestFit="1" customWidth="1"/>
    <col min="12810" max="13056" width="9.140625" style="1803"/>
    <col min="13057" max="13057" width="5.5703125" style="1803" customWidth="1"/>
    <col min="13058" max="13058" width="6.7109375" style="1803" customWidth="1"/>
    <col min="13059" max="13059" width="9" style="1803" bestFit="1" customWidth="1"/>
    <col min="13060" max="13060" width="46.42578125" style="1803" customWidth="1"/>
    <col min="13061" max="13061" width="13.85546875" style="1803" customWidth="1"/>
    <col min="13062" max="13062" width="15.28515625" style="1803" customWidth="1"/>
    <col min="13063" max="13063" width="15.85546875" style="1803" customWidth="1"/>
    <col min="13064" max="13064" width="8.85546875" style="1803" customWidth="1"/>
    <col min="13065" max="13065" width="14.7109375" style="1803" bestFit="1" customWidth="1"/>
    <col min="13066" max="13312" width="9.140625" style="1803"/>
    <col min="13313" max="13313" width="5.5703125" style="1803" customWidth="1"/>
    <col min="13314" max="13314" width="6.7109375" style="1803" customWidth="1"/>
    <col min="13315" max="13315" width="9" style="1803" bestFit="1" customWidth="1"/>
    <col min="13316" max="13316" width="46.42578125" style="1803" customWidth="1"/>
    <col min="13317" max="13317" width="13.85546875" style="1803" customWidth="1"/>
    <col min="13318" max="13318" width="15.28515625" style="1803" customWidth="1"/>
    <col min="13319" max="13319" width="15.85546875" style="1803" customWidth="1"/>
    <col min="13320" max="13320" width="8.85546875" style="1803" customWidth="1"/>
    <col min="13321" max="13321" width="14.7109375" style="1803" bestFit="1" customWidth="1"/>
    <col min="13322" max="13568" width="9.140625" style="1803"/>
    <col min="13569" max="13569" width="5.5703125" style="1803" customWidth="1"/>
    <col min="13570" max="13570" width="6.7109375" style="1803" customWidth="1"/>
    <col min="13571" max="13571" width="9" style="1803" bestFit="1" customWidth="1"/>
    <col min="13572" max="13572" width="46.42578125" style="1803" customWidth="1"/>
    <col min="13573" max="13573" width="13.85546875" style="1803" customWidth="1"/>
    <col min="13574" max="13574" width="15.28515625" style="1803" customWidth="1"/>
    <col min="13575" max="13575" width="15.85546875" style="1803" customWidth="1"/>
    <col min="13576" max="13576" width="8.85546875" style="1803" customWidth="1"/>
    <col min="13577" max="13577" width="14.7109375" style="1803" bestFit="1" customWidth="1"/>
    <col min="13578" max="13824" width="9.140625" style="1803"/>
    <col min="13825" max="13825" width="5.5703125" style="1803" customWidth="1"/>
    <col min="13826" max="13826" width="6.7109375" style="1803" customWidth="1"/>
    <col min="13827" max="13827" width="9" style="1803" bestFit="1" customWidth="1"/>
    <col min="13828" max="13828" width="46.42578125" style="1803" customWidth="1"/>
    <col min="13829" max="13829" width="13.85546875" style="1803" customWidth="1"/>
    <col min="13830" max="13830" width="15.28515625" style="1803" customWidth="1"/>
    <col min="13831" max="13831" width="15.85546875" style="1803" customWidth="1"/>
    <col min="13832" max="13832" width="8.85546875" style="1803" customWidth="1"/>
    <col min="13833" max="13833" width="14.7109375" style="1803" bestFit="1" customWidth="1"/>
    <col min="13834" max="14080" width="9.140625" style="1803"/>
    <col min="14081" max="14081" width="5.5703125" style="1803" customWidth="1"/>
    <col min="14082" max="14082" width="6.7109375" style="1803" customWidth="1"/>
    <col min="14083" max="14083" width="9" style="1803" bestFit="1" customWidth="1"/>
    <col min="14084" max="14084" width="46.42578125" style="1803" customWidth="1"/>
    <col min="14085" max="14085" width="13.85546875" style="1803" customWidth="1"/>
    <col min="14086" max="14086" width="15.28515625" style="1803" customWidth="1"/>
    <col min="14087" max="14087" width="15.85546875" style="1803" customWidth="1"/>
    <col min="14088" max="14088" width="8.85546875" style="1803" customWidth="1"/>
    <col min="14089" max="14089" width="14.7109375" style="1803" bestFit="1" customWidth="1"/>
    <col min="14090" max="14336" width="9.140625" style="1803"/>
    <col min="14337" max="14337" width="5.5703125" style="1803" customWidth="1"/>
    <col min="14338" max="14338" width="6.7109375" style="1803" customWidth="1"/>
    <col min="14339" max="14339" width="9" style="1803" bestFit="1" customWidth="1"/>
    <col min="14340" max="14340" width="46.42578125" style="1803" customWidth="1"/>
    <col min="14341" max="14341" width="13.85546875" style="1803" customWidth="1"/>
    <col min="14342" max="14342" width="15.28515625" style="1803" customWidth="1"/>
    <col min="14343" max="14343" width="15.85546875" style="1803" customWidth="1"/>
    <col min="14344" max="14344" width="8.85546875" style="1803" customWidth="1"/>
    <col min="14345" max="14345" width="14.7109375" style="1803" bestFit="1" customWidth="1"/>
    <col min="14346" max="14592" width="9.140625" style="1803"/>
    <col min="14593" max="14593" width="5.5703125" style="1803" customWidth="1"/>
    <col min="14594" max="14594" width="6.7109375" style="1803" customWidth="1"/>
    <col min="14595" max="14595" width="9" style="1803" bestFit="1" customWidth="1"/>
    <col min="14596" max="14596" width="46.42578125" style="1803" customWidth="1"/>
    <col min="14597" max="14597" width="13.85546875" style="1803" customWidth="1"/>
    <col min="14598" max="14598" width="15.28515625" style="1803" customWidth="1"/>
    <col min="14599" max="14599" width="15.85546875" style="1803" customWidth="1"/>
    <col min="14600" max="14600" width="8.85546875" style="1803" customWidth="1"/>
    <col min="14601" max="14601" width="14.7109375" style="1803" bestFit="1" customWidth="1"/>
    <col min="14602" max="14848" width="9.140625" style="1803"/>
    <col min="14849" max="14849" width="5.5703125" style="1803" customWidth="1"/>
    <col min="14850" max="14850" width="6.7109375" style="1803" customWidth="1"/>
    <col min="14851" max="14851" width="9" style="1803" bestFit="1" customWidth="1"/>
    <col min="14852" max="14852" width="46.42578125" style="1803" customWidth="1"/>
    <col min="14853" max="14853" width="13.85546875" style="1803" customWidth="1"/>
    <col min="14854" max="14854" width="15.28515625" style="1803" customWidth="1"/>
    <col min="14855" max="14855" width="15.85546875" style="1803" customWidth="1"/>
    <col min="14856" max="14856" width="8.85546875" style="1803" customWidth="1"/>
    <col min="14857" max="14857" width="14.7109375" style="1803" bestFit="1" customWidth="1"/>
    <col min="14858" max="15104" width="9.140625" style="1803"/>
    <col min="15105" max="15105" width="5.5703125" style="1803" customWidth="1"/>
    <col min="15106" max="15106" width="6.7109375" style="1803" customWidth="1"/>
    <col min="15107" max="15107" width="9" style="1803" bestFit="1" customWidth="1"/>
    <col min="15108" max="15108" width="46.42578125" style="1803" customWidth="1"/>
    <col min="15109" max="15109" width="13.85546875" style="1803" customWidth="1"/>
    <col min="15110" max="15110" width="15.28515625" style="1803" customWidth="1"/>
    <col min="15111" max="15111" width="15.85546875" style="1803" customWidth="1"/>
    <col min="15112" max="15112" width="8.85546875" style="1803" customWidth="1"/>
    <col min="15113" max="15113" width="14.7109375" style="1803" bestFit="1" customWidth="1"/>
    <col min="15114" max="15360" width="9.140625" style="1803"/>
    <col min="15361" max="15361" width="5.5703125" style="1803" customWidth="1"/>
    <col min="15362" max="15362" width="6.7109375" style="1803" customWidth="1"/>
    <col min="15363" max="15363" width="9" style="1803" bestFit="1" customWidth="1"/>
    <col min="15364" max="15364" width="46.42578125" style="1803" customWidth="1"/>
    <col min="15365" max="15365" width="13.85546875" style="1803" customWidth="1"/>
    <col min="15366" max="15366" width="15.28515625" style="1803" customWidth="1"/>
    <col min="15367" max="15367" width="15.85546875" style="1803" customWidth="1"/>
    <col min="15368" max="15368" width="8.85546875" style="1803" customWidth="1"/>
    <col min="15369" max="15369" width="14.7109375" style="1803" bestFit="1" customWidth="1"/>
    <col min="15370" max="15616" width="9.140625" style="1803"/>
    <col min="15617" max="15617" width="5.5703125" style="1803" customWidth="1"/>
    <col min="15618" max="15618" width="6.7109375" style="1803" customWidth="1"/>
    <col min="15619" max="15619" width="9" style="1803" bestFit="1" customWidth="1"/>
    <col min="15620" max="15620" width="46.42578125" style="1803" customWidth="1"/>
    <col min="15621" max="15621" width="13.85546875" style="1803" customWidth="1"/>
    <col min="15622" max="15622" width="15.28515625" style="1803" customWidth="1"/>
    <col min="15623" max="15623" width="15.85546875" style="1803" customWidth="1"/>
    <col min="15624" max="15624" width="8.85546875" style="1803" customWidth="1"/>
    <col min="15625" max="15625" width="14.7109375" style="1803" bestFit="1" customWidth="1"/>
    <col min="15626" max="15872" width="9.140625" style="1803"/>
    <col min="15873" max="15873" width="5.5703125" style="1803" customWidth="1"/>
    <col min="15874" max="15874" width="6.7109375" style="1803" customWidth="1"/>
    <col min="15875" max="15875" width="9" style="1803" bestFit="1" customWidth="1"/>
    <col min="15876" max="15876" width="46.42578125" style="1803" customWidth="1"/>
    <col min="15877" max="15877" width="13.85546875" style="1803" customWidth="1"/>
    <col min="15878" max="15878" width="15.28515625" style="1803" customWidth="1"/>
    <col min="15879" max="15879" width="15.85546875" style="1803" customWidth="1"/>
    <col min="15880" max="15880" width="8.85546875" style="1803" customWidth="1"/>
    <col min="15881" max="15881" width="14.7109375" style="1803" bestFit="1" customWidth="1"/>
    <col min="15882" max="16128" width="9.140625" style="1803"/>
    <col min="16129" max="16129" width="5.5703125" style="1803" customWidth="1"/>
    <col min="16130" max="16130" width="6.7109375" style="1803" customWidth="1"/>
    <col min="16131" max="16131" width="9" style="1803" bestFit="1" customWidth="1"/>
    <col min="16132" max="16132" width="46.42578125" style="1803" customWidth="1"/>
    <col min="16133" max="16133" width="13.85546875" style="1803" customWidth="1"/>
    <col min="16134" max="16134" width="15.28515625" style="1803" customWidth="1"/>
    <col min="16135" max="16135" width="15.85546875" style="1803" customWidth="1"/>
    <col min="16136" max="16136" width="8.85546875" style="1803" customWidth="1"/>
    <col min="16137" max="16137" width="14.7109375" style="1803" bestFit="1" customWidth="1"/>
    <col min="16138" max="16384" width="9.140625" style="1803"/>
  </cols>
  <sheetData>
    <row r="1" spans="1:12" ht="18.75" thickBot="1" x14ac:dyDescent="0.3">
      <c r="A1" s="1874" t="s">
        <v>591</v>
      </c>
      <c r="B1" s="1875"/>
      <c r="C1" s="1875"/>
      <c r="D1" s="1875"/>
      <c r="E1" s="1831"/>
      <c r="F1" s="1831"/>
      <c r="G1" s="1831"/>
      <c r="H1" s="1876" t="s">
        <v>1180</v>
      </c>
    </row>
    <row r="3" spans="1:12" s="1581" customFormat="1" ht="12.75" customHeight="1" x14ac:dyDescent="0.2">
      <c r="A3" s="1705" t="s">
        <v>367</v>
      </c>
      <c r="B3" s="1658"/>
      <c r="C3" s="1801" t="s">
        <v>854</v>
      </c>
    </row>
    <row r="4" spans="1:12" s="1581" customFormat="1" ht="12.75" customHeight="1" x14ac:dyDescent="0.25">
      <c r="A4" s="1702"/>
      <c r="B4" s="1658"/>
      <c r="C4" s="1801" t="s">
        <v>855</v>
      </c>
    </row>
    <row r="5" spans="1:12" ht="18" x14ac:dyDescent="0.25">
      <c r="A5" s="1806" t="s">
        <v>1297</v>
      </c>
    </row>
    <row r="7" spans="1:12" ht="15.75" thickBot="1" x14ac:dyDescent="0.3">
      <c r="A7" s="1808" t="s">
        <v>250</v>
      </c>
      <c r="H7" s="1825" t="s">
        <v>161</v>
      </c>
    </row>
    <row r="8" spans="1:12" ht="13.5" hidden="1" thickBot="1" x14ac:dyDescent="0.25">
      <c r="H8" s="1825" t="s">
        <v>161</v>
      </c>
    </row>
    <row r="9" spans="1:12" ht="25.5" thickTop="1" thickBot="1" x14ac:dyDescent="0.25">
      <c r="A9" s="1809" t="s">
        <v>162</v>
      </c>
      <c r="B9" s="1810" t="s">
        <v>761</v>
      </c>
      <c r="C9" s="1810" t="s">
        <v>377</v>
      </c>
      <c r="D9" s="1811" t="s">
        <v>164</v>
      </c>
      <c r="E9" s="1833" t="s">
        <v>632</v>
      </c>
      <c r="F9" s="1833" t="s">
        <v>633</v>
      </c>
      <c r="G9" s="1834" t="s">
        <v>882</v>
      </c>
      <c r="H9" s="1835" t="s">
        <v>883</v>
      </c>
    </row>
    <row r="10" spans="1:12" ht="14.25" thickTop="1" thickBot="1" x14ac:dyDescent="0.25">
      <c r="A10" s="1643">
        <v>1</v>
      </c>
      <c r="B10" s="1642">
        <v>2</v>
      </c>
      <c r="C10" s="1642">
        <v>3</v>
      </c>
      <c r="D10" s="1642">
        <v>4</v>
      </c>
      <c r="E10" s="1641">
        <v>5</v>
      </c>
      <c r="F10" s="1641">
        <v>6</v>
      </c>
      <c r="G10" s="1877">
        <v>7</v>
      </c>
      <c r="H10" s="1814" t="s">
        <v>61</v>
      </c>
    </row>
    <row r="11" spans="1:12" ht="15.95" customHeight="1" thickTop="1" thickBot="1" x14ac:dyDescent="0.3">
      <c r="A11" s="1815">
        <v>6409</v>
      </c>
      <c r="B11" s="1816">
        <v>5909</v>
      </c>
      <c r="C11" s="1816"/>
      <c r="D11" s="1836" t="s">
        <v>781</v>
      </c>
      <c r="E11" s="1820">
        <v>0</v>
      </c>
      <c r="F11" s="1820">
        <v>0</v>
      </c>
      <c r="G11" s="1853">
        <v>1</v>
      </c>
      <c r="H11" s="1822">
        <v>0</v>
      </c>
    </row>
    <row r="12" spans="1:12" ht="16.5" thickTop="1" thickBot="1" x14ac:dyDescent="0.3">
      <c r="A12" s="2449" t="s">
        <v>763</v>
      </c>
      <c r="B12" s="2450"/>
      <c r="C12" s="2450"/>
      <c r="D12" s="2450"/>
      <c r="E12" s="1818">
        <f>SUM(E11:E11)</f>
        <v>0</v>
      </c>
      <c r="F12" s="1818">
        <f>SUM(F11:F11)</f>
        <v>0</v>
      </c>
      <c r="G12" s="1818">
        <f>SUM(G11:G11)</f>
        <v>1</v>
      </c>
      <c r="H12" s="1827">
        <v>0</v>
      </c>
    </row>
    <row r="13" spans="1:12" ht="13.5" thickTop="1" x14ac:dyDescent="0.2"/>
    <row r="14" spans="1:12" s="1878" customFormat="1" x14ac:dyDescent="0.2">
      <c r="A14" s="1802"/>
      <c r="B14" s="1802"/>
      <c r="C14" s="1802"/>
      <c r="D14" s="1803"/>
      <c r="E14" s="1829"/>
      <c r="F14" s="1829"/>
      <c r="G14" s="1829"/>
      <c r="H14" s="1803"/>
    </row>
    <row r="15" spans="1:12" s="1878" customFormat="1" ht="16.5" x14ac:dyDescent="0.25">
      <c r="A15" s="1860" t="s">
        <v>465</v>
      </c>
      <c r="B15" s="1861"/>
      <c r="C15" s="1862"/>
      <c r="D15" s="1863"/>
      <c r="E15" s="1864">
        <f>SUM(E16:E18)</f>
        <v>0</v>
      </c>
      <c r="F15" s="1864">
        <f>F16+F17+F18+F19</f>
        <v>0</v>
      </c>
      <c r="G15" s="1864">
        <f>G16+G17+G18+G19</f>
        <v>1</v>
      </c>
      <c r="H15" s="1879">
        <v>0</v>
      </c>
      <c r="J15" s="1880">
        <f>J16+J17+J18</f>
        <v>0</v>
      </c>
      <c r="K15" s="1880">
        <f>K16+K17+K18</f>
        <v>0</v>
      </c>
      <c r="L15" s="1880">
        <f>L16+L17+L18</f>
        <v>577.33000000000004</v>
      </c>
    </row>
    <row r="16" spans="1:12" s="1878" customFormat="1" ht="15" x14ac:dyDescent="0.2">
      <c r="A16" s="1600" t="s">
        <v>263</v>
      </c>
      <c r="B16" s="1603"/>
      <c r="C16" s="1598"/>
      <c r="D16" s="1867"/>
      <c r="E16" s="1601">
        <f>SUM(E11)</f>
        <v>0</v>
      </c>
      <c r="F16" s="1601">
        <f>SUM(F11)</f>
        <v>0</v>
      </c>
      <c r="G16" s="1601">
        <f>SUM(G11)</f>
        <v>1</v>
      </c>
      <c r="H16" s="1596">
        <v>0</v>
      </c>
      <c r="J16" s="1881">
        <v>0</v>
      </c>
      <c r="K16" s="1881">
        <v>0</v>
      </c>
      <c r="L16" s="1881">
        <v>577.33000000000004</v>
      </c>
    </row>
    <row r="17" spans="1:12" ht="15" x14ac:dyDescent="0.2">
      <c r="A17" s="1600" t="s">
        <v>264</v>
      </c>
      <c r="B17" s="1599"/>
      <c r="C17" s="1598"/>
      <c r="D17" s="1869"/>
      <c r="E17" s="1601">
        <v>0</v>
      </c>
      <c r="F17" s="1601">
        <v>0</v>
      </c>
      <c r="G17" s="1601">
        <v>0</v>
      </c>
      <c r="H17" s="1596">
        <v>0</v>
      </c>
      <c r="J17" s="1868">
        <v>0</v>
      </c>
      <c r="K17" s="1868">
        <v>0</v>
      </c>
      <c r="L17" s="1868">
        <v>0</v>
      </c>
    </row>
    <row r="18" spans="1:12" ht="15" x14ac:dyDescent="0.2">
      <c r="A18" s="1600" t="s">
        <v>466</v>
      </c>
      <c r="B18" s="1599"/>
      <c r="C18" s="1598"/>
      <c r="D18" s="1869"/>
      <c r="E18" s="1601">
        <v>0</v>
      </c>
      <c r="F18" s="1601">
        <v>0</v>
      </c>
      <c r="G18" s="1601">
        <v>0</v>
      </c>
      <c r="H18" s="1596">
        <v>0</v>
      </c>
      <c r="J18" s="1868">
        <v>0</v>
      </c>
      <c r="K18" s="1868">
        <v>0</v>
      </c>
      <c r="L18" s="1868">
        <v>0</v>
      </c>
    </row>
    <row r="19" spans="1:12" ht="15" x14ac:dyDescent="0.2">
      <c r="A19" s="1600"/>
      <c r="B19" s="1599"/>
      <c r="C19" s="1598"/>
      <c r="D19" s="1869"/>
      <c r="E19" s="1601"/>
      <c r="F19" s="1601"/>
      <c r="G19" s="1601"/>
      <c r="H19" s="1597"/>
    </row>
    <row r="20" spans="1:12" s="1828" customFormat="1" ht="24" thickBot="1" x14ac:dyDescent="0.4">
      <c r="A20" s="2741" t="s">
        <v>566</v>
      </c>
      <c r="B20" s="2742"/>
      <c r="C20" s="2742"/>
      <c r="D20" s="2742"/>
      <c r="E20" s="1591">
        <f>SUM(E15)</f>
        <v>0</v>
      </c>
      <c r="F20" s="1591">
        <f>SUM(F15)</f>
        <v>0</v>
      </c>
      <c r="G20" s="1591">
        <f>SUM(G15)</f>
        <v>1</v>
      </c>
      <c r="H20" s="1882">
        <v>0</v>
      </c>
    </row>
    <row r="21" spans="1:12" ht="13.5" thickTop="1" x14ac:dyDescent="0.2"/>
    <row r="22" spans="1:12" s="1867" customFormat="1" ht="15" x14ac:dyDescent="0.2">
      <c r="A22" s="1802"/>
      <c r="B22" s="1802"/>
      <c r="C22" s="1802"/>
      <c r="D22" s="1803"/>
      <c r="E22" s="1829"/>
      <c r="F22" s="1829"/>
      <c r="G22" s="1829"/>
      <c r="H22" s="1803"/>
    </row>
    <row r="25" spans="1:12" s="1872" customFormat="1" x14ac:dyDescent="0.2">
      <c r="A25" s="1802"/>
      <c r="B25" s="1802"/>
      <c r="C25" s="1802"/>
      <c r="D25" s="1803"/>
      <c r="E25" s="1829"/>
      <c r="F25" s="1829"/>
      <c r="G25" s="1829"/>
      <c r="H25" s="1803"/>
    </row>
    <row r="26" spans="1:12" s="1581" customFormat="1" x14ac:dyDescent="0.2">
      <c r="A26" s="1802"/>
      <c r="B26" s="1802"/>
      <c r="C26" s="1802"/>
      <c r="D26" s="1803"/>
      <c r="E26" s="1829"/>
      <c r="F26" s="1829"/>
      <c r="G26" s="1829"/>
      <c r="H26" s="1803"/>
    </row>
    <row r="27" spans="1:12" s="1581" customFormat="1" x14ac:dyDescent="0.2">
      <c r="A27" s="1802"/>
      <c r="B27" s="1802"/>
      <c r="C27" s="1802"/>
      <c r="D27" s="1803"/>
      <c r="E27" s="1829"/>
      <c r="F27" s="1829"/>
      <c r="G27" s="1829"/>
      <c r="H27" s="1803"/>
    </row>
    <row r="28" spans="1:12" s="1581" customFormat="1" x14ac:dyDescent="0.2">
      <c r="A28" s="1802"/>
      <c r="B28" s="1802"/>
      <c r="C28" s="1802"/>
      <c r="D28" s="1803"/>
      <c r="E28" s="1829"/>
      <c r="F28" s="1829"/>
      <c r="G28" s="1829"/>
      <c r="H28" s="1803"/>
    </row>
    <row r="29" spans="1:12" s="1581" customFormat="1" x14ac:dyDescent="0.2">
      <c r="A29" s="1802"/>
      <c r="B29" s="1802"/>
      <c r="C29" s="1802"/>
      <c r="D29" s="1803"/>
      <c r="E29" s="1829"/>
      <c r="F29" s="1829"/>
      <c r="G29" s="1829"/>
      <c r="H29" s="1803"/>
    </row>
    <row r="30" spans="1:12" s="1589" customFormat="1" ht="54.75" customHeight="1" x14ac:dyDescent="0.35">
      <c r="A30" s="1802"/>
      <c r="B30" s="1802"/>
      <c r="C30" s="1802"/>
      <c r="D30" s="1803"/>
      <c r="E30" s="1829"/>
      <c r="F30" s="1829"/>
      <c r="G30" s="1829"/>
      <c r="H30" s="1803"/>
    </row>
  </sheetData>
  <mergeCells count="1">
    <mergeCell ref="A20:D20"/>
  </mergeCells>
  <pageMargins left="0.98425196850393704" right="0.78740157480314965" top="0.98425196850393704" bottom="0.98425196850393704" header="0.51181102362204722" footer="0.51181102362204722"/>
  <pageSetup paperSize="9" scale="65" firstPageNumber="123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I20"/>
  <sheetViews>
    <sheetView showGridLines="0" zoomScaleNormal="100" workbookViewId="0">
      <selection activeCell="F21" sqref="F21"/>
    </sheetView>
  </sheetViews>
  <sheetFormatPr defaultRowHeight="12.75" x14ac:dyDescent="0.2"/>
  <cols>
    <col min="1" max="1" width="4.7109375" style="411" customWidth="1"/>
    <col min="2" max="2" width="6.7109375" style="411" customWidth="1"/>
    <col min="3" max="3" width="9" style="411" bestFit="1" customWidth="1"/>
    <col min="4" max="4" width="46.42578125" style="349" customWidth="1"/>
    <col min="5" max="5" width="13.85546875" style="453" customWidth="1"/>
    <col min="6" max="6" width="14.85546875" style="453" customWidth="1"/>
    <col min="7" max="7" width="13.85546875" style="453" customWidth="1"/>
    <col min="8" max="8" width="6.42578125" style="349" customWidth="1"/>
    <col min="9" max="9" width="19.85546875" style="349" customWidth="1"/>
    <col min="10" max="16384" width="9.140625" style="349"/>
  </cols>
  <sheetData>
    <row r="1" spans="1:9" ht="18" x14ac:dyDescent="0.25">
      <c r="A1" s="471" t="s">
        <v>832</v>
      </c>
      <c r="B1" s="472"/>
      <c r="C1" s="472"/>
      <c r="D1" s="472"/>
      <c r="E1" s="472"/>
      <c r="F1" s="472"/>
      <c r="G1" s="416"/>
    </row>
    <row r="2" spans="1:9" ht="18" x14ac:dyDescent="0.25">
      <c r="A2" s="621" t="s">
        <v>800</v>
      </c>
      <c r="B2" s="622"/>
      <c r="C2" s="622"/>
      <c r="D2" s="622"/>
      <c r="E2" s="622"/>
      <c r="F2" s="622"/>
      <c r="G2" s="416"/>
      <c r="H2" s="572" t="s">
        <v>801</v>
      </c>
    </row>
    <row r="3" spans="1:9" ht="18" x14ac:dyDescent="0.25">
      <c r="B3" s="416"/>
      <c r="C3" s="416"/>
      <c r="D3" s="416"/>
      <c r="E3" s="416"/>
      <c r="F3" s="416"/>
      <c r="G3" s="416"/>
      <c r="H3" s="572"/>
    </row>
    <row r="4" spans="1:9" s="381" customFormat="1" ht="16.5" customHeight="1" x14ac:dyDescent="0.2">
      <c r="A4" s="67" t="s">
        <v>367</v>
      </c>
      <c r="B4" s="28"/>
      <c r="C4" s="531" t="s">
        <v>347</v>
      </c>
    </row>
    <row r="5" spans="1:9" s="381" customFormat="1" ht="12.75" customHeight="1" x14ac:dyDescent="0.25">
      <c r="A5" s="6"/>
      <c r="B5" s="28"/>
      <c r="C5" s="531" t="s">
        <v>348</v>
      </c>
    </row>
    <row r="6" spans="1:9" ht="18" x14ac:dyDescent="0.25">
      <c r="A6" s="417" t="s">
        <v>802</v>
      </c>
      <c r="B6" s="416"/>
      <c r="C6" s="416"/>
      <c r="D6" s="416"/>
      <c r="E6" s="416"/>
      <c r="F6" s="416"/>
      <c r="G6" s="416"/>
      <c r="H6" s="572"/>
    </row>
    <row r="7" spans="1:9" ht="18.75" thickBot="1" x14ac:dyDescent="0.3">
      <c r="A7" s="417"/>
      <c r="B7" s="416"/>
      <c r="C7" s="416"/>
      <c r="D7" s="416"/>
      <c r="E7" s="416"/>
      <c r="F7" s="416"/>
      <c r="G7" s="416"/>
      <c r="H7" s="606" t="s">
        <v>1227</v>
      </c>
    </row>
    <row r="8" spans="1:9" s="383" customFormat="1" ht="25.5" thickTop="1" thickBot="1" x14ac:dyDescent="0.25">
      <c r="A8" s="535" t="s">
        <v>162</v>
      </c>
      <c r="B8" s="536" t="s">
        <v>761</v>
      </c>
      <c r="C8" s="536" t="s">
        <v>377</v>
      </c>
      <c r="D8" s="537" t="s">
        <v>164</v>
      </c>
      <c r="E8" s="538" t="s">
        <v>632</v>
      </c>
      <c r="F8" s="538" t="s">
        <v>633</v>
      </c>
      <c r="G8" s="539" t="s">
        <v>882</v>
      </c>
      <c r="H8" s="540" t="s">
        <v>883</v>
      </c>
    </row>
    <row r="9" spans="1:9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41">
        <v>5</v>
      </c>
      <c r="F9" s="541">
        <v>6</v>
      </c>
      <c r="G9" s="542">
        <v>7</v>
      </c>
      <c r="H9" s="543" t="s">
        <v>61</v>
      </c>
    </row>
    <row r="10" spans="1:9" s="418" customFormat="1" ht="16.5" thickTop="1" thickBot="1" x14ac:dyDescent="0.25">
      <c r="A10" s="419">
        <v>6409</v>
      </c>
      <c r="B10" s="420">
        <v>5909</v>
      </c>
      <c r="C10" s="421"/>
      <c r="D10" s="422" t="s">
        <v>768</v>
      </c>
      <c r="E10" s="414">
        <v>0</v>
      </c>
      <c r="F10" s="414">
        <v>0</v>
      </c>
      <c r="G10" s="425">
        <v>0</v>
      </c>
      <c r="H10" s="626">
        <v>0</v>
      </c>
    </row>
    <row r="11" spans="1:9" s="340" customFormat="1" ht="16.5" thickTop="1" thickBot="1" x14ac:dyDescent="0.3">
      <c r="A11" s="2743" t="s">
        <v>763</v>
      </c>
      <c r="B11" s="2744"/>
      <c r="C11" s="2744"/>
      <c r="D11" s="2744"/>
      <c r="E11" s="570">
        <f>SUM(E10:E10)</f>
        <v>0</v>
      </c>
      <c r="F11" s="570">
        <f>SUM(F10:F10)</f>
        <v>0</v>
      </c>
      <c r="G11" s="623">
        <f>SUM(G10:G10)</f>
        <v>0</v>
      </c>
      <c r="H11" s="437">
        <v>0</v>
      </c>
      <c r="I11" s="578"/>
    </row>
    <row r="12" spans="1:9" ht="13.5" thickTop="1" x14ac:dyDescent="0.2">
      <c r="I12" s="453"/>
    </row>
    <row r="14" spans="1:9" s="600" customFormat="1" ht="16.5" x14ac:dyDescent="0.25">
      <c r="A14" s="579" t="s">
        <v>465</v>
      </c>
      <c r="B14" s="580"/>
      <c r="C14" s="581"/>
      <c r="D14" s="582"/>
      <c r="E14" s="583">
        <f>SUM(E15:E17)</f>
        <v>0</v>
      </c>
      <c r="F14" s="583">
        <f>F15+F16+F17+F18</f>
        <v>0</v>
      </c>
      <c r="G14" s="583">
        <f>G15+G16+G17+G18</f>
        <v>0</v>
      </c>
      <c r="H14" s="584">
        <v>0</v>
      </c>
    </row>
    <row r="15" spans="1:9" s="381" customFormat="1" ht="15" x14ac:dyDescent="0.2">
      <c r="A15" s="555" t="s">
        <v>263</v>
      </c>
      <c r="B15" s="585"/>
      <c r="C15" s="586"/>
      <c r="D15" s="587"/>
      <c r="E15" s="588">
        <f>E11</f>
        <v>0</v>
      </c>
      <c r="F15" s="588">
        <f>F11</f>
        <v>0</v>
      </c>
      <c r="G15" s="588">
        <f>G11</f>
        <v>0</v>
      </c>
      <c r="H15" s="589">
        <v>0</v>
      </c>
    </row>
    <row r="16" spans="1:9" s="381" customFormat="1" ht="15" x14ac:dyDescent="0.2">
      <c r="A16" s="555" t="s">
        <v>264</v>
      </c>
      <c r="B16" s="590"/>
      <c r="C16" s="586"/>
      <c r="D16" s="591"/>
      <c r="E16" s="588">
        <v>0</v>
      </c>
      <c r="F16" s="588">
        <v>0</v>
      </c>
      <c r="G16" s="588">
        <v>0</v>
      </c>
      <c r="H16" s="589">
        <v>0</v>
      </c>
    </row>
    <row r="17" spans="1:8" s="381" customFormat="1" ht="15" x14ac:dyDescent="0.2">
      <c r="A17" s="555" t="s">
        <v>466</v>
      </c>
      <c r="B17" s="590"/>
      <c r="C17" s="586"/>
      <c r="D17" s="591"/>
      <c r="E17" s="588">
        <v>0</v>
      </c>
      <c r="F17" s="588">
        <v>0</v>
      </c>
      <c r="G17" s="588">
        <v>0</v>
      </c>
      <c r="H17" s="605">
        <v>0</v>
      </c>
    </row>
    <row r="18" spans="1:8" s="381" customFormat="1" ht="15" x14ac:dyDescent="0.2">
      <c r="A18" s="555"/>
      <c r="B18" s="590"/>
      <c r="C18" s="586"/>
      <c r="D18" s="591"/>
      <c r="E18" s="588"/>
      <c r="F18" s="588"/>
      <c r="G18" s="588"/>
      <c r="H18" s="592"/>
    </row>
    <row r="19" spans="1:8" s="58" customFormat="1" ht="69" customHeight="1" thickBot="1" x14ac:dyDescent="0.4">
      <c r="A19" s="2640" t="s">
        <v>770</v>
      </c>
      <c r="B19" s="2745"/>
      <c r="C19" s="2745"/>
      <c r="D19" s="2745"/>
      <c r="E19" s="593">
        <f>SUM(E14)</f>
        <v>0</v>
      </c>
      <c r="F19" s="593">
        <f>SUM(F14)</f>
        <v>0</v>
      </c>
      <c r="G19" s="593">
        <f>SUM(G14)</f>
        <v>0</v>
      </c>
      <c r="H19" s="609">
        <v>0</v>
      </c>
    </row>
    <row r="20" spans="1:8" ht="13.5" thickTop="1" x14ac:dyDescent="0.2"/>
  </sheetData>
  <mergeCells count="2">
    <mergeCell ref="A11:D11"/>
    <mergeCell ref="A19:D19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142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" enableFormatConditionsCalculation="0">
    <tabColor rgb="FFFF0000"/>
  </sheetPr>
  <dimension ref="A1:I63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629" customWidth="1"/>
    <col min="2" max="2" width="4.7109375" style="2135" customWidth="1"/>
    <col min="3" max="3" width="8.7109375" style="1011" customWidth="1"/>
    <col min="4" max="4" width="47.28515625" style="381" customWidth="1"/>
    <col min="5" max="5" width="13.5703125" style="382" customWidth="1"/>
    <col min="6" max="7" width="13.42578125" style="382" customWidth="1"/>
    <col min="8" max="8" width="8.140625" style="2452" customWidth="1"/>
    <col min="9" max="16384" width="9.140625" style="381"/>
  </cols>
  <sheetData>
    <row r="1" spans="1:9" ht="18.75" thickBot="1" x14ac:dyDescent="0.3">
      <c r="A1" s="463" t="s">
        <v>387</v>
      </c>
      <c r="B1" s="464"/>
      <c r="C1" s="475"/>
      <c r="D1" s="1389"/>
      <c r="E1" s="467" t="s">
        <v>388</v>
      </c>
      <c r="H1" s="371"/>
    </row>
    <row r="2" spans="1:9" ht="12.75" customHeight="1" x14ac:dyDescent="0.25">
      <c r="A2" s="6"/>
      <c r="B2" s="28"/>
      <c r="C2" s="10"/>
      <c r="D2" s="1397"/>
      <c r="E2" s="307"/>
      <c r="F2" s="16"/>
      <c r="G2" s="17"/>
      <c r="H2" s="371"/>
    </row>
    <row r="3" spans="1:9" ht="12.75" customHeight="1" x14ac:dyDescent="0.25">
      <c r="A3" s="67" t="s">
        <v>367</v>
      </c>
      <c r="B3" s="28"/>
      <c r="C3" s="523" t="s">
        <v>1641</v>
      </c>
      <c r="D3" s="627"/>
      <c r="E3" s="307"/>
      <c r="F3" s="16"/>
      <c r="G3" s="17"/>
      <c r="H3" s="371"/>
    </row>
    <row r="4" spans="1:9" ht="12.75" customHeight="1" x14ac:dyDescent="0.25">
      <c r="A4" s="6"/>
      <c r="B4" s="28"/>
      <c r="C4" s="523" t="s">
        <v>1640</v>
      </c>
      <c r="D4" s="382"/>
      <c r="E4" s="307"/>
      <c r="F4" s="16"/>
      <c r="G4" s="17"/>
      <c r="H4" s="371"/>
    </row>
    <row r="5" spans="1:9" ht="12.75" customHeight="1" x14ac:dyDescent="0.25">
      <c r="A5" s="6"/>
      <c r="B5" s="28"/>
      <c r="C5" s="10"/>
      <c r="D5" s="1397"/>
      <c r="E5" s="307"/>
      <c r="F5" s="16"/>
      <c r="G5" s="17"/>
      <c r="H5" s="371"/>
    </row>
    <row r="6" spans="1:9" ht="18" x14ac:dyDescent="0.25">
      <c r="A6" s="33" t="s">
        <v>884</v>
      </c>
      <c r="B6" s="28"/>
      <c r="C6" s="10"/>
      <c r="D6" s="1397"/>
      <c r="E6" s="307"/>
      <c r="F6" s="16"/>
      <c r="G6" s="17"/>
      <c r="H6" s="371"/>
    </row>
    <row r="7" spans="1:9" ht="13.5" thickBot="1" x14ac:dyDescent="0.25">
      <c r="B7" s="629"/>
      <c r="C7" s="630"/>
      <c r="F7" s="617"/>
      <c r="H7" s="2452" t="s">
        <v>161</v>
      </c>
    </row>
    <row r="8" spans="1:9" s="107" customFormat="1" ht="20.25" customHeight="1" thickTop="1" thickBot="1" x14ac:dyDescent="0.25">
      <c r="A8" s="631" t="s">
        <v>162</v>
      </c>
      <c r="B8" s="632" t="s">
        <v>163</v>
      </c>
      <c r="C8" s="633" t="s">
        <v>705</v>
      </c>
      <c r="D8" s="774" t="s">
        <v>164</v>
      </c>
      <c r="E8" s="774" t="s">
        <v>165</v>
      </c>
      <c r="F8" s="774" t="s">
        <v>881</v>
      </c>
      <c r="G8" s="774" t="s">
        <v>882</v>
      </c>
      <c r="H8" s="1040" t="s">
        <v>883</v>
      </c>
    </row>
    <row r="9" spans="1:9" s="511" customFormat="1" thickTop="1" thickBot="1" x14ac:dyDescent="0.25">
      <c r="A9" s="566">
        <v>1</v>
      </c>
      <c r="B9" s="504">
        <v>2</v>
      </c>
      <c r="C9" s="504">
        <v>3</v>
      </c>
      <c r="D9" s="504">
        <v>4</v>
      </c>
      <c r="E9" s="1042">
        <v>5</v>
      </c>
      <c r="F9" s="1042">
        <v>6</v>
      </c>
      <c r="G9" s="567">
        <v>7</v>
      </c>
      <c r="H9" s="1043" t="s">
        <v>729</v>
      </c>
      <c r="I9" s="1044"/>
    </row>
    <row r="10" spans="1:9" s="1056" customFormat="1" ht="15.75" thickTop="1" x14ac:dyDescent="0.25">
      <c r="A10" s="1582">
        <v>6113</v>
      </c>
      <c r="B10" s="1570">
        <v>5019</v>
      </c>
      <c r="C10" s="1066"/>
      <c r="D10" s="1567" t="s">
        <v>1229</v>
      </c>
      <c r="E10" s="1574">
        <v>100</v>
      </c>
      <c r="F10" s="168">
        <v>100</v>
      </c>
      <c r="G10" s="370">
        <v>70</v>
      </c>
      <c r="H10" s="1062">
        <f>(G10/F10)*100</f>
        <v>70</v>
      </c>
    </row>
    <row r="11" spans="1:9" s="1056" customFormat="1" ht="15" x14ac:dyDescent="0.25">
      <c r="A11" s="1583">
        <v>6113</v>
      </c>
      <c r="B11" s="1571">
        <v>5023</v>
      </c>
      <c r="C11" s="1067"/>
      <c r="D11" s="1568" t="s">
        <v>1459</v>
      </c>
      <c r="E11" s="1575">
        <v>10900</v>
      </c>
      <c r="F11" s="168">
        <v>11548</v>
      </c>
      <c r="G11" s="315">
        <v>11548</v>
      </c>
      <c r="H11" s="1062">
        <f t="shared" ref="H11:H23" si="0">(G11/F11)*100</f>
        <v>100</v>
      </c>
    </row>
    <row r="12" spans="1:9" s="1056" customFormat="1" ht="30" x14ac:dyDescent="0.2">
      <c r="A12" s="1583">
        <v>6113</v>
      </c>
      <c r="B12" s="1571">
        <v>5031</v>
      </c>
      <c r="C12" s="1067"/>
      <c r="D12" s="1568" t="s">
        <v>1865</v>
      </c>
      <c r="E12" s="1575">
        <v>1722</v>
      </c>
      <c r="F12" s="1566">
        <v>1916</v>
      </c>
      <c r="G12" s="888">
        <v>1911</v>
      </c>
      <c r="H12" s="1579">
        <f t="shared" si="0"/>
        <v>99.739039665970779</v>
      </c>
    </row>
    <row r="13" spans="1:9" s="1056" customFormat="1" ht="15" x14ac:dyDescent="0.25">
      <c r="A13" s="1583">
        <v>6113</v>
      </c>
      <c r="B13" s="1571">
        <v>5032</v>
      </c>
      <c r="C13" s="1067"/>
      <c r="D13" s="1568" t="s">
        <v>1460</v>
      </c>
      <c r="E13" s="1575">
        <v>1000</v>
      </c>
      <c r="F13" s="168">
        <v>1094</v>
      </c>
      <c r="G13" s="315">
        <v>1054</v>
      </c>
      <c r="H13" s="1062">
        <f t="shared" si="0"/>
        <v>96.343692870201096</v>
      </c>
    </row>
    <row r="14" spans="1:9" s="1056" customFormat="1" ht="30" x14ac:dyDescent="0.2">
      <c r="A14" s="1583">
        <v>6113</v>
      </c>
      <c r="B14" s="1571">
        <v>5039</v>
      </c>
      <c r="C14" s="1067"/>
      <c r="D14" s="1568" t="s">
        <v>1168</v>
      </c>
      <c r="E14" s="1575">
        <v>50</v>
      </c>
      <c r="F14" s="1566">
        <v>50</v>
      </c>
      <c r="G14" s="888">
        <v>22</v>
      </c>
      <c r="H14" s="1579">
        <f t="shared" si="0"/>
        <v>44</v>
      </c>
    </row>
    <row r="15" spans="1:9" s="1056" customFormat="1" ht="15" x14ac:dyDescent="0.2">
      <c r="A15" s="1583">
        <v>6113</v>
      </c>
      <c r="B15" s="1571">
        <v>5041</v>
      </c>
      <c r="C15" s="1067"/>
      <c r="D15" s="1568" t="s">
        <v>1831</v>
      </c>
      <c r="E15" s="1575"/>
      <c r="F15" s="1566">
        <v>509</v>
      </c>
      <c r="G15" s="888">
        <v>509</v>
      </c>
      <c r="H15" s="1579">
        <f t="shared" si="0"/>
        <v>100</v>
      </c>
    </row>
    <row r="16" spans="1:9" s="1056" customFormat="1" ht="15" x14ac:dyDescent="0.25">
      <c r="A16" s="1583">
        <v>6113</v>
      </c>
      <c r="B16" s="1571">
        <v>5136</v>
      </c>
      <c r="C16" s="1067"/>
      <c r="D16" s="1568" t="s">
        <v>608</v>
      </c>
      <c r="E16" s="1575">
        <v>100</v>
      </c>
      <c r="F16" s="168">
        <v>135</v>
      </c>
      <c r="G16" s="315">
        <v>125</v>
      </c>
      <c r="H16" s="1062">
        <f t="shared" si="0"/>
        <v>92.592592592592595</v>
      </c>
    </row>
    <row r="17" spans="1:8" s="1056" customFormat="1" ht="15" x14ac:dyDescent="0.25">
      <c r="A17" s="1583">
        <v>6113</v>
      </c>
      <c r="B17" s="1571">
        <v>5137</v>
      </c>
      <c r="C17" s="1067"/>
      <c r="D17" s="1568" t="s">
        <v>155</v>
      </c>
      <c r="E17" s="1575">
        <v>100</v>
      </c>
      <c r="F17" s="168">
        <v>100</v>
      </c>
      <c r="G17" s="315">
        <v>100</v>
      </c>
      <c r="H17" s="1062">
        <f t="shared" si="0"/>
        <v>100</v>
      </c>
    </row>
    <row r="18" spans="1:8" s="1056" customFormat="1" ht="15" x14ac:dyDescent="0.25">
      <c r="A18" s="1583">
        <v>6113</v>
      </c>
      <c r="B18" s="1571">
        <v>5139</v>
      </c>
      <c r="C18" s="1067"/>
      <c r="D18" s="1568" t="s">
        <v>625</v>
      </c>
      <c r="E18" s="1575">
        <v>500</v>
      </c>
      <c r="F18" s="168">
        <v>620</v>
      </c>
      <c r="G18" s="315">
        <v>433</v>
      </c>
      <c r="H18" s="1062">
        <f t="shared" si="0"/>
        <v>69.838709677419359</v>
      </c>
    </row>
    <row r="19" spans="1:8" s="1056" customFormat="1" ht="15" x14ac:dyDescent="0.25">
      <c r="A19" s="1583">
        <v>6113</v>
      </c>
      <c r="B19" s="1571">
        <v>5142</v>
      </c>
      <c r="C19" s="1067"/>
      <c r="D19" s="1568" t="s">
        <v>1832</v>
      </c>
      <c r="E19" s="1575">
        <v>20</v>
      </c>
      <c r="F19" s="168">
        <v>20</v>
      </c>
      <c r="G19" s="315">
        <v>2</v>
      </c>
      <c r="H19" s="1062">
        <f t="shared" si="0"/>
        <v>10</v>
      </c>
    </row>
    <row r="20" spans="1:8" s="1056" customFormat="1" ht="15" x14ac:dyDescent="0.25">
      <c r="A20" s="1583">
        <v>6113</v>
      </c>
      <c r="B20" s="1571">
        <v>5151</v>
      </c>
      <c r="C20" s="1067"/>
      <c r="D20" s="1568" t="s">
        <v>860</v>
      </c>
      <c r="E20" s="1575">
        <v>40</v>
      </c>
      <c r="F20" s="168">
        <v>40</v>
      </c>
      <c r="G20" s="315">
        <v>31</v>
      </c>
      <c r="H20" s="1062">
        <f t="shared" si="0"/>
        <v>77.5</v>
      </c>
    </row>
    <row r="21" spans="1:8" s="1056" customFormat="1" ht="15" x14ac:dyDescent="0.25">
      <c r="A21" s="1583">
        <v>6113</v>
      </c>
      <c r="B21" s="1571">
        <v>5152</v>
      </c>
      <c r="C21" s="1067"/>
      <c r="D21" s="1568" t="s">
        <v>863</v>
      </c>
      <c r="E21" s="1575">
        <v>300</v>
      </c>
      <c r="F21" s="168">
        <v>300</v>
      </c>
      <c r="G21" s="315">
        <v>238</v>
      </c>
      <c r="H21" s="1062">
        <f t="shared" si="0"/>
        <v>79.333333333333329</v>
      </c>
    </row>
    <row r="22" spans="1:8" s="1056" customFormat="1" ht="15" x14ac:dyDescent="0.25">
      <c r="A22" s="1583">
        <v>6113</v>
      </c>
      <c r="B22" s="1571">
        <v>5154</v>
      </c>
      <c r="C22" s="1067"/>
      <c r="D22" s="1568" t="s">
        <v>297</v>
      </c>
      <c r="E22" s="1575">
        <v>420</v>
      </c>
      <c r="F22" s="168">
        <v>420</v>
      </c>
      <c r="G22" s="315">
        <v>396</v>
      </c>
      <c r="H22" s="1062">
        <f t="shared" si="0"/>
        <v>94.285714285714278</v>
      </c>
    </row>
    <row r="23" spans="1:8" s="1056" customFormat="1" ht="15" x14ac:dyDescent="0.25">
      <c r="A23" s="1583">
        <v>6113</v>
      </c>
      <c r="B23" s="1571">
        <v>5156</v>
      </c>
      <c r="C23" s="1067"/>
      <c r="D23" s="1568" t="s">
        <v>298</v>
      </c>
      <c r="E23" s="1575">
        <v>500</v>
      </c>
      <c r="F23" s="168">
        <v>500</v>
      </c>
      <c r="G23" s="315">
        <v>477</v>
      </c>
      <c r="H23" s="1062">
        <f t="shared" si="0"/>
        <v>95.399999999999991</v>
      </c>
    </row>
    <row r="24" spans="1:8" s="1056" customFormat="1" ht="15" x14ac:dyDescent="0.25">
      <c r="A24" s="1583">
        <v>6113</v>
      </c>
      <c r="B24" s="1571">
        <v>5161</v>
      </c>
      <c r="C24" s="1067"/>
      <c r="D24" s="1568" t="s">
        <v>1837</v>
      </c>
      <c r="E24" s="1575">
        <v>10</v>
      </c>
      <c r="F24" s="168">
        <v>5</v>
      </c>
      <c r="G24" s="315">
        <v>3</v>
      </c>
      <c r="H24" s="1062">
        <v>0</v>
      </c>
    </row>
    <row r="25" spans="1:8" s="1056" customFormat="1" ht="15" x14ac:dyDescent="0.25">
      <c r="A25" s="1583">
        <v>6113</v>
      </c>
      <c r="B25" s="1571">
        <v>5162</v>
      </c>
      <c r="C25" s="1067"/>
      <c r="D25" s="1568" t="s">
        <v>864</v>
      </c>
      <c r="E25" s="1575">
        <v>150</v>
      </c>
      <c r="F25" s="168">
        <v>150</v>
      </c>
      <c r="G25" s="315">
        <v>120</v>
      </c>
      <c r="H25" s="1062">
        <f>(G25/F25)*100</f>
        <v>80</v>
      </c>
    </row>
    <row r="26" spans="1:8" s="1056" customFormat="1" ht="15" x14ac:dyDescent="0.25">
      <c r="A26" s="1583">
        <v>6113</v>
      </c>
      <c r="B26" s="1571">
        <v>5163</v>
      </c>
      <c r="C26" s="1067"/>
      <c r="D26" s="1568" t="s">
        <v>892</v>
      </c>
      <c r="E26" s="1575">
        <v>50</v>
      </c>
      <c r="F26" s="168">
        <v>50</v>
      </c>
      <c r="G26" s="315">
        <v>24</v>
      </c>
      <c r="H26" s="1062">
        <f t="shared" ref="H26:H37" si="1">(G26/F26)*100</f>
        <v>48</v>
      </c>
    </row>
    <row r="27" spans="1:8" s="1056" customFormat="1" ht="15" x14ac:dyDescent="0.25">
      <c r="A27" s="1583">
        <v>6113</v>
      </c>
      <c r="B27" s="1571">
        <v>5164</v>
      </c>
      <c r="C27" s="1067"/>
      <c r="D27" s="1568" t="s">
        <v>170</v>
      </c>
      <c r="E27" s="1575">
        <v>100</v>
      </c>
      <c r="F27" s="168">
        <v>75</v>
      </c>
      <c r="G27" s="315">
        <v>1</v>
      </c>
      <c r="H27" s="1062">
        <f t="shared" si="1"/>
        <v>1.3333333333333335</v>
      </c>
    </row>
    <row r="28" spans="1:8" s="1056" customFormat="1" ht="15" x14ac:dyDescent="0.25">
      <c r="A28" s="1583">
        <v>6113</v>
      </c>
      <c r="B28" s="1571">
        <v>5166</v>
      </c>
      <c r="C28" s="1067"/>
      <c r="D28" s="1568" t="s">
        <v>609</v>
      </c>
      <c r="E28" s="1575">
        <v>50</v>
      </c>
      <c r="F28" s="168">
        <v>50</v>
      </c>
      <c r="G28" s="315">
        <v>0</v>
      </c>
      <c r="H28" s="1062">
        <f t="shared" si="1"/>
        <v>0</v>
      </c>
    </row>
    <row r="29" spans="1:8" s="1056" customFormat="1" ht="15" x14ac:dyDescent="0.25">
      <c r="A29" s="1583">
        <v>6113</v>
      </c>
      <c r="B29" s="1571">
        <v>5167</v>
      </c>
      <c r="C29" s="1067"/>
      <c r="D29" s="1568" t="s">
        <v>895</v>
      </c>
      <c r="E29" s="1575">
        <v>50</v>
      </c>
      <c r="F29" s="168">
        <v>59</v>
      </c>
      <c r="G29" s="315">
        <v>53</v>
      </c>
      <c r="H29" s="1062">
        <v>0</v>
      </c>
    </row>
    <row r="30" spans="1:8" s="1056" customFormat="1" ht="15" x14ac:dyDescent="0.25">
      <c r="A30" s="1583">
        <v>6113</v>
      </c>
      <c r="B30" s="1571">
        <v>5169</v>
      </c>
      <c r="C30" s="1067"/>
      <c r="D30" s="1568" t="s">
        <v>852</v>
      </c>
      <c r="E30" s="1575">
        <v>2017</v>
      </c>
      <c r="F30" s="168">
        <v>1453</v>
      </c>
      <c r="G30" s="315">
        <v>821</v>
      </c>
      <c r="H30" s="1062">
        <f t="shared" si="1"/>
        <v>56.503785271851335</v>
      </c>
    </row>
    <row r="31" spans="1:8" s="1056" customFormat="1" ht="15" x14ac:dyDescent="0.25">
      <c r="A31" s="1583">
        <v>6113</v>
      </c>
      <c r="B31" s="1571">
        <v>5171</v>
      </c>
      <c r="C31" s="1067"/>
      <c r="D31" s="1568" t="s">
        <v>896</v>
      </c>
      <c r="E31" s="1575">
        <v>100</v>
      </c>
      <c r="F31" s="168">
        <v>160</v>
      </c>
      <c r="G31" s="315">
        <v>151</v>
      </c>
      <c r="H31" s="1062">
        <f t="shared" si="1"/>
        <v>94.375</v>
      </c>
    </row>
    <row r="32" spans="1:8" s="1056" customFormat="1" ht="15" x14ac:dyDescent="0.25">
      <c r="A32" s="1583">
        <v>6113</v>
      </c>
      <c r="B32" s="1571">
        <v>5172</v>
      </c>
      <c r="C32" s="1067"/>
      <c r="D32" s="1568" t="s">
        <v>897</v>
      </c>
      <c r="E32" s="1575">
        <v>100</v>
      </c>
      <c r="F32" s="168">
        <v>100</v>
      </c>
      <c r="G32" s="315">
        <v>10</v>
      </c>
      <c r="H32" s="1062">
        <f t="shared" si="1"/>
        <v>10</v>
      </c>
    </row>
    <row r="33" spans="1:8" s="1056" customFormat="1" ht="15" x14ac:dyDescent="0.25">
      <c r="A33" s="1583">
        <v>6113</v>
      </c>
      <c r="B33" s="1571">
        <v>5173</v>
      </c>
      <c r="C33" s="1067"/>
      <c r="D33" s="1568" t="s">
        <v>1152</v>
      </c>
      <c r="E33" s="1575">
        <v>1150</v>
      </c>
      <c r="F33" s="446">
        <f>F34+F35+F36</f>
        <v>1950</v>
      </c>
      <c r="G33" s="2361">
        <f>G34+G35+G36</f>
        <v>1320</v>
      </c>
      <c r="H33" s="1062">
        <f t="shared" si="1"/>
        <v>67.692307692307693</v>
      </c>
    </row>
    <row r="34" spans="1:8" s="1056" customFormat="1" ht="14.25" x14ac:dyDescent="0.2">
      <c r="A34" s="1583"/>
      <c r="B34" s="1571"/>
      <c r="C34" s="1069" t="s">
        <v>753</v>
      </c>
      <c r="D34" s="1063" t="s">
        <v>1259</v>
      </c>
      <c r="E34" s="1576">
        <v>1150</v>
      </c>
      <c r="F34" s="314">
        <v>1700</v>
      </c>
      <c r="G34" s="316">
        <v>1200</v>
      </c>
      <c r="H34" s="1065">
        <f t="shared" si="1"/>
        <v>70.588235294117652</v>
      </c>
    </row>
    <row r="35" spans="1:8" s="1056" customFormat="1" ht="15" x14ac:dyDescent="0.2">
      <c r="A35" s="1583"/>
      <c r="B35" s="1571"/>
      <c r="C35" s="1069" t="s">
        <v>1463</v>
      </c>
      <c r="D35" s="1565" t="s">
        <v>1465</v>
      </c>
      <c r="E35" s="1575"/>
      <c r="F35" s="314">
        <v>37</v>
      </c>
      <c r="G35" s="316">
        <v>18</v>
      </c>
      <c r="H35" s="1065">
        <f t="shared" si="1"/>
        <v>48.648648648648653</v>
      </c>
    </row>
    <row r="36" spans="1:8" s="1056" customFormat="1" ht="15" x14ac:dyDescent="0.2">
      <c r="A36" s="1583"/>
      <c r="B36" s="1571"/>
      <c r="C36" s="1069" t="s">
        <v>1464</v>
      </c>
      <c r="D36" s="1565" t="s">
        <v>1466</v>
      </c>
      <c r="E36" s="1575"/>
      <c r="F36" s="314">
        <v>213</v>
      </c>
      <c r="G36" s="316">
        <v>102</v>
      </c>
      <c r="H36" s="1065">
        <f t="shared" si="1"/>
        <v>47.887323943661968</v>
      </c>
    </row>
    <row r="37" spans="1:8" s="1056" customFormat="1" ht="15" x14ac:dyDescent="0.25">
      <c r="A37" s="1583">
        <v>6113</v>
      </c>
      <c r="B37" s="1571">
        <v>5175</v>
      </c>
      <c r="C37" s="1069"/>
      <c r="D37" s="1568" t="s">
        <v>669</v>
      </c>
      <c r="E37" s="1575">
        <v>1300</v>
      </c>
      <c r="F37" s="313">
        <v>1300</v>
      </c>
      <c r="G37" s="315">
        <v>906</v>
      </c>
      <c r="H37" s="203">
        <f t="shared" si="1"/>
        <v>69.692307692307693</v>
      </c>
    </row>
    <row r="38" spans="1:8" s="1056" customFormat="1" ht="15" x14ac:dyDescent="0.25">
      <c r="A38" s="1583">
        <v>6113</v>
      </c>
      <c r="B38" s="1571">
        <v>5176</v>
      </c>
      <c r="C38" s="1069"/>
      <c r="D38" s="1568" t="s">
        <v>1247</v>
      </c>
      <c r="E38" s="1575">
        <v>50</v>
      </c>
      <c r="F38" s="313">
        <v>50</v>
      </c>
      <c r="G38" s="315">
        <v>4</v>
      </c>
      <c r="H38" s="203">
        <f>(G38/F38)*100</f>
        <v>8</v>
      </c>
    </row>
    <row r="39" spans="1:8" s="1056" customFormat="1" ht="15" x14ac:dyDescent="0.25">
      <c r="A39" s="1583">
        <v>6113</v>
      </c>
      <c r="B39" s="1571">
        <v>5189</v>
      </c>
      <c r="C39" s="1067"/>
      <c r="D39" s="1568" t="s">
        <v>866</v>
      </c>
      <c r="E39" s="1575">
        <v>70</v>
      </c>
      <c r="F39" s="313">
        <v>40</v>
      </c>
      <c r="G39" s="315">
        <v>0</v>
      </c>
      <c r="H39" s="1062">
        <f>(G39/F39)*100</f>
        <v>0</v>
      </c>
    </row>
    <row r="40" spans="1:8" s="1056" customFormat="1" ht="15" x14ac:dyDescent="0.25">
      <c r="A40" s="1583">
        <v>6113</v>
      </c>
      <c r="B40" s="1571">
        <v>5192</v>
      </c>
      <c r="C40" s="1067"/>
      <c r="D40" s="1568" t="s">
        <v>1228</v>
      </c>
      <c r="E40" s="1575">
        <v>550</v>
      </c>
      <c r="F40" s="313">
        <v>41</v>
      </c>
      <c r="G40" s="315">
        <v>0</v>
      </c>
      <c r="H40" s="1062">
        <f>(G40/F40)*100</f>
        <v>0</v>
      </c>
    </row>
    <row r="41" spans="1:8" s="1056" customFormat="1" ht="15" x14ac:dyDescent="0.25">
      <c r="A41" s="1583">
        <v>6113</v>
      </c>
      <c r="B41" s="1571">
        <v>5194</v>
      </c>
      <c r="C41" s="1067"/>
      <c r="D41" s="1568" t="s">
        <v>599</v>
      </c>
      <c r="E41" s="1575">
        <v>50</v>
      </c>
      <c r="F41" s="168">
        <v>50</v>
      </c>
      <c r="G41" s="315">
        <v>13</v>
      </c>
      <c r="H41" s="1062">
        <f>(G41/F41)*100</f>
        <v>26</v>
      </c>
    </row>
    <row r="42" spans="1:8" s="1056" customFormat="1" ht="15" x14ac:dyDescent="0.25">
      <c r="A42" s="1583">
        <v>6113</v>
      </c>
      <c r="B42" s="1571">
        <v>5361</v>
      </c>
      <c r="C42" s="1067"/>
      <c r="D42" s="1568" t="s">
        <v>600</v>
      </c>
      <c r="E42" s="1575">
        <v>5</v>
      </c>
      <c r="F42" s="168">
        <v>5</v>
      </c>
      <c r="G42" s="315">
        <v>0</v>
      </c>
      <c r="H42" s="1062">
        <f t="shared" ref="H42:H48" si="2">(G42/F42)*100</f>
        <v>0</v>
      </c>
    </row>
    <row r="43" spans="1:8" s="1056" customFormat="1" ht="15" x14ac:dyDescent="0.25">
      <c r="A43" s="1583">
        <v>6113</v>
      </c>
      <c r="B43" s="1571">
        <v>5362</v>
      </c>
      <c r="C43" s="1067"/>
      <c r="D43" s="1568" t="s">
        <v>1461</v>
      </c>
      <c r="E43" s="1575">
        <v>5</v>
      </c>
      <c r="F43" s="313">
        <v>5</v>
      </c>
      <c r="G43" s="315">
        <v>0</v>
      </c>
      <c r="H43" s="1062">
        <f t="shared" si="2"/>
        <v>0</v>
      </c>
    </row>
    <row r="44" spans="1:8" s="1056" customFormat="1" ht="15" x14ac:dyDescent="0.25">
      <c r="A44" s="1583">
        <v>6113</v>
      </c>
      <c r="B44" s="1571">
        <v>5424</v>
      </c>
      <c r="C44" s="1067"/>
      <c r="D44" s="1568" t="s">
        <v>650</v>
      </c>
      <c r="E44" s="1575">
        <v>50</v>
      </c>
      <c r="F44" s="168">
        <v>50</v>
      </c>
      <c r="G44" s="315">
        <v>0</v>
      </c>
      <c r="H44" s="1062">
        <f t="shared" si="2"/>
        <v>0</v>
      </c>
    </row>
    <row r="45" spans="1:8" s="1056" customFormat="1" ht="15" x14ac:dyDescent="0.25">
      <c r="A45" s="1583">
        <v>6113</v>
      </c>
      <c r="B45" s="1571">
        <v>5492</v>
      </c>
      <c r="C45" s="1067"/>
      <c r="D45" s="1568" t="s">
        <v>851</v>
      </c>
      <c r="E45" s="1575">
        <v>15</v>
      </c>
      <c r="F45" s="168">
        <v>15</v>
      </c>
      <c r="G45" s="315">
        <v>15</v>
      </c>
      <c r="H45" s="1062">
        <f t="shared" si="2"/>
        <v>100</v>
      </c>
    </row>
    <row r="46" spans="1:8" s="1056" customFormat="1" ht="15" x14ac:dyDescent="0.25">
      <c r="A46" s="1583">
        <v>6113</v>
      </c>
      <c r="B46" s="1571">
        <v>5499</v>
      </c>
      <c r="C46" s="1067"/>
      <c r="D46" s="2407" t="s">
        <v>375</v>
      </c>
      <c r="E46" s="1575"/>
      <c r="F46" s="168"/>
      <c r="G46" s="446">
        <v>1</v>
      </c>
      <c r="H46" s="1062">
        <v>0</v>
      </c>
    </row>
    <row r="47" spans="1:8" s="1056" customFormat="1" ht="18.75" customHeight="1" thickBot="1" x14ac:dyDescent="0.25">
      <c r="A47" s="1584">
        <v>6330</v>
      </c>
      <c r="B47" s="1572">
        <v>5342</v>
      </c>
      <c r="C47" s="1108"/>
      <c r="D47" s="1569" t="s">
        <v>1462</v>
      </c>
      <c r="E47" s="1577">
        <v>228</v>
      </c>
      <c r="F47" s="1573">
        <v>262</v>
      </c>
      <c r="G47" s="1578">
        <v>239</v>
      </c>
      <c r="H47" s="1580">
        <f t="shared" si="2"/>
        <v>91.221374045801525</v>
      </c>
    </row>
    <row r="48" spans="1:8" s="360" customFormat="1" ht="35.25" customHeight="1" thickTop="1" thickBot="1" x14ac:dyDescent="0.3">
      <c r="A48" s="688" t="s">
        <v>245</v>
      </c>
      <c r="B48" s="689"/>
      <c r="C48" s="1070"/>
      <c r="D48" s="689"/>
      <c r="E48" s="691">
        <f>SUM(E10:E30,E31:E33,E37:E47)</f>
        <v>21852</v>
      </c>
      <c r="F48" s="691">
        <f>SUM(F10:F30,F31:F33,F37:F47)</f>
        <v>23222</v>
      </c>
      <c r="G48" s="691">
        <f>SUM(G10:G30,G31:G33,G37:G47)</f>
        <v>20597</v>
      </c>
      <c r="H48" s="1036">
        <f t="shared" si="2"/>
        <v>88.696064077168202</v>
      </c>
    </row>
    <row r="49" spans="1:8" ht="15.75" thickTop="1" x14ac:dyDescent="0.25">
      <c r="A49" s="1045"/>
      <c r="B49" s="2453"/>
      <c r="C49" s="1046"/>
      <c r="D49" s="654"/>
      <c r="E49" s="970"/>
      <c r="F49" s="1047"/>
      <c r="G49" s="970"/>
      <c r="H49" s="1048"/>
    </row>
    <row r="50" spans="1:8" ht="15" x14ac:dyDescent="0.25">
      <c r="A50" s="1049"/>
      <c r="B50" s="2454"/>
      <c r="C50" s="1050"/>
      <c r="D50" s="746"/>
      <c r="E50" s="181"/>
      <c r="F50" s="897"/>
      <c r="G50" s="181"/>
      <c r="H50" s="1051"/>
    </row>
    <row r="51" spans="1:8" x14ac:dyDescent="0.2">
      <c r="H51" s="2455"/>
    </row>
    <row r="52" spans="1:8" ht="16.5" x14ac:dyDescent="0.25">
      <c r="A52" s="361" t="s">
        <v>486</v>
      </c>
      <c r="B52" s="362"/>
      <c r="C52" s="363"/>
      <c r="D52" s="363"/>
      <c r="E52" s="723">
        <f>E53+E54+E55+E56+E57</f>
        <v>21852</v>
      </c>
      <c r="F52" s="723">
        <f>F53+F54+F55+F56+F57</f>
        <v>23222</v>
      </c>
      <c r="G52" s="723">
        <f>G53+G54+G55+G56+G57</f>
        <v>20597</v>
      </c>
      <c r="H52" s="625">
        <f>(G52/F52)*100</f>
        <v>88.696064077168202</v>
      </c>
    </row>
    <row r="53" spans="1:8" ht="15" x14ac:dyDescent="0.2">
      <c r="A53" s="555" t="s">
        <v>263</v>
      </c>
      <c r="B53" s="809"/>
      <c r="C53" s="1452"/>
      <c r="D53" s="1452"/>
      <c r="E53" s="588">
        <f>E48-E47</f>
        <v>21624</v>
      </c>
      <c r="F53" s="588">
        <f>F48-F47</f>
        <v>22960</v>
      </c>
      <c r="G53" s="588">
        <f>G48-G47</f>
        <v>20358</v>
      </c>
      <c r="H53" s="1052">
        <f>(G53/F53)*100</f>
        <v>88.667247386759584</v>
      </c>
    </row>
    <row r="54" spans="1:8" ht="15" x14ac:dyDescent="0.2">
      <c r="A54" s="555" t="s">
        <v>264</v>
      </c>
      <c r="B54" s="1453"/>
      <c r="C54" s="1452"/>
      <c r="D54" s="1452"/>
      <c r="E54" s="592">
        <v>0</v>
      </c>
      <c r="F54" s="592">
        <v>0</v>
      </c>
      <c r="G54" s="592">
        <v>0</v>
      </c>
      <c r="H54" s="1052">
        <v>0</v>
      </c>
    </row>
    <row r="55" spans="1:8" ht="15" x14ac:dyDescent="0.2">
      <c r="A55" s="555" t="s">
        <v>208</v>
      </c>
      <c r="B55" s="1453"/>
      <c r="C55" s="1452"/>
      <c r="D55" s="1452"/>
      <c r="E55" s="592">
        <v>0</v>
      </c>
      <c r="F55" s="592">
        <v>0</v>
      </c>
      <c r="G55" s="592">
        <v>0</v>
      </c>
      <c r="H55" s="1052">
        <v>0</v>
      </c>
    </row>
    <row r="56" spans="1:8" ht="15" x14ac:dyDescent="0.2">
      <c r="A56" s="555" t="s">
        <v>1147</v>
      </c>
      <c r="B56" s="1453"/>
      <c r="C56" s="1452"/>
      <c r="D56" s="1452"/>
      <c r="E56" s="592">
        <v>0</v>
      </c>
      <c r="F56" s="592">
        <v>0</v>
      </c>
      <c r="G56" s="592">
        <v>0</v>
      </c>
      <c r="H56" s="1052">
        <v>0</v>
      </c>
    </row>
    <row r="57" spans="1:8" ht="15" x14ac:dyDescent="0.2">
      <c r="A57" s="555" t="s">
        <v>466</v>
      </c>
      <c r="B57" s="1453"/>
      <c r="C57" s="1452"/>
      <c r="D57" s="1452"/>
      <c r="E57" s="592">
        <f>SUM(E47)</f>
        <v>228</v>
      </c>
      <c r="F57" s="592">
        <f>SUM(F47)</f>
        <v>262</v>
      </c>
      <c r="G57" s="592">
        <f>SUM(G47)</f>
        <v>239</v>
      </c>
      <c r="H57" s="1052">
        <f>(G57/F57)*100</f>
        <v>91.221374045801525</v>
      </c>
    </row>
    <row r="58" spans="1:8" x14ac:dyDescent="0.2">
      <c r="H58" s="2455"/>
    </row>
    <row r="59" spans="1:8" x14ac:dyDescent="0.2">
      <c r="H59" s="2455"/>
    </row>
    <row r="60" spans="1:8" s="58" customFormat="1" ht="47.25" customHeight="1" thickBot="1" x14ac:dyDescent="0.4">
      <c r="A60" s="648" t="s">
        <v>605</v>
      </c>
      <c r="B60" s="649"/>
      <c r="C60" s="650"/>
      <c r="D60" s="651"/>
      <c r="E60" s="593">
        <f>SUM(E48)</f>
        <v>21852</v>
      </c>
      <c r="F60" s="593">
        <f>SUM(F48)</f>
        <v>23222</v>
      </c>
      <c r="G60" s="593">
        <f>SUM(G48)</f>
        <v>20597</v>
      </c>
      <c r="H60" s="594">
        <f>(G60/F60)*100</f>
        <v>88.696064077168202</v>
      </c>
    </row>
    <row r="61" spans="1:8" s="644" customFormat="1" ht="13.5" thickTop="1" x14ac:dyDescent="0.2">
      <c r="A61" s="629"/>
      <c r="B61" s="629"/>
      <c r="C61" s="630"/>
      <c r="D61" s="1053"/>
      <c r="E61" s="952"/>
      <c r="F61" s="627"/>
      <c r="G61" s="952"/>
      <c r="H61" s="1054"/>
    </row>
    <row r="62" spans="1:8" s="644" customFormat="1" ht="14.25" x14ac:dyDescent="0.2">
      <c r="A62" s="629"/>
      <c r="B62" s="523"/>
      <c r="C62" s="523"/>
      <c r="D62" s="523"/>
      <c r="G62" s="952"/>
      <c r="H62" s="1054"/>
    </row>
    <row r="63" spans="1:8" ht="14.25" x14ac:dyDescent="0.2">
      <c r="B63" s="523"/>
      <c r="C63" s="523"/>
      <c r="D63" s="523"/>
    </row>
  </sheetData>
  <phoneticPr fontId="0" type="noConversion"/>
  <pageMargins left="0.98425196850393704" right="0.78740157480314965" top="0.98425196850393704" bottom="0.98425196850393704" header="0.51181102362204722" footer="0.51181102362204722"/>
  <pageSetup paperSize="9" scale="72" firstPageNumber="27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H22"/>
  <sheetViews>
    <sheetView showGridLines="0" zoomScaleNormal="100" workbookViewId="0">
      <selection activeCell="A267" sqref="A267"/>
    </sheetView>
  </sheetViews>
  <sheetFormatPr defaultRowHeight="12.75" x14ac:dyDescent="0.2"/>
  <cols>
    <col min="1" max="1" width="4.7109375" style="411" customWidth="1"/>
    <col min="2" max="2" width="6.7109375" style="411" customWidth="1"/>
    <col min="3" max="3" width="9" style="411" bestFit="1" customWidth="1"/>
    <col min="4" max="4" width="46.42578125" style="349" customWidth="1"/>
    <col min="5" max="5" width="13.85546875" style="423" customWidth="1"/>
    <col min="6" max="6" width="14.85546875" style="423" customWidth="1"/>
    <col min="7" max="7" width="13.85546875" style="423" customWidth="1"/>
    <col min="8" max="8" width="6.5703125" style="423" customWidth="1"/>
    <col min="9" max="9" width="16" style="349" bestFit="1" customWidth="1"/>
    <col min="10" max="16384" width="9.140625" style="349"/>
  </cols>
  <sheetData>
    <row r="1" spans="1:8" ht="18.75" thickBot="1" x14ac:dyDescent="0.3">
      <c r="A1" s="469" t="s">
        <v>771</v>
      </c>
      <c r="B1" s="470"/>
      <c r="C1" s="470"/>
      <c r="D1" s="470"/>
      <c r="E1" s="473"/>
      <c r="G1" s="2746" t="s">
        <v>803</v>
      </c>
      <c r="H1" s="2747"/>
    </row>
    <row r="2" spans="1:8" ht="18" x14ac:dyDescent="0.25">
      <c r="A2" s="417"/>
      <c r="B2" s="416"/>
      <c r="C2" s="416"/>
      <c r="D2" s="416"/>
    </row>
    <row r="3" spans="1:8" s="381" customFormat="1" ht="16.5" customHeight="1" x14ac:dyDescent="0.2">
      <c r="A3" s="67" t="s">
        <v>367</v>
      </c>
      <c r="B3" s="28"/>
      <c r="C3" s="531" t="s">
        <v>347</v>
      </c>
      <c r="E3" s="617"/>
      <c r="F3" s="617"/>
      <c r="G3" s="617"/>
      <c r="H3" s="617"/>
    </row>
    <row r="4" spans="1:8" s="381" customFormat="1" ht="12.75" customHeight="1" x14ac:dyDescent="0.25">
      <c r="A4" s="6"/>
      <c r="B4" s="28"/>
      <c r="C4" s="531" t="s">
        <v>348</v>
      </c>
      <c r="E4" s="617"/>
      <c r="F4" s="617"/>
      <c r="G4" s="617"/>
      <c r="H4" s="617"/>
    </row>
    <row r="5" spans="1:8" ht="18" x14ac:dyDescent="0.25">
      <c r="A5" s="417" t="s">
        <v>804</v>
      </c>
      <c r="B5" s="416"/>
      <c r="C5" s="416"/>
      <c r="D5" s="416"/>
      <c r="H5" s="424"/>
    </row>
    <row r="6" spans="1:8" ht="13.5" thickBot="1" x14ac:dyDescent="0.25">
      <c r="H6" s="606" t="s">
        <v>1227</v>
      </c>
    </row>
    <row r="7" spans="1:8" s="383" customFormat="1" ht="25.5" thickTop="1" thickBot="1" x14ac:dyDescent="0.25">
      <c r="A7" s="535" t="s">
        <v>162</v>
      </c>
      <c r="B7" s="536" t="s">
        <v>761</v>
      </c>
      <c r="C7" s="536" t="s">
        <v>377</v>
      </c>
      <c r="D7" s="537" t="s">
        <v>164</v>
      </c>
      <c r="E7" s="618" t="s">
        <v>632</v>
      </c>
      <c r="F7" s="618" t="s">
        <v>633</v>
      </c>
      <c r="G7" s="619" t="s">
        <v>882</v>
      </c>
      <c r="H7" s="540" t="s">
        <v>883</v>
      </c>
    </row>
    <row r="8" spans="1:8" s="383" customFormat="1" ht="13.5" thickTop="1" thickBot="1" x14ac:dyDescent="0.25">
      <c r="A8" s="566">
        <v>1</v>
      </c>
      <c r="B8" s="567">
        <v>2</v>
      </c>
      <c r="C8" s="567">
        <v>3</v>
      </c>
      <c r="D8" s="567">
        <v>4</v>
      </c>
      <c r="E8" s="504">
        <v>5</v>
      </c>
      <c r="F8" s="504">
        <v>6</v>
      </c>
      <c r="G8" s="620">
        <v>7</v>
      </c>
      <c r="H8" s="529" t="s">
        <v>61</v>
      </c>
    </row>
    <row r="9" spans="1:8" ht="20.25" customHeight="1" thickTop="1" x14ac:dyDescent="0.2">
      <c r="A9" s="419">
        <v>6330</v>
      </c>
      <c r="B9" s="420">
        <v>5345</v>
      </c>
      <c r="C9" s="421"/>
      <c r="D9" s="422" t="s">
        <v>767</v>
      </c>
      <c r="E9" s="415">
        <v>0</v>
      </c>
      <c r="F9" s="415">
        <v>0</v>
      </c>
      <c r="G9" s="415">
        <v>0</v>
      </c>
      <c r="H9" s="438">
        <v>0</v>
      </c>
    </row>
    <row r="10" spans="1:8" ht="15.75" thickBot="1" x14ac:dyDescent="0.25">
      <c r="A10" s="419">
        <v>6409</v>
      </c>
      <c r="B10" s="420">
        <v>5909</v>
      </c>
      <c r="C10" s="421"/>
      <c r="D10" s="422" t="s">
        <v>768</v>
      </c>
      <c r="E10" s="415">
        <v>0</v>
      </c>
      <c r="F10" s="415">
        <v>0</v>
      </c>
      <c r="G10" s="415">
        <v>0</v>
      </c>
      <c r="H10" s="437">
        <v>0</v>
      </c>
    </row>
    <row r="11" spans="1:8" s="340" customFormat="1" ht="16.5" thickTop="1" thickBot="1" x14ac:dyDescent="0.3">
      <c r="A11" s="2743" t="s">
        <v>763</v>
      </c>
      <c r="B11" s="2744"/>
      <c r="C11" s="2744"/>
      <c r="D11" s="2744"/>
      <c r="E11" s="570">
        <f>SUM(E9:E10)</f>
        <v>0</v>
      </c>
      <c r="F11" s="570">
        <f>SUM(F9:F10)</f>
        <v>0</v>
      </c>
      <c r="G11" s="570">
        <f>SUM(G9:G10)</f>
        <v>0</v>
      </c>
      <c r="H11" s="437">
        <v>0</v>
      </c>
    </row>
    <row r="12" spans="1:8" s="340" customFormat="1" ht="15.75" thickTop="1" x14ac:dyDescent="0.25">
      <c r="A12" s="337" t="s">
        <v>764</v>
      </c>
      <c r="B12" s="338"/>
      <c r="C12" s="338"/>
      <c r="D12" s="339"/>
      <c r="E12" s="352">
        <f>E9</f>
        <v>0</v>
      </c>
      <c r="F12" s="352">
        <f>F9</f>
        <v>0</v>
      </c>
      <c r="G12" s="352">
        <f>G9</f>
        <v>0</v>
      </c>
      <c r="H12" s="373">
        <v>0</v>
      </c>
    </row>
    <row r="13" spans="1:8" s="340" customFormat="1" ht="15.75" thickBot="1" x14ac:dyDescent="0.3">
      <c r="A13" s="595" t="s">
        <v>769</v>
      </c>
      <c r="B13" s="560"/>
      <c r="C13" s="560"/>
      <c r="D13" s="596"/>
      <c r="E13" s="597">
        <f>E11-E12</f>
        <v>0</v>
      </c>
      <c r="F13" s="597">
        <f>F11-F12</f>
        <v>0</v>
      </c>
      <c r="G13" s="597">
        <f>G11-G12</f>
        <v>0</v>
      </c>
      <c r="H13" s="604">
        <v>0</v>
      </c>
    </row>
    <row r="14" spans="1:8" ht="13.5" thickTop="1" x14ac:dyDescent="0.2"/>
    <row r="16" spans="1:8" s="600" customFormat="1" ht="16.5" x14ac:dyDescent="0.25">
      <c r="A16" s="579" t="s">
        <v>465</v>
      </c>
      <c r="B16" s="580"/>
      <c r="C16" s="581"/>
      <c r="D16" s="582"/>
      <c r="E16" s="583">
        <f>SUM(E17:E19)</f>
        <v>0</v>
      </c>
      <c r="F16" s="583">
        <f>F17+F18+F19+F20</f>
        <v>0</v>
      </c>
      <c r="G16" s="583">
        <f>G17+G18+G19+G20</f>
        <v>0</v>
      </c>
      <c r="H16" s="584">
        <v>0</v>
      </c>
    </row>
    <row r="17" spans="1:8" s="381" customFormat="1" ht="15" x14ac:dyDescent="0.2">
      <c r="A17" s="555" t="s">
        <v>263</v>
      </c>
      <c r="B17" s="585"/>
      <c r="C17" s="586"/>
      <c r="D17" s="587"/>
      <c r="E17" s="588">
        <f>E10</f>
        <v>0</v>
      </c>
      <c r="F17" s="588">
        <f>F10</f>
        <v>0</v>
      </c>
      <c r="G17" s="588">
        <f>G10</f>
        <v>0</v>
      </c>
      <c r="H17" s="589">
        <v>0</v>
      </c>
    </row>
    <row r="18" spans="1:8" s="381" customFormat="1" ht="15" x14ac:dyDescent="0.2">
      <c r="A18" s="555" t="s">
        <v>264</v>
      </c>
      <c r="B18" s="590"/>
      <c r="C18" s="586"/>
      <c r="D18" s="591"/>
      <c r="E18" s="588">
        <v>0</v>
      </c>
      <c r="F18" s="588">
        <v>0</v>
      </c>
      <c r="G18" s="588">
        <v>0</v>
      </c>
      <c r="H18" s="605">
        <v>0</v>
      </c>
    </row>
    <row r="19" spans="1:8" s="381" customFormat="1" ht="15" x14ac:dyDescent="0.2">
      <c r="A19" s="555" t="s">
        <v>466</v>
      </c>
      <c r="B19" s="590"/>
      <c r="C19" s="586"/>
      <c r="D19" s="591"/>
      <c r="E19" s="588">
        <f>SUM(E9)</f>
        <v>0</v>
      </c>
      <c r="F19" s="588">
        <f>SUM(F9)</f>
        <v>0</v>
      </c>
      <c r="G19" s="588">
        <f>SUM(G9)</f>
        <v>0</v>
      </c>
      <c r="H19" s="605">
        <v>0</v>
      </c>
    </row>
    <row r="20" spans="1:8" s="381" customFormat="1" ht="15" x14ac:dyDescent="0.2">
      <c r="A20" s="555"/>
      <c r="B20" s="590"/>
      <c r="C20" s="586"/>
      <c r="D20" s="591"/>
      <c r="E20" s="588"/>
      <c r="F20" s="588"/>
      <c r="G20" s="588"/>
      <c r="H20" s="592"/>
    </row>
    <row r="21" spans="1:8" s="58" customFormat="1" ht="45" customHeight="1" thickBot="1" x14ac:dyDescent="0.4">
      <c r="A21" s="2640" t="s">
        <v>772</v>
      </c>
      <c r="B21" s="2745"/>
      <c r="C21" s="2745"/>
      <c r="D21" s="2745"/>
      <c r="E21" s="593">
        <f>SUM(E16)</f>
        <v>0</v>
      </c>
      <c r="F21" s="593">
        <f>SUM(F16)</f>
        <v>0</v>
      </c>
      <c r="G21" s="593">
        <f>SUM(G16)</f>
        <v>0</v>
      </c>
      <c r="H21" s="609">
        <v>0</v>
      </c>
    </row>
    <row r="22" spans="1:8" ht="13.5" thickTop="1" x14ac:dyDescent="0.2"/>
  </sheetData>
  <mergeCells count="3">
    <mergeCell ref="A21:D21"/>
    <mergeCell ref="G1:H1"/>
    <mergeCell ref="A11:D11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14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</sheetPr>
  <dimension ref="A1:K20"/>
  <sheetViews>
    <sheetView showGridLines="0" zoomScaleNormal="100" workbookViewId="0">
      <selection activeCell="A267" sqref="A267"/>
    </sheetView>
  </sheetViews>
  <sheetFormatPr defaultRowHeight="12.75" x14ac:dyDescent="0.2"/>
  <cols>
    <col min="1" max="1" width="4.7109375" style="411" customWidth="1"/>
    <col min="2" max="2" width="6.7109375" style="411" customWidth="1"/>
    <col min="3" max="3" width="9.140625" style="411"/>
    <col min="4" max="4" width="46.42578125" style="349" customWidth="1"/>
    <col min="5" max="5" width="13.85546875" style="453" customWidth="1"/>
    <col min="6" max="6" width="14.85546875" style="453" customWidth="1"/>
    <col min="7" max="7" width="13.85546875" style="453" customWidth="1"/>
    <col min="8" max="8" width="6.42578125" style="610" customWidth="1"/>
    <col min="9" max="16384" width="9.140625" style="349"/>
  </cols>
  <sheetData>
    <row r="1" spans="1:11" ht="18" x14ac:dyDescent="0.25">
      <c r="A1" s="471" t="s">
        <v>830</v>
      </c>
      <c r="B1" s="472"/>
      <c r="C1" s="472"/>
      <c r="D1" s="472"/>
      <c r="E1" s="472"/>
      <c r="F1" s="472"/>
      <c r="G1" s="416"/>
    </row>
    <row r="2" spans="1:11" ht="18.75" thickBot="1" x14ac:dyDescent="0.3">
      <c r="A2" s="474" t="s">
        <v>805</v>
      </c>
      <c r="B2" s="470"/>
      <c r="C2" s="470"/>
      <c r="D2" s="470"/>
      <c r="E2" s="470"/>
      <c r="F2" s="470"/>
      <c r="G2" s="416"/>
      <c r="H2" s="611" t="s">
        <v>806</v>
      </c>
    </row>
    <row r="3" spans="1:11" ht="18" x14ac:dyDescent="0.25">
      <c r="B3" s="416"/>
      <c r="C3" s="416"/>
      <c r="D3" s="416"/>
      <c r="E3" s="416"/>
      <c r="F3" s="416"/>
      <c r="G3" s="416"/>
      <c r="H3" s="612"/>
    </row>
    <row r="4" spans="1:11" s="381" customFormat="1" ht="16.5" customHeight="1" x14ac:dyDescent="0.2">
      <c r="A4" s="67" t="s">
        <v>367</v>
      </c>
      <c r="B4" s="28"/>
      <c r="C4" s="531" t="s">
        <v>347</v>
      </c>
    </row>
    <row r="5" spans="1:11" s="381" customFormat="1" ht="12.75" customHeight="1" x14ac:dyDescent="0.25">
      <c r="A5" s="6"/>
      <c r="B5" s="28"/>
      <c r="C5" s="531" t="s">
        <v>348</v>
      </c>
    </row>
    <row r="6" spans="1:11" ht="18" x14ac:dyDescent="0.25">
      <c r="A6" s="417" t="s">
        <v>828</v>
      </c>
      <c r="B6" s="416"/>
      <c r="C6" s="416"/>
      <c r="D6" s="416"/>
      <c r="E6" s="416"/>
      <c r="F6" s="416"/>
      <c r="G6" s="416"/>
      <c r="H6" s="612"/>
    </row>
    <row r="7" spans="1:11" ht="18.75" thickBot="1" x14ac:dyDescent="0.3">
      <c r="A7" s="417"/>
      <c r="B7" s="416"/>
      <c r="C7" s="416"/>
      <c r="D7" s="416"/>
      <c r="E7" s="416"/>
      <c r="F7" s="416"/>
      <c r="G7" s="416"/>
      <c r="H7" s="613" t="s">
        <v>1227</v>
      </c>
    </row>
    <row r="8" spans="1:11" s="383" customFormat="1" ht="25.5" thickTop="1" thickBot="1" x14ac:dyDescent="0.25">
      <c r="A8" s="535" t="s">
        <v>162</v>
      </c>
      <c r="B8" s="536" t="s">
        <v>761</v>
      </c>
      <c r="C8" s="536" t="s">
        <v>377</v>
      </c>
      <c r="D8" s="537" t="s">
        <v>164</v>
      </c>
      <c r="E8" s="538" t="s">
        <v>632</v>
      </c>
      <c r="F8" s="538" t="s">
        <v>633</v>
      </c>
      <c r="G8" s="539" t="s">
        <v>882</v>
      </c>
      <c r="H8" s="614" t="s">
        <v>883</v>
      </c>
    </row>
    <row r="9" spans="1:11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41">
        <v>5</v>
      </c>
      <c r="F9" s="541">
        <v>6</v>
      </c>
      <c r="G9" s="542">
        <v>7</v>
      </c>
      <c r="H9" s="543" t="s">
        <v>61</v>
      </c>
    </row>
    <row r="10" spans="1:11" s="418" customFormat="1" ht="16.5" thickTop="1" thickBot="1" x14ac:dyDescent="0.25">
      <c r="A10" s="419">
        <v>6409</v>
      </c>
      <c r="B10" s="420">
        <v>5909</v>
      </c>
      <c r="C10" s="421"/>
      <c r="D10" s="422" t="s">
        <v>768</v>
      </c>
      <c r="E10" s="414">
        <v>0</v>
      </c>
      <c r="F10" s="414">
        <v>0</v>
      </c>
      <c r="G10" s="414">
        <v>0</v>
      </c>
      <c r="H10" s="626">
        <v>0</v>
      </c>
      <c r="I10" s="615"/>
      <c r="J10" s="615"/>
      <c r="K10" s="615"/>
    </row>
    <row r="11" spans="1:11" s="340" customFormat="1" ht="16.5" thickTop="1" thickBot="1" x14ac:dyDescent="0.3">
      <c r="A11" s="2743" t="s">
        <v>763</v>
      </c>
      <c r="B11" s="2744"/>
      <c r="C11" s="2744"/>
      <c r="D11" s="2744"/>
      <c r="E11" s="570">
        <f>SUM(,E10:E10)</f>
        <v>0</v>
      </c>
      <c r="F11" s="570">
        <f>SUM(,F10:F10)</f>
        <v>0</v>
      </c>
      <c r="G11" s="570">
        <f>SUM(,G10:G10)</f>
        <v>0</v>
      </c>
      <c r="H11" s="437">
        <v>0</v>
      </c>
      <c r="I11" s="616"/>
    </row>
    <row r="12" spans="1:11" ht="13.5" thickTop="1" x14ac:dyDescent="0.2"/>
    <row r="14" spans="1:11" s="600" customFormat="1" ht="16.5" x14ac:dyDescent="0.25">
      <c r="A14" s="579" t="s">
        <v>465</v>
      </c>
      <c r="B14" s="580"/>
      <c r="C14" s="581"/>
      <c r="D14" s="582"/>
      <c r="E14" s="583">
        <f>SUM(E15:E17)</f>
        <v>0</v>
      </c>
      <c r="F14" s="583">
        <f>F15+F16+F17+F18</f>
        <v>0</v>
      </c>
      <c r="G14" s="583">
        <f>G15+G16+G17+G18</f>
        <v>0</v>
      </c>
      <c r="H14" s="584">
        <v>0</v>
      </c>
    </row>
    <row r="15" spans="1:11" s="381" customFormat="1" ht="15" x14ac:dyDescent="0.2">
      <c r="A15" s="555" t="s">
        <v>263</v>
      </c>
      <c r="B15" s="585"/>
      <c r="C15" s="586"/>
      <c r="D15" s="587"/>
      <c r="E15" s="588">
        <f>SUM(E10:E10)</f>
        <v>0</v>
      </c>
      <c r="F15" s="588">
        <f>SUM(F10:F10)</f>
        <v>0</v>
      </c>
      <c r="G15" s="588">
        <f>SUM(G10:G10)</f>
        <v>0</v>
      </c>
      <c r="H15" s="589">
        <v>0</v>
      </c>
    </row>
    <row r="16" spans="1:11" s="381" customFormat="1" ht="15" x14ac:dyDescent="0.2">
      <c r="A16" s="555" t="s">
        <v>264</v>
      </c>
      <c r="B16" s="590"/>
      <c r="C16" s="586"/>
      <c r="D16" s="591"/>
      <c r="E16" s="588">
        <v>0</v>
      </c>
      <c r="F16" s="588">
        <v>0</v>
      </c>
      <c r="G16" s="588">
        <v>0</v>
      </c>
      <c r="H16" s="589">
        <v>0</v>
      </c>
    </row>
    <row r="17" spans="1:8" s="381" customFormat="1" ht="15" x14ac:dyDescent="0.2">
      <c r="A17" s="555" t="s">
        <v>466</v>
      </c>
      <c r="B17" s="590"/>
      <c r="C17" s="586"/>
      <c r="D17" s="591"/>
      <c r="E17" s="588">
        <v>0</v>
      </c>
      <c r="F17" s="588">
        <v>0</v>
      </c>
      <c r="G17" s="588">
        <v>0</v>
      </c>
      <c r="H17" s="605">
        <v>0</v>
      </c>
    </row>
    <row r="18" spans="1:8" s="381" customFormat="1" ht="15" x14ac:dyDescent="0.2">
      <c r="A18" s="555"/>
      <c r="B18" s="590"/>
      <c r="C18" s="586"/>
      <c r="D18" s="591"/>
      <c r="E18" s="588"/>
      <c r="F18" s="588"/>
      <c r="G18" s="588"/>
      <c r="H18" s="592"/>
    </row>
    <row r="19" spans="1:8" s="58" customFormat="1" ht="69" customHeight="1" thickBot="1" x14ac:dyDescent="0.4">
      <c r="A19" s="2640" t="s">
        <v>831</v>
      </c>
      <c r="B19" s="2745"/>
      <c r="C19" s="2745"/>
      <c r="D19" s="2745"/>
      <c r="E19" s="593">
        <f>SUM(E14)</f>
        <v>0</v>
      </c>
      <c r="F19" s="593">
        <f>SUM(F14)</f>
        <v>0</v>
      </c>
      <c r="G19" s="593">
        <f>SUM(G14)</f>
        <v>0</v>
      </c>
      <c r="H19" s="609">
        <v>0</v>
      </c>
    </row>
    <row r="20" spans="1:8" ht="13.5" thickTop="1" x14ac:dyDescent="0.2"/>
  </sheetData>
  <mergeCells count="2">
    <mergeCell ref="A11:D11"/>
    <mergeCell ref="A19:D19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14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0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1" customWidth="1"/>
    <col min="2" max="2" width="6.7109375" style="411" customWidth="1"/>
    <col min="3" max="3" width="9" style="411" bestFit="1" customWidth="1"/>
    <col min="4" max="4" width="46.42578125" style="349" customWidth="1"/>
    <col min="5" max="5" width="14.7109375" style="453" customWidth="1"/>
    <col min="6" max="6" width="14.5703125" style="453" customWidth="1"/>
    <col min="7" max="7" width="13.85546875" style="453" customWidth="1"/>
    <col min="8" max="8" width="7" style="349" customWidth="1"/>
    <col min="9" max="16384" width="9.140625" style="349"/>
  </cols>
  <sheetData>
    <row r="1" spans="1:8" ht="18" x14ac:dyDescent="0.25">
      <c r="A1" s="471" t="s">
        <v>459</v>
      </c>
      <c r="B1" s="472"/>
      <c r="C1" s="472"/>
      <c r="D1" s="472"/>
      <c r="E1" s="472"/>
      <c r="F1" s="472"/>
      <c r="G1" s="416"/>
    </row>
    <row r="2" spans="1:8" ht="18.75" thickBot="1" x14ac:dyDescent="0.3">
      <c r="A2" s="474" t="s">
        <v>460</v>
      </c>
      <c r="B2" s="470"/>
      <c r="C2" s="470"/>
      <c r="D2" s="470"/>
      <c r="E2" s="470"/>
      <c r="F2" s="470"/>
      <c r="G2" s="416"/>
      <c r="H2" s="572" t="s">
        <v>1218</v>
      </c>
    </row>
    <row r="3" spans="1:8" ht="18" x14ac:dyDescent="0.25">
      <c r="A3" s="417"/>
      <c r="B3" s="416"/>
      <c r="C3" s="416"/>
      <c r="D3" s="416"/>
      <c r="E3" s="416"/>
      <c r="F3" s="416"/>
      <c r="G3" s="416"/>
      <c r="H3" s="572"/>
    </row>
    <row r="4" spans="1:8" s="381" customFormat="1" ht="16.5" customHeight="1" x14ac:dyDescent="0.2">
      <c r="A4" s="67" t="s">
        <v>367</v>
      </c>
      <c r="B4" s="28"/>
      <c r="C4" s="531" t="s">
        <v>347</v>
      </c>
    </row>
    <row r="5" spans="1:8" s="381" customFormat="1" ht="12.75" customHeight="1" x14ac:dyDescent="0.25">
      <c r="A5" s="6"/>
      <c r="B5" s="28"/>
      <c r="C5" s="531" t="s">
        <v>348</v>
      </c>
    </row>
    <row r="6" spans="1:8" ht="18" x14ac:dyDescent="0.25">
      <c r="A6" s="417" t="s">
        <v>675</v>
      </c>
      <c r="B6" s="416"/>
      <c r="C6" s="416"/>
      <c r="D6" s="416"/>
      <c r="E6" s="416"/>
      <c r="F6" s="416"/>
      <c r="G6" s="416"/>
      <c r="H6" s="572"/>
    </row>
    <row r="7" spans="1:8" ht="13.5" thickBot="1" x14ac:dyDescent="0.25">
      <c r="H7" s="349" t="s">
        <v>1227</v>
      </c>
    </row>
    <row r="8" spans="1:8" s="383" customFormat="1" ht="25.5" thickTop="1" thickBot="1" x14ac:dyDescent="0.25">
      <c r="A8" s="535" t="s">
        <v>162</v>
      </c>
      <c r="B8" s="536" t="s">
        <v>761</v>
      </c>
      <c r="C8" s="536" t="s">
        <v>377</v>
      </c>
      <c r="D8" s="537" t="s">
        <v>164</v>
      </c>
      <c r="E8" s="538" t="s">
        <v>632</v>
      </c>
      <c r="F8" s="538" t="s">
        <v>633</v>
      </c>
      <c r="G8" s="539" t="s">
        <v>882</v>
      </c>
      <c r="H8" s="540" t="s">
        <v>883</v>
      </c>
    </row>
    <row r="9" spans="1:8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41">
        <v>5</v>
      </c>
      <c r="F9" s="541">
        <v>6</v>
      </c>
      <c r="G9" s="542">
        <v>7</v>
      </c>
      <c r="H9" s="529" t="s">
        <v>61</v>
      </c>
    </row>
    <row r="10" spans="1:8" ht="21.75" customHeight="1" thickTop="1" thickBot="1" x14ac:dyDescent="0.25">
      <c r="A10" s="419">
        <v>6409</v>
      </c>
      <c r="B10" s="420">
        <v>5909</v>
      </c>
      <c r="C10" s="421"/>
      <c r="D10" s="422" t="s">
        <v>1316</v>
      </c>
      <c r="E10" s="414">
        <v>0</v>
      </c>
      <c r="F10" s="414">
        <v>0</v>
      </c>
      <c r="G10" s="414">
        <v>0</v>
      </c>
      <c r="H10" s="626">
        <v>0</v>
      </c>
    </row>
    <row r="11" spans="1:8" s="340" customFormat="1" ht="16.5" thickTop="1" thickBot="1" x14ac:dyDescent="0.3">
      <c r="A11" s="2743" t="s">
        <v>763</v>
      </c>
      <c r="B11" s="2744"/>
      <c r="C11" s="2744"/>
      <c r="D11" s="2744"/>
      <c r="E11" s="576">
        <f>SUM(E10:E10)</f>
        <v>0</v>
      </c>
      <c r="F11" s="576">
        <f>SUM(F10:F10)</f>
        <v>0</v>
      </c>
      <c r="G11" s="599">
        <f>SUM(G10:G10)</f>
        <v>0</v>
      </c>
      <c r="H11" s="577">
        <v>0</v>
      </c>
    </row>
    <row r="12" spans="1:8" ht="13.5" thickTop="1" x14ac:dyDescent="0.2"/>
    <row r="14" spans="1:8" s="600" customFormat="1" ht="16.5" x14ac:dyDescent="0.25">
      <c r="A14" s="579" t="s">
        <v>465</v>
      </c>
      <c r="B14" s="580"/>
      <c r="C14" s="581"/>
      <c r="D14" s="582"/>
      <c r="E14" s="583">
        <f>SUM(E15:E17)</f>
        <v>0</v>
      </c>
      <c r="F14" s="583">
        <f>F15+F16+F17+F18</f>
        <v>0</v>
      </c>
      <c r="G14" s="583">
        <f>G15+G16+G17+G18</f>
        <v>0</v>
      </c>
      <c r="H14" s="584">
        <v>0</v>
      </c>
    </row>
    <row r="15" spans="1:8" s="381" customFormat="1" ht="15" x14ac:dyDescent="0.2">
      <c r="A15" s="555" t="s">
        <v>263</v>
      </c>
      <c r="B15" s="585"/>
      <c r="C15" s="586"/>
      <c r="D15" s="587"/>
      <c r="E15" s="588">
        <f>SUM(E10:E10)</f>
        <v>0</v>
      </c>
      <c r="F15" s="588">
        <f>SUM(F10:F10)</f>
        <v>0</v>
      </c>
      <c r="G15" s="588">
        <f>SUM(G10:G10)</f>
        <v>0</v>
      </c>
      <c r="H15" s="589">
        <v>0</v>
      </c>
    </row>
    <row r="16" spans="1:8" s="381" customFormat="1" ht="15" x14ac:dyDescent="0.2">
      <c r="A16" s="555" t="s">
        <v>264</v>
      </c>
      <c r="B16" s="590"/>
      <c r="C16" s="586"/>
      <c r="D16" s="591"/>
      <c r="E16" s="588">
        <v>0</v>
      </c>
      <c r="F16" s="588">
        <v>0</v>
      </c>
      <c r="G16" s="588">
        <v>0</v>
      </c>
      <c r="H16" s="589">
        <v>0</v>
      </c>
    </row>
    <row r="17" spans="1:8" s="381" customFormat="1" ht="15" x14ac:dyDescent="0.2">
      <c r="A17" s="555" t="s">
        <v>466</v>
      </c>
      <c r="B17" s="590"/>
      <c r="C17" s="586"/>
      <c r="D17" s="591"/>
      <c r="E17" s="588">
        <v>0</v>
      </c>
      <c r="F17" s="588">
        <v>0</v>
      </c>
      <c r="G17" s="588">
        <v>0</v>
      </c>
      <c r="H17" s="605">
        <v>0</v>
      </c>
    </row>
    <row r="18" spans="1:8" s="381" customFormat="1" ht="15" x14ac:dyDescent="0.2">
      <c r="A18" s="555"/>
      <c r="B18" s="590"/>
      <c r="C18" s="586"/>
      <c r="D18" s="591"/>
      <c r="E18" s="588"/>
      <c r="F18" s="588"/>
      <c r="G18" s="588"/>
      <c r="H18" s="592"/>
    </row>
    <row r="19" spans="1:8" s="58" customFormat="1" ht="71.25" customHeight="1" thickBot="1" x14ac:dyDescent="0.4">
      <c r="A19" s="2640" t="s">
        <v>472</v>
      </c>
      <c r="B19" s="2745"/>
      <c r="C19" s="2745"/>
      <c r="D19" s="2745"/>
      <c r="E19" s="593">
        <f>SUM(E14)</f>
        <v>0</v>
      </c>
      <c r="F19" s="593">
        <f>SUM(F14)</f>
        <v>0</v>
      </c>
      <c r="G19" s="593">
        <f>SUM(G14)</f>
        <v>0</v>
      </c>
      <c r="H19" s="607">
        <v>0</v>
      </c>
    </row>
    <row r="20" spans="1:8" ht="13.5" thickTop="1" x14ac:dyDescent="0.2"/>
  </sheetData>
  <mergeCells count="2">
    <mergeCell ref="A11:D11"/>
    <mergeCell ref="A19:D19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65" firstPageNumber="148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6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1" customWidth="1"/>
    <col min="2" max="2" width="6.7109375" style="411" customWidth="1"/>
    <col min="3" max="3" width="9" style="411" bestFit="1" customWidth="1"/>
    <col min="4" max="4" width="46.42578125" style="349" customWidth="1"/>
    <col min="5" max="5" width="15" style="453" customWidth="1"/>
    <col min="6" max="6" width="13.5703125" style="453" customWidth="1"/>
    <col min="7" max="7" width="12.28515625" style="453" customWidth="1"/>
    <col min="8" max="8" width="6.42578125" style="349" customWidth="1"/>
    <col min="9" max="9" width="12.7109375" style="349" bestFit="1" customWidth="1"/>
    <col min="10" max="16384" width="9.140625" style="349"/>
  </cols>
  <sheetData>
    <row r="1" spans="1:8" ht="18.75" thickBot="1" x14ac:dyDescent="0.3">
      <c r="A1" s="469" t="s">
        <v>1067</v>
      </c>
      <c r="B1" s="470"/>
      <c r="C1" s="470"/>
      <c r="D1" s="470"/>
      <c r="E1" s="470"/>
      <c r="F1" s="416"/>
      <c r="G1" s="416"/>
    </row>
    <row r="2" spans="1:8" ht="18" x14ac:dyDescent="0.25">
      <c r="B2" s="416"/>
      <c r="C2" s="416"/>
      <c r="D2" s="416"/>
      <c r="E2" s="416"/>
      <c r="F2" s="416"/>
      <c r="G2" s="416"/>
      <c r="H2" s="572" t="s">
        <v>1219</v>
      </c>
    </row>
    <row r="3" spans="1:8" s="381" customFormat="1" ht="16.5" customHeight="1" x14ac:dyDescent="0.2">
      <c r="A3" s="67" t="s">
        <v>367</v>
      </c>
      <c r="B3" s="28"/>
      <c r="C3" s="531" t="s">
        <v>347</v>
      </c>
    </row>
    <row r="4" spans="1:8" s="381" customFormat="1" ht="12.75" customHeight="1" x14ac:dyDescent="0.25">
      <c r="A4" s="6"/>
      <c r="B4" s="28"/>
      <c r="C4" s="531" t="s">
        <v>348</v>
      </c>
    </row>
    <row r="5" spans="1:8" ht="18" x14ac:dyDescent="0.25">
      <c r="A5" s="417" t="s">
        <v>1066</v>
      </c>
      <c r="B5" s="416"/>
      <c r="C5" s="416"/>
      <c r="D5" s="416"/>
      <c r="E5" s="416"/>
      <c r="F5" s="416"/>
      <c r="G5" s="416"/>
      <c r="H5" s="572"/>
    </row>
    <row r="6" spans="1:8" ht="18.75" thickBot="1" x14ac:dyDescent="0.3">
      <c r="A6" s="417"/>
      <c r="B6" s="416"/>
      <c r="C6" s="416"/>
      <c r="D6" s="416"/>
      <c r="E6" s="416"/>
      <c r="F6" s="416"/>
      <c r="G6" s="416"/>
      <c r="H6" s="606" t="s">
        <v>1227</v>
      </c>
    </row>
    <row r="7" spans="1:8" s="383" customFormat="1" ht="25.5" thickTop="1" thickBot="1" x14ac:dyDescent="0.25">
      <c r="A7" s="535" t="s">
        <v>162</v>
      </c>
      <c r="B7" s="536" t="s">
        <v>761</v>
      </c>
      <c r="C7" s="536" t="s">
        <v>377</v>
      </c>
      <c r="D7" s="537" t="s">
        <v>164</v>
      </c>
      <c r="E7" s="538" t="s">
        <v>632</v>
      </c>
      <c r="F7" s="538" t="s">
        <v>633</v>
      </c>
      <c r="G7" s="539" t="s">
        <v>882</v>
      </c>
      <c r="H7" s="540" t="s">
        <v>883</v>
      </c>
    </row>
    <row r="8" spans="1:8" s="383" customFormat="1" ht="13.5" thickTop="1" thickBot="1" x14ac:dyDescent="0.25">
      <c r="A8" s="566">
        <v>1</v>
      </c>
      <c r="B8" s="567">
        <v>2</v>
      </c>
      <c r="C8" s="567">
        <v>3</v>
      </c>
      <c r="D8" s="567">
        <v>4</v>
      </c>
      <c r="E8" s="541">
        <v>5</v>
      </c>
      <c r="F8" s="541">
        <v>6</v>
      </c>
      <c r="G8" s="542">
        <v>7</v>
      </c>
      <c r="H8" s="529" t="s">
        <v>61</v>
      </c>
    </row>
    <row r="9" spans="1:8" s="350" customFormat="1" ht="20.25" customHeight="1" thickTop="1" thickBot="1" x14ac:dyDescent="0.25">
      <c r="A9" s="419">
        <v>6409</v>
      </c>
      <c r="B9" s="420">
        <v>5909</v>
      </c>
      <c r="C9" s="421"/>
      <c r="D9" s="422" t="s">
        <v>1316</v>
      </c>
      <c r="E9" s="414">
        <v>0</v>
      </c>
      <c r="F9" s="414">
        <v>0</v>
      </c>
      <c r="G9" s="414">
        <v>0</v>
      </c>
      <c r="H9" s="437">
        <v>0</v>
      </c>
    </row>
    <row r="10" spans="1:8" s="340" customFormat="1" ht="16.5" thickTop="1" thickBot="1" x14ac:dyDescent="0.3">
      <c r="A10" s="2743" t="s">
        <v>763</v>
      </c>
      <c r="B10" s="2744"/>
      <c r="C10" s="2744"/>
      <c r="D10" s="2744"/>
      <c r="E10" s="576">
        <f>SUM(E9:E9)</f>
        <v>0</v>
      </c>
      <c r="F10" s="576">
        <f>SUM(F9:F9)</f>
        <v>0</v>
      </c>
      <c r="G10" s="576">
        <f>SUM(G9:G9)</f>
        <v>0</v>
      </c>
      <c r="H10" s="437">
        <v>0</v>
      </c>
    </row>
    <row r="11" spans="1:8" ht="13.5" thickTop="1" x14ac:dyDescent="0.2"/>
    <row r="13" spans="1:8" s="600" customFormat="1" ht="16.5" x14ac:dyDescent="0.25">
      <c r="A13" s="579" t="s">
        <v>465</v>
      </c>
      <c r="B13" s="580"/>
      <c r="C13" s="581"/>
      <c r="D13" s="582"/>
      <c r="E13" s="583">
        <f>SUM(E14:E16)</f>
        <v>0</v>
      </c>
      <c r="F13" s="583">
        <f>F14+F15+F16+F17</f>
        <v>0</v>
      </c>
      <c r="G13" s="583">
        <f>G14+G15+G16+G17</f>
        <v>0</v>
      </c>
      <c r="H13" s="584">
        <v>0</v>
      </c>
    </row>
    <row r="14" spans="1:8" s="381" customFormat="1" ht="15" x14ac:dyDescent="0.2">
      <c r="A14" s="555" t="s">
        <v>263</v>
      </c>
      <c r="B14" s="585"/>
      <c r="C14" s="586"/>
      <c r="D14" s="587"/>
      <c r="E14" s="588">
        <f>SUM(E10)</f>
        <v>0</v>
      </c>
      <c r="F14" s="588">
        <f>SUM(F10)</f>
        <v>0</v>
      </c>
      <c r="G14" s="588">
        <f>SUM(G10)</f>
        <v>0</v>
      </c>
      <c r="H14" s="589">
        <v>0</v>
      </c>
    </row>
    <row r="15" spans="1:8" s="381" customFormat="1" ht="15" x14ac:dyDescent="0.2">
      <c r="A15" s="555" t="s">
        <v>264</v>
      </c>
      <c r="B15" s="590"/>
      <c r="C15" s="586"/>
      <c r="D15" s="591"/>
      <c r="E15" s="588">
        <v>0</v>
      </c>
      <c r="F15" s="588">
        <v>0</v>
      </c>
      <c r="G15" s="588">
        <v>0</v>
      </c>
      <c r="H15" s="605">
        <v>0</v>
      </c>
    </row>
    <row r="16" spans="1:8" s="381" customFormat="1" ht="15" x14ac:dyDescent="0.2">
      <c r="A16" s="555" t="s">
        <v>466</v>
      </c>
      <c r="B16" s="590"/>
      <c r="C16" s="586"/>
      <c r="D16" s="591"/>
      <c r="E16" s="588">
        <v>0</v>
      </c>
      <c r="F16" s="588">
        <v>0</v>
      </c>
      <c r="G16" s="588">
        <v>0</v>
      </c>
      <c r="H16" s="605">
        <v>0</v>
      </c>
    </row>
    <row r="17" spans="1:8" s="381" customFormat="1" ht="15" x14ac:dyDescent="0.2">
      <c r="A17" s="555"/>
      <c r="B17" s="590"/>
      <c r="C17" s="586"/>
      <c r="D17" s="591"/>
      <c r="E17" s="588"/>
      <c r="F17" s="588"/>
      <c r="G17" s="588"/>
      <c r="H17" s="592"/>
    </row>
    <row r="18" spans="1:8" s="58" customFormat="1" ht="47.25" customHeight="1" thickBot="1" x14ac:dyDescent="0.4">
      <c r="A18" s="2640" t="s">
        <v>1068</v>
      </c>
      <c r="B18" s="2745"/>
      <c r="C18" s="2745"/>
      <c r="D18" s="2745"/>
      <c r="E18" s="593">
        <f>SUM(E13)</f>
        <v>0</v>
      </c>
      <c r="F18" s="593">
        <f>SUM(F13)</f>
        <v>0</v>
      </c>
      <c r="G18" s="593">
        <f>SUM(G13)</f>
        <v>0</v>
      </c>
      <c r="H18" s="607" t="e">
        <f>(G18/F18)*100</f>
        <v>#DIV/0!</v>
      </c>
    </row>
    <row r="19" spans="1:8" ht="13.5" thickTop="1" x14ac:dyDescent="0.2"/>
    <row r="26" spans="1:8" ht="20.25" x14ac:dyDescent="0.3">
      <c r="D26" s="608"/>
    </row>
  </sheetData>
  <mergeCells count="2">
    <mergeCell ref="A10:D10"/>
    <mergeCell ref="A18:D18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149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6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1" customWidth="1"/>
    <col min="2" max="2" width="6.7109375" style="411" customWidth="1"/>
    <col min="3" max="3" width="9.28515625" style="411" customWidth="1"/>
    <col min="4" max="4" width="46.42578125" style="349" customWidth="1"/>
    <col min="5" max="5" width="12.140625" style="453" customWidth="1"/>
    <col min="6" max="6" width="16.85546875" style="453" customWidth="1"/>
    <col min="7" max="7" width="13.85546875" style="453" customWidth="1"/>
    <col min="8" max="8" width="6.42578125" style="349" customWidth="1"/>
    <col min="9" max="9" width="11.7109375" style="349" bestFit="1" customWidth="1"/>
    <col min="10" max="16384" width="9.140625" style="349"/>
  </cols>
  <sheetData>
    <row r="1" spans="1:8" ht="36" customHeight="1" thickBot="1" x14ac:dyDescent="0.3">
      <c r="A1" s="2749" t="s">
        <v>441</v>
      </c>
      <c r="B1" s="2750"/>
      <c r="C1" s="2750"/>
      <c r="D1" s="2750"/>
      <c r="E1" s="2750"/>
      <c r="F1" s="2750"/>
      <c r="G1" s="2750"/>
      <c r="H1" s="2750"/>
    </row>
    <row r="2" spans="1:8" ht="18" x14ac:dyDescent="0.25">
      <c r="B2" s="416"/>
      <c r="C2" s="416"/>
      <c r="D2" s="416"/>
      <c r="E2" s="416"/>
      <c r="F2" s="416"/>
      <c r="G2" s="416"/>
      <c r="H2" s="572" t="s">
        <v>1224</v>
      </c>
    </row>
    <row r="3" spans="1:8" s="381" customFormat="1" ht="16.5" customHeight="1" x14ac:dyDescent="0.25">
      <c r="A3" s="67" t="s">
        <v>367</v>
      </c>
      <c r="B3" s="28"/>
      <c r="C3" s="531" t="s">
        <v>347</v>
      </c>
      <c r="E3" s="16"/>
      <c r="G3" s="601"/>
    </row>
    <row r="4" spans="1:8" s="381" customFormat="1" ht="12.75" customHeight="1" x14ac:dyDescent="0.25">
      <c r="A4" s="6"/>
      <c r="B4" s="28"/>
      <c r="C4" s="531" t="s">
        <v>348</v>
      </c>
      <c r="E4" s="16"/>
      <c r="G4" s="601"/>
    </row>
    <row r="5" spans="1:8" ht="18" x14ac:dyDescent="0.25">
      <c r="A5" s="573"/>
      <c r="B5" s="416"/>
      <c r="C5" s="416"/>
      <c r="D5" s="416"/>
      <c r="E5" s="416"/>
      <c r="F5" s="416"/>
      <c r="G5" s="416"/>
      <c r="H5" s="572"/>
    </row>
    <row r="6" spans="1:8" ht="18" x14ac:dyDescent="0.25">
      <c r="A6" s="417" t="s">
        <v>45</v>
      </c>
      <c r="B6" s="416"/>
      <c r="C6" s="416"/>
      <c r="D6" s="416"/>
      <c r="E6" s="416"/>
      <c r="F6" s="416"/>
      <c r="G6" s="416"/>
      <c r="H6" s="572"/>
    </row>
    <row r="7" spans="1:8" ht="15.75" thickBot="1" x14ac:dyDescent="0.3">
      <c r="A7" s="533"/>
      <c r="H7" s="574" t="s">
        <v>1227</v>
      </c>
    </row>
    <row r="8" spans="1:8" s="383" customFormat="1" ht="25.5" thickTop="1" thickBot="1" x14ac:dyDescent="0.25">
      <c r="A8" s="535" t="s">
        <v>162</v>
      </c>
      <c r="B8" s="536" t="s">
        <v>761</v>
      </c>
      <c r="C8" s="536" t="s">
        <v>377</v>
      </c>
      <c r="D8" s="537" t="s">
        <v>164</v>
      </c>
      <c r="E8" s="538" t="s">
        <v>632</v>
      </c>
      <c r="F8" s="538" t="s">
        <v>633</v>
      </c>
      <c r="G8" s="539" t="s">
        <v>882</v>
      </c>
      <c r="H8" s="540" t="s">
        <v>883</v>
      </c>
    </row>
    <row r="9" spans="1:8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41">
        <v>5</v>
      </c>
      <c r="F9" s="541">
        <v>6</v>
      </c>
      <c r="G9" s="542">
        <v>7</v>
      </c>
      <c r="H9" s="529" t="s">
        <v>61</v>
      </c>
    </row>
    <row r="10" spans="1:8" ht="16.5" thickTop="1" thickBot="1" x14ac:dyDescent="0.25">
      <c r="A10" s="419">
        <v>6409</v>
      </c>
      <c r="B10" s="420">
        <v>5909</v>
      </c>
      <c r="C10" s="421"/>
      <c r="D10" s="422" t="s">
        <v>727</v>
      </c>
      <c r="E10" s="415"/>
      <c r="F10" s="415">
        <v>0</v>
      </c>
      <c r="G10" s="603">
        <v>0</v>
      </c>
      <c r="H10" s="437">
        <v>0</v>
      </c>
    </row>
    <row r="11" spans="1:8" s="340" customFormat="1" ht="16.5" thickTop="1" thickBot="1" x14ac:dyDescent="0.3">
      <c r="A11" s="2743" t="s">
        <v>763</v>
      </c>
      <c r="B11" s="2744"/>
      <c r="C11" s="2744"/>
      <c r="D11" s="2744"/>
      <c r="E11" s="576">
        <f>SUM(E10:E10)</f>
        <v>0</v>
      </c>
      <c r="F11" s="576">
        <f>SUM(F10:F10)</f>
        <v>0</v>
      </c>
      <c r="G11" s="599">
        <f>SUM(G10:G10)</f>
        <v>0</v>
      </c>
      <c r="H11" s="437">
        <v>0</v>
      </c>
    </row>
    <row r="12" spans="1:8" s="340" customFormat="1" ht="15.75" thickTop="1" x14ac:dyDescent="0.25">
      <c r="A12" s="337" t="s">
        <v>764</v>
      </c>
      <c r="B12" s="338"/>
      <c r="C12" s="338"/>
      <c r="D12" s="339"/>
      <c r="E12" s="352"/>
      <c r="F12" s="352">
        <v>0</v>
      </c>
      <c r="G12" s="352">
        <f>G10</f>
        <v>0</v>
      </c>
      <c r="H12" s="373">
        <v>0</v>
      </c>
    </row>
    <row r="13" spans="1:8" s="340" customFormat="1" ht="15.75" thickBot="1" x14ac:dyDescent="0.3">
      <c r="A13" s="595" t="s">
        <v>769</v>
      </c>
      <c r="B13" s="560"/>
      <c r="C13" s="560"/>
      <c r="D13" s="596"/>
      <c r="E13" s="597">
        <f>E11-E12</f>
        <v>0</v>
      </c>
      <c r="F13" s="597">
        <f>F11-F12</f>
        <v>0</v>
      </c>
      <c r="G13" s="597">
        <f>G11-G12</f>
        <v>0</v>
      </c>
      <c r="H13" s="604">
        <v>0</v>
      </c>
    </row>
    <row r="14" spans="1:8" ht="13.5" thickTop="1" x14ac:dyDescent="0.2"/>
    <row r="20" spans="1:8" s="600" customFormat="1" ht="16.5" x14ac:dyDescent="0.25">
      <c r="A20" s="579" t="s">
        <v>465</v>
      </c>
      <c r="B20" s="580"/>
      <c r="C20" s="581"/>
      <c r="D20" s="582"/>
      <c r="E20" s="583">
        <f>SUM(E21:E23)</f>
        <v>0</v>
      </c>
      <c r="F20" s="583">
        <f>F21+F22+F23+F24</f>
        <v>0</v>
      </c>
      <c r="G20" s="583">
        <f>G21+G22+G23+G24</f>
        <v>0</v>
      </c>
      <c r="H20" s="584">
        <v>0</v>
      </c>
    </row>
    <row r="21" spans="1:8" s="381" customFormat="1" ht="15" x14ac:dyDescent="0.2">
      <c r="A21" s="555" t="s">
        <v>263</v>
      </c>
      <c r="B21" s="585"/>
      <c r="C21" s="586"/>
      <c r="D21" s="587"/>
      <c r="E21" s="588">
        <v>0</v>
      </c>
      <c r="F21" s="588">
        <v>0</v>
      </c>
      <c r="G21" s="588">
        <v>0</v>
      </c>
      <c r="H21" s="589">
        <v>0</v>
      </c>
    </row>
    <row r="22" spans="1:8" s="381" customFormat="1" ht="15" x14ac:dyDescent="0.2">
      <c r="A22" s="555" t="s">
        <v>264</v>
      </c>
      <c r="B22" s="590"/>
      <c r="C22" s="586"/>
      <c r="D22" s="591"/>
      <c r="E22" s="588">
        <v>0</v>
      </c>
      <c r="F22" s="588">
        <v>0</v>
      </c>
      <c r="G22" s="588">
        <v>0</v>
      </c>
      <c r="H22" s="605">
        <v>0</v>
      </c>
    </row>
    <row r="23" spans="1:8" s="381" customFormat="1" ht="15" x14ac:dyDescent="0.2">
      <c r="A23" s="555" t="s">
        <v>466</v>
      </c>
      <c r="B23" s="590"/>
      <c r="C23" s="586"/>
      <c r="D23" s="591"/>
      <c r="E23" s="588">
        <f>E10</f>
        <v>0</v>
      </c>
      <c r="F23" s="588">
        <f>F10</f>
        <v>0</v>
      </c>
      <c r="G23" s="588">
        <f>G10</f>
        <v>0</v>
      </c>
      <c r="H23" s="605">
        <v>0</v>
      </c>
    </row>
    <row r="24" spans="1:8" s="381" customFormat="1" ht="15" x14ac:dyDescent="0.2">
      <c r="A24" s="555"/>
      <c r="B24" s="590"/>
      <c r="C24" s="586"/>
      <c r="D24" s="591"/>
      <c r="E24" s="588"/>
      <c r="F24" s="588"/>
      <c r="G24" s="588"/>
      <c r="H24" s="592"/>
    </row>
    <row r="25" spans="1:8" s="58" customFormat="1" ht="75" customHeight="1" thickBot="1" x14ac:dyDescent="0.4">
      <c r="A25" s="2700" t="s">
        <v>1223</v>
      </c>
      <c r="B25" s="2748"/>
      <c r="C25" s="2748"/>
      <c r="D25" s="2748"/>
      <c r="E25" s="593">
        <f>SUM(E20)</f>
        <v>0</v>
      </c>
      <c r="F25" s="593">
        <f>SUM(F20)</f>
        <v>0</v>
      </c>
      <c r="G25" s="593">
        <f>SUM(G20)</f>
        <v>0</v>
      </c>
      <c r="H25" s="594"/>
    </row>
    <row r="26" spans="1:8" ht="13.5" thickTop="1" x14ac:dyDescent="0.2"/>
  </sheetData>
  <mergeCells count="3">
    <mergeCell ref="A25:D25"/>
    <mergeCell ref="A1:H1"/>
    <mergeCell ref="A11:D11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153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H21"/>
  <sheetViews>
    <sheetView showGridLines="0" zoomScaleNormal="100" workbookViewId="0">
      <selection activeCell="A10" sqref="A10:G10"/>
    </sheetView>
  </sheetViews>
  <sheetFormatPr defaultRowHeight="12.75" x14ac:dyDescent="0.2"/>
  <cols>
    <col min="1" max="1" width="4.7109375" style="411" customWidth="1"/>
    <col min="2" max="2" width="6.7109375" style="411" customWidth="1"/>
    <col min="3" max="3" width="9.42578125" style="411" customWidth="1"/>
    <col min="4" max="4" width="46.42578125" style="349" customWidth="1"/>
    <col min="5" max="5" width="12.5703125" style="453" customWidth="1"/>
    <col min="6" max="6" width="16.85546875" style="453" customWidth="1"/>
    <col min="7" max="7" width="13.85546875" style="453" customWidth="1"/>
    <col min="8" max="8" width="6.85546875" style="558" customWidth="1"/>
    <col min="9" max="9" width="15.42578125" style="349" customWidth="1"/>
    <col min="10" max="16384" width="9.140625" style="349"/>
  </cols>
  <sheetData>
    <row r="1" spans="1:8" ht="36" customHeight="1" thickBot="1" x14ac:dyDescent="0.3">
      <c r="A1" s="2749" t="s">
        <v>396</v>
      </c>
      <c r="B1" s="2750"/>
      <c r="C1" s="2750"/>
      <c r="D1" s="2750"/>
      <c r="E1" s="2750"/>
      <c r="F1" s="2750"/>
      <c r="G1" s="2750"/>
      <c r="H1" s="2750"/>
    </row>
    <row r="2" spans="1:8" ht="24" customHeight="1" x14ac:dyDescent="0.25">
      <c r="A2" s="399"/>
      <c r="B2" s="400"/>
      <c r="C2" s="400"/>
      <c r="D2" s="400"/>
      <c r="E2" s="400"/>
      <c r="F2" s="400"/>
      <c r="G2" s="400"/>
      <c r="H2" s="572" t="s">
        <v>40</v>
      </c>
    </row>
    <row r="3" spans="1:8" s="381" customFormat="1" ht="16.5" customHeight="1" x14ac:dyDescent="0.25">
      <c r="A3" s="67" t="s">
        <v>367</v>
      </c>
      <c r="B3" s="28"/>
      <c r="C3" s="531" t="s">
        <v>347</v>
      </c>
      <c r="E3" s="17"/>
      <c r="F3" s="16"/>
      <c r="H3" s="601"/>
    </row>
    <row r="4" spans="1:8" s="381" customFormat="1" ht="12.75" customHeight="1" x14ac:dyDescent="0.25">
      <c r="A4" s="6"/>
      <c r="B4" s="28"/>
      <c r="C4" s="531" t="s">
        <v>348</v>
      </c>
      <c r="E4" s="17"/>
      <c r="F4" s="16"/>
      <c r="H4" s="601"/>
    </row>
    <row r="5" spans="1:8" ht="15.75" x14ac:dyDescent="0.25">
      <c r="A5" s="565"/>
      <c r="B5" s="416"/>
      <c r="C5" s="416"/>
      <c r="D5" s="416"/>
      <c r="E5" s="416"/>
      <c r="F5" s="416"/>
      <c r="G5" s="416"/>
    </row>
    <row r="6" spans="1:8" ht="18" x14ac:dyDescent="0.25">
      <c r="A6" s="417" t="s">
        <v>41</v>
      </c>
      <c r="B6" s="416"/>
      <c r="C6" s="416"/>
      <c r="D6" s="416"/>
      <c r="E6" s="416"/>
      <c r="F6" s="416"/>
      <c r="G6" s="416"/>
      <c r="H6" s="572"/>
    </row>
    <row r="8" spans="1:8" ht="15.75" thickBot="1" x14ac:dyDescent="0.3">
      <c r="A8" s="533"/>
      <c r="H8" s="574" t="s">
        <v>161</v>
      </c>
    </row>
    <row r="9" spans="1:8" s="383" customFormat="1" ht="25.5" thickTop="1" thickBot="1" x14ac:dyDescent="0.25">
      <c r="A9" s="535" t="s">
        <v>162</v>
      </c>
      <c r="B9" s="536" t="s">
        <v>761</v>
      </c>
      <c r="C9" s="536" t="s">
        <v>377</v>
      </c>
      <c r="D9" s="537" t="s">
        <v>164</v>
      </c>
      <c r="E9" s="538" t="s">
        <v>632</v>
      </c>
      <c r="F9" s="538" t="s">
        <v>633</v>
      </c>
      <c r="G9" s="539" t="s">
        <v>882</v>
      </c>
      <c r="H9" s="540" t="s">
        <v>883</v>
      </c>
    </row>
    <row r="10" spans="1:8" s="383" customFormat="1" ht="13.5" thickTop="1" thickBot="1" x14ac:dyDescent="0.25">
      <c r="A10" s="566">
        <v>1</v>
      </c>
      <c r="B10" s="567">
        <v>2</v>
      </c>
      <c r="C10" s="567">
        <v>3</v>
      </c>
      <c r="D10" s="567">
        <v>4</v>
      </c>
      <c r="E10" s="541">
        <v>5</v>
      </c>
      <c r="F10" s="541">
        <v>6</v>
      </c>
      <c r="G10" s="542">
        <v>7</v>
      </c>
      <c r="H10" s="529" t="s">
        <v>61</v>
      </c>
    </row>
    <row r="11" spans="1:8" ht="15.75" thickTop="1" x14ac:dyDescent="0.2">
      <c r="A11" s="419">
        <v>6330</v>
      </c>
      <c r="B11" s="420">
        <v>5345</v>
      </c>
      <c r="C11" s="602"/>
      <c r="D11" s="422" t="s">
        <v>767</v>
      </c>
      <c r="E11" s="390"/>
      <c r="F11" s="390">
        <v>0</v>
      </c>
      <c r="G11" s="598">
        <v>0</v>
      </c>
      <c r="H11" s="438">
        <v>0</v>
      </c>
    </row>
    <row r="12" spans="1:8" ht="21" customHeight="1" thickBot="1" x14ac:dyDescent="0.25">
      <c r="A12" s="419">
        <v>6409</v>
      </c>
      <c r="B12" s="420">
        <v>5909</v>
      </c>
      <c r="C12" s="602"/>
      <c r="D12" s="422" t="s">
        <v>781</v>
      </c>
      <c r="E12" s="390"/>
      <c r="F12" s="390">
        <v>0</v>
      </c>
      <c r="G12" s="598">
        <v>0</v>
      </c>
      <c r="H12" s="437">
        <v>0</v>
      </c>
    </row>
    <row r="13" spans="1:8" s="340" customFormat="1" ht="16.5" thickTop="1" thickBot="1" x14ac:dyDescent="0.3">
      <c r="A13" s="2743" t="s">
        <v>763</v>
      </c>
      <c r="B13" s="2744"/>
      <c r="C13" s="2744"/>
      <c r="D13" s="2744"/>
      <c r="E13" s="576">
        <f>SUM(E11:E12)</f>
        <v>0</v>
      </c>
      <c r="F13" s="576">
        <f>SUM(F11:F12)</f>
        <v>0</v>
      </c>
      <c r="G13" s="599">
        <f>SUM(G11:G12)</f>
        <v>0</v>
      </c>
      <c r="H13" s="437">
        <v>0</v>
      </c>
    </row>
    <row r="14" spans="1:8" ht="13.5" thickTop="1" x14ac:dyDescent="0.2"/>
    <row r="15" spans="1:8" s="600" customFormat="1" ht="16.5" x14ac:dyDescent="0.25">
      <c r="A15" s="579" t="s">
        <v>465</v>
      </c>
      <c r="B15" s="580"/>
      <c r="C15" s="581"/>
      <c r="D15" s="582"/>
      <c r="E15" s="583">
        <f>SUM(E16:E18)</f>
        <v>0</v>
      </c>
      <c r="F15" s="583">
        <f>F16+F17+F18+F19</f>
        <v>0</v>
      </c>
      <c r="G15" s="583">
        <f>G16+G17+G18+G19</f>
        <v>0</v>
      </c>
      <c r="H15" s="584">
        <v>0</v>
      </c>
    </row>
    <row r="16" spans="1:8" s="381" customFormat="1" ht="15" x14ac:dyDescent="0.2">
      <c r="A16" s="555" t="s">
        <v>263</v>
      </c>
      <c r="B16" s="585"/>
      <c r="C16" s="586"/>
      <c r="D16" s="587"/>
      <c r="E16" s="588">
        <f>SUM(E12:E12)</f>
        <v>0</v>
      </c>
      <c r="F16" s="588">
        <f>SUM(F12:F12)</f>
        <v>0</v>
      </c>
      <c r="G16" s="588">
        <f>SUM(G12:G12)</f>
        <v>0</v>
      </c>
      <c r="H16" s="589">
        <v>0</v>
      </c>
    </row>
    <row r="17" spans="1:8" s="381" customFormat="1" ht="15" x14ac:dyDescent="0.2">
      <c r="A17" s="555" t="s">
        <v>264</v>
      </c>
      <c r="B17" s="590"/>
      <c r="C17" s="586"/>
      <c r="D17" s="591"/>
      <c r="E17" s="588">
        <v>0</v>
      </c>
      <c r="F17" s="588">
        <v>0</v>
      </c>
      <c r="G17" s="588">
        <v>0</v>
      </c>
      <c r="H17" s="589">
        <v>0</v>
      </c>
    </row>
    <row r="18" spans="1:8" s="381" customFormat="1" ht="15" x14ac:dyDescent="0.2">
      <c r="A18" s="555" t="s">
        <v>466</v>
      </c>
      <c r="B18" s="590"/>
      <c r="C18" s="586"/>
      <c r="D18" s="591"/>
      <c r="E18" s="588">
        <f>E11</f>
        <v>0</v>
      </c>
      <c r="F18" s="588">
        <f>F11</f>
        <v>0</v>
      </c>
      <c r="G18" s="588">
        <f>G11</f>
        <v>0</v>
      </c>
      <c r="H18" s="589">
        <v>0</v>
      </c>
    </row>
    <row r="19" spans="1:8" s="381" customFormat="1" ht="15" x14ac:dyDescent="0.2">
      <c r="A19" s="555"/>
      <c r="B19" s="590"/>
      <c r="C19" s="586"/>
      <c r="D19" s="591"/>
      <c r="E19" s="588"/>
      <c r="F19" s="588"/>
      <c r="G19" s="588"/>
      <c r="H19" s="592"/>
    </row>
    <row r="20" spans="1:8" s="58" customFormat="1" ht="75" customHeight="1" thickBot="1" x14ac:dyDescent="0.4">
      <c r="A20" s="2640" t="s">
        <v>44</v>
      </c>
      <c r="B20" s="2745"/>
      <c r="C20" s="2745"/>
      <c r="D20" s="2745"/>
      <c r="E20" s="593">
        <f>SUM(E15)</f>
        <v>0</v>
      </c>
      <c r="F20" s="593">
        <f>SUM(F15)</f>
        <v>0</v>
      </c>
      <c r="G20" s="593">
        <f>SUM(G15)</f>
        <v>0</v>
      </c>
      <c r="H20" s="594"/>
    </row>
    <row r="21" spans="1:8" ht="13.5" thickTop="1" x14ac:dyDescent="0.2"/>
  </sheetData>
  <mergeCells count="3">
    <mergeCell ref="A20:D20"/>
    <mergeCell ref="A1:H1"/>
    <mergeCell ref="A13:D13"/>
  </mergeCells>
  <phoneticPr fontId="34" type="noConversion"/>
  <pageMargins left="0.78740157480314965" right="0.98425196850393704" top="0.98425196850393704" bottom="0.98425196850393704" header="0.51181102362204722" footer="0.51181102362204722"/>
  <pageSetup paperSize="9" scale="70" firstPageNumber="155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34"/>
  </sheetPr>
  <dimension ref="A1:I19"/>
  <sheetViews>
    <sheetView showGridLines="0" zoomScaleNormal="100" workbookViewId="0">
      <selection activeCell="E22" sqref="E22"/>
    </sheetView>
  </sheetViews>
  <sheetFormatPr defaultRowHeight="12.75" x14ac:dyDescent="0.2"/>
  <cols>
    <col min="1" max="1" width="4.7109375" style="411" customWidth="1"/>
    <col min="2" max="2" width="6.7109375" style="411" customWidth="1"/>
    <col min="3" max="3" width="8.85546875" style="411" customWidth="1"/>
    <col min="4" max="4" width="46.42578125" style="349" customWidth="1"/>
    <col min="5" max="5" width="12.85546875" style="453" customWidth="1"/>
    <col min="6" max="6" width="16.85546875" style="453" customWidth="1"/>
    <col min="7" max="7" width="13.85546875" style="453" customWidth="1"/>
    <col min="8" max="8" width="6.42578125" style="349" customWidth="1"/>
    <col min="9" max="9" width="12.5703125" style="349" customWidth="1"/>
    <col min="10" max="16384" width="9.140625" style="349"/>
  </cols>
  <sheetData>
    <row r="1" spans="1:9" s="381" customFormat="1" ht="18.75" thickBot="1" x14ac:dyDescent="0.3">
      <c r="A1" s="463" t="s">
        <v>818</v>
      </c>
      <c r="B1" s="464"/>
      <c r="C1" s="465"/>
      <c r="D1" s="466"/>
      <c r="E1" s="467"/>
      <c r="F1" s="466"/>
      <c r="G1" s="468"/>
      <c r="H1" s="17"/>
      <c r="I1" s="382"/>
    </row>
    <row r="2" spans="1:9" s="381" customFormat="1" ht="21.75" customHeight="1" x14ac:dyDescent="0.25">
      <c r="A2" s="6"/>
      <c r="B2" s="28"/>
      <c r="C2" s="142"/>
      <c r="D2" s="307"/>
      <c r="E2" s="307"/>
      <c r="F2" s="16"/>
      <c r="G2" s="16"/>
      <c r="H2" s="572" t="s">
        <v>808</v>
      </c>
      <c r="I2" s="382"/>
    </row>
    <row r="3" spans="1:9" s="381" customFormat="1" ht="12.75" customHeight="1" x14ac:dyDescent="0.25">
      <c r="A3" s="67" t="s">
        <v>367</v>
      </c>
      <c r="B3" s="28"/>
      <c r="C3" s="531" t="s">
        <v>463</v>
      </c>
      <c r="D3" s="307"/>
      <c r="E3" s="16"/>
      <c r="F3" s="17"/>
      <c r="G3" s="16"/>
    </row>
    <row r="4" spans="1:9" s="381" customFormat="1" ht="12.75" customHeight="1" x14ac:dyDescent="0.25">
      <c r="A4" s="6"/>
      <c r="B4" s="28"/>
      <c r="C4" s="531" t="s">
        <v>464</v>
      </c>
      <c r="D4" s="307"/>
      <c r="E4" s="16"/>
      <c r="F4" s="17"/>
      <c r="G4" s="16"/>
    </row>
    <row r="5" spans="1:9" ht="18" x14ac:dyDescent="0.25">
      <c r="A5" s="417" t="s">
        <v>817</v>
      </c>
      <c r="B5" s="416"/>
      <c r="C5" s="416"/>
      <c r="D5" s="416"/>
      <c r="E5" s="416"/>
      <c r="F5" s="416"/>
      <c r="G5" s="416"/>
      <c r="H5" s="572"/>
    </row>
    <row r="6" spans="1:9" ht="15.75" x14ac:dyDescent="0.25">
      <c r="A6" s="573"/>
    </row>
    <row r="7" spans="1:9" ht="15.75" thickBot="1" x14ac:dyDescent="0.3">
      <c r="A7" s="533"/>
      <c r="H7" s="349" t="s">
        <v>1227</v>
      </c>
    </row>
    <row r="8" spans="1:9" s="383" customFormat="1" ht="25.5" thickTop="1" thickBot="1" x14ac:dyDescent="0.25">
      <c r="A8" s="535" t="s">
        <v>162</v>
      </c>
      <c r="B8" s="536" t="s">
        <v>761</v>
      </c>
      <c r="C8" s="536" t="s">
        <v>377</v>
      </c>
      <c r="D8" s="537" t="s">
        <v>164</v>
      </c>
      <c r="E8" s="538" t="s">
        <v>632</v>
      </c>
      <c r="F8" s="538" t="s">
        <v>633</v>
      </c>
      <c r="G8" s="539" t="s">
        <v>882</v>
      </c>
      <c r="H8" s="540" t="s">
        <v>883</v>
      </c>
    </row>
    <row r="9" spans="1:9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41">
        <v>5</v>
      </c>
      <c r="F9" s="541">
        <v>6</v>
      </c>
      <c r="G9" s="542">
        <v>7</v>
      </c>
      <c r="H9" s="529" t="s">
        <v>61</v>
      </c>
    </row>
    <row r="10" spans="1:9" ht="16.5" thickTop="1" thickBot="1" x14ac:dyDescent="0.25">
      <c r="A10" s="419">
        <v>6409</v>
      </c>
      <c r="B10" s="420">
        <v>5909</v>
      </c>
      <c r="C10" s="421">
        <v>0</v>
      </c>
      <c r="D10" s="422" t="s">
        <v>727</v>
      </c>
      <c r="E10" s="390">
        <v>0</v>
      </c>
      <c r="F10" s="390">
        <v>0</v>
      </c>
      <c r="G10" s="598">
        <v>0</v>
      </c>
      <c r="H10" s="575">
        <v>0</v>
      </c>
    </row>
    <row r="11" spans="1:9" s="340" customFormat="1" ht="16.5" thickTop="1" thickBot="1" x14ac:dyDescent="0.3">
      <c r="A11" s="2743" t="s">
        <v>763</v>
      </c>
      <c r="B11" s="2744"/>
      <c r="C11" s="2744"/>
      <c r="D11" s="2744"/>
      <c r="E11" s="576">
        <f>SUM(E10:E10)</f>
        <v>0</v>
      </c>
      <c r="F11" s="576">
        <f>SUM(F10:F10)</f>
        <v>0</v>
      </c>
      <c r="G11" s="599">
        <v>0</v>
      </c>
      <c r="H11" s="577">
        <v>0</v>
      </c>
    </row>
    <row r="12" spans="1:9" ht="13.5" thickTop="1" x14ac:dyDescent="0.2"/>
    <row r="13" spans="1:9" s="600" customFormat="1" ht="16.5" x14ac:dyDescent="0.25">
      <c r="A13" s="579" t="s">
        <v>465</v>
      </c>
      <c r="B13" s="580"/>
      <c r="C13" s="581"/>
      <c r="D13" s="582"/>
      <c r="E13" s="583">
        <f>SUM(E14:E16)</f>
        <v>0</v>
      </c>
      <c r="F13" s="583">
        <f>F14+F15+F16+F17</f>
        <v>0</v>
      </c>
      <c r="G13" s="583">
        <f>G14+G15+G16+G17</f>
        <v>0</v>
      </c>
      <c r="H13" s="584">
        <v>0</v>
      </c>
    </row>
    <row r="14" spans="1:9" s="381" customFormat="1" ht="15" x14ac:dyDescent="0.2">
      <c r="A14" s="555" t="s">
        <v>263</v>
      </c>
      <c r="B14" s="585"/>
      <c r="C14" s="586"/>
      <c r="D14" s="587"/>
      <c r="E14" s="588">
        <f>SUM(E11)</f>
        <v>0</v>
      </c>
      <c r="F14" s="588">
        <f>SUM(F11)</f>
        <v>0</v>
      </c>
      <c r="G14" s="588">
        <f>G10</f>
        <v>0</v>
      </c>
      <c r="H14" s="589">
        <v>0</v>
      </c>
    </row>
    <row r="15" spans="1:9" s="381" customFormat="1" ht="15" x14ac:dyDescent="0.2">
      <c r="A15" s="555" t="s">
        <v>264</v>
      </c>
      <c r="B15" s="590"/>
      <c r="C15" s="586"/>
      <c r="D15" s="591"/>
      <c r="E15" s="588">
        <v>0</v>
      </c>
      <c r="F15" s="588">
        <v>0</v>
      </c>
      <c r="G15" s="588">
        <v>0</v>
      </c>
      <c r="H15" s="589">
        <v>0</v>
      </c>
    </row>
    <row r="16" spans="1:9" s="381" customFormat="1" ht="15" x14ac:dyDescent="0.2">
      <c r="A16" s="555" t="s">
        <v>466</v>
      </c>
      <c r="B16" s="590"/>
      <c r="C16" s="586"/>
      <c r="D16" s="591"/>
      <c r="E16" s="588">
        <v>0</v>
      </c>
      <c r="F16" s="588">
        <v>0</v>
      </c>
      <c r="G16" s="588">
        <v>0</v>
      </c>
      <c r="H16" s="589">
        <v>0</v>
      </c>
    </row>
    <row r="17" spans="1:8" s="381" customFormat="1" ht="15" x14ac:dyDescent="0.2">
      <c r="A17" s="555"/>
      <c r="B17" s="590"/>
      <c r="C17" s="586"/>
      <c r="D17" s="591"/>
      <c r="E17" s="588"/>
      <c r="F17" s="588"/>
      <c r="G17" s="588"/>
      <c r="H17" s="592"/>
    </row>
    <row r="18" spans="1:8" s="58" customFormat="1" ht="69" customHeight="1" thickBot="1" x14ac:dyDescent="0.4">
      <c r="A18" s="2640" t="s">
        <v>39</v>
      </c>
      <c r="B18" s="2745"/>
      <c r="C18" s="2745"/>
      <c r="D18" s="2745"/>
      <c r="E18" s="593">
        <f>SUM(E13)</f>
        <v>0</v>
      </c>
      <c r="F18" s="593">
        <f>SUM(F13)</f>
        <v>0</v>
      </c>
      <c r="G18" s="593">
        <f>SUM(G13)</f>
        <v>0</v>
      </c>
      <c r="H18" s="594"/>
    </row>
    <row r="19" spans="1:8" ht="13.5" thickTop="1" x14ac:dyDescent="0.2"/>
  </sheetData>
  <mergeCells count="2">
    <mergeCell ref="A11:D11"/>
    <mergeCell ref="A18:D18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156" orientation="portrait" r:id="rId1"/>
  <headerFooter alignWithMargins="0">
    <oddFooter xml:space="preserve">&amp;L&amp;"Arial,Kurzíva"Zastupitelstvo Olomouckého kraje 28.6.2010
8.- Rozpočet Olomouckého kraje 2009 - závěrečný  účet
Příloha č. 3: Plnění rozpočtu výdajů Olomouckého kraje k 31.12.2009&amp;R&amp;"Arial,Kurzíva"Strana &amp;P (Celkem 464)
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0"/>
  <sheetViews>
    <sheetView showGridLines="0" view="pageBreakPreview" zoomScaleNormal="100" zoomScaleSheetLayoutView="100" workbookViewId="0">
      <selection activeCell="F27" sqref="F27"/>
    </sheetView>
  </sheetViews>
  <sheetFormatPr defaultRowHeight="12.75" x14ac:dyDescent="0.2"/>
  <cols>
    <col min="1" max="1" width="4.7109375" style="1802" customWidth="1"/>
    <col min="2" max="2" width="6.7109375" style="1802" customWidth="1"/>
    <col min="3" max="3" width="9" style="1802" bestFit="1" customWidth="1"/>
    <col min="4" max="4" width="46.42578125" style="1803" customWidth="1"/>
    <col min="5" max="5" width="13.85546875" style="1829" customWidth="1"/>
    <col min="6" max="6" width="14.85546875" style="1829" customWidth="1"/>
    <col min="7" max="7" width="13.85546875" style="1829" customWidth="1"/>
    <col min="8" max="8" width="6.42578125" style="1803" customWidth="1"/>
    <col min="9" max="9" width="19.85546875" style="1803" customWidth="1"/>
    <col min="10" max="10" width="9.140625" style="1803"/>
    <col min="11" max="11" width="13.140625" style="1803" customWidth="1"/>
    <col min="12" max="12" width="13.7109375" style="1803" customWidth="1"/>
    <col min="13" max="16384" width="9.140625" style="1803"/>
  </cols>
  <sheetData>
    <row r="1" spans="1:12" ht="18" x14ac:dyDescent="0.25">
      <c r="A1" s="2178" t="s">
        <v>1803</v>
      </c>
      <c r="B1" s="2179"/>
      <c r="C1" s="2179"/>
      <c r="D1" s="2179"/>
      <c r="E1" s="2179"/>
      <c r="F1" s="2179"/>
      <c r="G1" s="1831"/>
    </row>
    <row r="2" spans="1:12" ht="18" x14ac:dyDescent="0.25">
      <c r="A2" s="2180" t="s">
        <v>1804</v>
      </c>
      <c r="B2" s="2181"/>
      <c r="C2" s="2181"/>
      <c r="D2" s="2181"/>
      <c r="E2" s="2181"/>
      <c r="F2" s="2181"/>
      <c r="G2" s="1831"/>
      <c r="H2" s="1876" t="s">
        <v>1805</v>
      </c>
    </row>
    <row r="3" spans="1:12" ht="18" x14ac:dyDescent="0.25">
      <c r="B3" s="1831"/>
      <c r="C3" s="1831"/>
      <c r="D3" s="1831"/>
      <c r="E3" s="1831"/>
      <c r="F3" s="1831"/>
      <c r="G3" s="1831"/>
      <c r="H3" s="1876"/>
    </row>
    <row r="4" spans="1:12" s="1581" customFormat="1" ht="16.5" customHeight="1" x14ac:dyDescent="0.2">
      <c r="A4" s="1705" t="s">
        <v>367</v>
      </c>
      <c r="B4" s="1658"/>
      <c r="C4" s="1801" t="s">
        <v>347</v>
      </c>
    </row>
    <row r="5" spans="1:12" s="1581" customFormat="1" ht="12.75" customHeight="1" x14ac:dyDescent="0.25">
      <c r="A5" s="1702"/>
      <c r="B5" s="1658"/>
      <c r="C5" s="1801" t="s">
        <v>348</v>
      </c>
    </row>
    <row r="6" spans="1:12" ht="18" x14ac:dyDescent="0.25">
      <c r="A6" s="1806" t="s">
        <v>802</v>
      </c>
      <c r="B6" s="1831"/>
      <c r="C6" s="1831"/>
      <c r="D6" s="1831"/>
      <c r="E6" s="1831"/>
      <c r="F6" s="1831"/>
      <c r="G6" s="1831"/>
      <c r="H6" s="1876"/>
    </row>
    <row r="7" spans="1:12" ht="18.75" thickBot="1" x14ac:dyDescent="0.3">
      <c r="A7" s="1806"/>
      <c r="B7" s="1831"/>
      <c r="C7" s="1831"/>
      <c r="D7" s="1831"/>
      <c r="E7" s="1831"/>
      <c r="F7" s="1831"/>
      <c r="G7" s="1831"/>
      <c r="H7" s="2160" t="s">
        <v>1227</v>
      </c>
    </row>
    <row r="8" spans="1:12" s="1638" customFormat="1" ht="25.5" thickTop="1" thickBot="1" x14ac:dyDescent="0.25">
      <c r="A8" s="1809" t="s">
        <v>162</v>
      </c>
      <c r="B8" s="1810" t="s">
        <v>761</v>
      </c>
      <c r="C8" s="1810" t="s">
        <v>377</v>
      </c>
      <c r="D8" s="1811" t="s">
        <v>164</v>
      </c>
      <c r="E8" s="1833" t="s">
        <v>632</v>
      </c>
      <c r="F8" s="1833" t="s">
        <v>633</v>
      </c>
      <c r="G8" s="1834" t="s">
        <v>882</v>
      </c>
      <c r="H8" s="1835" t="s">
        <v>883</v>
      </c>
    </row>
    <row r="9" spans="1:12" s="1638" customFormat="1" ht="13.5" thickTop="1" thickBot="1" x14ac:dyDescent="0.25">
      <c r="A9" s="1643">
        <v>1</v>
      </c>
      <c r="B9" s="1642">
        <v>2</v>
      </c>
      <c r="C9" s="1642">
        <v>3</v>
      </c>
      <c r="D9" s="1642">
        <v>4</v>
      </c>
      <c r="E9" s="1641">
        <v>5</v>
      </c>
      <c r="F9" s="1641">
        <v>6</v>
      </c>
      <c r="G9" s="1877">
        <v>7</v>
      </c>
      <c r="H9" s="1814" t="s">
        <v>61</v>
      </c>
    </row>
    <row r="10" spans="1:12" s="1846" customFormat="1" ht="46.5" thickTop="1" thickBot="1" x14ac:dyDescent="0.25">
      <c r="A10" s="1896">
        <v>6402</v>
      </c>
      <c r="B10" s="1903">
        <v>5364</v>
      </c>
      <c r="C10" s="1904">
        <v>19</v>
      </c>
      <c r="D10" s="1836" t="s">
        <v>1806</v>
      </c>
      <c r="E10" s="1852">
        <v>0</v>
      </c>
      <c r="F10" s="1852">
        <v>151</v>
      </c>
      <c r="G10" s="2182">
        <v>151</v>
      </c>
      <c r="H10" s="2183">
        <f>G10/F10*100</f>
        <v>100</v>
      </c>
    </row>
    <row r="11" spans="1:12" s="1828" customFormat="1" ht="16.5" thickTop="1" thickBot="1" x14ac:dyDescent="0.3">
      <c r="A11" s="2751" t="s">
        <v>763</v>
      </c>
      <c r="B11" s="2752"/>
      <c r="C11" s="2752"/>
      <c r="D11" s="2752"/>
      <c r="E11" s="2184">
        <f>SUM(E10:E10)</f>
        <v>0</v>
      </c>
      <c r="F11" s="2184">
        <f>SUM(F10:F10)</f>
        <v>151</v>
      </c>
      <c r="G11" s="2185">
        <f>SUM(G10:G10)</f>
        <v>151</v>
      </c>
      <c r="H11" s="2186">
        <f>G11/F11*100</f>
        <v>100</v>
      </c>
      <c r="I11" s="1910"/>
    </row>
    <row r="12" spans="1:12" ht="13.5" thickTop="1" x14ac:dyDescent="0.2">
      <c r="I12" s="1829"/>
    </row>
    <row r="14" spans="1:12" s="1872" customFormat="1" ht="16.5" x14ac:dyDescent="0.25">
      <c r="A14" s="1860" t="s">
        <v>465</v>
      </c>
      <c r="B14" s="1861"/>
      <c r="C14" s="1862"/>
      <c r="D14" s="1863"/>
      <c r="E14" s="1864">
        <f>SUM(E15:E17)</f>
        <v>0</v>
      </c>
      <c r="F14" s="1864">
        <f>F15+F16+F17+F18</f>
        <v>151</v>
      </c>
      <c r="G14" s="1864">
        <f>G15+G16+G17+G18</f>
        <v>151</v>
      </c>
      <c r="H14" s="1884">
        <f>G14/F14*100</f>
        <v>100</v>
      </c>
      <c r="J14" s="1880">
        <f>J15+J16+J17</f>
        <v>0</v>
      </c>
      <c r="K14" s="1880">
        <f>K15+K16+K17</f>
        <v>150631.57999999999</v>
      </c>
      <c r="L14" s="1880">
        <f>L15+L16+L17</f>
        <v>150631.57999999999</v>
      </c>
    </row>
    <row r="15" spans="1:12" s="1581" customFormat="1" ht="15" x14ac:dyDescent="0.2">
      <c r="A15" s="1600" t="s">
        <v>263</v>
      </c>
      <c r="B15" s="1603"/>
      <c r="C15" s="1598"/>
      <c r="D15" s="1867"/>
      <c r="E15" s="1601">
        <f>E11</f>
        <v>0</v>
      </c>
      <c r="F15" s="1601">
        <f>F11</f>
        <v>151</v>
      </c>
      <c r="G15" s="1601">
        <f>G11</f>
        <v>151</v>
      </c>
      <c r="H15" s="1883">
        <f>G15/F15*100</f>
        <v>100</v>
      </c>
      <c r="J15" s="1881">
        <v>0</v>
      </c>
      <c r="K15" s="1881">
        <v>150631.57999999999</v>
      </c>
      <c r="L15" s="1881">
        <v>150631.57999999999</v>
      </c>
    </row>
    <row r="16" spans="1:12" s="1581" customFormat="1" ht="15" x14ac:dyDescent="0.2">
      <c r="A16" s="1600" t="s">
        <v>264</v>
      </c>
      <c r="B16" s="1599"/>
      <c r="C16" s="1598"/>
      <c r="D16" s="1869"/>
      <c r="E16" s="1601">
        <v>0</v>
      </c>
      <c r="F16" s="1601">
        <v>0</v>
      </c>
      <c r="G16" s="1601">
        <v>0</v>
      </c>
      <c r="H16" s="1883">
        <v>0</v>
      </c>
      <c r="J16" s="1868">
        <v>0</v>
      </c>
      <c r="K16" s="1868">
        <v>0</v>
      </c>
      <c r="L16" s="1868">
        <v>0</v>
      </c>
    </row>
    <row r="17" spans="1:12" s="1581" customFormat="1" ht="15" x14ac:dyDescent="0.2">
      <c r="A17" s="1600" t="s">
        <v>466</v>
      </c>
      <c r="B17" s="1599"/>
      <c r="C17" s="1598"/>
      <c r="D17" s="1869"/>
      <c r="E17" s="1601">
        <v>0</v>
      </c>
      <c r="F17" s="1601">
        <v>0</v>
      </c>
      <c r="G17" s="1601">
        <v>0</v>
      </c>
      <c r="H17" s="1883">
        <v>0</v>
      </c>
      <c r="J17" s="1868">
        <v>0</v>
      </c>
      <c r="K17" s="1868">
        <v>0</v>
      </c>
      <c r="L17" s="1868">
        <v>0</v>
      </c>
    </row>
    <row r="18" spans="1:12" s="1581" customFormat="1" ht="15" x14ac:dyDescent="0.2">
      <c r="A18" s="1600"/>
      <c r="B18" s="1599"/>
      <c r="C18" s="1598"/>
      <c r="D18" s="1869"/>
      <c r="E18" s="1601"/>
      <c r="F18" s="1601"/>
      <c r="G18" s="1601"/>
      <c r="H18" s="1597"/>
    </row>
    <row r="19" spans="1:12" s="1589" customFormat="1" ht="69" customHeight="1" thickBot="1" x14ac:dyDescent="0.4">
      <c r="A19" s="2741" t="s">
        <v>1807</v>
      </c>
      <c r="B19" s="2742"/>
      <c r="C19" s="2742"/>
      <c r="D19" s="2742"/>
      <c r="E19" s="1591">
        <f>SUM(E14)</f>
        <v>0</v>
      </c>
      <c r="F19" s="1591">
        <f>SUM(F14)</f>
        <v>151</v>
      </c>
      <c r="G19" s="1591">
        <f>SUM(G14)</f>
        <v>151</v>
      </c>
      <c r="H19" s="1590">
        <f>G19/F19*100</f>
        <v>100</v>
      </c>
    </row>
    <row r="20" spans="1:12" ht="13.5" thickTop="1" x14ac:dyDescent="0.2"/>
  </sheetData>
  <mergeCells count="2">
    <mergeCell ref="A11:D11"/>
    <mergeCell ref="A19:D19"/>
  </mergeCells>
  <pageMargins left="0.98425196850393704" right="0.98425196850393704" top="0.98425196850393704" bottom="0.98425196850393704" header="0.51181102362204722" footer="0.51181102362204722"/>
  <pageSetup paperSize="9" scale="70" firstPageNumber="127" orientation="portrait" useFirstPageNumber="1" r:id="rId1"/>
  <headerFooter alignWithMargins="0"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1"/>
  <sheetViews>
    <sheetView view="pageBreakPreview" zoomScaleNormal="100" zoomScaleSheetLayoutView="100" workbookViewId="0">
      <selection activeCell="J16" sqref="J16:L18"/>
    </sheetView>
  </sheetViews>
  <sheetFormatPr defaultRowHeight="12.75" x14ac:dyDescent="0.2"/>
  <cols>
    <col min="1" max="3" width="9.140625" style="1986"/>
    <col min="4" max="4" width="28.42578125" style="1986" customWidth="1"/>
    <col min="5" max="5" width="9.140625" style="1986"/>
    <col min="6" max="6" width="15.28515625" style="1986" customWidth="1"/>
    <col min="7" max="7" width="10.7109375" style="1986" customWidth="1"/>
    <col min="8" max="8" width="9" style="1986" customWidth="1"/>
    <col min="9" max="10" width="9.140625" style="1986"/>
    <col min="11" max="12" width="11.42578125" style="1986" bestFit="1" customWidth="1"/>
    <col min="13" max="259" width="9.140625" style="1986"/>
    <col min="260" max="260" width="28.42578125" style="1986" customWidth="1"/>
    <col min="261" max="261" width="9.140625" style="1986"/>
    <col min="262" max="262" width="15.28515625" style="1986" customWidth="1"/>
    <col min="263" max="263" width="10.7109375" style="1986" customWidth="1"/>
    <col min="264" max="264" width="9" style="1986" customWidth="1"/>
    <col min="265" max="266" width="9.140625" style="1986"/>
    <col min="267" max="268" width="10.140625" style="1986" bestFit="1" customWidth="1"/>
    <col min="269" max="515" width="9.140625" style="1986"/>
    <col min="516" max="516" width="28.42578125" style="1986" customWidth="1"/>
    <col min="517" max="517" width="9.140625" style="1986"/>
    <col min="518" max="518" width="15.28515625" style="1986" customWidth="1"/>
    <col min="519" max="519" width="10.7109375" style="1986" customWidth="1"/>
    <col min="520" max="520" width="9" style="1986" customWidth="1"/>
    <col min="521" max="522" width="9.140625" style="1986"/>
    <col min="523" max="524" width="10.140625" style="1986" bestFit="1" customWidth="1"/>
    <col min="525" max="771" width="9.140625" style="1986"/>
    <col min="772" max="772" width="28.42578125" style="1986" customWidth="1"/>
    <col min="773" max="773" width="9.140625" style="1986"/>
    <col min="774" max="774" width="15.28515625" style="1986" customWidth="1"/>
    <col min="775" max="775" width="10.7109375" style="1986" customWidth="1"/>
    <col min="776" max="776" width="9" style="1986" customWidth="1"/>
    <col min="777" max="778" width="9.140625" style="1986"/>
    <col min="779" max="780" width="10.140625" style="1986" bestFit="1" customWidth="1"/>
    <col min="781" max="1027" width="9.140625" style="1986"/>
    <col min="1028" max="1028" width="28.42578125" style="1986" customWidth="1"/>
    <col min="1029" max="1029" width="9.140625" style="1986"/>
    <col min="1030" max="1030" width="15.28515625" style="1986" customWidth="1"/>
    <col min="1031" max="1031" width="10.7109375" style="1986" customWidth="1"/>
    <col min="1032" max="1032" width="9" style="1986" customWidth="1"/>
    <col min="1033" max="1034" width="9.140625" style="1986"/>
    <col min="1035" max="1036" width="10.140625" style="1986" bestFit="1" customWidth="1"/>
    <col min="1037" max="1283" width="9.140625" style="1986"/>
    <col min="1284" max="1284" width="28.42578125" style="1986" customWidth="1"/>
    <col min="1285" max="1285" width="9.140625" style="1986"/>
    <col min="1286" max="1286" width="15.28515625" style="1986" customWidth="1"/>
    <col min="1287" max="1287" width="10.7109375" style="1986" customWidth="1"/>
    <col min="1288" max="1288" width="9" style="1986" customWidth="1"/>
    <col min="1289" max="1290" width="9.140625" style="1986"/>
    <col min="1291" max="1292" width="10.140625" style="1986" bestFit="1" customWidth="1"/>
    <col min="1293" max="1539" width="9.140625" style="1986"/>
    <col min="1540" max="1540" width="28.42578125" style="1986" customWidth="1"/>
    <col min="1541" max="1541" width="9.140625" style="1986"/>
    <col min="1542" max="1542" width="15.28515625" style="1986" customWidth="1"/>
    <col min="1543" max="1543" width="10.7109375" style="1986" customWidth="1"/>
    <col min="1544" max="1544" width="9" style="1986" customWidth="1"/>
    <col min="1545" max="1546" width="9.140625" style="1986"/>
    <col min="1547" max="1548" width="10.140625" style="1986" bestFit="1" customWidth="1"/>
    <col min="1549" max="1795" width="9.140625" style="1986"/>
    <col min="1796" max="1796" width="28.42578125" style="1986" customWidth="1"/>
    <col min="1797" max="1797" width="9.140625" style="1986"/>
    <col min="1798" max="1798" width="15.28515625" style="1986" customWidth="1"/>
    <col min="1799" max="1799" width="10.7109375" style="1986" customWidth="1"/>
    <col min="1800" max="1800" width="9" style="1986" customWidth="1"/>
    <col min="1801" max="1802" width="9.140625" style="1986"/>
    <col min="1803" max="1804" width="10.140625" style="1986" bestFit="1" customWidth="1"/>
    <col min="1805" max="2051" width="9.140625" style="1986"/>
    <col min="2052" max="2052" width="28.42578125" style="1986" customWidth="1"/>
    <col min="2053" max="2053" width="9.140625" style="1986"/>
    <col min="2054" max="2054" width="15.28515625" style="1986" customWidth="1"/>
    <col min="2055" max="2055" width="10.7109375" style="1986" customWidth="1"/>
    <col min="2056" max="2056" width="9" style="1986" customWidth="1"/>
    <col min="2057" max="2058" width="9.140625" style="1986"/>
    <col min="2059" max="2060" width="10.140625" style="1986" bestFit="1" customWidth="1"/>
    <col min="2061" max="2307" width="9.140625" style="1986"/>
    <col min="2308" max="2308" width="28.42578125" style="1986" customWidth="1"/>
    <col min="2309" max="2309" width="9.140625" style="1986"/>
    <col min="2310" max="2310" width="15.28515625" style="1986" customWidth="1"/>
    <col min="2311" max="2311" width="10.7109375" style="1986" customWidth="1"/>
    <col min="2312" max="2312" width="9" style="1986" customWidth="1"/>
    <col min="2313" max="2314" width="9.140625" style="1986"/>
    <col min="2315" max="2316" width="10.140625" style="1986" bestFit="1" customWidth="1"/>
    <col min="2317" max="2563" width="9.140625" style="1986"/>
    <col min="2564" max="2564" width="28.42578125" style="1986" customWidth="1"/>
    <col min="2565" max="2565" width="9.140625" style="1986"/>
    <col min="2566" max="2566" width="15.28515625" style="1986" customWidth="1"/>
    <col min="2567" max="2567" width="10.7109375" style="1986" customWidth="1"/>
    <col min="2568" max="2568" width="9" style="1986" customWidth="1"/>
    <col min="2569" max="2570" width="9.140625" style="1986"/>
    <col min="2571" max="2572" width="10.140625" style="1986" bestFit="1" customWidth="1"/>
    <col min="2573" max="2819" width="9.140625" style="1986"/>
    <col min="2820" max="2820" width="28.42578125" style="1986" customWidth="1"/>
    <col min="2821" max="2821" width="9.140625" style="1986"/>
    <col min="2822" max="2822" width="15.28515625" style="1986" customWidth="1"/>
    <col min="2823" max="2823" width="10.7109375" style="1986" customWidth="1"/>
    <col min="2824" max="2824" width="9" style="1986" customWidth="1"/>
    <col min="2825" max="2826" width="9.140625" style="1986"/>
    <col min="2827" max="2828" width="10.140625" style="1986" bestFit="1" customWidth="1"/>
    <col min="2829" max="3075" width="9.140625" style="1986"/>
    <col min="3076" max="3076" width="28.42578125" style="1986" customWidth="1"/>
    <col min="3077" max="3077" width="9.140625" style="1986"/>
    <col min="3078" max="3078" width="15.28515625" style="1986" customWidth="1"/>
    <col min="3079" max="3079" width="10.7109375" style="1986" customWidth="1"/>
    <col min="3080" max="3080" width="9" style="1986" customWidth="1"/>
    <col min="3081" max="3082" width="9.140625" style="1986"/>
    <col min="3083" max="3084" width="10.140625" style="1986" bestFit="1" customWidth="1"/>
    <col min="3085" max="3331" width="9.140625" style="1986"/>
    <col min="3332" max="3332" width="28.42578125" style="1986" customWidth="1"/>
    <col min="3333" max="3333" width="9.140625" style="1986"/>
    <col min="3334" max="3334" width="15.28515625" style="1986" customWidth="1"/>
    <col min="3335" max="3335" width="10.7109375" style="1986" customWidth="1"/>
    <col min="3336" max="3336" width="9" style="1986" customWidth="1"/>
    <col min="3337" max="3338" width="9.140625" style="1986"/>
    <col min="3339" max="3340" width="10.140625" style="1986" bestFit="1" customWidth="1"/>
    <col min="3341" max="3587" width="9.140625" style="1986"/>
    <col min="3588" max="3588" width="28.42578125" style="1986" customWidth="1"/>
    <col min="3589" max="3589" width="9.140625" style="1986"/>
    <col min="3590" max="3590" width="15.28515625" style="1986" customWidth="1"/>
    <col min="3591" max="3591" width="10.7109375" style="1986" customWidth="1"/>
    <col min="3592" max="3592" width="9" style="1986" customWidth="1"/>
    <col min="3593" max="3594" width="9.140625" style="1986"/>
    <col min="3595" max="3596" width="10.140625" style="1986" bestFit="1" customWidth="1"/>
    <col min="3597" max="3843" width="9.140625" style="1986"/>
    <col min="3844" max="3844" width="28.42578125" style="1986" customWidth="1"/>
    <col min="3845" max="3845" width="9.140625" style="1986"/>
    <col min="3846" max="3846" width="15.28515625" style="1986" customWidth="1"/>
    <col min="3847" max="3847" width="10.7109375" style="1986" customWidth="1"/>
    <col min="3848" max="3848" width="9" style="1986" customWidth="1"/>
    <col min="3849" max="3850" width="9.140625" style="1986"/>
    <col min="3851" max="3852" width="10.140625" style="1986" bestFit="1" customWidth="1"/>
    <col min="3853" max="4099" width="9.140625" style="1986"/>
    <col min="4100" max="4100" width="28.42578125" style="1986" customWidth="1"/>
    <col min="4101" max="4101" width="9.140625" style="1986"/>
    <col min="4102" max="4102" width="15.28515625" style="1986" customWidth="1"/>
    <col min="4103" max="4103" width="10.7109375" style="1986" customWidth="1"/>
    <col min="4104" max="4104" width="9" style="1986" customWidth="1"/>
    <col min="4105" max="4106" width="9.140625" style="1986"/>
    <col min="4107" max="4108" width="10.140625" style="1986" bestFit="1" customWidth="1"/>
    <col min="4109" max="4355" width="9.140625" style="1986"/>
    <col min="4356" max="4356" width="28.42578125" style="1986" customWidth="1"/>
    <col min="4357" max="4357" width="9.140625" style="1986"/>
    <col min="4358" max="4358" width="15.28515625" style="1986" customWidth="1"/>
    <col min="4359" max="4359" width="10.7109375" style="1986" customWidth="1"/>
    <col min="4360" max="4360" width="9" style="1986" customWidth="1"/>
    <col min="4361" max="4362" width="9.140625" style="1986"/>
    <col min="4363" max="4364" width="10.140625" style="1986" bestFit="1" customWidth="1"/>
    <col min="4365" max="4611" width="9.140625" style="1986"/>
    <col min="4612" max="4612" width="28.42578125" style="1986" customWidth="1"/>
    <col min="4613" max="4613" width="9.140625" style="1986"/>
    <col min="4614" max="4614" width="15.28515625" style="1986" customWidth="1"/>
    <col min="4615" max="4615" width="10.7109375" style="1986" customWidth="1"/>
    <col min="4616" max="4616" width="9" style="1986" customWidth="1"/>
    <col min="4617" max="4618" width="9.140625" style="1986"/>
    <col min="4619" max="4620" width="10.140625" style="1986" bestFit="1" customWidth="1"/>
    <col min="4621" max="4867" width="9.140625" style="1986"/>
    <col min="4868" max="4868" width="28.42578125" style="1986" customWidth="1"/>
    <col min="4869" max="4869" width="9.140625" style="1986"/>
    <col min="4870" max="4870" width="15.28515625" style="1986" customWidth="1"/>
    <col min="4871" max="4871" width="10.7109375" style="1986" customWidth="1"/>
    <col min="4872" max="4872" width="9" style="1986" customWidth="1"/>
    <col min="4873" max="4874" width="9.140625" style="1986"/>
    <col min="4875" max="4876" width="10.140625" style="1986" bestFit="1" customWidth="1"/>
    <col min="4877" max="5123" width="9.140625" style="1986"/>
    <col min="5124" max="5124" width="28.42578125" style="1986" customWidth="1"/>
    <col min="5125" max="5125" width="9.140625" style="1986"/>
    <col min="5126" max="5126" width="15.28515625" style="1986" customWidth="1"/>
    <col min="5127" max="5127" width="10.7109375" style="1986" customWidth="1"/>
    <col min="5128" max="5128" width="9" style="1986" customWidth="1"/>
    <col min="5129" max="5130" width="9.140625" style="1986"/>
    <col min="5131" max="5132" width="10.140625" style="1986" bestFit="1" customWidth="1"/>
    <col min="5133" max="5379" width="9.140625" style="1986"/>
    <col min="5380" max="5380" width="28.42578125" style="1986" customWidth="1"/>
    <col min="5381" max="5381" width="9.140625" style="1986"/>
    <col min="5382" max="5382" width="15.28515625" style="1986" customWidth="1"/>
    <col min="5383" max="5383" width="10.7109375" style="1986" customWidth="1"/>
    <col min="5384" max="5384" width="9" style="1986" customWidth="1"/>
    <col min="5385" max="5386" width="9.140625" style="1986"/>
    <col min="5387" max="5388" width="10.140625" style="1986" bestFit="1" customWidth="1"/>
    <col min="5389" max="5635" width="9.140625" style="1986"/>
    <col min="5636" max="5636" width="28.42578125" style="1986" customWidth="1"/>
    <col min="5637" max="5637" width="9.140625" style="1986"/>
    <col min="5638" max="5638" width="15.28515625" style="1986" customWidth="1"/>
    <col min="5639" max="5639" width="10.7109375" style="1986" customWidth="1"/>
    <col min="5640" max="5640" width="9" style="1986" customWidth="1"/>
    <col min="5641" max="5642" width="9.140625" style="1986"/>
    <col min="5643" max="5644" width="10.140625" style="1986" bestFit="1" customWidth="1"/>
    <col min="5645" max="5891" width="9.140625" style="1986"/>
    <col min="5892" max="5892" width="28.42578125" style="1986" customWidth="1"/>
    <col min="5893" max="5893" width="9.140625" style="1986"/>
    <col min="5894" max="5894" width="15.28515625" style="1986" customWidth="1"/>
    <col min="5895" max="5895" width="10.7109375" style="1986" customWidth="1"/>
    <col min="5896" max="5896" width="9" style="1986" customWidth="1"/>
    <col min="5897" max="5898" width="9.140625" style="1986"/>
    <col min="5899" max="5900" width="10.140625" style="1986" bestFit="1" customWidth="1"/>
    <col min="5901" max="6147" width="9.140625" style="1986"/>
    <col min="6148" max="6148" width="28.42578125" style="1986" customWidth="1"/>
    <col min="6149" max="6149" width="9.140625" style="1986"/>
    <col min="6150" max="6150" width="15.28515625" style="1986" customWidth="1"/>
    <col min="6151" max="6151" width="10.7109375" style="1986" customWidth="1"/>
    <col min="6152" max="6152" width="9" style="1986" customWidth="1"/>
    <col min="6153" max="6154" width="9.140625" style="1986"/>
    <col min="6155" max="6156" width="10.140625" style="1986" bestFit="1" customWidth="1"/>
    <col min="6157" max="6403" width="9.140625" style="1986"/>
    <col min="6404" max="6404" width="28.42578125" style="1986" customWidth="1"/>
    <col min="6405" max="6405" width="9.140625" style="1986"/>
    <col min="6406" max="6406" width="15.28515625" style="1986" customWidth="1"/>
    <col min="6407" max="6407" width="10.7109375" style="1986" customWidth="1"/>
    <col min="6408" max="6408" width="9" style="1986" customWidth="1"/>
    <col min="6409" max="6410" width="9.140625" style="1986"/>
    <col min="6411" max="6412" width="10.140625" style="1986" bestFit="1" customWidth="1"/>
    <col min="6413" max="6659" width="9.140625" style="1986"/>
    <col min="6660" max="6660" width="28.42578125" style="1986" customWidth="1"/>
    <col min="6661" max="6661" width="9.140625" style="1986"/>
    <col min="6662" max="6662" width="15.28515625" style="1986" customWidth="1"/>
    <col min="6663" max="6663" width="10.7109375" style="1986" customWidth="1"/>
    <col min="6664" max="6664" width="9" style="1986" customWidth="1"/>
    <col min="6665" max="6666" width="9.140625" style="1986"/>
    <col min="6667" max="6668" width="10.140625" style="1986" bestFit="1" customWidth="1"/>
    <col min="6669" max="6915" width="9.140625" style="1986"/>
    <col min="6916" max="6916" width="28.42578125" style="1986" customWidth="1"/>
    <col min="6917" max="6917" width="9.140625" style="1986"/>
    <col min="6918" max="6918" width="15.28515625" style="1986" customWidth="1"/>
    <col min="6919" max="6919" width="10.7109375" style="1986" customWidth="1"/>
    <col min="6920" max="6920" width="9" style="1986" customWidth="1"/>
    <col min="6921" max="6922" width="9.140625" style="1986"/>
    <col min="6923" max="6924" width="10.140625" style="1986" bestFit="1" customWidth="1"/>
    <col min="6925" max="7171" width="9.140625" style="1986"/>
    <col min="7172" max="7172" width="28.42578125" style="1986" customWidth="1"/>
    <col min="7173" max="7173" width="9.140625" style="1986"/>
    <col min="7174" max="7174" width="15.28515625" style="1986" customWidth="1"/>
    <col min="7175" max="7175" width="10.7109375" style="1986" customWidth="1"/>
    <col min="7176" max="7176" width="9" style="1986" customWidth="1"/>
    <col min="7177" max="7178" width="9.140625" style="1986"/>
    <col min="7179" max="7180" width="10.140625" style="1986" bestFit="1" customWidth="1"/>
    <col min="7181" max="7427" width="9.140625" style="1986"/>
    <col min="7428" max="7428" width="28.42578125" style="1986" customWidth="1"/>
    <col min="7429" max="7429" width="9.140625" style="1986"/>
    <col min="7430" max="7430" width="15.28515625" style="1986" customWidth="1"/>
    <col min="7431" max="7431" width="10.7109375" style="1986" customWidth="1"/>
    <col min="7432" max="7432" width="9" style="1986" customWidth="1"/>
    <col min="7433" max="7434" width="9.140625" style="1986"/>
    <col min="7435" max="7436" width="10.140625" style="1986" bestFit="1" customWidth="1"/>
    <col min="7437" max="7683" width="9.140625" style="1986"/>
    <col min="7684" max="7684" width="28.42578125" style="1986" customWidth="1"/>
    <col min="7685" max="7685" width="9.140625" style="1986"/>
    <col min="7686" max="7686" width="15.28515625" style="1986" customWidth="1"/>
    <col min="7687" max="7687" width="10.7109375" style="1986" customWidth="1"/>
    <col min="7688" max="7688" width="9" style="1986" customWidth="1"/>
    <col min="7689" max="7690" width="9.140625" style="1986"/>
    <col min="7691" max="7692" width="10.140625" style="1986" bestFit="1" customWidth="1"/>
    <col min="7693" max="7939" width="9.140625" style="1986"/>
    <col min="7940" max="7940" width="28.42578125" style="1986" customWidth="1"/>
    <col min="7941" max="7941" width="9.140625" style="1986"/>
    <col min="7942" max="7942" width="15.28515625" style="1986" customWidth="1"/>
    <col min="7943" max="7943" width="10.7109375" style="1986" customWidth="1"/>
    <col min="7944" max="7944" width="9" style="1986" customWidth="1"/>
    <col min="7945" max="7946" width="9.140625" style="1986"/>
    <col min="7947" max="7948" width="10.140625" style="1986" bestFit="1" customWidth="1"/>
    <col min="7949" max="8195" width="9.140625" style="1986"/>
    <col min="8196" max="8196" width="28.42578125" style="1986" customWidth="1"/>
    <col min="8197" max="8197" width="9.140625" style="1986"/>
    <col min="8198" max="8198" width="15.28515625" style="1986" customWidth="1"/>
    <col min="8199" max="8199" width="10.7109375" style="1986" customWidth="1"/>
    <col min="8200" max="8200" width="9" style="1986" customWidth="1"/>
    <col min="8201" max="8202" width="9.140625" style="1986"/>
    <col min="8203" max="8204" width="10.140625" style="1986" bestFit="1" customWidth="1"/>
    <col min="8205" max="8451" width="9.140625" style="1986"/>
    <col min="8452" max="8452" width="28.42578125" style="1986" customWidth="1"/>
    <col min="8453" max="8453" width="9.140625" style="1986"/>
    <col min="8454" max="8454" width="15.28515625" style="1986" customWidth="1"/>
    <col min="8455" max="8455" width="10.7109375" style="1986" customWidth="1"/>
    <col min="8456" max="8456" width="9" style="1986" customWidth="1"/>
    <col min="8457" max="8458" width="9.140625" style="1986"/>
    <col min="8459" max="8460" width="10.140625" style="1986" bestFit="1" customWidth="1"/>
    <col min="8461" max="8707" width="9.140625" style="1986"/>
    <col min="8708" max="8708" width="28.42578125" style="1986" customWidth="1"/>
    <col min="8709" max="8709" width="9.140625" style="1986"/>
    <col min="8710" max="8710" width="15.28515625" style="1986" customWidth="1"/>
    <col min="8711" max="8711" width="10.7109375" style="1986" customWidth="1"/>
    <col min="8712" max="8712" width="9" style="1986" customWidth="1"/>
    <col min="8713" max="8714" width="9.140625" style="1986"/>
    <col min="8715" max="8716" width="10.140625" style="1986" bestFit="1" customWidth="1"/>
    <col min="8717" max="8963" width="9.140625" style="1986"/>
    <col min="8964" max="8964" width="28.42578125" style="1986" customWidth="1"/>
    <col min="8965" max="8965" width="9.140625" style="1986"/>
    <col min="8966" max="8966" width="15.28515625" style="1986" customWidth="1"/>
    <col min="8967" max="8967" width="10.7109375" style="1986" customWidth="1"/>
    <col min="8968" max="8968" width="9" style="1986" customWidth="1"/>
    <col min="8969" max="8970" width="9.140625" style="1986"/>
    <col min="8971" max="8972" width="10.140625" style="1986" bestFit="1" customWidth="1"/>
    <col min="8973" max="9219" width="9.140625" style="1986"/>
    <col min="9220" max="9220" width="28.42578125" style="1986" customWidth="1"/>
    <col min="9221" max="9221" width="9.140625" style="1986"/>
    <col min="9222" max="9222" width="15.28515625" style="1986" customWidth="1"/>
    <col min="9223" max="9223" width="10.7109375" style="1986" customWidth="1"/>
    <col min="9224" max="9224" width="9" style="1986" customWidth="1"/>
    <col min="9225" max="9226" width="9.140625" style="1986"/>
    <col min="9227" max="9228" width="10.140625" style="1986" bestFit="1" customWidth="1"/>
    <col min="9229" max="9475" width="9.140625" style="1986"/>
    <col min="9476" max="9476" width="28.42578125" style="1986" customWidth="1"/>
    <col min="9477" max="9477" width="9.140625" style="1986"/>
    <col min="9478" max="9478" width="15.28515625" style="1986" customWidth="1"/>
    <col min="9479" max="9479" width="10.7109375" style="1986" customWidth="1"/>
    <col min="9480" max="9480" width="9" style="1986" customWidth="1"/>
    <col min="9481" max="9482" width="9.140625" style="1986"/>
    <col min="9483" max="9484" width="10.140625" style="1986" bestFit="1" customWidth="1"/>
    <col min="9485" max="9731" width="9.140625" style="1986"/>
    <col min="9732" max="9732" width="28.42578125" style="1986" customWidth="1"/>
    <col min="9733" max="9733" width="9.140625" style="1986"/>
    <col min="9734" max="9734" width="15.28515625" style="1986" customWidth="1"/>
    <col min="9735" max="9735" width="10.7109375" style="1986" customWidth="1"/>
    <col min="9736" max="9736" width="9" style="1986" customWidth="1"/>
    <col min="9737" max="9738" width="9.140625" style="1986"/>
    <col min="9739" max="9740" width="10.140625" style="1986" bestFit="1" customWidth="1"/>
    <col min="9741" max="9987" width="9.140625" style="1986"/>
    <col min="9988" max="9988" width="28.42578125" style="1986" customWidth="1"/>
    <col min="9989" max="9989" width="9.140625" style="1986"/>
    <col min="9990" max="9990" width="15.28515625" style="1986" customWidth="1"/>
    <col min="9991" max="9991" width="10.7109375" style="1986" customWidth="1"/>
    <col min="9992" max="9992" width="9" style="1986" customWidth="1"/>
    <col min="9993" max="9994" width="9.140625" style="1986"/>
    <col min="9995" max="9996" width="10.140625" style="1986" bestFit="1" customWidth="1"/>
    <col min="9997" max="10243" width="9.140625" style="1986"/>
    <col min="10244" max="10244" width="28.42578125" style="1986" customWidth="1"/>
    <col min="10245" max="10245" width="9.140625" style="1986"/>
    <col min="10246" max="10246" width="15.28515625" style="1986" customWidth="1"/>
    <col min="10247" max="10247" width="10.7109375" style="1986" customWidth="1"/>
    <col min="10248" max="10248" width="9" style="1986" customWidth="1"/>
    <col min="10249" max="10250" width="9.140625" style="1986"/>
    <col min="10251" max="10252" width="10.140625" style="1986" bestFit="1" customWidth="1"/>
    <col min="10253" max="10499" width="9.140625" style="1986"/>
    <col min="10500" max="10500" width="28.42578125" style="1986" customWidth="1"/>
    <col min="10501" max="10501" width="9.140625" style="1986"/>
    <col min="10502" max="10502" width="15.28515625" style="1986" customWidth="1"/>
    <col min="10503" max="10503" width="10.7109375" style="1986" customWidth="1"/>
    <col min="10504" max="10504" width="9" style="1986" customWidth="1"/>
    <col min="10505" max="10506" width="9.140625" style="1986"/>
    <col min="10507" max="10508" width="10.140625" style="1986" bestFit="1" customWidth="1"/>
    <col min="10509" max="10755" width="9.140625" style="1986"/>
    <col min="10756" max="10756" width="28.42578125" style="1986" customWidth="1"/>
    <col min="10757" max="10757" width="9.140625" style="1986"/>
    <col min="10758" max="10758" width="15.28515625" style="1986" customWidth="1"/>
    <col min="10759" max="10759" width="10.7109375" style="1986" customWidth="1"/>
    <col min="10760" max="10760" width="9" style="1986" customWidth="1"/>
    <col min="10761" max="10762" width="9.140625" style="1986"/>
    <col min="10763" max="10764" width="10.140625" style="1986" bestFit="1" customWidth="1"/>
    <col min="10765" max="11011" width="9.140625" style="1986"/>
    <col min="11012" max="11012" width="28.42578125" style="1986" customWidth="1"/>
    <col min="11013" max="11013" width="9.140625" style="1986"/>
    <col min="11014" max="11014" width="15.28515625" style="1986" customWidth="1"/>
    <col min="11015" max="11015" width="10.7109375" style="1986" customWidth="1"/>
    <col min="11016" max="11016" width="9" style="1986" customWidth="1"/>
    <col min="11017" max="11018" width="9.140625" style="1986"/>
    <col min="11019" max="11020" width="10.140625" style="1986" bestFit="1" customWidth="1"/>
    <col min="11021" max="11267" width="9.140625" style="1986"/>
    <col min="11268" max="11268" width="28.42578125" style="1986" customWidth="1"/>
    <col min="11269" max="11269" width="9.140625" style="1986"/>
    <col min="11270" max="11270" width="15.28515625" style="1986" customWidth="1"/>
    <col min="11271" max="11271" width="10.7109375" style="1986" customWidth="1"/>
    <col min="11272" max="11272" width="9" style="1986" customWidth="1"/>
    <col min="11273" max="11274" width="9.140625" style="1986"/>
    <col min="11275" max="11276" width="10.140625" style="1986" bestFit="1" customWidth="1"/>
    <col min="11277" max="11523" width="9.140625" style="1986"/>
    <col min="11524" max="11524" width="28.42578125" style="1986" customWidth="1"/>
    <col min="11525" max="11525" width="9.140625" style="1986"/>
    <col min="11526" max="11526" width="15.28515625" style="1986" customWidth="1"/>
    <col min="11527" max="11527" width="10.7109375" style="1986" customWidth="1"/>
    <col min="11528" max="11528" width="9" style="1986" customWidth="1"/>
    <col min="11529" max="11530" width="9.140625" style="1986"/>
    <col min="11531" max="11532" width="10.140625" style="1986" bestFit="1" customWidth="1"/>
    <col min="11533" max="11779" width="9.140625" style="1986"/>
    <col min="11780" max="11780" width="28.42578125" style="1986" customWidth="1"/>
    <col min="11781" max="11781" width="9.140625" style="1986"/>
    <col min="11782" max="11782" width="15.28515625" style="1986" customWidth="1"/>
    <col min="11783" max="11783" width="10.7109375" style="1986" customWidth="1"/>
    <col min="11784" max="11784" width="9" style="1986" customWidth="1"/>
    <col min="11785" max="11786" width="9.140625" style="1986"/>
    <col min="11787" max="11788" width="10.140625" style="1986" bestFit="1" customWidth="1"/>
    <col min="11789" max="12035" width="9.140625" style="1986"/>
    <col min="12036" max="12036" width="28.42578125" style="1986" customWidth="1"/>
    <col min="12037" max="12037" width="9.140625" style="1986"/>
    <col min="12038" max="12038" width="15.28515625" style="1986" customWidth="1"/>
    <col min="12039" max="12039" width="10.7109375" style="1986" customWidth="1"/>
    <col min="12040" max="12040" width="9" style="1986" customWidth="1"/>
    <col min="12041" max="12042" width="9.140625" style="1986"/>
    <col min="12043" max="12044" width="10.140625" style="1986" bestFit="1" customWidth="1"/>
    <col min="12045" max="12291" width="9.140625" style="1986"/>
    <col min="12292" max="12292" width="28.42578125" style="1986" customWidth="1"/>
    <col min="12293" max="12293" width="9.140625" style="1986"/>
    <col min="12294" max="12294" width="15.28515625" style="1986" customWidth="1"/>
    <col min="12295" max="12295" width="10.7109375" style="1986" customWidth="1"/>
    <col min="12296" max="12296" width="9" style="1986" customWidth="1"/>
    <col min="12297" max="12298" width="9.140625" style="1986"/>
    <col min="12299" max="12300" width="10.140625" style="1986" bestFit="1" customWidth="1"/>
    <col min="12301" max="12547" width="9.140625" style="1986"/>
    <col min="12548" max="12548" width="28.42578125" style="1986" customWidth="1"/>
    <col min="12549" max="12549" width="9.140625" style="1986"/>
    <col min="12550" max="12550" width="15.28515625" style="1986" customWidth="1"/>
    <col min="12551" max="12551" width="10.7109375" style="1986" customWidth="1"/>
    <col min="12552" max="12552" width="9" style="1986" customWidth="1"/>
    <col min="12553" max="12554" width="9.140625" style="1986"/>
    <col min="12555" max="12556" width="10.140625" style="1986" bestFit="1" customWidth="1"/>
    <col min="12557" max="12803" width="9.140625" style="1986"/>
    <col min="12804" max="12804" width="28.42578125" style="1986" customWidth="1"/>
    <col min="12805" max="12805" width="9.140625" style="1986"/>
    <col min="12806" max="12806" width="15.28515625" style="1986" customWidth="1"/>
    <col min="12807" max="12807" width="10.7109375" style="1986" customWidth="1"/>
    <col min="12808" max="12808" width="9" style="1986" customWidth="1"/>
    <col min="12809" max="12810" width="9.140625" style="1986"/>
    <col min="12811" max="12812" width="10.140625" style="1986" bestFit="1" customWidth="1"/>
    <col min="12813" max="13059" width="9.140625" style="1986"/>
    <col min="13060" max="13060" width="28.42578125" style="1986" customWidth="1"/>
    <col min="13061" max="13061" width="9.140625" style="1986"/>
    <col min="13062" max="13062" width="15.28515625" style="1986" customWidth="1"/>
    <col min="13063" max="13063" width="10.7109375" style="1986" customWidth="1"/>
    <col min="13064" max="13064" width="9" style="1986" customWidth="1"/>
    <col min="13065" max="13066" width="9.140625" style="1986"/>
    <col min="13067" max="13068" width="10.140625" style="1986" bestFit="1" customWidth="1"/>
    <col min="13069" max="13315" width="9.140625" style="1986"/>
    <col min="13316" max="13316" width="28.42578125" style="1986" customWidth="1"/>
    <col min="13317" max="13317" width="9.140625" style="1986"/>
    <col min="13318" max="13318" width="15.28515625" style="1986" customWidth="1"/>
    <col min="13319" max="13319" width="10.7109375" style="1986" customWidth="1"/>
    <col min="13320" max="13320" width="9" style="1986" customWidth="1"/>
    <col min="13321" max="13322" width="9.140625" style="1986"/>
    <col min="13323" max="13324" width="10.140625" style="1986" bestFit="1" customWidth="1"/>
    <col min="13325" max="13571" width="9.140625" style="1986"/>
    <col min="13572" max="13572" width="28.42578125" style="1986" customWidth="1"/>
    <col min="13573" max="13573" width="9.140625" style="1986"/>
    <col min="13574" max="13574" width="15.28515625" style="1986" customWidth="1"/>
    <col min="13575" max="13575" width="10.7109375" style="1986" customWidth="1"/>
    <col min="13576" max="13576" width="9" style="1986" customWidth="1"/>
    <col min="13577" max="13578" width="9.140625" style="1986"/>
    <col min="13579" max="13580" width="10.140625" style="1986" bestFit="1" customWidth="1"/>
    <col min="13581" max="13827" width="9.140625" style="1986"/>
    <col min="13828" max="13828" width="28.42578125" style="1986" customWidth="1"/>
    <col min="13829" max="13829" width="9.140625" style="1986"/>
    <col min="13830" max="13830" width="15.28515625" style="1986" customWidth="1"/>
    <col min="13831" max="13831" width="10.7109375" style="1986" customWidth="1"/>
    <col min="13832" max="13832" width="9" style="1986" customWidth="1"/>
    <col min="13833" max="13834" width="9.140625" style="1986"/>
    <col min="13835" max="13836" width="10.140625" style="1986" bestFit="1" customWidth="1"/>
    <col min="13837" max="14083" width="9.140625" style="1986"/>
    <col min="14084" max="14084" width="28.42578125" style="1986" customWidth="1"/>
    <col min="14085" max="14085" width="9.140625" style="1986"/>
    <col min="14086" max="14086" width="15.28515625" style="1986" customWidth="1"/>
    <col min="14087" max="14087" width="10.7109375" style="1986" customWidth="1"/>
    <col min="14088" max="14088" width="9" style="1986" customWidth="1"/>
    <col min="14089" max="14090" width="9.140625" style="1986"/>
    <col min="14091" max="14092" width="10.140625" style="1986" bestFit="1" customWidth="1"/>
    <col min="14093" max="14339" width="9.140625" style="1986"/>
    <col min="14340" max="14340" width="28.42578125" style="1986" customWidth="1"/>
    <col min="14341" max="14341" width="9.140625" style="1986"/>
    <col min="14342" max="14342" width="15.28515625" style="1986" customWidth="1"/>
    <col min="14343" max="14343" width="10.7109375" style="1986" customWidth="1"/>
    <col min="14344" max="14344" width="9" style="1986" customWidth="1"/>
    <col min="14345" max="14346" width="9.140625" style="1986"/>
    <col min="14347" max="14348" width="10.140625" style="1986" bestFit="1" customWidth="1"/>
    <col min="14349" max="14595" width="9.140625" style="1986"/>
    <col min="14596" max="14596" width="28.42578125" style="1986" customWidth="1"/>
    <col min="14597" max="14597" width="9.140625" style="1986"/>
    <col min="14598" max="14598" width="15.28515625" style="1986" customWidth="1"/>
    <col min="14599" max="14599" width="10.7109375" style="1986" customWidth="1"/>
    <col min="14600" max="14600" width="9" style="1986" customWidth="1"/>
    <col min="14601" max="14602" width="9.140625" style="1986"/>
    <col min="14603" max="14604" width="10.140625" style="1986" bestFit="1" customWidth="1"/>
    <col min="14605" max="14851" width="9.140625" style="1986"/>
    <col min="14852" max="14852" width="28.42578125" style="1986" customWidth="1"/>
    <col min="14853" max="14853" width="9.140625" style="1986"/>
    <col min="14854" max="14854" width="15.28515625" style="1986" customWidth="1"/>
    <col min="14855" max="14855" width="10.7109375" style="1986" customWidth="1"/>
    <col min="14856" max="14856" width="9" style="1986" customWidth="1"/>
    <col min="14857" max="14858" width="9.140625" style="1986"/>
    <col min="14859" max="14860" width="10.140625" style="1986" bestFit="1" customWidth="1"/>
    <col min="14861" max="15107" width="9.140625" style="1986"/>
    <col min="15108" max="15108" width="28.42578125" style="1986" customWidth="1"/>
    <col min="15109" max="15109" width="9.140625" style="1986"/>
    <col min="15110" max="15110" width="15.28515625" style="1986" customWidth="1"/>
    <col min="15111" max="15111" width="10.7109375" style="1986" customWidth="1"/>
    <col min="15112" max="15112" width="9" style="1986" customWidth="1"/>
    <col min="15113" max="15114" width="9.140625" style="1986"/>
    <col min="15115" max="15116" width="10.140625" style="1986" bestFit="1" customWidth="1"/>
    <col min="15117" max="15363" width="9.140625" style="1986"/>
    <col min="15364" max="15364" width="28.42578125" style="1986" customWidth="1"/>
    <col min="15365" max="15365" width="9.140625" style="1986"/>
    <col min="15366" max="15366" width="15.28515625" style="1986" customWidth="1"/>
    <col min="15367" max="15367" width="10.7109375" style="1986" customWidth="1"/>
    <col min="15368" max="15368" width="9" style="1986" customWidth="1"/>
    <col min="15369" max="15370" width="9.140625" style="1986"/>
    <col min="15371" max="15372" width="10.140625" style="1986" bestFit="1" customWidth="1"/>
    <col min="15373" max="15619" width="9.140625" style="1986"/>
    <col min="15620" max="15620" width="28.42578125" style="1986" customWidth="1"/>
    <col min="15621" max="15621" width="9.140625" style="1986"/>
    <col min="15622" max="15622" width="15.28515625" style="1986" customWidth="1"/>
    <col min="15623" max="15623" width="10.7109375" style="1986" customWidth="1"/>
    <col min="15624" max="15624" width="9" style="1986" customWidth="1"/>
    <col min="15625" max="15626" width="9.140625" style="1986"/>
    <col min="15627" max="15628" width="10.140625" style="1986" bestFit="1" customWidth="1"/>
    <col min="15629" max="15875" width="9.140625" style="1986"/>
    <col min="15876" max="15876" width="28.42578125" style="1986" customWidth="1"/>
    <col min="15877" max="15877" width="9.140625" style="1986"/>
    <col min="15878" max="15878" width="15.28515625" style="1986" customWidth="1"/>
    <col min="15879" max="15879" width="10.7109375" style="1986" customWidth="1"/>
    <col min="15880" max="15880" width="9" style="1986" customWidth="1"/>
    <col min="15881" max="15882" width="9.140625" style="1986"/>
    <col min="15883" max="15884" width="10.140625" style="1986" bestFit="1" customWidth="1"/>
    <col min="15885" max="16131" width="9.140625" style="1986"/>
    <col min="16132" max="16132" width="28.42578125" style="1986" customWidth="1"/>
    <col min="16133" max="16133" width="9.140625" style="1986"/>
    <col min="16134" max="16134" width="15.28515625" style="1986" customWidth="1"/>
    <col min="16135" max="16135" width="10.7109375" style="1986" customWidth="1"/>
    <col min="16136" max="16136" width="9" style="1986" customWidth="1"/>
    <col min="16137" max="16138" width="9.140625" style="1986"/>
    <col min="16139" max="16140" width="10.140625" style="1986" bestFit="1" customWidth="1"/>
    <col min="16141" max="16384" width="9.140625" style="1986"/>
  </cols>
  <sheetData>
    <row r="1" spans="1:12" ht="43.5" customHeight="1" thickBot="1" x14ac:dyDescent="0.25">
      <c r="A1" s="2753" t="s">
        <v>1594</v>
      </c>
      <c r="B1" s="2753"/>
      <c r="C1" s="2753"/>
      <c r="D1" s="2753"/>
      <c r="E1" s="2753"/>
      <c r="F1" s="2753"/>
      <c r="G1" s="2753"/>
      <c r="H1" s="2753"/>
    </row>
    <row r="2" spans="1:12" ht="18" x14ac:dyDescent="0.25">
      <c r="A2" s="1993"/>
      <c r="B2" s="1993"/>
      <c r="C2" s="1993"/>
      <c r="E2" s="1994"/>
      <c r="F2" s="1994"/>
      <c r="G2" s="1994"/>
      <c r="H2" s="1876" t="s">
        <v>801</v>
      </c>
    </row>
    <row r="3" spans="1:12" s="2084" customFormat="1" ht="12.75" customHeight="1" x14ac:dyDescent="0.2">
      <c r="A3" s="1990" t="s">
        <v>367</v>
      </c>
      <c r="B3" s="2083"/>
      <c r="C3" s="1991" t="s">
        <v>347</v>
      </c>
    </row>
    <row r="4" spans="1:12" s="2084" customFormat="1" ht="12.75" customHeight="1" x14ac:dyDescent="0.25">
      <c r="A4" s="2085"/>
      <c r="B4" s="2083"/>
      <c r="C4" s="1991" t="s">
        <v>348</v>
      </c>
    </row>
    <row r="5" spans="1:12" ht="18" x14ac:dyDescent="0.25">
      <c r="A5" s="1992" t="s">
        <v>802</v>
      </c>
      <c r="B5" s="1993"/>
      <c r="C5" s="1993"/>
      <c r="E5" s="1994"/>
      <c r="F5" s="1994"/>
      <c r="G5" s="1994"/>
    </row>
    <row r="6" spans="1:12" x14ac:dyDescent="0.2">
      <c r="A6" s="1993"/>
      <c r="B6" s="1993"/>
      <c r="C6" s="1993"/>
      <c r="E6" s="1994"/>
      <c r="F6" s="1994"/>
      <c r="G6" s="1994"/>
    </row>
    <row r="7" spans="1:12" ht="15.75" thickBot="1" x14ac:dyDescent="0.3">
      <c r="A7" s="1979" t="s">
        <v>250</v>
      </c>
      <c r="B7" s="1993"/>
      <c r="C7" s="1993"/>
      <c r="E7" s="1994"/>
      <c r="F7" s="1994"/>
      <c r="G7" s="1994"/>
      <c r="H7" s="2086" t="s">
        <v>161</v>
      </c>
    </row>
    <row r="8" spans="1:12" ht="13.5" hidden="1" thickBot="1" x14ac:dyDescent="0.25">
      <c r="A8" s="1993"/>
      <c r="B8" s="1993"/>
      <c r="C8" s="1993"/>
      <c r="E8" s="1994"/>
      <c r="F8" s="1994"/>
      <c r="G8" s="1994"/>
      <c r="H8" s="2086" t="s">
        <v>161</v>
      </c>
    </row>
    <row r="9" spans="1:12" ht="25.5" thickTop="1" thickBot="1" x14ac:dyDescent="0.25">
      <c r="A9" s="1996" t="s">
        <v>162</v>
      </c>
      <c r="B9" s="1997" t="s">
        <v>761</v>
      </c>
      <c r="C9" s="1997" t="s">
        <v>377</v>
      </c>
      <c r="D9" s="1998" t="s">
        <v>164</v>
      </c>
      <c r="E9" s="1999" t="s">
        <v>632</v>
      </c>
      <c r="F9" s="1999" t="s">
        <v>633</v>
      </c>
      <c r="G9" s="2000" t="s">
        <v>882</v>
      </c>
      <c r="H9" s="2001" t="s">
        <v>883</v>
      </c>
    </row>
    <row r="10" spans="1:12" ht="14.25" thickTop="1" thickBot="1" x14ac:dyDescent="0.25">
      <c r="A10" s="2002">
        <v>1</v>
      </c>
      <c r="B10" s="2003">
        <v>2</v>
      </c>
      <c r="C10" s="2003">
        <v>3</v>
      </c>
      <c r="D10" s="2003">
        <v>4</v>
      </c>
      <c r="E10" s="2004">
        <v>5</v>
      </c>
      <c r="F10" s="2004">
        <v>6</v>
      </c>
      <c r="G10" s="2005">
        <v>7</v>
      </c>
      <c r="H10" s="2021" t="s">
        <v>61</v>
      </c>
    </row>
    <row r="11" spans="1:12" ht="32.25" customHeight="1" thickTop="1" thickBot="1" x14ac:dyDescent="0.25">
      <c r="A11" s="2012">
        <v>3636</v>
      </c>
      <c r="B11" s="2013">
        <v>5363</v>
      </c>
      <c r="C11" s="2013"/>
      <c r="D11" s="2087" t="s">
        <v>1542</v>
      </c>
      <c r="E11" s="2088">
        <v>0</v>
      </c>
      <c r="F11" s="2119">
        <v>23</v>
      </c>
      <c r="G11" s="2119">
        <v>23</v>
      </c>
      <c r="H11" s="2020">
        <f>G11/F11*100</f>
        <v>100</v>
      </c>
    </row>
    <row r="12" spans="1:12" ht="16.5" thickTop="1" thickBot="1" x14ac:dyDescent="0.3">
      <c r="A12" s="2161" t="s">
        <v>763</v>
      </c>
      <c r="B12" s="2162"/>
      <c r="C12" s="2162"/>
      <c r="D12" s="2162"/>
      <c r="E12" s="2019">
        <f>SUM(E11:E11)</f>
        <v>0</v>
      </c>
      <c r="F12" s="2019">
        <f>SUM(F11:F11)</f>
        <v>23</v>
      </c>
      <c r="G12" s="2019">
        <f>SUM(G11:G11)</f>
        <v>23</v>
      </c>
      <c r="H12" s="2018">
        <v>0</v>
      </c>
    </row>
    <row r="13" spans="1:12" ht="13.5" thickTop="1" x14ac:dyDescent="0.2">
      <c r="A13" s="1993"/>
      <c r="B13" s="1993"/>
      <c r="C13" s="1993"/>
      <c r="E13" s="1994"/>
      <c r="F13" s="1994"/>
      <c r="G13" s="1994"/>
    </row>
    <row r="14" spans="1:12" s="2089" customFormat="1" x14ac:dyDescent="0.2">
      <c r="A14" s="1993"/>
      <c r="B14" s="1993"/>
      <c r="C14" s="1993"/>
      <c r="D14" s="1986"/>
      <c r="E14" s="1994"/>
      <c r="F14" s="1994"/>
      <c r="G14" s="1994"/>
      <c r="H14" s="1986"/>
    </row>
    <row r="15" spans="1:12" s="2089" customFormat="1" ht="16.5" x14ac:dyDescent="0.25">
      <c r="A15" s="2040" t="s">
        <v>465</v>
      </c>
      <c r="B15" s="2041"/>
      <c r="C15" s="2042"/>
      <c r="D15" s="2043"/>
      <c r="E15" s="2044">
        <f>SUM(E16:E18)</f>
        <v>0</v>
      </c>
      <c r="F15" s="2044">
        <f>F16+F17+F18+F19</f>
        <v>23</v>
      </c>
      <c r="G15" s="2044">
        <f>G16+G17+G18+G19</f>
        <v>23</v>
      </c>
      <c r="H15" s="2090">
        <f>G15/F15*100</f>
        <v>100</v>
      </c>
      <c r="J15" s="2091">
        <f>J16+J17+J18</f>
        <v>0</v>
      </c>
      <c r="K15" s="2091">
        <f>K16+K17+K18</f>
        <v>22553</v>
      </c>
      <c r="L15" s="2091">
        <f>L16+L17+L18</f>
        <v>22553</v>
      </c>
    </row>
    <row r="16" spans="1:12" s="2089" customFormat="1" ht="15" x14ac:dyDescent="0.2">
      <c r="A16" s="2047" t="s">
        <v>263</v>
      </c>
      <c r="B16" s="2048"/>
      <c r="C16" s="2049"/>
      <c r="D16" s="2050"/>
      <c r="E16" s="2051">
        <f>SUM(E11)</f>
        <v>0</v>
      </c>
      <c r="F16" s="2051">
        <f>SUM(F11)</f>
        <v>23</v>
      </c>
      <c r="G16" s="2051">
        <f>SUM(G11)</f>
        <v>23</v>
      </c>
      <c r="H16" s="2092">
        <f>G16/F16*100</f>
        <v>100</v>
      </c>
      <c r="J16" s="2093">
        <v>0</v>
      </c>
      <c r="K16" s="2093">
        <v>22553</v>
      </c>
      <c r="L16" s="2093">
        <v>22553</v>
      </c>
    </row>
    <row r="17" spans="1:12" ht="15" x14ac:dyDescent="0.2">
      <c r="A17" s="2047" t="s">
        <v>264</v>
      </c>
      <c r="B17" s="2054"/>
      <c r="C17" s="2049"/>
      <c r="D17" s="2055"/>
      <c r="E17" s="2051">
        <v>0</v>
      </c>
      <c r="F17" s="2051">
        <v>0</v>
      </c>
      <c r="G17" s="2051">
        <v>0</v>
      </c>
      <c r="H17" s="2092">
        <v>0</v>
      </c>
      <c r="J17" s="2053">
        <v>0</v>
      </c>
      <c r="K17" s="2053">
        <v>0</v>
      </c>
      <c r="L17" s="2053">
        <v>0</v>
      </c>
    </row>
    <row r="18" spans="1:12" ht="15" x14ac:dyDescent="0.2">
      <c r="A18" s="2047" t="s">
        <v>466</v>
      </c>
      <c r="B18" s="2054"/>
      <c r="C18" s="2049"/>
      <c r="D18" s="2055"/>
      <c r="E18" s="2051">
        <v>0</v>
      </c>
      <c r="F18" s="2051">
        <v>0</v>
      </c>
      <c r="G18" s="2051">
        <v>0</v>
      </c>
      <c r="H18" s="2092">
        <v>0</v>
      </c>
      <c r="J18" s="2053">
        <v>0</v>
      </c>
      <c r="K18" s="2053">
        <v>0</v>
      </c>
      <c r="L18" s="2053">
        <v>0</v>
      </c>
    </row>
    <row r="19" spans="1:12" ht="15" x14ac:dyDescent="0.2">
      <c r="A19" s="2047"/>
      <c r="B19" s="2054"/>
      <c r="C19" s="2049"/>
      <c r="D19" s="2055"/>
      <c r="E19" s="2051"/>
      <c r="F19" s="2051"/>
      <c r="G19" s="2051"/>
      <c r="H19" s="2056"/>
    </row>
    <row r="20" spans="1:12" s="2076" customFormat="1" ht="77.25" customHeight="1" thickBot="1" x14ac:dyDescent="0.4">
      <c r="A20" s="2754" t="s">
        <v>1595</v>
      </c>
      <c r="B20" s="2755"/>
      <c r="C20" s="2755"/>
      <c r="D20" s="2755"/>
      <c r="E20" s="2057">
        <f>SUM(E15)</f>
        <v>0</v>
      </c>
      <c r="F20" s="2057">
        <f>SUM(F15)</f>
        <v>23</v>
      </c>
      <c r="G20" s="2057">
        <f>SUM(G15)</f>
        <v>23</v>
      </c>
      <c r="H20" s="2094">
        <f>G20/F20*100</f>
        <v>100</v>
      </c>
    </row>
    <row r="21" spans="1:12" ht="77.25" customHeight="1" thickTop="1" x14ac:dyDescent="0.2"/>
  </sheetData>
  <mergeCells count="2">
    <mergeCell ref="A1:H1"/>
    <mergeCell ref="A20:D20"/>
  </mergeCells>
  <pageMargins left="0.70866141732283472" right="0.70866141732283472" top="0.78740157480314965" bottom="0.78740157480314965" header="0.31496062992125984" footer="0.31496062992125984"/>
  <pageSetup paperSize="9" scale="80" firstPageNumber="128" orientation="portrait" useFirstPageNumber="1" r:id="rId1"/>
  <headerFooter>
    <oddFooter xml:space="preserve">&amp;L&amp;"Arial,Kurzíva"Zastupitelstvo Olomouckého kraje 20.6.2014
5.2. - Závěrečný  účet Olomouckého kraje za rok 2013
Příloha č. 3: Plnění rozpočtu výdajů Olomouckého kraje k 31.12.2013&amp;R&amp;"Arial,Kurzíva"Strana &amp;P (Celkem 480)
</oddFooter>
  </headerFooter>
  <colBreaks count="1" manualBreakCount="1">
    <brk id="8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64"/>
  <sheetViews>
    <sheetView showGridLines="0" view="pageBreakPreview" topLeftCell="A268" zoomScaleNormal="100" zoomScaleSheetLayoutView="100" workbookViewId="0">
      <selection activeCell="I10" sqref="I10"/>
    </sheetView>
  </sheetViews>
  <sheetFormatPr defaultRowHeight="12.75" x14ac:dyDescent="0.2"/>
  <cols>
    <col min="1" max="1" width="5.28515625" style="1802" customWidth="1"/>
    <col min="2" max="2" width="6.7109375" style="1802" customWidth="1"/>
    <col min="3" max="3" width="8.85546875" style="1802" customWidth="1"/>
    <col min="4" max="4" width="46.42578125" style="1802" customWidth="1"/>
    <col min="5" max="5" width="14" style="1803" customWidth="1"/>
    <col min="6" max="6" width="15.5703125" style="1829" customWidth="1"/>
    <col min="7" max="7" width="15.85546875" style="1829" customWidth="1"/>
    <col min="8" max="8" width="9.28515625" style="1829" customWidth="1"/>
    <col min="9" max="9" width="6.28515625" style="1803" customWidth="1"/>
    <col min="10" max="10" width="7.42578125" style="1803" customWidth="1"/>
    <col min="11" max="12" width="17.28515625" style="1803" bestFit="1" customWidth="1"/>
    <col min="13" max="13" width="17.42578125" style="1803" customWidth="1"/>
    <col min="14" max="16384" width="9.140625" style="1803"/>
  </cols>
  <sheetData>
    <row r="1" spans="1:9" ht="18.75" thickBot="1" x14ac:dyDescent="0.3">
      <c r="A1" s="1710" t="s">
        <v>871</v>
      </c>
      <c r="B1" s="1709"/>
      <c r="C1" s="1798"/>
      <c r="D1" s="1707"/>
      <c r="E1" s="1706"/>
      <c r="F1" s="1707"/>
      <c r="G1" s="1900"/>
      <c r="H1" s="1831"/>
    </row>
    <row r="2" spans="1:9" x14ac:dyDescent="0.2">
      <c r="A2" s="1899"/>
    </row>
    <row r="3" spans="1:9" ht="18" x14ac:dyDescent="0.25">
      <c r="A3" s="1705" t="s">
        <v>367</v>
      </c>
      <c r="C3" s="1801" t="s">
        <v>347</v>
      </c>
      <c r="H3" s="1876" t="s">
        <v>872</v>
      </c>
    </row>
    <row r="4" spans="1:9" ht="13.5" customHeight="1" x14ac:dyDescent="0.25">
      <c r="A4" s="1806"/>
      <c r="C4" s="1801" t="s">
        <v>348</v>
      </c>
    </row>
    <row r="5" spans="1:9" ht="18.75" customHeight="1" x14ac:dyDescent="0.25">
      <c r="A5" s="1806" t="s">
        <v>873</v>
      </c>
    </row>
    <row r="6" spans="1:9" ht="13.5" customHeight="1" x14ac:dyDescent="0.25">
      <c r="A6" s="1806"/>
    </row>
    <row r="7" spans="1:9" s="1656" customFormat="1" ht="15" x14ac:dyDescent="0.25">
      <c r="A7" s="1808" t="s">
        <v>1938</v>
      </c>
      <c r="B7" s="1802"/>
      <c r="C7" s="1802"/>
      <c r="D7" s="1802"/>
      <c r="E7" s="1803"/>
      <c r="F7" s="1829"/>
      <c r="G7" s="1829"/>
      <c r="H7" s="1829"/>
      <c r="I7" s="1803"/>
    </row>
    <row r="8" spans="1:9" s="1581" customFormat="1" ht="15.75" thickBot="1" x14ac:dyDescent="0.3">
      <c r="A8" s="1808" t="s">
        <v>1939</v>
      </c>
      <c r="B8" s="1802"/>
      <c r="C8" s="1802"/>
      <c r="D8" s="1802"/>
      <c r="E8" s="1803"/>
      <c r="F8" s="1829"/>
      <c r="G8" s="1829"/>
      <c r="H8" s="1825" t="s">
        <v>161</v>
      </c>
      <c r="I8" s="1803"/>
    </row>
    <row r="9" spans="1:9" ht="25.5" thickTop="1" thickBot="1" x14ac:dyDescent="0.25">
      <c r="A9" s="1809" t="s">
        <v>162</v>
      </c>
      <c r="B9" s="1810" t="s">
        <v>761</v>
      </c>
      <c r="C9" s="1810" t="s">
        <v>377</v>
      </c>
      <c r="D9" s="1811" t="s">
        <v>164</v>
      </c>
      <c r="E9" s="1833" t="s">
        <v>632</v>
      </c>
      <c r="F9" s="1833" t="s">
        <v>633</v>
      </c>
      <c r="G9" s="1834" t="s">
        <v>882</v>
      </c>
      <c r="H9" s="1835" t="s">
        <v>883</v>
      </c>
    </row>
    <row r="10" spans="1:9" ht="14.25" thickTop="1" thickBot="1" x14ac:dyDescent="0.25">
      <c r="A10" s="1643">
        <v>1</v>
      </c>
      <c r="B10" s="1642">
        <v>2</v>
      </c>
      <c r="C10" s="1642">
        <v>3</v>
      </c>
      <c r="D10" s="1642">
        <v>5</v>
      </c>
      <c r="E10" s="1641">
        <v>6</v>
      </c>
      <c r="F10" s="1641">
        <v>7</v>
      </c>
      <c r="G10" s="1877">
        <v>8</v>
      </c>
      <c r="H10" s="1814" t="s">
        <v>762</v>
      </c>
    </row>
    <row r="11" spans="1:9" ht="16.5" thickTop="1" thickBot="1" x14ac:dyDescent="0.25">
      <c r="A11" s="1815">
        <v>2212</v>
      </c>
      <c r="B11" s="1816">
        <v>6121</v>
      </c>
      <c r="C11" s="1816">
        <v>12</v>
      </c>
      <c r="D11" s="1836" t="s">
        <v>603</v>
      </c>
      <c r="E11" s="1845">
        <v>0</v>
      </c>
      <c r="F11" s="1845">
        <v>160</v>
      </c>
      <c r="G11" s="1845">
        <v>0</v>
      </c>
      <c r="H11" s="1821">
        <f>G11/F11*100</f>
        <v>0</v>
      </c>
      <c r="I11" s="1829"/>
    </row>
    <row r="12" spans="1:9" ht="15.75" hidden="1" thickBot="1" x14ac:dyDescent="0.25">
      <c r="A12" s="1815">
        <v>2212</v>
      </c>
      <c r="B12" s="1816">
        <v>6121</v>
      </c>
      <c r="C12" s="1816">
        <v>38100870</v>
      </c>
      <c r="D12" s="1836" t="s">
        <v>603</v>
      </c>
      <c r="E12" s="1845">
        <v>0</v>
      </c>
      <c r="F12" s="1845">
        <v>0</v>
      </c>
      <c r="G12" s="1845">
        <v>0</v>
      </c>
      <c r="H12" s="1821" t="e">
        <f>G12/F12*100</f>
        <v>#DIV/0!</v>
      </c>
      <c r="I12" s="1829"/>
    </row>
    <row r="13" spans="1:9" ht="15.75" hidden="1" thickBot="1" x14ac:dyDescent="0.25">
      <c r="A13" s="1815">
        <v>2212</v>
      </c>
      <c r="B13" s="1897">
        <v>6121</v>
      </c>
      <c r="C13" s="1897">
        <v>38100874</v>
      </c>
      <c r="D13" s="1836" t="s">
        <v>603</v>
      </c>
      <c r="E13" s="1845">
        <v>0</v>
      </c>
      <c r="F13" s="1845">
        <v>0</v>
      </c>
      <c r="G13" s="1845">
        <v>0</v>
      </c>
      <c r="H13" s="1821" t="e">
        <f>G13/F13*100</f>
        <v>#DIV/0!</v>
      </c>
      <c r="I13" s="1829"/>
    </row>
    <row r="14" spans="1:9" ht="15.75" hidden="1" thickBot="1" x14ac:dyDescent="0.25">
      <c r="A14" s="1815">
        <v>2212</v>
      </c>
      <c r="B14" s="1897">
        <v>6121</v>
      </c>
      <c r="C14" s="1897">
        <v>38500871</v>
      </c>
      <c r="D14" s="1836" t="s">
        <v>603</v>
      </c>
      <c r="E14" s="1845">
        <v>0</v>
      </c>
      <c r="F14" s="1845">
        <v>0</v>
      </c>
      <c r="G14" s="1845">
        <v>0</v>
      </c>
      <c r="H14" s="1821" t="e">
        <f>G14/F14*100</f>
        <v>#DIV/0!</v>
      </c>
      <c r="I14" s="1829"/>
    </row>
    <row r="15" spans="1:9" ht="16.5" thickTop="1" thickBot="1" x14ac:dyDescent="0.3">
      <c r="A15" s="1837" t="s">
        <v>763</v>
      </c>
      <c r="B15" s="1838"/>
      <c r="C15" s="1838"/>
      <c r="D15" s="1839"/>
      <c r="E15" s="1818">
        <f>SUM(E12:E14)</f>
        <v>0</v>
      </c>
      <c r="F15" s="1818">
        <f>SUM(F11:F14)</f>
        <v>160</v>
      </c>
      <c r="G15" s="1818">
        <f>SUM(G11:G14)</f>
        <v>0</v>
      </c>
      <c r="H15" s="1822">
        <f>G15/F15*100</f>
        <v>0</v>
      </c>
      <c r="I15" s="1829"/>
    </row>
    <row r="16" spans="1:9" ht="15.75" thickTop="1" x14ac:dyDescent="0.25">
      <c r="A16" s="1848"/>
      <c r="B16" s="1848"/>
      <c r="C16" s="1848"/>
      <c r="D16" s="1848"/>
      <c r="E16" s="1824"/>
      <c r="F16" s="1824"/>
      <c r="G16" s="1824"/>
      <c r="H16" s="1849"/>
      <c r="I16" s="1829"/>
    </row>
    <row r="17" spans="1:10" s="1656" customFormat="1" ht="15" x14ac:dyDescent="0.25">
      <c r="A17" s="1808" t="s">
        <v>1374</v>
      </c>
      <c r="B17" s="1802"/>
      <c r="C17" s="1802"/>
      <c r="D17" s="1802"/>
      <c r="E17" s="1803"/>
      <c r="F17" s="1829"/>
      <c r="G17" s="1829"/>
      <c r="H17" s="1829"/>
      <c r="I17" s="1803"/>
    </row>
    <row r="18" spans="1:10" s="1581" customFormat="1" ht="15.75" thickBot="1" x14ac:dyDescent="0.3">
      <c r="A18" s="1808" t="s">
        <v>1373</v>
      </c>
      <c r="B18" s="1802"/>
      <c r="C18" s="1802"/>
      <c r="D18" s="1802"/>
      <c r="E18" s="1803"/>
      <c r="F18" s="1829"/>
      <c r="G18" s="1829"/>
      <c r="H18" s="1825" t="s">
        <v>161</v>
      </c>
      <c r="I18" s="1803"/>
    </row>
    <row r="19" spans="1:10" ht="25.5" thickTop="1" thickBot="1" x14ac:dyDescent="0.25">
      <c r="A19" s="1809" t="s">
        <v>162</v>
      </c>
      <c r="B19" s="1810" t="s">
        <v>761</v>
      </c>
      <c r="C19" s="1810" t="s">
        <v>377</v>
      </c>
      <c r="D19" s="1811" t="s">
        <v>164</v>
      </c>
      <c r="E19" s="1833" t="s">
        <v>632</v>
      </c>
      <c r="F19" s="1833" t="s">
        <v>633</v>
      </c>
      <c r="G19" s="1834" t="s">
        <v>882</v>
      </c>
      <c r="H19" s="1835" t="s">
        <v>883</v>
      </c>
    </row>
    <row r="20" spans="1:10" ht="14.25" thickTop="1" thickBot="1" x14ac:dyDescent="0.25">
      <c r="A20" s="1643">
        <v>1</v>
      </c>
      <c r="B20" s="1642">
        <v>2</v>
      </c>
      <c r="C20" s="1642">
        <v>3</v>
      </c>
      <c r="D20" s="1642">
        <v>5</v>
      </c>
      <c r="E20" s="1641">
        <v>6</v>
      </c>
      <c r="F20" s="1641">
        <v>7</v>
      </c>
      <c r="G20" s="1877">
        <v>8</v>
      </c>
      <c r="H20" s="1814" t="s">
        <v>762</v>
      </c>
    </row>
    <row r="21" spans="1:10" ht="15.75" thickTop="1" x14ac:dyDescent="0.2">
      <c r="A21" s="1815">
        <v>2212</v>
      </c>
      <c r="B21" s="1816">
        <v>6121</v>
      </c>
      <c r="C21" s="1816">
        <v>36</v>
      </c>
      <c r="D21" s="1836" t="s">
        <v>603</v>
      </c>
      <c r="E21" s="1845">
        <v>0</v>
      </c>
      <c r="F21" s="1845">
        <v>168</v>
      </c>
      <c r="G21" s="1845">
        <v>21</v>
      </c>
      <c r="H21" s="1821">
        <f>G21/F21*100</f>
        <v>12.5</v>
      </c>
      <c r="I21" s="1829"/>
    </row>
    <row r="22" spans="1:10" ht="15.75" thickBot="1" x14ac:dyDescent="0.25">
      <c r="A22" s="1815">
        <v>2212</v>
      </c>
      <c r="B22" s="1816">
        <v>6121</v>
      </c>
      <c r="C22" s="1816">
        <v>38100870</v>
      </c>
      <c r="D22" s="1836" t="s">
        <v>603</v>
      </c>
      <c r="E22" s="1845">
        <v>0</v>
      </c>
      <c r="F22" s="1845">
        <v>875</v>
      </c>
      <c r="G22" s="1845">
        <v>449</v>
      </c>
      <c r="H22" s="1821">
        <f>G22/F22*100</f>
        <v>51.31428571428571</v>
      </c>
      <c r="I22" s="1829"/>
    </row>
    <row r="23" spans="1:10" ht="15.75" hidden="1" thickBot="1" x14ac:dyDescent="0.25">
      <c r="A23" s="1815">
        <v>2212</v>
      </c>
      <c r="B23" s="1897">
        <v>6121</v>
      </c>
      <c r="C23" s="1897">
        <v>38100874</v>
      </c>
      <c r="D23" s="1836" t="s">
        <v>603</v>
      </c>
      <c r="E23" s="1845">
        <v>0</v>
      </c>
      <c r="F23" s="1845">
        <v>0</v>
      </c>
      <c r="G23" s="1845">
        <v>0</v>
      </c>
      <c r="H23" s="1821" t="e">
        <f>G23/F23*100</f>
        <v>#DIV/0!</v>
      </c>
      <c r="I23" s="1829"/>
    </row>
    <row r="24" spans="1:10" ht="15.75" hidden="1" thickBot="1" x14ac:dyDescent="0.25">
      <c r="A24" s="1815">
        <v>2212</v>
      </c>
      <c r="B24" s="1897">
        <v>6121</v>
      </c>
      <c r="C24" s="1897">
        <v>38500871</v>
      </c>
      <c r="D24" s="1836" t="s">
        <v>603</v>
      </c>
      <c r="E24" s="1845">
        <v>0</v>
      </c>
      <c r="F24" s="1845">
        <v>0</v>
      </c>
      <c r="G24" s="1845">
        <v>0</v>
      </c>
      <c r="H24" s="1821" t="e">
        <f>G24/F24*100</f>
        <v>#DIV/0!</v>
      </c>
      <c r="I24" s="1829"/>
    </row>
    <row r="25" spans="1:10" ht="16.5" thickTop="1" thickBot="1" x14ac:dyDescent="0.3">
      <c r="A25" s="1837" t="s">
        <v>763</v>
      </c>
      <c r="B25" s="1838"/>
      <c r="C25" s="1838"/>
      <c r="D25" s="1839"/>
      <c r="E25" s="1818">
        <f>SUM(E22:E24)</f>
        <v>0</v>
      </c>
      <c r="F25" s="1818">
        <f>SUM(F21:F24)</f>
        <v>1043</v>
      </c>
      <c r="G25" s="1818">
        <f>SUM(G21:G24)</f>
        <v>470</v>
      </c>
      <c r="H25" s="1822">
        <f>G25/F25*100</f>
        <v>45.062320230105463</v>
      </c>
      <c r="I25" s="1829"/>
    </row>
    <row r="26" spans="1:10" s="1898" customFormat="1" ht="18.75" thickTop="1" x14ac:dyDescent="0.25">
      <c r="A26" s="1806"/>
      <c r="B26" s="1802"/>
      <c r="C26" s="1802"/>
      <c r="D26" s="1802"/>
      <c r="E26" s="1803"/>
      <c r="F26" s="1829"/>
      <c r="G26" s="1829"/>
      <c r="H26" s="1829"/>
      <c r="I26" s="1803"/>
      <c r="J26" s="1866"/>
    </row>
    <row r="27" spans="1:10" s="1656" customFormat="1" ht="15" x14ac:dyDescent="0.25">
      <c r="A27" s="1808" t="s">
        <v>1688</v>
      </c>
      <c r="B27" s="1802"/>
      <c r="C27" s="1802"/>
      <c r="D27" s="1802"/>
      <c r="E27" s="1803"/>
      <c r="F27" s="1829"/>
      <c r="G27" s="1829"/>
      <c r="H27" s="1829"/>
      <c r="I27" s="1803"/>
    </row>
    <row r="28" spans="1:10" s="1581" customFormat="1" ht="15.75" thickBot="1" x14ac:dyDescent="0.3">
      <c r="A28" s="1808" t="s">
        <v>1689</v>
      </c>
      <c r="B28" s="1802"/>
      <c r="C28" s="1802"/>
      <c r="D28" s="1802"/>
      <c r="E28" s="1803"/>
      <c r="F28" s="1829"/>
      <c r="G28" s="1829"/>
      <c r="H28" s="1892" t="s">
        <v>161</v>
      </c>
      <c r="I28" s="1803"/>
    </row>
    <row r="29" spans="1:10" ht="25.5" thickTop="1" thickBot="1" x14ac:dyDescent="0.25">
      <c r="A29" s="1809" t="s">
        <v>162</v>
      </c>
      <c r="B29" s="1810" t="s">
        <v>761</v>
      </c>
      <c r="C29" s="1810" t="s">
        <v>377</v>
      </c>
      <c r="D29" s="1811" t="s">
        <v>164</v>
      </c>
      <c r="E29" s="1833" t="s">
        <v>632</v>
      </c>
      <c r="F29" s="1833" t="s">
        <v>633</v>
      </c>
      <c r="G29" s="1834" t="s">
        <v>882</v>
      </c>
      <c r="H29" s="1835" t="s">
        <v>883</v>
      </c>
    </row>
    <row r="30" spans="1:10" ht="14.25" thickTop="1" thickBot="1" x14ac:dyDescent="0.25">
      <c r="A30" s="1643">
        <v>1</v>
      </c>
      <c r="B30" s="1642">
        <v>2</v>
      </c>
      <c r="C30" s="1642">
        <v>3</v>
      </c>
      <c r="D30" s="1642">
        <v>5</v>
      </c>
      <c r="E30" s="1641">
        <v>6</v>
      </c>
      <c r="F30" s="1641">
        <v>7</v>
      </c>
      <c r="G30" s="1877">
        <v>8</v>
      </c>
      <c r="H30" s="1814" t="s">
        <v>762</v>
      </c>
    </row>
    <row r="31" spans="1:10" ht="15.75" thickTop="1" x14ac:dyDescent="0.2">
      <c r="A31" s="1815">
        <v>2212</v>
      </c>
      <c r="B31" s="1897">
        <v>6121</v>
      </c>
      <c r="C31" s="1897">
        <v>12</v>
      </c>
      <c r="D31" s="1836" t="s">
        <v>603</v>
      </c>
      <c r="E31" s="1845">
        <v>15898</v>
      </c>
      <c r="F31" s="1845">
        <v>265</v>
      </c>
      <c r="G31" s="1845">
        <v>0</v>
      </c>
      <c r="H31" s="1821">
        <f t="shared" ref="H31:H36" si="0">G31/F31*100</f>
        <v>0</v>
      </c>
    </row>
    <row r="32" spans="1:10" ht="15" x14ac:dyDescent="0.2">
      <c r="A32" s="1815">
        <v>2212</v>
      </c>
      <c r="B32" s="1816">
        <v>6121</v>
      </c>
      <c r="C32" s="1816">
        <v>38100880</v>
      </c>
      <c r="D32" s="1836" t="s">
        <v>603</v>
      </c>
      <c r="E32" s="1845">
        <v>0</v>
      </c>
      <c r="F32" s="1845">
        <v>5</v>
      </c>
      <c r="G32" s="1845">
        <v>0</v>
      </c>
      <c r="H32" s="1821">
        <f t="shared" si="0"/>
        <v>0</v>
      </c>
    </row>
    <row r="33" spans="1:10" ht="15" x14ac:dyDescent="0.2">
      <c r="A33" s="1815">
        <v>2212</v>
      </c>
      <c r="B33" s="1816">
        <v>6121</v>
      </c>
      <c r="C33" s="1816">
        <v>38500881</v>
      </c>
      <c r="D33" s="1836" t="s">
        <v>603</v>
      </c>
      <c r="E33" s="1845">
        <v>0</v>
      </c>
      <c r="F33" s="1845">
        <v>29</v>
      </c>
      <c r="G33" s="1845">
        <v>0</v>
      </c>
      <c r="H33" s="1821">
        <f t="shared" si="0"/>
        <v>0</v>
      </c>
      <c r="I33" s="1829"/>
    </row>
    <row r="34" spans="1:10" ht="15.75" thickBot="1" x14ac:dyDescent="0.25">
      <c r="A34" s="1815">
        <v>2212</v>
      </c>
      <c r="B34" s="1897">
        <v>6121</v>
      </c>
      <c r="C34" s="1897">
        <v>38100884</v>
      </c>
      <c r="D34" s="1836" t="s">
        <v>603</v>
      </c>
      <c r="E34" s="1845">
        <v>0</v>
      </c>
      <c r="F34" s="1845">
        <v>210</v>
      </c>
      <c r="G34" s="1845">
        <v>54</v>
      </c>
      <c r="H34" s="1821">
        <f t="shared" si="0"/>
        <v>25.714285714285712</v>
      </c>
      <c r="I34" s="1829"/>
    </row>
    <row r="35" spans="1:10" ht="15.75" hidden="1" thickBot="1" x14ac:dyDescent="0.25">
      <c r="A35" s="1815">
        <v>2212</v>
      </c>
      <c r="B35" s="1897">
        <v>6121</v>
      </c>
      <c r="C35" s="1897">
        <v>38500871</v>
      </c>
      <c r="D35" s="1836" t="s">
        <v>603</v>
      </c>
      <c r="E35" s="1845">
        <v>0</v>
      </c>
      <c r="F35" s="1845">
        <v>0</v>
      </c>
      <c r="G35" s="1845">
        <v>0</v>
      </c>
      <c r="H35" s="1821" t="e">
        <f t="shared" si="0"/>
        <v>#DIV/0!</v>
      </c>
      <c r="I35" s="1829"/>
    </row>
    <row r="36" spans="1:10" ht="16.5" thickTop="1" thickBot="1" x14ac:dyDescent="0.3">
      <c r="A36" s="1837" t="s">
        <v>763</v>
      </c>
      <c r="B36" s="1838"/>
      <c r="C36" s="1838"/>
      <c r="D36" s="1839"/>
      <c r="E36" s="1818">
        <f>SUM(E31:E35)</f>
        <v>15898</v>
      </c>
      <c r="F36" s="1818">
        <f>SUM(F31:F35)</f>
        <v>509</v>
      </c>
      <c r="G36" s="1818">
        <f>SUM(G31:G35)</f>
        <v>54</v>
      </c>
      <c r="H36" s="1822">
        <f t="shared" si="0"/>
        <v>10.609037328094303</v>
      </c>
      <c r="I36" s="1829"/>
    </row>
    <row r="37" spans="1:10" ht="15.75" thickTop="1" x14ac:dyDescent="0.25">
      <c r="A37" s="1848"/>
      <c r="B37" s="1848"/>
      <c r="C37" s="1848"/>
      <c r="D37" s="1848"/>
      <c r="E37" s="1824"/>
      <c r="F37" s="1824"/>
      <c r="G37" s="1824"/>
      <c r="H37" s="1849"/>
      <c r="I37" s="1829"/>
    </row>
    <row r="38" spans="1:10" s="1656" customFormat="1" ht="15" x14ac:dyDescent="0.25">
      <c r="A38" s="1808" t="s">
        <v>1940</v>
      </c>
      <c r="B38" s="1802"/>
      <c r="C38" s="1802"/>
      <c r="D38" s="1802"/>
      <c r="E38" s="1803"/>
      <c r="F38" s="1829"/>
      <c r="G38" s="1829"/>
      <c r="H38" s="1829"/>
      <c r="I38" s="1803"/>
    </row>
    <row r="39" spans="1:10" s="1581" customFormat="1" ht="15.75" thickBot="1" x14ac:dyDescent="0.3">
      <c r="A39" s="1808" t="s">
        <v>1941</v>
      </c>
      <c r="B39" s="1802"/>
      <c r="C39" s="1802"/>
      <c r="D39" s="1802"/>
      <c r="E39" s="1803"/>
      <c r="F39" s="1829"/>
      <c r="G39" s="1829"/>
      <c r="H39" s="1892" t="s">
        <v>161</v>
      </c>
      <c r="I39" s="1803"/>
    </row>
    <row r="40" spans="1:10" ht="25.5" thickTop="1" thickBot="1" x14ac:dyDescent="0.25">
      <c r="A40" s="1809" t="s">
        <v>162</v>
      </c>
      <c r="B40" s="1810" t="s">
        <v>761</v>
      </c>
      <c r="C40" s="1810" t="s">
        <v>377</v>
      </c>
      <c r="D40" s="1811" t="s">
        <v>164</v>
      </c>
      <c r="E40" s="1833" t="s">
        <v>632</v>
      </c>
      <c r="F40" s="1833" t="s">
        <v>633</v>
      </c>
      <c r="G40" s="1834" t="s">
        <v>882</v>
      </c>
      <c r="H40" s="1835" t="s">
        <v>883</v>
      </c>
    </row>
    <row r="41" spans="1:10" ht="14.25" thickTop="1" thickBot="1" x14ac:dyDescent="0.25">
      <c r="A41" s="1643">
        <v>1</v>
      </c>
      <c r="B41" s="1642">
        <v>2</v>
      </c>
      <c r="C41" s="1642">
        <v>3</v>
      </c>
      <c r="D41" s="1642">
        <v>5</v>
      </c>
      <c r="E41" s="1641">
        <v>6</v>
      </c>
      <c r="F41" s="1641">
        <v>7</v>
      </c>
      <c r="G41" s="1877">
        <v>8</v>
      </c>
      <c r="H41" s="1814" t="s">
        <v>762</v>
      </c>
    </row>
    <row r="42" spans="1:10" ht="15.75" thickTop="1" x14ac:dyDescent="0.2">
      <c r="A42" s="1815">
        <v>2212</v>
      </c>
      <c r="B42" s="1816">
        <v>6121</v>
      </c>
      <c r="C42" s="1816">
        <v>12</v>
      </c>
      <c r="D42" s="1836" t="s">
        <v>603</v>
      </c>
      <c r="E42" s="1845">
        <v>5882</v>
      </c>
      <c r="F42" s="1845">
        <v>93</v>
      </c>
      <c r="G42" s="1845">
        <v>0</v>
      </c>
      <c r="H42" s="1821">
        <f>G42/F42*100</f>
        <v>0</v>
      </c>
      <c r="I42" s="1829"/>
    </row>
    <row r="43" spans="1:10" ht="15" x14ac:dyDescent="0.2">
      <c r="A43" s="1815">
        <v>2212</v>
      </c>
      <c r="B43" s="1897">
        <v>6121</v>
      </c>
      <c r="C43" s="1816">
        <v>38100880</v>
      </c>
      <c r="D43" s="1836" t="s">
        <v>603</v>
      </c>
      <c r="E43" s="1845">
        <v>0</v>
      </c>
      <c r="F43" s="1845">
        <v>63</v>
      </c>
      <c r="G43" s="1845">
        <v>0</v>
      </c>
      <c r="H43" s="1821">
        <f>G43/F43*100</f>
        <v>0</v>
      </c>
      <c r="I43" s="1829"/>
    </row>
    <row r="44" spans="1:10" ht="15" x14ac:dyDescent="0.2">
      <c r="A44" s="1815">
        <v>2212</v>
      </c>
      <c r="B44" s="1897">
        <v>6121</v>
      </c>
      <c r="C44" s="1897">
        <v>38100884</v>
      </c>
      <c r="D44" s="1836" t="s">
        <v>603</v>
      </c>
      <c r="E44" s="1845">
        <v>0</v>
      </c>
      <c r="F44" s="1845">
        <v>521</v>
      </c>
      <c r="G44" s="1845">
        <v>6</v>
      </c>
      <c r="H44" s="1821">
        <f>G44/F44*100</f>
        <v>1.1516314779270633</v>
      </c>
      <c r="I44" s="1829"/>
    </row>
    <row r="45" spans="1:10" ht="15.75" thickBot="1" x14ac:dyDescent="0.25">
      <c r="A45" s="1815">
        <v>2212</v>
      </c>
      <c r="B45" s="1897">
        <v>6121</v>
      </c>
      <c r="C45" s="1897">
        <v>38500881</v>
      </c>
      <c r="D45" s="1836" t="s">
        <v>603</v>
      </c>
      <c r="E45" s="1845">
        <v>0</v>
      </c>
      <c r="F45" s="1845">
        <v>356</v>
      </c>
      <c r="G45" s="1845">
        <v>0</v>
      </c>
      <c r="H45" s="1821">
        <f>G45/F45*100</f>
        <v>0</v>
      </c>
      <c r="I45" s="1829"/>
    </row>
    <row r="46" spans="1:10" ht="16.5" thickTop="1" thickBot="1" x14ac:dyDescent="0.3">
      <c r="A46" s="1837" t="s">
        <v>763</v>
      </c>
      <c r="B46" s="1838"/>
      <c r="C46" s="1838"/>
      <c r="D46" s="1839"/>
      <c r="E46" s="1818">
        <f>SUM(E42:E45)</f>
        <v>5882</v>
      </c>
      <c r="F46" s="1818">
        <f t="shared" ref="F46:G46" si="1">SUM(F42:F45)</f>
        <v>1033</v>
      </c>
      <c r="G46" s="1818">
        <f t="shared" si="1"/>
        <v>6</v>
      </c>
      <c r="H46" s="1822">
        <f>G46/F46*100</f>
        <v>0.58083252662149087</v>
      </c>
      <c r="I46" s="1829"/>
    </row>
    <row r="47" spans="1:10" s="1898" customFormat="1" ht="18.75" thickTop="1" x14ac:dyDescent="0.25">
      <c r="A47" s="1806"/>
      <c r="B47" s="1802"/>
      <c r="C47" s="1802"/>
      <c r="D47" s="1802"/>
      <c r="E47" s="1803"/>
      <c r="F47" s="1829"/>
      <c r="G47" s="1829"/>
      <c r="H47" s="1829"/>
      <c r="I47" s="1803"/>
      <c r="J47" s="1866"/>
    </row>
    <row r="48" spans="1:10" s="1656" customFormat="1" ht="15" x14ac:dyDescent="0.25">
      <c r="A48" s="1808" t="s">
        <v>1690</v>
      </c>
      <c r="B48" s="1802"/>
      <c r="C48" s="1802"/>
      <c r="D48" s="1802"/>
      <c r="E48" s="1803"/>
      <c r="F48" s="1829"/>
      <c r="G48" s="1829"/>
      <c r="H48" s="1829"/>
      <c r="I48" s="1803"/>
    </row>
    <row r="49" spans="1:10" s="1581" customFormat="1" ht="15.75" thickBot="1" x14ac:dyDescent="0.3">
      <c r="A49" s="1808" t="s">
        <v>1691</v>
      </c>
      <c r="B49" s="1802"/>
      <c r="C49" s="1802"/>
      <c r="D49" s="1802"/>
      <c r="E49" s="1803"/>
      <c r="F49" s="1829"/>
      <c r="G49" s="1829"/>
      <c r="H49" s="1892" t="s">
        <v>161</v>
      </c>
      <c r="I49" s="1803"/>
    </row>
    <row r="50" spans="1:10" ht="25.5" thickTop="1" thickBot="1" x14ac:dyDescent="0.25">
      <c r="A50" s="1809" t="s">
        <v>162</v>
      </c>
      <c r="B50" s="1810" t="s">
        <v>761</v>
      </c>
      <c r="C50" s="1810" t="s">
        <v>377</v>
      </c>
      <c r="D50" s="1811" t="s">
        <v>164</v>
      </c>
      <c r="E50" s="1833" t="s">
        <v>632</v>
      </c>
      <c r="F50" s="1833" t="s">
        <v>633</v>
      </c>
      <c r="G50" s="1834" t="s">
        <v>882</v>
      </c>
      <c r="H50" s="1835" t="s">
        <v>883</v>
      </c>
    </row>
    <row r="51" spans="1:10" ht="14.25" thickTop="1" thickBot="1" x14ac:dyDescent="0.25">
      <c r="A51" s="1643">
        <v>1</v>
      </c>
      <c r="B51" s="1642">
        <v>2</v>
      </c>
      <c r="C51" s="1642">
        <v>3</v>
      </c>
      <c r="D51" s="1642">
        <v>5</v>
      </c>
      <c r="E51" s="1641">
        <v>6</v>
      </c>
      <c r="F51" s="1641">
        <v>7</v>
      </c>
      <c r="G51" s="1877">
        <v>8</v>
      </c>
      <c r="H51" s="1814" t="s">
        <v>762</v>
      </c>
    </row>
    <row r="52" spans="1:10" ht="15.75" thickTop="1" x14ac:dyDescent="0.2">
      <c r="A52" s="1815">
        <v>2212</v>
      </c>
      <c r="B52" s="1816">
        <v>6121</v>
      </c>
      <c r="C52" s="1816">
        <v>12</v>
      </c>
      <c r="D52" s="1836" t="s">
        <v>603</v>
      </c>
      <c r="E52" s="1845">
        <v>11438</v>
      </c>
      <c r="F52" s="1845">
        <v>0</v>
      </c>
      <c r="G52" s="1845">
        <v>0</v>
      </c>
      <c r="H52" s="1821">
        <v>0</v>
      </c>
    </row>
    <row r="53" spans="1:10" ht="15" x14ac:dyDescent="0.2">
      <c r="A53" s="1815">
        <v>2212</v>
      </c>
      <c r="B53" s="1816">
        <v>6121</v>
      </c>
      <c r="C53" s="1816">
        <v>38100880</v>
      </c>
      <c r="D53" s="1836" t="s">
        <v>603</v>
      </c>
      <c r="E53" s="1845">
        <v>0</v>
      </c>
      <c r="F53" s="1845">
        <v>3757</v>
      </c>
      <c r="G53" s="1845">
        <v>2434</v>
      </c>
      <c r="H53" s="1821">
        <f>G53/F53*100</f>
        <v>64.785733297844033</v>
      </c>
      <c r="I53" s="1829"/>
    </row>
    <row r="54" spans="1:10" ht="15" x14ac:dyDescent="0.2">
      <c r="A54" s="1815">
        <v>2212</v>
      </c>
      <c r="B54" s="1897">
        <v>6121</v>
      </c>
      <c r="C54" s="1897">
        <v>38100884</v>
      </c>
      <c r="D54" s="1836" t="s">
        <v>603</v>
      </c>
      <c r="E54" s="1845">
        <v>0</v>
      </c>
      <c r="F54" s="1845">
        <v>2392</v>
      </c>
      <c r="G54" s="1845">
        <v>2043</v>
      </c>
      <c r="H54" s="1821">
        <f>G54/F54*100</f>
        <v>85.409698996655521</v>
      </c>
      <c r="I54" s="1829"/>
    </row>
    <row r="55" spans="1:10" ht="15" x14ac:dyDescent="0.2">
      <c r="A55" s="1815">
        <v>2212</v>
      </c>
      <c r="B55" s="1897">
        <v>6121</v>
      </c>
      <c r="C55" s="1897">
        <v>38500881</v>
      </c>
      <c r="D55" s="1836" t="s">
        <v>603</v>
      </c>
      <c r="E55" s="1845">
        <v>0</v>
      </c>
      <c r="F55" s="1845">
        <v>36</v>
      </c>
      <c r="G55" s="1845">
        <v>35</v>
      </c>
      <c r="H55" s="1821">
        <f>G55/F55*100</f>
        <v>97.222222222222214</v>
      </c>
      <c r="I55" s="1829"/>
    </row>
    <row r="56" spans="1:10" ht="15.75" thickBot="1" x14ac:dyDescent="0.25">
      <c r="A56" s="1815">
        <v>2212</v>
      </c>
      <c r="B56" s="1897">
        <v>6121</v>
      </c>
      <c r="C56" s="1897">
        <v>38587505</v>
      </c>
      <c r="D56" s="1836" t="s">
        <v>603</v>
      </c>
      <c r="E56" s="1845">
        <v>0</v>
      </c>
      <c r="F56" s="1845">
        <v>23069</v>
      </c>
      <c r="G56" s="1845">
        <v>13754</v>
      </c>
      <c r="H56" s="1821">
        <f>G56/F56*100</f>
        <v>59.621136590229305</v>
      </c>
      <c r="I56" s="1829"/>
    </row>
    <row r="57" spans="1:10" ht="16.5" thickTop="1" thickBot="1" x14ac:dyDescent="0.3">
      <c r="A57" s="1837" t="s">
        <v>763</v>
      </c>
      <c r="B57" s="1838"/>
      <c r="C57" s="1838"/>
      <c r="D57" s="1839"/>
      <c r="E57" s="1818">
        <f>SUM(E52:E56)</f>
        <v>11438</v>
      </c>
      <c r="F57" s="1818">
        <f t="shared" ref="F57:G57" si="2">SUM(F52:F56)</f>
        <v>29254</v>
      </c>
      <c r="G57" s="1818">
        <f t="shared" si="2"/>
        <v>18266</v>
      </c>
      <c r="H57" s="1822">
        <f>G57/F57*100</f>
        <v>62.439324536815477</v>
      </c>
      <c r="I57" s="1829"/>
    </row>
    <row r="58" spans="1:10" s="1898" customFormat="1" ht="18.75" thickTop="1" x14ac:dyDescent="0.25">
      <c r="A58" s="1806"/>
      <c r="B58" s="1802"/>
      <c r="C58" s="1802"/>
      <c r="D58" s="1802"/>
      <c r="E58" s="1803"/>
      <c r="F58" s="1829"/>
      <c r="G58" s="1829"/>
      <c r="H58" s="1829"/>
      <c r="I58" s="1803"/>
      <c r="J58" s="1866"/>
    </row>
    <row r="59" spans="1:10" s="1898" customFormat="1" ht="18" x14ac:dyDescent="0.25">
      <c r="A59" s="1806"/>
      <c r="B59" s="1802"/>
      <c r="C59" s="1802"/>
      <c r="D59" s="1802"/>
      <c r="E59" s="1803"/>
      <c r="F59" s="1829"/>
      <c r="G59" s="1829"/>
      <c r="H59" s="1829"/>
      <c r="I59" s="1803"/>
      <c r="J59" s="1866"/>
    </row>
    <row r="60" spans="1:10" ht="15" x14ac:dyDescent="0.25">
      <c r="A60" s="1808" t="s">
        <v>514</v>
      </c>
    </row>
    <row r="61" spans="1:10" ht="15.75" thickBot="1" x14ac:dyDescent="0.3">
      <c r="A61" s="1808" t="s">
        <v>1692</v>
      </c>
      <c r="H61" s="1829" t="s">
        <v>161</v>
      </c>
    </row>
    <row r="62" spans="1:10" ht="25.5" thickTop="1" thickBot="1" x14ac:dyDescent="0.25">
      <c r="A62" s="1809" t="s">
        <v>162</v>
      </c>
      <c r="B62" s="1810" t="s">
        <v>761</v>
      </c>
      <c r="C62" s="1810" t="s">
        <v>377</v>
      </c>
      <c r="D62" s="1811" t="s">
        <v>164</v>
      </c>
      <c r="E62" s="1833" t="s">
        <v>632</v>
      </c>
      <c r="F62" s="1833" t="s">
        <v>633</v>
      </c>
      <c r="G62" s="1834" t="s">
        <v>882</v>
      </c>
      <c r="H62" s="1835" t="s">
        <v>883</v>
      </c>
    </row>
    <row r="63" spans="1:10" ht="14.25" thickTop="1" thickBot="1" x14ac:dyDescent="0.25">
      <c r="A63" s="1643">
        <v>1</v>
      </c>
      <c r="B63" s="1642">
        <v>2</v>
      </c>
      <c r="C63" s="1642">
        <v>3</v>
      </c>
      <c r="D63" s="1642">
        <v>5</v>
      </c>
      <c r="E63" s="1641">
        <v>6</v>
      </c>
      <c r="F63" s="1641">
        <v>7</v>
      </c>
      <c r="G63" s="1877">
        <v>8</v>
      </c>
      <c r="H63" s="1814" t="s">
        <v>762</v>
      </c>
    </row>
    <row r="64" spans="1:10" ht="15.75" thickTop="1" x14ac:dyDescent="0.2">
      <c r="A64" s="1815">
        <v>2212</v>
      </c>
      <c r="B64" s="1816">
        <v>6121</v>
      </c>
      <c r="C64" s="1816">
        <v>12</v>
      </c>
      <c r="D64" s="1836" t="s">
        <v>603</v>
      </c>
      <c r="E64" s="1845">
        <v>5612</v>
      </c>
      <c r="F64" s="1845">
        <v>0</v>
      </c>
      <c r="G64" s="1845">
        <v>0</v>
      </c>
      <c r="H64" s="1821">
        <v>0</v>
      </c>
    </row>
    <row r="65" spans="1:8" ht="15" x14ac:dyDescent="0.2">
      <c r="A65" s="1815">
        <v>2212</v>
      </c>
      <c r="B65" s="1816">
        <v>6121</v>
      </c>
      <c r="C65" s="1816">
        <v>38100880</v>
      </c>
      <c r="D65" s="1836" t="s">
        <v>603</v>
      </c>
      <c r="E65" s="1845">
        <v>0</v>
      </c>
      <c r="F65" s="1845">
        <v>4870</v>
      </c>
      <c r="G65" s="1845">
        <v>4867</v>
      </c>
      <c r="H65" s="1821">
        <f t="shared" ref="H65:H66" si="3">G65/F65*100</f>
        <v>99.938398357289529</v>
      </c>
    </row>
    <row r="66" spans="1:8" ht="15" x14ac:dyDescent="0.2">
      <c r="A66" s="1815">
        <v>2212</v>
      </c>
      <c r="B66" s="1897">
        <v>6121</v>
      </c>
      <c r="C66" s="1897">
        <v>38100884</v>
      </c>
      <c r="D66" s="1836" t="s">
        <v>603</v>
      </c>
      <c r="E66" s="1845">
        <v>0</v>
      </c>
      <c r="F66" s="1845">
        <v>3794</v>
      </c>
      <c r="G66" s="1845">
        <v>2934</v>
      </c>
      <c r="H66" s="1821">
        <f t="shared" si="3"/>
        <v>77.332630469161828</v>
      </c>
    </row>
    <row r="67" spans="1:8" ht="15" x14ac:dyDescent="0.2">
      <c r="A67" s="1815">
        <v>2212</v>
      </c>
      <c r="B67" s="1897">
        <v>6121</v>
      </c>
      <c r="C67" s="1897">
        <v>38500881</v>
      </c>
      <c r="D67" s="1836" t="s">
        <v>603</v>
      </c>
      <c r="E67" s="1845">
        <v>0</v>
      </c>
      <c r="F67" s="1845">
        <v>138</v>
      </c>
      <c r="G67" s="1845">
        <v>0</v>
      </c>
      <c r="H67" s="1821">
        <f>G67/F67*100</f>
        <v>0</v>
      </c>
    </row>
    <row r="68" spans="1:8" ht="15.75" thickBot="1" x14ac:dyDescent="0.25">
      <c r="A68" s="1815">
        <v>2212</v>
      </c>
      <c r="B68" s="1897">
        <v>6121</v>
      </c>
      <c r="C68" s="1897">
        <v>38587505</v>
      </c>
      <c r="D68" s="1836" t="s">
        <v>603</v>
      </c>
      <c r="E68" s="1845">
        <v>0</v>
      </c>
      <c r="F68" s="1845">
        <v>10691</v>
      </c>
      <c r="G68" s="1845">
        <v>6306</v>
      </c>
      <c r="H68" s="1821">
        <f>G68/F68*100</f>
        <v>58.984192311289874</v>
      </c>
    </row>
    <row r="69" spans="1:8" ht="16.5" thickTop="1" thickBot="1" x14ac:dyDescent="0.3">
      <c r="A69" s="1837" t="s">
        <v>763</v>
      </c>
      <c r="B69" s="1838"/>
      <c r="C69" s="1838"/>
      <c r="D69" s="1839"/>
      <c r="E69" s="1818">
        <f>SUM(E64:E68)</f>
        <v>5612</v>
      </c>
      <c r="F69" s="1818">
        <f t="shared" ref="F69:G69" si="4">SUM(F64:F68)</f>
        <v>19493</v>
      </c>
      <c r="G69" s="1818">
        <f t="shared" si="4"/>
        <v>14107</v>
      </c>
      <c r="H69" s="1822">
        <f>G69/F69*100</f>
        <v>72.369568563073926</v>
      </c>
    </row>
    <row r="70" spans="1:8" ht="18.75" thickTop="1" x14ac:dyDescent="0.25">
      <c r="A70" s="1806"/>
    </row>
    <row r="71" spans="1:8" ht="18" x14ac:dyDescent="0.25">
      <c r="A71" s="1806"/>
    </row>
    <row r="72" spans="1:8" ht="15" hidden="1" x14ac:dyDescent="0.25">
      <c r="A72" s="1808" t="s">
        <v>495</v>
      </c>
    </row>
    <row r="73" spans="1:8" ht="15" hidden="1" x14ac:dyDescent="0.25">
      <c r="A73" s="1808" t="s">
        <v>251</v>
      </c>
      <c r="H73" s="1829" t="s">
        <v>161</v>
      </c>
    </row>
    <row r="74" spans="1:8" ht="25.5" hidden="1" thickTop="1" thickBot="1" x14ac:dyDescent="0.25">
      <c r="A74" s="1809" t="s">
        <v>162</v>
      </c>
      <c r="B74" s="1810" t="s">
        <v>761</v>
      </c>
      <c r="C74" s="1810" t="s">
        <v>377</v>
      </c>
      <c r="D74" s="1811" t="s">
        <v>164</v>
      </c>
      <c r="E74" s="1833" t="s">
        <v>632</v>
      </c>
      <c r="F74" s="1833" t="s">
        <v>633</v>
      </c>
      <c r="G74" s="1834" t="s">
        <v>882</v>
      </c>
      <c r="H74" s="1835" t="s">
        <v>883</v>
      </c>
    </row>
    <row r="75" spans="1:8" ht="14.25" hidden="1" thickTop="1" thickBot="1" x14ac:dyDescent="0.25">
      <c r="A75" s="1643">
        <v>1</v>
      </c>
      <c r="B75" s="1642">
        <v>2</v>
      </c>
      <c r="C75" s="1642">
        <v>3</v>
      </c>
      <c r="D75" s="1642">
        <v>5</v>
      </c>
      <c r="E75" s="1641">
        <v>6</v>
      </c>
      <c r="F75" s="1641">
        <v>7</v>
      </c>
      <c r="G75" s="1877">
        <v>8</v>
      </c>
      <c r="H75" s="1814" t="s">
        <v>762</v>
      </c>
    </row>
    <row r="76" spans="1:8" ht="15" hidden="1" x14ac:dyDescent="0.2">
      <c r="A76" s="1815">
        <v>2212</v>
      </c>
      <c r="B76" s="1816">
        <v>6121</v>
      </c>
      <c r="C76" s="1897">
        <v>38100870</v>
      </c>
      <c r="D76" s="1836" t="s">
        <v>603</v>
      </c>
      <c r="E76" s="1845"/>
      <c r="F76" s="1845"/>
      <c r="G76" s="1845"/>
      <c r="H76" s="1821" t="e">
        <f>G76/F76*100</f>
        <v>#DIV/0!</v>
      </c>
    </row>
    <row r="77" spans="1:8" ht="15" hidden="1" x14ac:dyDescent="0.2">
      <c r="A77" s="1815">
        <v>2212</v>
      </c>
      <c r="B77" s="1897">
        <v>6121</v>
      </c>
      <c r="C77" s="1897">
        <v>38100872</v>
      </c>
      <c r="D77" s="1836" t="s">
        <v>603</v>
      </c>
      <c r="E77" s="1845"/>
      <c r="F77" s="1845"/>
      <c r="G77" s="1885"/>
      <c r="H77" s="1821">
        <v>0</v>
      </c>
    </row>
    <row r="78" spans="1:8" ht="15.75" hidden="1" thickBot="1" x14ac:dyDescent="0.25">
      <c r="A78" s="1815">
        <v>2212</v>
      </c>
      <c r="B78" s="1897">
        <v>6121</v>
      </c>
      <c r="C78" s="1897">
        <v>38500871</v>
      </c>
      <c r="D78" s="1836" t="s">
        <v>603</v>
      </c>
      <c r="E78" s="1845"/>
      <c r="F78" s="1842"/>
      <c r="G78" s="1842"/>
      <c r="H78" s="1821" t="e">
        <f>G78/F78*100</f>
        <v>#DIV/0!</v>
      </c>
    </row>
    <row r="79" spans="1:8" ht="16.5" hidden="1" thickTop="1" thickBot="1" x14ac:dyDescent="0.3">
      <c r="A79" s="1837" t="s">
        <v>763</v>
      </c>
      <c r="B79" s="1838"/>
      <c r="C79" s="1838"/>
      <c r="D79" s="1839"/>
      <c r="E79" s="1818">
        <f>SUM(E76:E78)</f>
        <v>0</v>
      </c>
      <c r="F79" s="1818">
        <f>SUM(F76:F78)</f>
        <v>0</v>
      </c>
      <c r="G79" s="1818">
        <f>SUM(G76:G78)</f>
        <v>0</v>
      </c>
      <c r="H79" s="1822" t="e">
        <f>G79/F79*100</f>
        <v>#DIV/0!</v>
      </c>
    </row>
    <row r="80" spans="1:8" ht="18" hidden="1" x14ac:dyDescent="0.25">
      <c r="A80" s="1806"/>
    </row>
    <row r="81" spans="1:9" ht="18" hidden="1" x14ac:dyDescent="0.25">
      <c r="A81" s="1806"/>
    </row>
    <row r="82" spans="1:9" ht="15" hidden="1" x14ac:dyDescent="0.25">
      <c r="A82" s="1808" t="s">
        <v>1613</v>
      </c>
    </row>
    <row r="83" spans="1:9" ht="15" hidden="1" x14ac:dyDescent="0.25">
      <c r="A83" s="1808" t="s">
        <v>1072</v>
      </c>
      <c r="H83" s="1892" t="s">
        <v>161</v>
      </c>
    </row>
    <row r="84" spans="1:9" ht="25.5" hidden="1" thickTop="1" thickBot="1" x14ac:dyDescent="0.25">
      <c r="A84" s="1809" t="s">
        <v>162</v>
      </c>
      <c r="B84" s="1810" t="s">
        <v>761</v>
      </c>
      <c r="C84" s="1810" t="s">
        <v>377</v>
      </c>
      <c r="D84" s="1811" t="s">
        <v>164</v>
      </c>
      <c r="E84" s="1833" t="s">
        <v>632</v>
      </c>
      <c r="F84" s="1833" t="s">
        <v>633</v>
      </c>
      <c r="G84" s="1834" t="s">
        <v>882</v>
      </c>
      <c r="H84" s="1835" t="s">
        <v>883</v>
      </c>
    </row>
    <row r="85" spans="1:9" ht="14.25" hidden="1" thickTop="1" thickBot="1" x14ac:dyDescent="0.25">
      <c r="A85" s="1643">
        <v>1</v>
      </c>
      <c r="B85" s="1642">
        <v>2</v>
      </c>
      <c r="C85" s="1642">
        <v>3</v>
      </c>
      <c r="D85" s="1642">
        <v>5</v>
      </c>
      <c r="E85" s="1641">
        <v>6</v>
      </c>
      <c r="F85" s="1641">
        <v>7</v>
      </c>
      <c r="G85" s="1877">
        <v>8</v>
      </c>
      <c r="H85" s="1814" t="s">
        <v>762</v>
      </c>
    </row>
    <row r="86" spans="1:9" ht="15" hidden="1" x14ac:dyDescent="0.2">
      <c r="A86" s="1815">
        <v>2212</v>
      </c>
      <c r="B86" s="1897">
        <v>6121</v>
      </c>
      <c r="C86" s="1897">
        <v>21</v>
      </c>
      <c r="D86" s="1836" t="s">
        <v>603</v>
      </c>
      <c r="E86" s="1845">
        <v>0</v>
      </c>
      <c r="F86" s="1845">
        <v>0</v>
      </c>
      <c r="G86" s="1845">
        <v>0</v>
      </c>
      <c r="H86" s="1821" t="e">
        <f t="shared" ref="H86:H91" si="5">G86/F86*100</f>
        <v>#DIV/0!</v>
      </c>
    </row>
    <row r="87" spans="1:9" ht="15" hidden="1" x14ac:dyDescent="0.2">
      <c r="A87" s="1815">
        <v>2212</v>
      </c>
      <c r="B87" s="1897">
        <v>6121</v>
      </c>
      <c r="C87" s="1897">
        <v>38100872</v>
      </c>
      <c r="D87" s="1836" t="s">
        <v>609</v>
      </c>
      <c r="E87" s="1845">
        <v>0</v>
      </c>
      <c r="F87" s="1845"/>
      <c r="G87" s="1845"/>
      <c r="H87" s="1821" t="e">
        <f t="shared" si="5"/>
        <v>#DIV/0!</v>
      </c>
    </row>
    <row r="88" spans="1:9" ht="15" hidden="1" x14ac:dyDescent="0.2">
      <c r="A88" s="1815">
        <v>2212</v>
      </c>
      <c r="B88" s="1897">
        <v>6121</v>
      </c>
      <c r="C88" s="1897">
        <v>38100874</v>
      </c>
      <c r="D88" s="1836" t="s">
        <v>609</v>
      </c>
      <c r="E88" s="1845">
        <v>0</v>
      </c>
      <c r="F88" s="1845"/>
      <c r="G88" s="1845"/>
      <c r="H88" s="1821" t="e">
        <f t="shared" si="5"/>
        <v>#DIV/0!</v>
      </c>
    </row>
    <row r="89" spans="1:9" ht="15" hidden="1" x14ac:dyDescent="0.2">
      <c r="A89" s="1815">
        <v>2212</v>
      </c>
      <c r="B89" s="1897">
        <v>6121</v>
      </c>
      <c r="C89" s="1897">
        <v>38500871</v>
      </c>
      <c r="D89" s="1836" t="s">
        <v>603</v>
      </c>
      <c r="E89" s="1845">
        <v>0</v>
      </c>
      <c r="F89" s="1845"/>
      <c r="G89" s="1845"/>
      <c r="H89" s="1821" t="e">
        <f t="shared" si="5"/>
        <v>#DIV/0!</v>
      </c>
    </row>
    <row r="90" spans="1:9" ht="15" hidden="1" x14ac:dyDescent="0.2">
      <c r="A90" s="1815">
        <v>2212</v>
      </c>
      <c r="B90" s="1897">
        <v>6121</v>
      </c>
      <c r="C90" s="1897">
        <v>38591628</v>
      </c>
      <c r="D90" s="1836" t="s">
        <v>603</v>
      </c>
      <c r="E90" s="1845">
        <v>0</v>
      </c>
      <c r="F90" s="1845"/>
      <c r="G90" s="1845"/>
      <c r="H90" s="1821" t="e">
        <f t="shared" si="5"/>
        <v>#DIV/0!</v>
      </c>
    </row>
    <row r="91" spans="1:9" ht="16.5" hidden="1" thickTop="1" thickBot="1" x14ac:dyDescent="0.3">
      <c r="A91" s="1837" t="s">
        <v>763</v>
      </c>
      <c r="B91" s="1838"/>
      <c r="C91" s="1838"/>
      <c r="D91" s="1839"/>
      <c r="E91" s="1818">
        <f>SUM(E89:E90)</f>
        <v>0</v>
      </c>
      <c r="F91" s="1818">
        <f>SUM(F86:F90)</f>
        <v>0</v>
      </c>
      <c r="G91" s="1818">
        <f>SUM(G86:G90)</f>
        <v>0</v>
      </c>
      <c r="H91" s="1822" t="e">
        <f t="shared" si="5"/>
        <v>#DIV/0!</v>
      </c>
    </row>
    <row r="92" spans="1:9" hidden="1" x14ac:dyDescent="0.2">
      <c r="A92" s="1893"/>
      <c r="B92" s="1893"/>
      <c r="C92" s="1893"/>
      <c r="D92" s="1893"/>
      <c r="E92" s="1895"/>
      <c r="F92" s="1894"/>
      <c r="G92" s="1894"/>
      <c r="H92" s="1894"/>
      <c r="I92" s="1893"/>
    </row>
    <row r="93" spans="1:9" s="1656" customFormat="1" ht="15" hidden="1" x14ac:dyDescent="0.25">
      <c r="A93" s="1808" t="s">
        <v>1531</v>
      </c>
      <c r="B93" s="1802"/>
      <c r="C93" s="1802"/>
      <c r="D93" s="1802"/>
      <c r="E93" s="1803"/>
      <c r="F93" s="1829"/>
      <c r="G93" s="1829"/>
      <c r="H93" s="1829"/>
      <c r="I93" s="1803"/>
    </row>
    <row r="94" spans="1:9" s="1581" customFormat="1" ht="15" hidden="1" x14ac:dyDescent="0.25">
      <c r="A94" s="1808" t="s">
        <v>1532</v>
      </c>
      <c r="B94" s="1802"/>
      <c r="C94" s="1802"/>
      <c r="D94" s="1802"/>
      <c r="E94" s="1803"/>
      <c r="F94" s="1829"/>
      <c r="G94" s="1829"/>
      <c r="H94" s="1892" t="s">
        <v>161</v>
      </c>
      <c r="I94" s="1803"/>
    </row>
    <row r="95" spans="1:9" ht="25.5" hidden="1" thickTop="1" thickBot="1" x14ac:dyDescent="0.25">
      <c r="A95" s="1809" t="s">
        <v>162</v>
      </c>
      <c r="B95" s="1810" t="s">
        <v>761</v>
      </c>
      <c r="C95" s="1810" t="s">
        <v>377</v>
      </c>
      <c r="D95" s="1811" t="s">
        <v>164</v>
      </c>
      <c r="E95" s="1833" t="s">
        <v>632</v>
      </c>
      <c r="F95" s="1833" t="s">
        <v>633</v>
      </c>
      <c r="G95" s="1834" t="s">
        <v>882</v>
      </c>
      <c r="H95" s="1835" t="s">
        <v>883</v>
      </c>
    </row>
    <row r="96" spans="1:9" ht="14.25" hidden="1" thickTop="1" thickBot="1" x14ac:dyDescent="0.25">
      <c r="A96" s="1643">
        <v>1</v>
      </c>
      <c r="B96" s="1642">
        <v>2</v>
      </c>
      <c r="C96" s="1642">
        <v>3</v>
      </c>
      <c r="D96" s="1642">
        <v>5</v>
      </c>
      <c r="E96" s="1641">
        <v>6</v>
      </c>
      <c r="F96" s="1641">
        <v>7</v>
      </c>
      <c r="G96" s="1877">
        <v>8</v>
      </c>
      <c r="H96" s="1814" t="s">
        <v>762</v>
      </c>
    </row>
    <row r="97" spans="1:9" ht="15" hidden="1" x14ac:dyDescent="0.2">
      <c r="A97" s="1815">
        <v>2212</v>
      </c>
      <c r="B97" s="1816">
        <v>5169</v>
      </c>
      <c r="C97" s="1816">
        <v>38100874</v>
      </c>
      <c r="D97" s="1836" t="s">
        <v>852</v>
      </c>
      <c r="E97" s="1845">
        <v>0</v>
      </c>
      <c r="F97" s="1845"/>
      <c r="G97" s="1845"/>
      <c r="H97" s="1821">
        <v>0</v>
      </c>
    </row>
    <row r="98" spans="1:9" ht="15" hidden="1" x14ac:dyDescent="0.2">
      <c r="A98" s="1815">
        <v>2212</v>
      </c>
      <c r="B98" s="1816">
        <v>6121</v>
      </c>
      <c r="C98" s="1816">
        <v>38100870</v>
      </c>
      <c r="D98" s="1836" t="s">
        <v>603</v>
      </c>
      <c r="E98" s="1845">
        <v>0</v>
      </c>
      <c r="F98" s="1845"/>
      <c r="G98" s="1845"/>
      <c r="H98" s="1821" t="e">
        <f>G98/F98*100</f>
        <v>#DIV/0!</v>
      </c>
      <c r="I98" s="1829"/>
    </row>
    <row r="99" spans="1:9" ht="15" hidden="1" x14ac:dyDescent="0.2">
      <c r="A99" s="1815">
        <v>2212</v>
      </c>
      <c r="B99" s="1897">
        <v>6121</v>
      </c>
      <c r="C99" s="1897">
        <v>38100874</v>
      </c>
      <c r="D99" s="1836" t="s">
        <v>603</v>
      </c>
      <c r="E99" s="1845">
        <v>0</v>
      </c>
      <c r="F99" s="1845"/>
      <c r="G99" s="1845"/>
      <c r="H99" s="1821" t="e">
        <f>G99/F99*100</f>
        <v>#DIV/0!</v>
      </c>
      <c r="I99" s="1829"/>
    </row>
    <row r="100" spans="1:9" ht="15" hidden="1" x14ac:dyDescent="0.2">
      <c r="A100" s="1815">
        <v>2212</v>
      </c>
      <c r="B100" s="1897">
        <v>6121</v>
      </c>
      <c r="C100" s="1897">
        <v>38500871</v>
      </c>
      <c r="D100" s="1836" t="s">
        <v>603</v>
      </c>
      <c r="E100" s="1845">
        <v>0</v>
      </c>
      <c r="F100" s="1845"/>
      <c r="G100" s="1845"/>
      <c r="H100" s="1821" t="e">
        <f>G100/F100*100</f>
        <v>#DIV/0!</v>
      </c>
      <c r="I100" s="1829"/>
    </row>
    <row r="101" spans="1:9" ht="16.5" hidden="1" thickTop="1" thickBot="1" x14ac:dyDescent="0.3">
      <c r="A101" s="1837" t="s">
        <v>763</v>
      </c>
      <c r="B101" s="1838"/>
      <c r="C101" s="1838"/>
      <c r="D101" s="1839"/>
      <c r="E101" s="1818">
        <f>SUM(E97:E100)</f>
        <v>0</v>
      </c>
      <c r="F101" s="1818">
        <f>SUM(F97:F100)</f>
        <v>0</v>
      </c>
      <c r="G101" s="1818">
        <f>SUM(G97:G100)</f>
        <v>0</v>
      </c>
      <c r="H101" s="1822" t="e">
        <f>G101/F101*100</f>
        <v>#DIV/0!</v>
      </c>
      <c r="I101" s="1829"/>
    </row>
    <row r="102" spans="1:9" hidden="1" x14ac:dyDescent="0.2">
      <c r="A102" s="1893"/>
      <c r="B102" s="1893"/>
      <c r="C102" s="1893"/>
      <c r="D102" s="1893"/>
      <c r="E102" s="1895"/>
      <c r="F102" s="1894"/>
      <c r="G102" s="1894"/>
      <c r="H102" s="1894"/>
      <c r="I102" s="1893"/>
    </row>
    <row r="103" spans="1:9" s="1656" customFormat="1" ht="15" hidden="1" x14ac:dyDescent="0.25">
      <c r="A103" s="1808" t="s">
        <v>1372</v>
      </c>
      <c r="B103" s="1802"/>
      <c r="C103" s="1802"/>
      <c r="D103" s="1802"/>
      <c r="E103" s="1803"/>
      <c r="F103" s="1829"/>
      <c r="G103" s="1829"/>
      <c r="H103" s="1829"/>
      <c r="I103" s="1803"/>
    </row>
    <row r="104" spans="1:9" s="1581" customFormat="1" ht="15" hidden="1" x14ac:dyDescent="0.25">
      <c r="A104" s="1808" t="s">
        <v>1371</v>
      </c>
      <c r="B104" s="1802"/>
      <c r="C104" s="1802"/>
      <c r="D104" s="1802"/>
      <c r="E104" s="1803"/>
      <c r="F104" s="1829"/>
      <c r="G104" s="1829"/>
      <c r="H104" s="1892" t="s">
        <v>161</v>
      </c>
      <c r="I104" s="1803"/>
    </row>
    <row r="105" spans="1:9" ht="25.5" hidden="1" thickTop="1" thickBot="1" x14ac:dyDescent="0.25">
      <c r="A105" s="1809" t="s">
        <v>162</v>
      </c>
      <c r="B105" s="1810" t="s">
        <v>761</v>
      </c>
      <c r="C105" s="1810" t="s">
        <v>377</v>
      </c>
      <c r="D105" s="1811" t="s">
        <v>164</v>
      </c>
      <c r="E105" s="1833" t="s">
        <v>632</v>
      </c>
      <c r="F105" s="1833" t="s">
        <v>633</v>
      </c>
      <c r="G105" s="1834" t="s">
        <v>882</v>
      </c>
      <c r="H105" s="1835" t="s">
        <v>883</v>
      </c>
    </row>
    <row r="106" spans="1:9" ht="14.25" hidden="1" thickTop="1" thickBot="1" x14ac:dyDescent="0.25">
      <c r="A106" s="1643">
        <v>1</v>
      </c>
      <c r="B106" s="1642">
        <v>2</v>
      </c>
      <c r="C106" s="1642">
        <v>3</v>
      </c>
      <c r="D106" s="1642">
        <v>5</v>
      </c>
      <c r="E106" s="1641">
        <v>6</v>
      </c>
      <c r="F106" s="1641">
        <v>7</v>
      </c>
      <c r="G106" s="1877">
        <v>8</v>
      </c>
      <c r="H106" s="1814" t="s">
        <v>762</v>
      </c>
    </row>
    <row r="107" spans="1:9" ht="15" hidden="1" x14ac:dyDescent="0.2">
      <c r="A107" s="1815">
        <v>2212</v>
      </c>
      <c r="B107" s="1816">
        <v>6121</v>
      </c>
      <c r="C107" s="1816">
        <v>38100870</v>
      </c>
      <c r="D107" s="1836" t="s">
        <v>603</v>
      </c>
      <c r="E107" s="1845">
        <v>0</v>
      </c>
      <c r="F107" s="1845"/>
      <c r="G107" s="1845"/>
      <c r="H107" s="1821" t="e">
        <f>G107/F107*100</f>
        <v>#DIV/0!</v>
      </c>
      <c r="I107" s="1829"/>
    </row>
    <row r="108" spans="1:9" ht="15" hidden="1" x14ac:dyDescent="0.2">
      <c r="A108" s="1815">
        <v>2212</v>
      </c>
      <c r="B108" s="1897">
        <v>6121</v>
      </c>
      <c r="C108" s="1897">
        <v>38100874</v>
      </c>
      <c r="D108" s="1836" t="s">
        <v>603</v>
      </c>
      <c r="E108" s="1845">
        <v>0</v>
      </c>
      <c r="F108" s="1845"/>
      <c r="G108" s="1845"/>
      <c r="H108" s="1821" t="e">
        <f>G108/F108*100</f>
        <v>#DIV/0!</v>
      </c>
      <c r="I108" s="1829"/>
    </row>
    <row r="109" spans="1:9" ht="15" hidden="1" x14ac:dyDescent="0.2">
      <c r="A109" s="1815">
        <v>2212</v>
      </c>
      <c r="B109" s="1897">
        <v>6121</v>
      </c>
      <c r="C109" s="1897">
        <v>38500871</v>
      </c>
      <c r="D109" s="1836" t="s">
        <v>603</v>
      </c>
      <c r="E109" s="1845">
        <v>0</v>
      </c>
      <c r="F109" s="1845"/>
      <c r="G109" s="1845"/>
      <c r="H109" s="1821" t="e">
        <f>G109/F109*100</f>
        <v>#DIV/0!</v>
      </c>
      <c r="I109" s="1829"/>
    </row>
    <row r="110" spans="1:9" ht="16.5" hidden="1" thickTop="1" thickBot="1" x14ac:dyDescent="0.3">
      <c r="A110" s="1837" t="s">
        <v>763</v>
      </c>
      <c r="B110" s="1838"/>
      <c r="C110" s="1838"/>
      <c r="D110" s="1839"/>
      <c r="E110" s="1818">
        <f>SUM(E107:E109)</f>
        <v>0</v>
      </c>
      <c r="F110" s="1818">
        <f>SUM(F107:F109)</f>
        <v>0</v>
      </c>
      <c r="G110" s="1818">
        <f>SUM(G107:G109)</f>
        <v>0</v>
      </c>
      <c r="H110" s="1822" t="e">
        <f>G110/F110*100</f>
        <v>#DIV/0!</v>
      </c>
      <c r="I110" s="1829"/>
    </row>
    <row r="111" spans="1:9" ht="15" hidden="1" x14ac:dyDescent="0.25">
      <c r="A111" s="1848"/>
      <c r="B111" s="1848"/>
      <c r="C111" s="1848"/>
      <c r="D111" s="1848"/>
      <c r="E111" s="1824"/>
      <c r="F111" s="1824"/>
      <c r="G111" s="1824"/>
      <c r="H111" s="1849"/>
      <c r="I111" s="1829"/>
    </row>
    <row r="112" spans="1:9" s="1656" customFormat="1" ht="15" hidden="1" x14ac:dyDescent="0.25">
      <c r="A112" s="1808" t="s">
        <v>1292</v>
      </c>
      <c r="B112" s="1802"/>
      <c r="C112" s="1802"/>
      <c r="D112" s="1802"/>
      <c r="E112" s="1803"/>
      <c r="F112" s="1829"/>
      <c r="G112" s="1829"/>
      <c r="H112" s="1829"/>
      <c r="I112" s="1803"/>
    </row>
    <row r="113" spans="1:12" s="1581" customFormat="1" ht="15" hidden="1" x14ac:dyDescent="0.25">
      <c r="A113" s="1808" t="s">
        <v>1293</v>
      </c>
      <c r="B113" s="1802"/>
      <c r="C113" s="1802"/>
      <c r="D113" s="1802"/>
      <c r="E113" s="1803"/>
      <c r="F113" s="1829"/>
      <c r="G113" s="1829"/>
      <c r="H113" s="1892" t="s">
        <v>161</v>
      </c>
      <c r="I113" s="1803"/>
    </row>
    <row r="114" spans="1:12" ht="25.5" hidden="1" thickTop="1" thickBot="1" x14ac:dyDescent="0.25">
      <c r="A114" s="1809" t="s">
        <v>162</v>
      </c>
      <c r="B114" s="1810" t="s">
        <v>761</v>
      </c>
      <c r="C114" s="1810" t="s">
        <v>377</v>
      </c>
      <c r="D114" s="1811" t="s">
        <v>164</v>
      </c>
      <c r="E114" s="1833" t="s">
        <v>632</v>
      </c>
      <c r="F114" s="1833" t="s">
        <v>633</v>
      </c>
      <c r="G114" s="1834" t="s">
        <v>882</v>
      </c>
      <c r="H114" s="1835" t="s">
        <v>883</v>
      </c>
    </row>
    <row r="115" spans="1:12" ht="14.25" hidden="1" thickTop="1" thickBot="1" x14ac:dyDescent="0.25">
      <c r="A115" s="1643">
        <v>1</v>
      </c>
      <c r="B115" s="1642">
        <v>2</v>
      </c>
      <c r="C115" s="1642">
        <v>3</v>
      </c>
      <c r="D115" s="1642">
        <v>5</v>
      </c>
      <c r="E115" s="1641">
        <v>6</v>
      </c>
      <c r="F115" s="1641">
        <v>7</v>
      </c>
      <c r="G115" s="1877">
        <v>8</v>
      </c>
      <c r="H115" s="1814" t="s">
        <v>762</v>
      </c>
    </row>
    <row r="116" spans="1:12" ht="15" hidden="1" x14ac:dyDescent="0.2">
      <c r="A116" s="1815">
        <v>2212</v>
      </c>
      <c r="B116" s="1897">
        <v>5363</v>
      </c>
      <c r="C116" s="1816">
        <v>38100884</v>
      </c>
      <c r="D116" s="1836" t="s">
        <v>1542</v>
      </c>
      <c r="E116" s="1845">
        <v>0</v>
      </c>
      <c r="F116" s="1845"/>
      <c r="G116" s="1845"/>
      <c r="H116" s="1821" t="e">
        <f t="shared" ref="H116:H121" si="6">G116/F116*100</f>
        <v>#DIV/0!</v>
      </c>
    </row>
    <row r="117" spans="1:12" ht="15" hidden="1" x14ac:dyDescent="0.2">
      <c r="A117" s="1815">
        <v>2212</v>
      </c>
      <c r="B117" s="1816">
        <v>6121</v>
      </c>
      <c r="C117" s="1816">
        <v>38100870</v>
      </c>
      <c r="D117" s="1836" t="s">
        <v>603</v>
      </c>
      <c r="E117" s="1845">
        <v>0</v>
      </c>
      <c r="F117" s="1845"/>
      <c r="G117" s="1845"/>
      <c r="H117" s="1821" t="e">
        <f t="shared" si="6"/>
        <v>#DIV/0!</v>
      </c>
      <c r="I117" s="1829"/>
    </row>
    <row r="118" spans="1:12" ht="15" hidden="1" x14ac:dyDescent="0.2">
      <c r="A118" s="1815">
        <v>2212</v>
      </c>
      <c r="B118" s="1897">
        <v>6121</v>
      </c>
      <c r="C118" s="1897">
        <v>38100872</v>
      </c>
      <c r="D118" s="1836" t="s">
        <v>603</v>
      </c>
      <c r="E118" s="1845">
        <v>0</v>
      </c>
      <c r="F118" s="1845"/>
      <c r="G118" s="1845"/>
      <c r="H118" s="1821" t="e">
        <f t="shared" si="6"/>
        <v>#DIV/0!</v>
      </c>
      <c r="I118" s="1829"/>
      <c r="K118" s="1581"/>
      <c r="L118" s="1581"/>
    </row>
    <row r="119" spans="1:12" ht="15" hidden="1" x14ac:dyDescent="0.2">
      <c r="A119" s="1815">
        <v>2212</v>
      </c>
      <c r="B119" s="1897">
        <v>6121</v>
      </c>
      <c r="C119" s="1897">
        <v>38100874</v>
      </c>
      <c r="D119" s="1836" t="s">
        <v>603</v>
      </c>
      <c r="E119" s="1845">
        <v>0</v>
      </c>
      <c r="F119" s="1845"/>
      <c r="G119" s="1845"/>
      <c r="H119" s="1821" t="e">
        <f t="shared" si="6"/>
        <v>#DIV/0!</v>
      </c>
      <c r="I119" s="1829"/>
    </row>
    <row r="120" spans="1:12" ht="15" hidden="1" x14ac:dyDescent="0.2">
      <c r="A120" s="1815">
        <v>2212</v>
      </c>
      <c r="B120" s="1897">
        <v>6121</v>
      </c>
      <c r="C120" s="1897">
        <v>38500871</v>
      </c>
      <c r="D120" s="1836" t="s">
        <v>603</v>
      </c>
      <c r="E120" s="1845">
        <v>0</v>
      </c>
      <c r="F120" s="1845"/>
      <c r="G120" s="1845"/>
      <c r="H120" s="1821" t="e">
        <f t="shared" si="6"/>
        <v>#DIV/0!</v>
      </c>
      <c r="I120" s="1829"/>
    </row>
    <row r="121" spans="1:12" ht="16.5" hidden="1" thickTop="1" thickBot="1" x14ac:dyDescent="0.3">
      <c r="A121" s="1837" t="s">
        <v>763</v>
      </c>
      <c r="B121" s="1838"/>
      <c r="C121" s="1838"/>
      <c r="D121" s="1839"/>
      <c r="E121" s="1818">
        <f>SUM(E117:E120)</f>
        <v>0</v>
      </c>
      <c r="F121" s="1818">
        <f>SUM(F117:F120)</f>
        <v>0</v>
      </c>
      <c r="G121" s="1818">
        <f>SUM(G117:G120)</f>
        <v>0</v>
      </c>
      <c r="H121" s="1822" t="e">
        <f t="shared" si="6"/>
        <v>#DIV/0!</v>
      </c>
      <c r="I121" s="1829"/>
    </row>
    <row r="122" spans="1:12" x14ac:dyDescent="0.2">
      <c r="A122" s="1893"/>
      <c r="B122" s="1893"/>
      <c r="C122" s="1893"/>
      <c r="D122" s="1893"/>
      <c r="E122" s="1895"/>
      <c r="F122" s="1894"/>
      <c r="G122" s="1894"/>
      <c r="H122" s="1894"/>
      <c r="I122" s="1893"/>
    </row>
    <row r="123" spans="1:12" ht="14.25" customHeight="1" x14ac:dyDescent="0.25">
      <c r="A123" s="1808" t="s">
        <v>1693</v>
      </c>
      <c r="I123" s="1893"/>
    </row>
    <row r="124" spans="1:12" ht="14.25" customHeight="1" thickBot="1" x14ac:dyDescent="0.3">
      <c r="A124" s="1808" t="s">
        <v>1694</v>
      </c>
      <c r="H124" s="1892" t="s">
        <v>161</v>
      </c>
      <c r="I124" s="1893"/>
    </row>
    <row r="125" spans="1:12" ht="27" customHeight="1" thickTop="1" thickBot="1" x14ac:dyDescent="0.25">
      <c r="A125" s="1809" t="s">
        <v>162</v>
      </c>
      <c r="B125" s="1810" t="s">
        <v>761</v>
      </c>
      <c r="C125" s="1810" t="s">
        <v>377</v>
      </c>
      <c r="D125" s="1811" t="s">
        <v>164</v>
      </c>
      <c r="E125" s="1833" t="s">
        <v>632</v>
      </c>
      <c r="F125" s="1833" t="s">
        <v>633</v>
      </c>
      <c r="G125" s="1834" t="s">
        <v>882</v>
      </c>
      <c r="H125" s="1835" t="s">
        <v>883</v>
      </c>
      <c r="I125" s="1893"/>
    </row>
    <row r="126" spans="1:12" ht="14.25" customHeight="1" thickTop="1" thickBot="1" x14ac:dyDescent="0.25">
      <c r="A126" s="1643">
        <v>1</v>
      </c>
      <c r="B126" s="1642">
        <v>2</v>
      </c>
      <c r="C126" s="1642">
        <v>3</v>
      </c>
      <c r="D126" s="1642">
        <v>5</v>
      </c>
      <c r="E126" s="1641">
        <v>6</v>
      </c>
      <c r="F126" s="1641">
        <v>7</v>
      </c>
      <c r="G126" s="1877">
        <v>8</v>
      </c>
      <c r="H126" s="1814" t="s">
        <v>762</v>
      </c>
      <c r="I126" s="1893"/>
    </row>
    <row r="127" spans="1:12" ht="15.75" thickTop="1" x14ac:dyDescent="0.2">
      <c r="A127" s="1815">
        <v>2212</v>
      </c>
      <c r="B127" s="1897">
        <v>6121</v>
      </c>
      <c r="C127" s="1897">
        <v>38100870</v>
      </c>
      <c r="D127" s="1836" t="s">
        <v>603</v>
      </c>
      <c r="E127" s="1845">
        <v>0</v>
      </c>
      <c r="F127" s="1845">
        <v>5614</v>
      </c>
      <c r="G127" s="1845">
        <v>5614</v>
      </c>
      <c r="H127" s="1821">
        <f>G127/F127*100</f>
        <v>100</v>
      </c>
      <c r="I127" s="1829"/>
    </row>
    <row r="128" spans="1:12" ht="15" x14ac:dyDescent="0.2">
      <c r="A128" s="1815">
        <v>2212</v>
      </c>
      <c r="B128" s="1897">
        <v>6121</v>
      </c>
      <c r="C128" s="1897">
        <v>38100874</v>
      </c>
      <c r="D128" s="1836" t="s">
        <v>603</v>
      </c>
      <c r="E128" s="1845">
        <v>0</v>
      </c>
      <c r="F128" s="1845">
        <v>1031</v>
      </c>
      <c r="G128" s="1845">
        <v>1031</v>
      </c>
      <c r="H128" s="1821">
        <f t="shared" ref="H128:H131" si="7">G128/F128*100</f>
        <v>100</v>
      </c>
      <c r="I128" s="1829"/>
    </row>
    <row r="129" spans="1:9" ht="15" x14ac:dyDescent="0.2">
      <c r="A129" s="1815">
        <v>2212</v>
      </c>
      <c r="B129" s="1897">
        <v>6121</v>
      </c>
      <c r="C129" s="1897">
        <v>38100880</v>
      </c>
      <c r="D129" s="1836" t="s">
        <v>603</v>
      </c>
      <c r="E129" s="1845">
        <v>0</v>
      </c>
      <c r="F129" s="1845">
        <v>421</v>
      </c>
      <c r="G129" s="1845">
        <v>421</v>
      </c>
      <c r="H129" s="1821">
        <f t="shared" si="7"/>
        <v>100</v>
      </c>
      <c r="I129" s="1829"/>
    </row>
    <row r="130" spans="1:9" ht="15" x14ac:dyDescent="0.2">
      <c r="A130" s="1815">
        <v>2212</v>
      </c>
      <c r="B130" s="1897">
        <v>6121</v>
      </c>
      <c r="C130" s="1897">
        <v>38100871</v>
      </c>
      <c r="D130" s="1836" t="s">
        <v>603</v>
      </c>
      <c r="E130" s="1845">
        <v>0</v>
      </c>
      <c r="F130" s="1845">
        <v>31812</v>
      </c>
      <c r="G130" s="1845">
        <v>31812</v>
      </c>
      <c r="H130" s="1821">
        <f t="shared" si="7"/>
        <v>100</v>
      </c>
      <c r="I130" s="1829"/>
    </row>
    <row r="131" spans="1:9" ht="15.75" thickBot="1" x14ac:dyDescent="0.25">
      <c r="A131" s="1815">
        <v>2212</v>
      </c>
      <c r="B131" s="1897">
        <v>6121</v>
      </c>
      <c r="C131" s="1897">
        <v>38500881</v>
      </c>
      <c r="D131" s="1836" t="s">
        <v>603</v>
      </c>
      <c r="E131" s="1845">
        <v>0</v>
      </c>
      <c r="F131" s="1845">
        <v>2383</v>
      </c>
      <c r="G131" s="1845">
        <v>2383</v>
      </c>
      <c r="H131" s="1821">
        <f t="shared" si="7"/>
        <v>100</v>
      </c>
      <c r="I131" s="1829"/>
    </row>
    <row r="132" spans="1:9" ht="14.25" customHeight="1" thickTop="1" thickBot="1" x14ac:dyDescent="0.3">
      <c r="A132" s="1837" t="s">
        <v>763</v>
      </c>
      <c r="B132" s="1838"/>
      <c r="C132" s="1838"/>
      <c r="D132" s="1839"/>
      <c r="E132" s="1818">
        <f>SUM(E127:E131)</f>
        <v>0</v>
      </c>
      <c r="F132" s="1818">
        <f>SUM(F127:F131)</f>
        <v>41261</v>
      </c>
      <c r="G132" s="1818">
        <f>SUM(G127:G131)</f>
        <v>41261</v>
      </c>
      <c r="H132" s="1822">
        <f>G132/F132*100</f>
        <v>100</v>
      </c>
      <c r="I132" s="1893"/>
    </row>
    <row r="133" spans="1:9" ht="15.75" thickTop="1" x14ac:dyDescent="0.25">
      <c r="A133" s="1848"/>
      <c r="B133" s="1848"/>
      <c r="C133" s="1848"/>
      <c r="D133" s="1848"/>
      <c r="E133" s="1824"/>
      <c r="F133" s="1824"/>
      <c r="G133" s="1824"/>
      <c r="H133" s="1849"/>
      <c r="I133" s="1893"/>
    </row>
    <row r="134" spans="1:9" ht="15" x14ac:dyDescent="0.25">
      <c r="A134" s="1808" t="s">
        <v>1695</v>
      </c>
      <c r="I134" s="1893"/>
    </row>
    <row r="135" spans="1:9" ht="15.75" thickBot="1" x14ac:dyDescent="0.3">
      <c r="A135" s="1808" t="s">
        <v>1696</v>
      </c>
      <c r="H135" s="1892" t="s">
        <v>161</v>
      </c>
      <c r="I135" s="1893"/>
    </row>
    <row r="136" spans="1:9" ht="25.5" thickTop="1" thickBot="1" x14ac:dyDescent="0.25">
      <c r="A136" s="1809" t="s">
        <v>162</v>
      </c>
      <c r="B136" s="1810" t="s">
        <v>761</v>
      </c>
      <c r="C136" s="1810" t="s">
        <v>377</v>
      </c>
      <c r="D136" s="1811" t="s">
        <v>164</v>
      </c>
      <c r="E136" s="1833" t="s">
        <v>632</v>
      </c>
      <c r="F136" s="1833" t="s">
        <v>633</v>
      </c>
      <c r="G136" s="1834" t="s">
        <v>882</v>
      </c>
      <c r="H136" s="1835" t="s">
        <v>883</v>
      </c>
      <c r="I136" s="1893"/>
    </row>
    <row r="137" spans="1:9" ht="14.25" thickTop="1" thickBot="1" x14ac:dyDescent="0.25">
      <c r="A137" s="1643">
        <v>1</v>
      </c>
      <c r="B137" s="1642">
        <v>2</v>
      </c>
      <c r="C137" s="1642">
        <v>3</v>
      </c>
      <c r="D137" s="1642">
        <v>5</v>
      </c>
      <c r="E137" s="1641">
        <v>6</v>
      </c>
      <c r="F137" s="1641">
        <v>7</v>
      </c>
      <c r="G137" s="1877">
        <v>8</v>
      </c>
      <c r="H137" s="1814" t="s">
        <v>762</v>
      </c>
      <c r="I137" s="1893"/>
    </row>
    <row r="138" spans="1:9" ht="15.75" thickTop="1" x14ac:dyDescent="0.2">
      <c r="A138" s="1815">
        <v>2212</v>
      </c>
      <c r="B138" s="1897">
        <v>6121</v>
      </c>
      <c r="C138" s="1897">
        <v>38100870</v>
      </c>
      <c r="D138" s="1836" t="s">
        <v>603</v>
      </c>
      <c r="E138" s="1845">
        <v>0</v>
      </c>
      <c r="F138" s="1845">
        <v>2065</v>
      </c>
      <c r="G138" s="1845">
        <v>2033</v>
      </c>
      <c r="H138" s="1821">
        <f t="shared" ref="H138:H140" si="8">G138/F138*100</f>
        <v>98.450363196125906</v>
      </c>
      <c r="I138" s="1893"/>
    </row>
    <row r="139" spans="1:9" ht="15" x14ac:dyDescent="0.2">
      <c r="A139" s="1815">
        <v>2212</v>
      </c>
      <c r="B139" s="1897">
        <v>6121</v>
      </c>
      <c r="C139" s="1897">
        <v>38100874</v>
      </c>
      <c r="D139" s="1836" t="s">
        <v>603</v>
      </c>
      <c r="E139" s="1845">
        <v>0</v>
      </c>
      <c r="F139" s="1845">
        <v>250</v>
      </c>
      <c r="G139" s="1845">
        <v>197</v>
      </c>
      <c r="H139" s="1821">
        <f t="shared" si="8"/>
        <v>78.8</v>
      </c>
      <c r="I139" s="1893"/>
    </row>
    <row r="140" spans="1:9" ht="15" x14ac:dyDescent="0.2">
      <c r="A140" s="1815">
        <v>2212</v>
      </c>
      <c r="B140" s="1897">
        <v>6121</v>
      </c>
      <c r="C140" s="1897">
        <v>38500871</v>
      </c>
      <c r="D140" s="1836" t="s">
        <v>603</v>
      </c>
      <c r="E140" s="1845">
        <v>0</v>
      </c>
      <c r="F140" s="1845">
        <v>361</v>
      </c>
      <c r="G140" s="1845">
        <v>179</v>
      </c>
      <c r="H140" s="1821">
        <f t="shared" si="8"/>
        <v>49.584487534626035</v>
      </c>
      <c r="I140" s="1893"/>
    </row>
    <row r="141" spans="1:9" ht="15.75" thickBot="1" x14ac:dyDescent="0.25">
      <c r="A141" s="1815">
        <v>2212</v>
      </c>
      <c r="B141" s="1897">
        <v>6121</v>
      </c>
      <c r="C141" s="1897">
        <v>38587505</v>
      </c>
      <c r="D141" s="1836" t="s">
        <v>603</v>
      </c>
      <c r="E141" s="1845">
        <v>0</v>
      </c>
      <c r="F141" s="1845">
        <v>11344</v>
      </c>
      <c r="G141" s="1845">
        <v>11344</v>
      </c>
      <c r="H141" s="1821">
        <f>G141/F141*100</f>
        <v>100</v>
      </c>
      <c r="I141" s="1829"/>
    </row>
    <row r="142" spans="1:9" ht="14.25" customHeight="1" thickTop="1" thickBot="1" x14ac:dyDescent="0.3">
      <c r="A142" s="1837" t="s">
        <v>763</v>
      </c>
      <c r="B142" s="1838"/>
      <c r="C142" s="1838"/>
      <c r="D142" s="1839"/>
      <c r="E142" s="1818">
        <f>SUM(E138:E141)</f>
        <v>0</v>
      </c>
      <c r="F142" s="1818">
        <f t="shared" ref="F142:G142" si="9">SUM(F138:F141)</f>
        <v>14020</v>
      </c>
      <c r="G142" s="1818">
        <f t="shared" si="9"/>
        <v>13753</v>
      </c>
      <c r="H142" s="1822">
        <f>G142/F142*100</f>
        <v>98.095577746077041</v>
      </c>
      <c r="I142" s="1893"/>
    </row>
    <row r="143" spans="1:9" ht="15.75" thickTop="1" x14ac:dyDescent="0.25">
      <c r="A143" s="1848"/>
      <c r="B143" s="1848"/>
      <c r="C143" s="1848"/>
      <c r="D143" s="1848"/>
      <c r="E143" s="1824"/>
      <c r="F143" s="1824"/>
      <c r="G143" s="1824"/>
      <c r="H143" s="1849"/>
      <c r="I143" s="1893"/>
    </row>
    <row r="144" spans="1:9" ht="15" x14ac:dyDescent="0.25">
      <c r="A144" s="1808" t="s">
        <v>1533</v>
      </c>
      <c r="I144" s="1893"/>
    </row>
    <row r="145" spans="1:9" ht="15.75" thickBot="1" x14ac:dyDescent="0.3">
      <c r="A145" s="1808" t="s">
        <v>1534</v>
      </c>
      <c r="H145" s="1892" t="s">
        <v>161</v>
      </c>
      <c r="I145" s="1893"/>
    </row>
    <row r="146" spans="1:9" ht="25.5" thickTop="1" thickBot="1" x14ac:dyDescent="0.25">
      <c r="A146" s="1809" t="s">
        <v>162</v>
      </c>
      <c r="B146" s="1810" t="s">
        <v>761</v>
      </c>
      <c r="C146" s="1810" t="s">
        <v>377</v>
      </c>
      <c r="D146" s="1811" t="s">
        <v>164</v>
      </c>
      <c r="E146" s="1833" t="s">
        <v>632</v>
      </c>
      <c r="F146" s="1833" t="s">
        <v>633</v>
      </c>
      <c r="G146" s="1834" t="s">
        <v>882</v>
      </c>
      <c r="H146" s="1835" t="s">
        <v>883</v>
      </c>
      <c r="I146" s="1893"/>
    </row>
    <row r="147" spans="1:9" ht="14.25" thickTop="1" thickBot="1" x14ac:dyDescent="0.25">
      <c r="A147" s="1643">
        <v>1</v>
      </c>
      <c r="B147" s="1642">
        <v>2</v>
      </c>
      <c r="C147" s="1642">
        <v>3</v>
      </c>
      <c r="D147" s="1642">
        <v>5</v>
      </c>
      <c r="E147" s="1641">
        <v>6</v>
      </c>
      <c r="F147" s="1641">
        <v>7</v>
      </c>
      <c r="G147" s="1877">
        <v>8</v>
      </c>
      <c r="H147" s="1814" t="s">
        <v>762</v>
      </c>
      <c r="I147" s="1893"/>
    </row>
    <row r="148" spans="1:9" ht="15.75" thickTop="1" x14ac:dyDescent="0.2">
      <c r="A148" s="1815">
        <v>2212</v>
      </c>
      <c r="B148" s="1897">
        <v>6121</v>
      </c>
      <c r="C148" s="1897">
        <v>38100870</v>
      </c>
      <c r="D148" s="1836" t="s">
        <v>603</v>
      </c>
      <c r="E148" s="1845">
        <v>0</v>
      </c>
      <c r="F148" s="1845">
        <v>10176</v>
      </c>
      <c r="G148" s="1845">
        <v>1747</v>
      </c>
      <c r="H148" s="1821">
        <f t="shared" ref="H148:H149" si="10">G148/F148*100</f>
        <v>17.167845911949687</v>
      </c>
      <c r="I148" s="1893"/>
    </row>
    <row r="149" spans="1:9" ht="15" x14ac:dyDescent="0.2">
      <c r="A149" s="1815">
        <v>2212</v>
      </c>
      <c r="B149" s="1897">
        <v>6121</v>
      </c>
      <c r="C149" s="1897">
        <v>38100874</v>
      </c>
      <c r="D149" s="1836" t="s">
        <v>603</v>
      </c>
      <c r="E149" s="1845">
        <v>0</v>
      </c>
      <c r="F149" s="1845">
        <v>540</v>
      </c>
      <c r="G149" s="1845">
        <v>429</v>
      </c>
      <c r="H149" s="1821">
        <f t="shared" si="10"/>
        <v>79.444444444444443</v>
      </c>
      <c r="I149" s="1893"/>
    </row>
    <row r="150" spans="1:9" ht="15.75" thickBot="1" x14ac:dyDescent="0.25">
      <c r="A150" s="1815">
        <v>2212</v>
      </c>
      <c r="B150" s="1897">
        <v>6121</v>
      </c>
      <c r="C150" s="1897">
        <v>38587505</v>
      </c>
      <c r="D150" s="1836" t="s">
        <v>603</v>
      </c>
      <c r="E150" s="1845">
        <v>0</v>
      </c>
      <c r="F150" s="1845">
        <v>57891</v>
      </c>
      <c r="G150" s="1845">
        <v>9899</v>
      </c>
      <c r="H150" s="1821">
        <f>G150/F150*100</f>
        <v>17.099376414295829</v>
      </c>
      <c r="I150" s="1829"/>
    </row>
    <row r="151" spans="1:9" ht="14.25" customHeight="1" thickTop="1" thickBot="1" x14ac:dyDescent="0.3">
      <c r="A151" s="1837" t="s">
        <v>763</v>
      </c>
      <c r="B151" s="1838"/>
      <c r="C151" s="1838"/>
      <c r="D151" s="1839"/>
      <c r="E151" s="1818">
        <f>SUM(E148:E150)</f>
        <v>0</v>
      </c>
      <c r="F151" s="1818">
        <f>SUM(F148:F150)</f>
        <v>68607</v>
      </c>
      <c r="G151" s="1818">
        <f>SUM(G148:G150)</f>
        <v>12075</v>
      </c>
      <c r="H151" s="1822">
        <f>G151/F151*100</f>
        <v>17.600244872972144</v>
      </c>
      <c r="I151" s="1893"/>
    </row>
    <row r="152" spans="1:9" ht="15.75" thickTop="1" x14ac:dyDescent="0.25">
      <c r="A152" s="1848"/>
      <c r="B152" s="1848"/>
      <c r="C152" s="1848"/>
      <c r="D152" s="1848"/>
      <c r="E152" s="1824"/>
      <c r="F152" s="1824"/>
      <c r="G152" s="1824"/>
      <c r="H152" s="1849"/>
      <c r="I152" s="1893"/>
    </row>
    <row r="153" spans="1:9" ht="15" x14ac:dyDescent="0.25">
      <c r="A153" s="1808" t="s">
        <v>1697</v>
      </c>
    </row>
    <row r="154" spans="1:9" ht="15.75" thickBot="1" x14ac:dyDescent="0.3">
      <c r="A154" s="1808" t="s">
        <v>1698</v>
      </c>
      <c r="H154" s="1829" t="s">
        <v>161</v>
      </c>
    </row>
    <row r="155" spans="1:9" ht="25.5" thickTop="1" thickBot="1" x14ac:dyDescent="0.25">
      <c r="A155" s="1809" t="s">
        <v>162</v>
      </c>
      <c r="B155" s="1810" t="s">
        <v>761</v>
      </c>
      <c r="C155" s="1810" t="s">
        <v>377</v>
      </c>
      <c r="D155" s="1811" t="s">
        <v>164</v>
      </c>
      <c r="E155" s="1833" t="s">
        <v>632</v>
      </c>
      <c r="F155" s="1833" t="s">
        <v>633</v>
      </c>
      <c r="G155" s="1834" t="s">
        <v>882</v>
      </c>
      <c r="H155" s="1835" t="s">
        <v>883</v>
      </c>
    </row>
    <row r="156" spans="1:9" ht="14.25" thickTop="1" thickBot="1" x14ac:dyDescent="0.25">
      <c r="A156" s="1643">
        <v>1</v>
      </c>
      <c r="B156" s="1642">
        <v>2</v>
      </c>
      <c r="C156" s="1642">
        <v>3</v>
      </c>
      <c r="D156" s="1642">
        <v>5</v>
      </c>
      <c r="E156" s="1641">
        <v>6</v>
      </c>
      <c r="F156" s="1641">
        <v>7</v>
      </c>
      <c r="G156" s="1877">
        <v>8</v>
      </c>
      <c r="H156" s="1814" t="s">
        <v>762</v>
      </c>
    </row>
    <row r="157" spans="1:9" ht="15.75" thickTop="1" x14ac:dyDescent="0.2">
      <c r="A157" s="1815">
        <v>2212</v>
      </c>
      <c r="B157" s="1816">
        <v>6121</v>
      </c>
      <c r="C157" s="1816">
        <v>12</v>
      </c>
      <c r="D157" s="1836" t="s">
        <v>603</v>
      </c>
      <c r="E157" s="1845">
        <v>13097</v>
      </c>
      <c r="F157" s="1845">
        <v>0</v>
      </c>
      <c r="G157" s="1845">
        <v>0</v>
      </c>
      <c r="H157" s="1821">
        <v>0</v>
      </c>
    </row>
    <row r="158" spans="1:9" ht="15" x14ac:dyDescent="0.2">
      <c r="A158" s="1815">
        <v>2212</v>
      </c>
      <c r="B158" s="1816">
        <v>6121</v>
      </c>
      <c r="C158" s="1816">
        <v>38100880</v>
      </c>
      <c r="D158" s="1836" t="s">
        <v>603</v>
      </c>
      <c r="E158" s="1845">
        <v>0</v>
      </c>
      <c r="F158" s="1845">
        <v>2810</v>
      </c>
      <c r="G158" s="1845">
        <v>2805</v>
      </c>
      <c r="H158" s="1821">
        <f t="shared" ref="H158:H159" si="11">G158/F158*100</f>
        <v>99.822064056939496</v>
      </c>
    </row>
    <row r="159" spans="1:9" ht="15" x14ac:dyDescent="0.2">
      <c r="A159" s="1815">
        <v>2212</v>
      </c>
      <c r="B159" s="1897">
        <v>6121</v>
      </c>
      <c r="C159" s="1897">
        <v>38100884</v>
      </c>
      <c r="D159" s="1836" t="s">
        <v>603</v>
      </c>
      <c r="E159" s="1845">
        <v>0</v>
      </c>
      <c r="F159" s="1845">
        <v>1161</v>
      </c>
      <c r="G159" s="1845">
        <v>541</v>
      </c>
      <c r="H159" s="1821">
        <f t="shared" si="11"/>
        <v>46.597760551248925</v>
      </c>
    </row>
    <row r="160" spans="1:9" ht="15" x14ac:dyDescent="0.2">
      <c r="A160" s="1815">
        <v>2212</v>
      </c>
      <c r="B160" s="1897">
        <v>6121</v>
      </c>
      <c r="C160" s="1897">
        <v>38500881</v>
      </c>
      <c r="D160" s="1836" t="s">
        <v>603</v>
      </c>
      <c r="E160" s="1845">
        <v>0</v>
      </c>
      <c r="F160" s="1845">
        <v>172</v>
      </c>
      <c r="G160" s="1845">
        <v>146</v>
      </c>
      <c r="H160" s="1821">
        <f>G160/F160*100</f>
        <v>84.883720930232556</v>
      </c>
    </row>
    <row r="161" spans="1:9" ht="15.75" thickBot="1" x14ac:dyDescent="0.25">
      <c r="A161" s="1815">
        <v>2212</v>
      </c>
      <c r="B161" s="1897">
        <v>6121</v>
      </c>
      <c r="C161" s="1897">
        <v>38587505</v>
      </c>
      <c r="D161" s="1836" t="s">
        <v>603</v>
      </c>
      <c r="E161" s="1845">
        <v>0</v>
      </c>
      <c r="F161" s="1845">
        <v>26668</v>
      </c>
      <c r="G161" s="1845">
        <v>15750</v>
      </c>
      <c r="H161" s="1821">
        <f>G161/F161*100</f>
        <v>59.059547022648871</v>
      </c>
    </row>
    <row r="162" spans="1:9" ht="16.5" thickTop="1" thickBot="1" x14ac:dyDescent="0.3">
      <c r="A162" s="1837" t="s">
        <v>763</v>
      </c>
      <c r="B162" s="1838"/>
      <c r="C162" s="1838"/>
      <c r="D162" s="1839"/>
      <c r="E162" s="1818">
        <f>SUM(E157:E161)</f>
        <v>13097</v>
      </c>
      <c r="F162" s="1818">
        <f t="shared" ref="F162:G162" si="12">SUM(F157:F161)</f>
        <v>30811</v>
      </c>
      <c r="G162" s="1818">
        <f t="shared" si="12"/>
        <v>19242</v>
      </c>
      <c r="H162" s="1822">
        <f>G162/F162*100</f>
        <v>62.451721787673229</v>
      </c>
    </row>
    <row r="163" spans="1:9" ht="15.75" thickTop="1" x14ac:dyDescent="0.25">
      <c r="A163" s="1848"/>
      <c r="B163" s="1848"/>
      <c r="C163" s="1848"/>
      <c r="D163" s="1848"/>
      <c r="E163" s="1824"/>
      <c r="F163" s="1824"/>
      <c r="G163" s="1824"/>
      <c r="H163" s="1849"/>
      <c r="I163" s="1893"/>
    </row>
    <row r="164" spans="1:9" s="1656" customFormat="1" ht="15" x14ac:dyDescent="0.25">
      <c r="A164" s="1808" t="s">
        <v>1699</v>
      </c>
      <c r="B164" s="1802"/>
      <c r="C164" s="1802"/>
      <c r="D164" s="1802"/>
      <c r="E164" s="1803"/>
      <c r="F164" s="1829"/>
      <c r="G164" s="1829"/>
      <c r="H164" s="1829"/>
      <c r="I164" s="1803"/>
    </row>
    <row r="165" spans="1:9" s="1581" customFormat="1" ht="15.75" thickBot="1" x14ac:dyDescent="0.3">
      <c r="A165" s="1808" t="s">
        <v>1700</v>
      </c>
      <c r="B165" s="1802"/>
      <c r="C165" s="1802"/>
      <c r="D165" s="1802"/>
      <c r="E165" s="1803"/>
      <c r="F165" s="1829"/>
      <c r="G165" s="1829"/>
      <c r="H165" s="1892" t="s">
        <v>161</v>
      </c>
      <c r="I165" s="1803"/>
    </row>
    <row r="166" spans="1:9" ht="25.5" thickTop="1" thickBot="1" x14ac:dyDescent="0.25">
      <c r="A166" s="1809" t="s">
        <v>162</v>
      </c>
      <c r="B166" s="1810" t="s">
        <v>761</v>
      </c>
      <c r="C166" s="1810" t="s">
        <v>377</v>
      </c>
      <c r="D166" s="1811" t="s">
        <v>164</v>
      </c>
      <c r="E166" s="1833" t="s">
        <v>632</v>
      </c>
      <c r="F166" s="1833" t="s">
        <v>633</v>
      </c>
      <c r="G166" s="1834" t="s">
        <v>882</v>
      </c>
      <c r="H166" s="1835" t="s">
        <v>883</v>
      </c>
    </row>
    <row r="167" spans="1:9" ht="14.25" thickTop="1" thickBot="1" x14ac:dyDescent="0.25">
      <c r="A167" s="1643">
        <v>1</v>
      </c>
      <c r="B167" s="1642">
        <v>2</v>
      </c>
      <c r="C167" s="1642">
        <v>3</v>
      </c>
      <c r="D167" s="1642">
        <v>5</v>
      </c>
      <c r="E167" s="1641">
        <v>6</v>
      </c>
      <c r="F167" s="1641">
        <v>7</v>
      </c>
      <c r="G167" s="1877">
        <v>8</v>
      </c>
      <c r="H167" s="1814" t="s">
        <v>762</v>
      </c>
    </row>
    <row r="168" spans="1:9" ht="15.75" thickTop="1" x14ac:dyDescent="0.2">
      <c r="A168" s="1815">
        <v>2212</v>
      </c>
      <c r="B168" s="1816">
        <v>6121</v>
      </c>
      <c r="C168" s="1816">
        <v>12</v>
      </c>
      <c r="D168" s="1836" t="s">
        <v>603</v>
      </c>
      <c r="E168" s="1845">
        <v>6666</v>
      </c>
      <c r="F168" s="1845">
        <v>37</v>
      </c>
      <c r="G168" s="1845">
        <v>0</v>
      </c>
      <c r="H168" s="1821">
        <f>G168/F168*100</f>
        <v>0</v>
      </c>
      <c r="I168" s="1829"/>
    </row>
    <row r="169" spans="1:9" ht="15" x14ac:dyDescent="0.2">
      <c r="A169" s="1815">
        <v>2212</v>
      </c>
      <c r="B169" s="1897">
        <v>6121</v>
      </c>
      <c r="C169" s="1816">
        <v>38100880</v>
      </c>
      <c r="D169" s="1836" t="s">
        <v>603</v>
      </c>
      <c r="E169" s="1845">
        <v>0</v>
      </c>
      <c r="F169" s="1845">
        <v>5</v>
      </c>
      <c r="G169" s="1845">
        <v>0</v>
      </c>
      <c r="H169" s="1821">
        <f>G169/F169*100</f>
        <v>0</v>
      </c>
      <c r="I169" s="1829"/>
    </row>
    <row r="170" spans="1:9" ht="15" x14ac:dyDescent="0.2">
      <c r="A170" s="1815">
        <v>2212</v>
      </c>
      <c r="B170" s="1897">
        <v>6121</v>
      </c>
      <c r="C170" s="1897">
        <v>38100884</v>
      </c>
      <c r="D170" s="1836" t="s">
        <v>603</v>
      </c>
      <c r="E170" s="1845">
        <v>0</v>
      </c>
      <c r="F170" s="1845">
        <v>599</v>
      </c>
      <c r="G170" s="1845">
        <v>340</v>
      </c>
      <c r="H170" s="1821">
        <f>G170/F170*100</f>
        <v>56.761268781302164</v>
      </c>
      <c r="I170" s="1829"/>
    </row>
    <row r="171" spans="1:9" ht="15.75" thickBot="1" x14ac:dyDescent="0.25">
      <c r="A171" s="1815">
        <v>2212</v>
      </c>
      <c r="B171" s="1897">
        <v>6121</v>
      </c>
      <c r="C171" s="1897">
        <v>38500881</v>
      </c>
      <c r="D171" s="1836" t="s">
        <v>603</v>
      </c>
      <c r="E171" s="1845">
        <v>0</v>
      </c>
      <c r="F171" s="1845">
        <v>29</v>
      </c>
      <c r="G171" s="1845">
        <v>0</v>
      </c>
      <c r="H171" s="1821">
        <f>G171/F171*100</f>
        <v>0</v>
      </c>
      <c r="I171" s="1829"/>
    </row>
    <row r="172" spans="1:9" ht="16.5" thickTop="1" thickBot="1" x14ac:dyDescent="0.3">
      <c r="A172" s="1837" t="s">
        <v>763</v>
      </c>
      <c r="B172" s="1838"/>
      <c r="C172" s="1838"/>
      <c r="D172" s="1839"/>
      <c r="E172" s="1818">
        <f>SUM(E168:E171)</f>
        <v>6666</v>
      </c>
      <c r="F172" s="1818">
        <f t="shared" ref="F172:G172" si="13">SUM(F168:F171)</f>
        <v>670</v>
      </c>
      <c r="G172" s="1818">
        <f t="shared" si="13"/>
        <v>340</v>
      </c>
      <c r="H172" s="1822">
        <f>G172/F172*100</f>
        <v>50.746268656716417</v>
      </c>
      <c r="I172" s="1829"/>
    </row>
    <row r="173" spans="1:9" ht="15.75" thickTop="1" x14ac:dyDescent="0.25">
      <c r="A173" s="1848"/>
      <c r="B173" s="1848"/>
      <c r="C173" s="1848"/>
      <c r="D173" s="1848"/>
      <c r="E173" s="1824"/>
      <c r="F173" s="1824"/>
      <c r="G173" s="1824"/>
      <c r="H173" s="1849"/>
      <c r="I173" s="1893"/>
    </row>
    <row r="174" spans="1:9" ht="15" x14ac:dyDescent="0.25">
      <c r="A174" s="1808" t="s">
        <v>1701</v>
      </c>
    </row>
    <row r="175" spans="1:9" ht="15.75" thickBot="1" x14ac:dyDescent="0.3">
      <c r="A175" s="1808" t="s">
        <v>1702</v>
      </c>
      <c r="H175" s="1829" t="s">
        <v>161</v>
      </c>
    </row>
    <row r="176" spans="1:9" ht="25.5" thickTop="1" thickBot="1" x14ac:dyDescent="0.25">
      <c r="A176" s="1809" t="s">
        <v>162</v>
      </c>
      <c r="B176" s="1810" t="s">
        <v>761</v>
      </c>
      <c r="C176" s="1810" t="s">
        <v>377</v>
      </c>
      <c r="D176" s="1811" t="s">
        <v>164</v>
      </c>
      <c r="E176" s="1833" t="s">
        <v>632</v>
      </c>
      <c r="F176" s="1833" t="s">
        <v>633</v>
      </c>
      <c r="G176" s="1834" t="s">
        <v>882</v>
      </c>
      <c r="H176" s="1835" t="s">
        <v>883</v>
      </c>
    </row>
    <row r="177" spans="1:9" ht="14.25" thickTop="1" thickBot="1" x14ac:dyDescent="0.25">
      <c r="A177" s="1643">
        <v>1</v>
      </c>
      <c r="B177" s="1642">
        <v>2</v>
      </c>
      <c r="C177" s="1642">
        <v>3</v>
      </c>
      <c r="D177" s="1642">
        <v>5</v>
      </c>
      <c r="E177" s="1641">
        <v>6</v>
      </c>
      <c r="F177" s="1641">
        <v>7</v>
      </c>
      <c r="G177" s="1877">
        <v>8</v>
      </c>
      <c r="H177" s="1814" t="s">
        <v>762</v>
      </c>
    </row>
    <row r="178" spans="1:9" ht="15.75" thickTop="1" x14ac:dyDescent="0.2">
      <c r="A178" s="1815">
        <v>2212</v>
      </c>
      <c r="B178" s="1816">
        <v>6121</v>
      </c>
      <c r="C178" s="1816">
        <v>12</v>
      </c>
      <c r="D178" s="1836" t="s">
        <v>603</v>
      </c>
      <c r="E178" s="1845">
        <v>13585</v>
      </c>
      <c r="F178" s="1845">
        <v>196</v>
      </c>
      <c r="G178" s="1845">
        <v>0</v>
      </c>
      <c r="H178" s="1821">
        <v>0</v>
      </c>
    </row>
    <row r="179" spans="1:9" ht="15" x14ac:dyDescent="0.2">
      <c r="A179" s="1815">
        <v>2212</v>
      </c>
      <c r="B179" s="1816">
        <v>6121</v>
      </c>
      <c r="C179" s="1816">
        <v>38100880</v>
      </c>
      <c r="D179" s="1836" t="s">
        <v>603</v>
      </c>
      <c r="E179" s="1845">
        <v>0</v>
      </c>
      <c r="F179" s="1845">
        <v>2490</v>
      </c>
      <c r="G179" s="1845">
        <v>1497</v>
      </c>
      <c r="H179" s="1821">
        <f t="shared" ref="H179:H180" si="14">G179/F179*100</f>
        <v>60.120481927710841</v>
      </c>
    </row>
    <row r="180" spans="1:9" ht="15" x14ac:dyDescent="0.2">
      <c r="A180" s="1815">
        <v>2212</v>
      </c>
      <c r="B180" s="1897">
        <v>6121</v>
      </c>
      <c r="C180" s="1897">
        <v>38100884</v>
      </c>
      <c r="D180" s="1836" t="s">
        <v>603</v>
      </c>
      <c r="E180" s="1845">
        <v>0</v>
      </c>
      <c r="F180" s="1845">
        <v>248</v>
      </c>
      <c r="G180" s="1845">
        <v>104</v>
      </c>
      <c r="H180" s="1821">
        <f t="shared" si="14"/>
        <v>41.935483870967744</v>
      </c>
    </row>
    <row r="181" spans="1:9" ht="15" x14ac:dyDescent="0.2">
      <c r="A181" s="1815">
        <v>2212</v>
      </c>
      <c r="B181" s="1897">
        <v>6121</v>
      </c>
      <c r="C181" s="1897">
        <v>38500881</v>
      </c>
      <c r="D181" s="1836" t="s">
        <v>603</v>
      </c>
      <c r="E181" s="1845">
        <v>0</v>
      </c>
      <c r="F181" s="1845">
        <v>290</v>
      </c>
      <c r="G181" s="1845">
        <v>161</v>
      </c>
      <c r="H181" s="1821">
        <f>G181/F181*100</f>
        <v>55.517241379310342</v>
      </c>
    </row>
    <row r="182" spans="1:9" ht="15.75" thickBot="1" x14ac:dyDescent="0.25">
      <c r="A182" s="1815">
        <v>2212</v>
      </c>
      <c r="B182" s="1897">
        <v>6121</v>
      </c>
      <c r="C182" s="1897">
        <v>38587505</v>
      </c>
      <c r="D182" s="1836" t="s">
        <v>603</v>
      </c>
      <c r="E182" s="1845">
        <v>0</v>
      </c>
      <c r="F182" s="1845">
        <v>35914</v>
      </c>
      <c r="G182" s="1845">
        <v>8324</v>
      </c>
      <c r="H182" s="1821">
        <f>G182/F182*100</f>
        <v>23.177590911622207</v>
      </c>
    </row>
    <row r="183" spans="1:9" ht="16.5" thickTop="1" thickBot="1" x14ac:dyDescent="0.3">
      <c r="A183" s="1837" t="s">
        <v>763</v>
      </c>
      <c r="B183" s="1838"/>
      <c r="C183" s="1838"/>
      <c r="D183" s="1839"/>
      <c r="E183" s="1818">
        <f>SUM(E178:E182)</f>
        <v>13585</v>
      </c>
      <c r="F183" s="1818">
        <f t="shared" ref="F183:G183" si="15">SUM(F178:F182)</f>
        <v>39138</v>
      </c>
      <c r="G183" s="1818">
        <f t="shared" si="15"/>
        <v>10086</v>
      </c>
      <c r="H183" s="1822">
        <f>G183/F183*100</f>
        <v>25.770351065460677</v>
      </c>
    </row>
    <row r="184" spans="1:9" ht="15.75" thickTop="1" x14ac:dyDescent="0.25">
      <c r="A184" s="1848"/>
      <c r="B184" s="1848"/>
      <c r="C184" s="1848"/>
      <c r="D184" s="1848"/>
      <c r="E184" s="1824"/>
      <c r="F184" s="1824"/>
      <c r="G184" s="1824"/>
      <c r="H184" s="1849"/>
      <c r="I184" s="1893"/>
    </row>
    <row r="185" spans="1:9" ht="15" x14ac:dyDescent="0.25">
      <c r="A185" s="1808" t="s">
        <v>1703</v>
      </c>
    </row>
    <row r="186" spans="1:9" ht="15.75" thickBot="1" x14ac:dyDescent="0.3">
      <c r="A186" s="1808" t="s">
        <v>1704</v>
      </c>
      <c r="H186" s="1829" t="s">
        <v>161</v>
      </c>
    </row>
    <row r="187" spans="1:9" ht="25.5" thickTop="1" thickBot="1" x14ac:dyDescent="0.25">
      <c r="A187" s="1809" t="s">
        <v>162</v>
      </c>
      <c r="B187" s="1810" t="s">
        <v>761</v>
      </c>
      <c r="C187" s="1810" t="s">
        <v>377</v>
      </c>
      <c r="D187" s="1811" t="s">
        <v>164</v>
      </c>
      <c r="E187" s="1833" t="s">
        <v>632</v>
      </c>
      <c r="F187" s="1833" t="s">
        <v>633</v>
      </c>
      <c r="G187" s="1834" t="s">
        <v>882</v>
      </c>
      <c r="H187" s="1835" t="s">
        <v>883</v>
      </c>
    </row>
    <row r="188" spans="1:9" ht="14.25" thickTop="1" thickBot="1" x14ac:dyDescent="0.25">
      <c r="A188" s="1643">
        <v>1</v>
      </c>
      <c r="B188" s="1642">
        <v>2</v>
      </c>
      <c r="C188" s="1642">
        <v>3</v>
      </c>
      <c r="D188" s="1642">
        <v>5</v>
      </c>
      <c r="E188" s="1641">
        <v>6</v>
      </c>
      <c r="F188" s="1641">
        <v>7</v>
      </c>
      <c r="G188" s="1877">
        <v>8</v>
      </c>
      <c r="H188" s="1814" t="s">
        <v>762</v>
      </c>
    </row>
    <row r="189" spans="1:9" ht="15.75" thickTop="1" x14ac:dyDescent="0.2">
      <c r="A189" s="1815">
        <v>2212</v>
      </c>
      <c r="B189" s="1816">
        <v>6121</v>
      </c>
      <c r="C189" s="1816">
        <v>12</v>
      </c>
      <c r="D189" s="1836" t="s">
        <v>603</v>
      </c>
      <c r="E189" s="1845">
        <v>8031</v>
      </c>
      <c r="F189" s="1845">
        <v>0</v>
      </c>
      <c r="G189" s="1845">
        <v>0</v>
      </c>
      <c r="H189" s="1821">
        <v>0</v>
      </c>
    </row>
    <row r="190" spans="1:9" ht="15" x14ac:dyDescent="0.2">
      <c r="A190" s="1815">
        <v>2212</v>
      </c>
      <c r="B190" s="1816">
        <v>6121</v>
      </c>
      <c r="C190" s="1816">
        <v>38100880</v>
      </c>
      <c r="D190" s="1836" t="s">
        <v>603</v>
      </c>
      <c r="E190" s="1845">
        <v>0</v>
      </c>
      <c r="F190" s="1845">
        <v>2762</v>
      </c>
      <c r="G190" s="1845">
        <v>1822</v>
      </c>
      <c r="H190" s="1821">
        <f t="shared" ref="H190:H191" si="16">G190/F190*100</f>
        <v>65.966690803765388</v>
      </c>
    </row>
    <row r="191" spans="1:9" ht="15" x14ac:dyDescent="0.2">
      <c r="A191" s="1815">
        <v>2212</v>
      </c>
      <c r="B191" s="1897">
        <v>6121</v>
      </c>
      <c r="C191" s="1897">
        <v>38100884</v>
      </c>
      <c r="D191" s="1836" t="s">
        <v>603</v>
      </c>
      <c r="E191" s="1845">
        <v>0</v>
      </c>
      <c r="F191" s="1845">
        <v>803</v>
      </c>
      <c r="G191" s="1845">
        <v>707</v>
      </c>
      <c r="H191" s="1821">
        <f t="shared" si="16"/>
        <v>88.044831880448314</v>
      </c>
    </row>
    <row r="192" spans="1:9" ht="15" x14ac:dyDescent="0.2">
      <c r="A192" s="1815">
        <v>2212</v>
      </c>
      <c r="B192" s="1897">
        <v>6121</v>
      </c>
      <c r="C192" s="1897">
        <v>38500881</v>
      </c>
      <c r="D192" s="1836" t="s">
        <v>603</v>
      </c>
      <c r="E192" s="1845">
        <v>0</v>
      </c>
      <c r="F192" s="1845">
        <v>35</v>
      </c>
      <c r="G192" s="1845">
        <v>35</v>
      </c>
      <c r="H192" s="1821">
        <f>G192/F192*100</f>
        <v>100</v>
      </c>
    </row>
    <row r="193" spans="1:9" ht="15.75" thickBot="1" x14ac:dyDescent="0.25">
      <c r="A193" s="1815">
        <v>2212</v>
      </c>
      <c r="B193" s="1897">
        <v>6121</v>
      </c>
      <c r="C193" s="1897">
        <v>38587505</v>
      </c>
      <c r="D193" s="1836" t="s">
        <v>603</v>
      </c>
      <c r="E193" s="1845">
        <v>0</v>
      </c>
      <c r="F193" s="1845">
        <v>19862</v>
      </c>
      <c r="G193" s="1845">
        <v>10286</v>
      </c>
      <c r="H193" s="1821">
        <f>G193/F193*100</f>
        <v>51.787332594904846</v>
      </c>
    </row>
    <row r="194" spans="1:9" ht="16.5" thickTop="1" thickBot="1" x14ac:dyDescent="0.3">
      <c r="A194" s="1837" t="s">
        <v>763</v>
      </c>
      <c r="B194" s="1838"/>
      <c r="C194" s="1838"/>
      <c r="D194" s="1839"/>
      <c r="E194" s="1818">
        <f>SUM(E189:E193)</f>
        <v>8031</v>
      </c>
      <c r="F194" s="1818">
        <f t="shared" ref="F194:G194" si="17">SUM(F189:F193)</f>
        <v>23462</v>
      </c>
      <c r="G194" s="1818">
        <f t="shared" si="17"/>
        <v>12850</v>
      </c>
      <c r="H194" s="1822">
        <f>G194/F194*100</f>
        <v>54.769414372176286</v>
      </c>
    </row>
    <row r="195" spans="1:9" ht="15.75" thickTop="1" x14ac:dyDescent="0.25">
      <c r="A195" s="1848"/>
      <c r="B195" s="1848"/>
      <c r="C195" s="1848"/>
      <c r="D195" s="1848"/>
      <c r="E195" s="1824"/>
      <c r="F195" s="1824"/>
      <c r="G195" s="1824"/>
      <c r="H195" s="1849"/>
      <c r="I195" s="1893"/>
    </row>
    <row r="196" spans="1:9" ht="15" x14ac:dyDescent="0.25">
      <c r="A196" s="1808" t="s">
        <v>1942</v>
      </c>
    </row>
    <row r="197" spans="1:9" ht="15.75" thickBot="1" x14ac:dyDescent="0.3">
      <c r="A197" s="1808" t="s">
        <v>1535</v>
      </c>
      <c r="H197" s="1829" t="s">
        <v>161</v>
      </c>
    </row>
    <row r="198" spans="1:9" ht="25.5" thickTop="1" thickBot="1" x14ac:dyDescent="0.25">
      <c r="A198" s="1809" t="s">
        <v>162</v>
      </c>
      <c r="B198" s="1810" t="s">
        <v>761</v>
      </c>
      <c r="C198" s="1810" t="s">
        <v>377</v>
      </c>
      <c r="D198" s="1811" t="s">
        <v>164</v>
      </c>
      <c r="E198" s="1833" t="s">
        <v>632</v>
      </c>
      <c r="F198" s="1833" t="s">
        <v>633</v>
      </c>
      <c r="G198" s="1834" t="s">
        <v>882</v>
      </c>
      <c r="H198" s="1835" t="s">
        <v>883</v>
      </c>
    </row>
    <row r="199" spans="1:9" ht="14.25" thickTop="1" thickBot="1" x14ac:dyDescent="0.25">
      <c r="A199" s="1643">
        <v>1</v>
      </c>
      <c r="B199" s="1642">
        <v>2</v>
      </c>
      <c r="C199" s="1642">
        <v>3</v>
      </c>
      <c r="D199" s="1642">
        <v>5</v>
      </c>
      <c r="E199" s="1641">
        <v>6</v>
      </c>
      <c r="F199" s="1641">
        <v>7</v>
      </c>
      <c r="G199" s="1877">
        <v>8</v>
      </c>
      <c r="H199" s="1814" t="s">
        <v>762</v>
      </c>
    </row>
    <row r="200" spans="1:9" ht="15.75" thickTop="1" x14ac:dyDescent="0.2">
      <c r="A200" s="1815">
        <v>2212</v>
      </c>
      <c r="B200" s="1816">
        <v>6121</v>
      </c>
      <c r="C200" s="1816">
        <v>12</v>
      </c>
      <c r="D200" s="1836" t="s">
        <v>603</v>
      </c>
      <c r="E200" s="1845">
        <v>9194</v>
      </c>
      <c r="F200" s="1845">
        <v>0</v>
      </c>
      <c r="G200" s="1845">
        <v>0</v>
      </c>
      <c r="H200" s="1821">
        <v>0</v>
      </c>
    </row>
    <row r="201" spans="1:9" ht="15" x14ac:dyDescent="0.2">
      <c r="A201" s="1815">
        <v>2212</v>
      </c>
      <c r="B201" s="1816">
        <v>6121</v>
      </c>
      <c r="C201" s="1816">
        <v>38100880</v>
      </c>
      <c r="D201" s="1836" t="s">
        <v>603</v>
      </c>
      <c r="E201" s="1845">
        <v>0</v>
      </c>
      <c r="F201" s="1845">
        <v>2514</v>
      </c>
      <c r="G201" s="1845">
        <v>611</v>
      </c>
      <c r="H201" s="1821">
        <f t="shared" ref="H201:H202" si="18">G201/F201*100</f>
        <v>24.303898170246619</v>
      </c>
    </row>
    <row r="202" spans="1:9" ht="15" x14ac:dyDescent="0.2">
      <c r="A202" s="1815">
        <v>2212</v>
      </c>
      <c r="B202" s="1897">
        <v>6121</v>
      </c>
      <c r="C202" s="1897">
        <v>38100884</v>
      </c>
      <c r="D202" s="1836" t="s">
        <v>603</v>
      </c>
      <c r="E202" s="1845">
        <v>0</v>
      </c>
      <c r="F202" s="1845">
        <v>2498</v>
      </c>
      <c r="G202" s="1845">
        <v>2393</v>
      </c>
      <c r="H202" s="1821">
        <f t="shared" si="18"/>
        <v>95.796637309847881</v>
      </c>
    </row>
    <row r="203" spans="1:9" ht="15" x14ac:dyDescent="0.2">
      <c r="A203" s="1815">
        <v>2212</v>
      </c>
      <c r="B203" s="1897">
        <v>6121</v>
      </c>
      <c r="C203" s="1897">
        <v>38500881</v>
      </c>
      <c r="D203" s="1836" t="s">
        <v>603</v>
      </c>
      <c r="E203" s="1845">
        <v>0</v>
      </c>
      <c r="F203" s="1845">
        <v>23</v>
      </c>
      <c r="G203" s="1845">
        <v>23</v>
      </c>
      <c r="H203" s="1821">
        <f>G203/F203*100</f>
        <v>100</v>
      </c>
    </row>
    <row r="204" spans="1:9" ht="15.75" thickBot="1" x14ac:dyDescent="0.25">
      <c r="A204" s="1815">
        <v>2212</v>
      </c>
      <c r="B204" s="1897">
        <v>6121</v>
      </c>
      <c r="C204" s="1897">
        <v>38587505</v>
      </c>
      <c r="D204" s="1836" t="s">
        <v>603</v>
      </c>
      <c r="E204" s="1845">
        <v>0</v>
      </c>
      <c r="F204" s="1845">
        <v>9537</v>
      </c>
      <c r="G204" s="1845">
        <v>3437</v>
      </c>
      <c r="H204" s="1821">
        <f>G204/F204*100</f>
        <v>36.038586557617705</v>
      </c>
    </row>
    <row r="205" spans="1:9" ht="16.5" thickTop="1" thickBot="1" x14ac:dyDescent="0.3">
      <c r="A205" s="1837" t="s">
        <v>763</v>
      </c>
      <c r="B205" s="1838"/>
      <c r="C205" s="1838"/>
      <c r="D205" s="1839"/>
      <c r="E205" s="1818">
        <f>SUM(E200:E204)</f>
        <v>9194</v>
      </c>
      <c r="F205" s="1818">
        <f t="shared" ref="F205:G205" si="19">SUM(F200:F204)</f>
        <v>14572</v>
      </c>
      <c r="G205" s="1818">
        <f t="shared" si="19"/>
        <v>6464</v>
      </c>
      <c r="H205" s="1822">
        <f>G205/F205*100</f>
        <v>44.359044743343404</v>
      </c>
    </row>
    <row r="206" spans="1:9" ht="13.5" customHeight="1" thickTop="1" x14ac:dyDescent="0.25">
      <c r="A206" s="1848"/>
      <c r="B206" s="1848"/>
      <c r="C206" s="1848"/>
      <c r="D206" s="1848"/>
      <c r="E206" s="1824"/>
      <c r="F206" s="1824"/>
      <c r="G206" s="1824"/>
      <c r="H206" s="1849"/>
      <c r="I206" s="1893"/>
    </row>
    <row r="207" spans="1:9" ht="15" x14ac:dyDescent="0.25">
      <c r="A207" s="1808" t="s">
        <v>1705</v>
      </c>
    </row>
    <row r="208" spans="1:9" ht="15.75" thickBot="1" x14ac:dyDescent="0.3">
      <c r="A208" s="1808" t="s">
        <v>1706</v>
      </c>
      <c r="H208" s="1829" t="s">
        <v>161</v>
      </c>
    </row>
    <row r="209" spans="1:9" ht="25.5" thickTop="1" thickBot="1" x14ac:dyDescent="0.25">
      <c r="A209" s="1809" t="s">
        <v>162</v>
      </c>
      <c r="B209" s="1810" t="s">
        <v>761</v>
      </c>
      <c r="C209" s="1810" t="s">
        <v>377</v>
      </c>
      <c r="D209" s="1811" t="s">
        <v>164</v>
      </c>
      <c r="E209" s="1833" t="s">
        <v>632</v>
      </c>
      <c r="F209" s="1833" t="s">
        <v>633</v>
      </c>
      <c r="G209" s="1834" t="s">
        <v>882</v>
      </c>
      <c r="H209" s="1835" t="s">
        <v>883</v>
      </c>
    </row>
    <row r="210" spans="1:9" ht="14.25" thickTop="1" thickBot="1" x14ac:dyDescent="0.25">
      <c r="A210" s="1643">
        <v>1</v>
      </c>
      <c r="B210" s="1642">
        <v>2</v>
      </c>
      <c r="C210" s="1642">
        <v>3</v>
      </c>
      <c r="D210" s="1642">
        <v>5</v>
      </c>
      <c r="E210" s="1641">
        <v>6</v>
      </c>
      <c r="F210" s="1641">
        <v>7</v>
      </c>
      <c r="G210" s="1877">
        <v>8</v>
      </c>
      <c r="H210" s="1814" t="s">
        <v>762</v>
      </c>
    </row>
    <row r="211" spans="1:9" ht="15.75" thickTop="1" x14ac:dyDescent="0.2">
      <c r="A211" s="1815">
        <v>2212</v>
      </c>
      <c r="B211" s="1816">
        <v>6121</v>
      </c>
      <c r="C211" s="1816">
        <v>12</v>
      </c>
      <c r="D211" s="1836" t="s">
        <v>603</v>
      </c>
      <c r="E211" s="1845">
        <v>14814</v>
      </c>
      <c r="F211" s="1845">
        <v>0</v>
      </c>
      <c r="G211" s="1845">
        <v>0</v>
      </c>
      <c r="H211" s="1821">
        <v>0</v>
      </c>
    </row>
    <row r="212" spans="1:9" ht="15" x14ac:dyDescent="0.2">
      <c r="A212" s="1815">
        <v>2212</v>
      </c>
      <c r="B212" s="1816">
        <v>6121</v>
      </c>
      <c r="C212" s="1816">
        <v>38100880</v>
      </c>
      <c r="D212" s="1836" t="s">
        <v>603</v>
      </c>
      <c r="E212" s="1845">
        <v>0</v>
      </c>
      <c r="F212" s="1845">
        <v>1778</v>
      </c>
      <c r="G212" s="1845">
        <v>1778</v>
      </c>
      <c r="H212" s="1821">
        <f t="shared" ref="H212:H213" si="20">G212/F212*100</f>
        <v>100</v>
      </c>
    </row>
    <row r="213" spans="1:9" ht="15" x14ac:dyDescent="0.2">
      <c r="A213" s="1815">
        <v>2212</v>
      </c>
      <c r="B213" s="1897">
        <v>6121</v>
      </c>
      <c r="C213" s="1897">
        <v>38100884</v>
      </c>
      <c r="D213" s="1836" t="s">
        <v>603</v>
      </c>
      <c r="E213" s="1845">
        <v>0</v>
      </c>
      <c r="F213" s="1845">
        <v>1101</v>
      </c>
      <c r="G213" s="1845">
        <v>895</v>
      </c>
      <c r="H213" s="1821">
        <f t="shared" si="20"/>
        <v>81.289736603088102</v>
      </c>
    </row>
    <row r="214" spans="1:9" ht="15" x14ac:dyDescent="0.2">
      <c r="A214" s="1815">
        <v>2212</v>
      </c>
      <c r="B214" s="1897">
        <v>6121</v>
      </c>
      <c r="C214" s="1897">
        <v>38500881</v>
      </c>
      <c r="D214" s="1836" t="s">
        <v>603</v>
      </c>
      <c r="E214" s="1845">
        <v>0</v>
      </c>
      <c r="F214" s="1845">
        <v>26</v>
      </c>
      <c r="G214" s="1845">
        <v>26</v>
      </c>
      <c r="H214" s="1821">
        <f>G214/F214*100</f>
        <v>100</v>
      </c>
    </row>
    <row r="215" spans="1:9" ht="15.75" thickBot="1" x14ac:dyDescent="0.25">
      <c r="A215" s="1815">
        <v>2212</v>
      </c>
      <c r="B215" s="1897">
        <v>6121</v>
      </c>
      <c r="C215" s="1897">
        <v>38587505</v>
      </c>
      <c r="D215" s="1836" t="s">
        <v>603</v>
      </c>
      <c r="E215" s="1845">
        <v>0</v>
      </c>
      <c r="F215" s="1845">
        <v>10052</v>
      </c>
      <c r="G215" s="1845">
        <v>10052</v>
      </c>
      <c r="H215" s="1821">
        <f>G215/F215*100</f>
        <v>100</v>
      </c>
    </row>
    <row r="216" spans="1:9" ht="16.5" thickTop="1" thickBot="1" x14ac:dyDescent="0.3">
      <c r="A216" s="1837" t="s">
        <v>763</v>
      </c>
      <c r="B216" s="1838"/>
      <c r="C216" s="1838"/>
      <c r="D216" s="1839"/>
      <c r="E216" s="1818">
        <f>SUM(E211:E215)</f>
        <v>14814</v>
      </c>
      <c r="F216" s="1818">
        <f t="shared" ref="F216:G216" si="21">SUM(F211:F215)</f>
        <v>12957</v>
      </c>
      <c r="G216" s="1818">
        <f t="shared" si="21"/>
        <v>12751</v>
      </c>
      <c r="H216" s="1822">
        <f>G216/F216*100</f>
        <v>98.410125800725481</v>
      </c>
    </row>
    <row r="217" spans="1:9" ht="13.5" customHeight="1" thickTop="1" x14ac:dyDescent="0.25">
      <c r="A217" s="1848"/>
      <c r="B217" s="1848"/>
      <c r="C217" s="1848"/>
      <c r="D217" s="1848"/>
      <c r="E217" s="1824"/>
      <c r="F217" s="1824"/>
      <c r="G217" s="1824"/>
      <c r="H217" s="1849"/>
      <c r="I217" s="1893"/>
    </row>
    <row r="218" spans="1:9" s="1656" customFormat="1" ht="15" x14ac:dyDescent="0.25">
      <c r="A218" s="1808" t="s">
        <v>1707</v>
      </c>
      <c r="B218" s="1802"/>
      <c r="C218" s="1802"/>
      <c r="D218" s="1802"/>
      <c r="E218" s="1803"/>
      <c r="F218" s="1829"/>
      <c r="G218" s="1829"/>
      <c r="H218" s="1829"/>
      <c r="I218" s="1803"/>
    </row>
    <row r="219" spans="1:9" s="1581" customFormat="1" ht="15.75" thickBot="1" x14ac:dyDescent="0.3">
      <c r="A219" s="1808" t="s">
        <v>1708</v>
      </c>
      <c r="B219" s="1802"/>
      <c r="C219" s="1802"/>
      <c r="D219" s="1802"/>
      <c r="E219" s="1803"/>
      <c r="F219" s="1829"/>
      <c r="G219" s="1829"/>
      <c r="H219" s="1892" t="s">
        <v>161</v>
      </c>
      <c r="I219" s="1803"/>
    </row>
    <row r="220" spans="1:9" ht="25.5" thickTop="1" thickBot="1" x14ac:dyDescent="0.25">
      <c r="A220" s="1809" t="s">
        <v>162</v>
      </c>
      <c r="B220" s="1810" t="s">
        <v>761</v>
      </c>
      <c r="C220" s="1810" t="s">
        <v>377</v>
      </c>
      <c r="D220" s="1811" t="s">
        <v>164</v>
      </c>
      <c r="E220" s="1833" t="s">
        <v>632</v>
      </c>
      <c r="F220" s="1833" t="s">
        <v>633</v>
      </c>
      <c r="G220" s="1834" t="s">
        <v>882</v>
      </c>
      <c r="H220" s="1835" t="s">
        <v>883</v>
      </c>
    </row>
    <row r="221" spans="1:9" ht="14.25" thickTop="1" thickBot="1" x14ac:dyDescent="0.25">
      <c r="A221" s="1643">
        <v>1</v>
      </c>
      <c r="B221" s="1642">
        <v>2</v>
      </c>
      <c r="C221" s="1642">
        <v>3</v>
      </c>
      <c r="D221" s="1642">
        <v>5</v>
      </c>
      <c r="E221" s="1641">
        <v>6</v>
      </c>
      <c r="F221" s="1641">
        <v>7</v>
      </c>
      <c r="G221" s="1877">
        <v>8</v>
      </c>
      <c r="H221" s="1814" t="s">
        <v>762</v>
      </c>
    </row>
    <row r="222" spans="1:9" ht="15.75" hidden="1" thickTop="1" x14ac:dyDescent="0.2">
      <c r="A222" s="1815">
        <v>2212</v>
      </c>
      <c r="B222" s="1897">
        <v>6121</v>
      </c>
      <c r="C222" s="1897">
        <v>12</v>
      </c>
      <c r="D222" s="1836" t="s">
        <v>603</v>
      </c>
      <c r="E222" s="1845">
        <v>0</v>
      </c>
      <c r="F222" s="1845">
        <v>0</v>
      </c>
      <c r="G222" s="1845">
        <v>0</v>
      </c>
      <c r="H222" s="1821" t="e">
        <f t="shared" ref="H222:H227" si="22">G222/F222*100</f>
        <v>#DIV/0!</v>
      </c>
    </row>
    <row r="223" spans="1:9" ht="15.75" thickTop="1" x14ac:dyDescent="0.2">
      <c r="A223" s="1815">
        <v>2212</v>
      </c>
      <c r="B223" s="1816">
        <v>6121</v>
      </c>
      <c r="C223" s="1816">
        <v>38100880</v>
      </c>
      <c r="D223" s="1836" t="s">
        <v>603</v>
      </c>
      <c r="E223" s="1845">
        <v>0</v>
      </c>
      <c r="F223" s="1845">
        <v>29</v>
      </c>
      <c r="G223" s="1845">
        <v>0</v>
      </c>
      <c r="H223" s="1821">
        <f t="shared" si="22"/>
        <v>0</v>
      </c>
    </row>
    <row r="224" spans="1:9" ht="15" x14ac:dyDescent="0.2">
      <c r="A224" s="1815">
        <v>2212</v>
      </c>
      <c r="B224" s="1816">
        <v>6121</v>
      </c>
      <c r="C224" s="1816">
        <v>38100884</v>
      </c>
      <c r="D224" s="1836" t="s">
        <v>603</v>
      </c>
      <c r="E224" s="1845">
        <v>0</v>
      </c>
      <c r="F224" s="1845">
        <v>230</v>
      </c>
      <c r="G224" s="1845">
        <v>222</v>
      </c>
      <c r="H224" s="1821">
        <f t="shared" si="22"/>
        <v>96.521739130434781</v>
      </c>
      <c r="I224" s="1829"/>
    </row>
    <row r="225" spans="1:9" ht="15.75" thickBot="1" x14ac:dyDescent="0.25">
      <c r="A225" s="1815">
        <v>2212</v>
      </c>
      <c r="B225" s="1897">
        <v>6121</v>
      </c>
      <c r="C225" s="1897">
        <v>38500881</v>
      </c>
      <c r="D225" s="1836" t="s">
        <v>603</v>
      </c>
      <c r="E225" s="1845">
        <v>0</v>
      </c>
      <c r="F225" s="1845">
        <v>161</v>
      </c>
      <c r="G225" s="1845">
        <v>0</v>
      </c>
      <c r="H225" s="1821">
        <f t="shared" si="22"/>
        <v>0</v>
      </c>
      <c r="I225" s="1829"/>
    </row>
    <row r="226" spans="1:9" ht="15.75" hidden="1" thickBot="1" x14ac:dyDescent="0.25">
      <c r="A226" s="1815">
        <v>2212</v>
      </c>
      <c r="B226" s="1897">
        <v>6121</v>
      </c>
      <c r="C226" s="1897">
        <v>38500871</v>
      </c>
      <c r="D226" s="1836" t="s">
        <v>603</v>
      </c>
      <c r="E226" s="1845">
        <v>0</v>
      </c>
      <c r="F226" s="1845">
        <v>0</v>
      </c>
      <c r="G226" s="1845">
        <v>0</v>
      </c>
      <c r="H226" s="1821" t="e">
        <f t="shared" si="22"/>
        <v>#DIV/0!</v>
      </c>
      <c r="I226" s="1829"/>
    </row>
    <row r="227" spans="1:9" ht="16.5" thickTop="1" thickBot="1" x14ac:dyDescent="0.3">
      <c r="A227" s="1837" t="s">
        <v>763</v>
      </c>
      <c r="B227" s="1838"/>
      <c r="C227" s="1838"/>
      <c r="D227" s="1839"/>
      <c r="E227" s="1818">
        <f>SUM(E222:E226)</f>
        <v>0</v>
      </c>
      <c r="F227" s="1818">
        <f>SUM(F222:F226)</f>
        <v>420</v>
      </c>
      <c r="G227" s="1818">
        <f>SUM(G222:G226)</f>
        <v>222</v>
      </c>
      <c r="H227" s="1822">
        <f t="shared" si="22"/>
        <v>52.857142857142861</v>
      </c>
      <c r="I227" s="1829"/>
    </row>
    <row r="228" spans="1:9" ht="13.5" customHeight="1" thickTop="1" x14ac:dyDescent="0.25">
      <c r="A228" s="1848"/>
      <c r="B228" s="1848"/>
      <c r="C228" s="1848"/>
      <c r="D228" s="1848"/>
      <c r="E228" s="1824"/>
      <c r="F228" s="1824"/>
      <c r="G228" s="1824"/>
      <c r="H228" s="1849"/>
      <c r="I228" s="1893"/>
    </row>
    <row r="229" spans="1:9" s="1656" customFormat="1" ht="15" x14ac:dyDescent="0.25">
      <c r="A229" s="1808" t="s">
        <v>1709</v>
      </c>
      <c r="B229" s="1802"/>
      <c r="C229" s="1802"/>
      <c r="D229" s="1802"/>
      <c r="E229" s="1803"/>
      <c r="F229" s="1829"/>
      <c r="G229" s="1829"/>
      <c r="H229" s="1829"/>
      <c r="I229" s="1803"/>
    </row>
    <row r="230" spans="1:9" s="1581" customFormat="1" ht="15.75" thickBot="1" x14ac:dyDescent="0.3">
      <c r="A230" s="1808" t="s">
        <v>1710</v>
      </c>
      <c r="B230" s="1802"/>
      <c r="C230" s="1802"/>
      <c r="D230" s="1802"/>
      <c r="E230" s="1803"/>
      <c r="F230" s="1829"/>
      <c r="G230" s="1829"/>
      <c r="H230" s="1892" t="s">
        <v>161</v>
      </c>
      <c r="I230" s="1803"/>
    </row>
    <row r="231" spans="1:9" ht="25.5" thickTop="1" thickBot="1" x14ac:dyDescent="0.25">
      <c r="A231" s="1809" t="s">
        <v>162</v>
      </c>
      <c r="B231" s="1810" t="s">
        <v>761</v>
      </c>
      <c r="C231" s="1810" t="s">
        <v>377</v>
      </c>
      <c r="D231" s="1811" t="s">
        <v>164</v>
      </c>
      <c r="E231" s="1833" t="s">
        <v>632</v>
      </c>
      <c r="F231" s="1833" t="s">
        <v>633</v>
      </c>
      <c r="G231" s="1834" t="s">
        <v>882</v>
      </c>
      <c r="H231" s="1835" t="s">
        <v>883</v>
      </c>
    </row>
    <row r="232" spans="1:9" ht="14.25" thickTop="1" thickBot="1" x14ac:dyDescent="0.25">
      <c r="A232" s="1643">
        <v>1</v>
      </c>
      <c r="B232" s="1642">
        <v>2</v>
      </c>
      <c r="C232" s="1642">
        <v>3</v>
      </c>
      <c r="D232" s="1642">
        <v>5</v>
      </c>
      <c r="E232" s="1641">
        <v>6</v>
      </c>
      <c r="F232" s="1641">
        <v>7</v>
      </c>
      <c r="G232" s="1877">
        <v>8</v>
      </c>
      <c r="H232" s="1814" t="s">
        <v>762</v>
      </c>
    </row>
    <row r="233" spans="1:9" ht="15.75" hidden="1" thickTop="1" x14ac:dyDescent="0.2">
      <c r="A233" s="1815">
        <v>2212</v>
      </c>
      <c r="B233" s="1897">
        <v>6121</v>
      </c>
      <c r="C233" s="1897">
        <v>12</v>
      </c>
      <c r="D233" s="1836" t="s">
        <v>603</v>
      </c>
      <c r="E233" s="1845">
        <v>0</v>
      </c>
      <c r="F233" s="1845">
        <v>0</v>
      </c>
      <c r="G233" s="1845">
        <v>0</v>
      </c>
      <c r="H233" s="1821" t="e">
        <f t="shared" ref="H233:H238" si="23">G233/F233*100</f>
        <v>#DIV/0!</v>
      </c>
    </row>
    <row r="234" spans="1:9" ht="15.75" hidden="1" thickTop="1" x14ac:dyDescent="0.2">
      <c r="A234" s="1815">
        <v>2212</v>
      </c>
      <c r="B234" s="1816">
        <v>6121</v>
      </c>
      <c r="C234" s="1816">
        <v>38100880</v>
      </c>
      <c r="D234" s="1836" t="s">
        <v>603</v>
      </c>
      <c r="E234" s="1845">
        <v>0</v>
      </c>
      <c r="F234" s="1845">
        <v>0</v>
      </c>
      <c r="G234" s="1845">
        <v>0</v>
      </c>
      <c r="H234" s="1821" t="e">
        <f t="shared" si="23"/>
        <v>#DIV/0!</v>
      </c>
    </row>
    <row r="235" spans="1:9" ht="16.5" thickTop="1" thickBot="1" x14ac:dyDescent="0.25">
      <c r="A235" s="1815">
        <v>2212</v>
      </c>
      <c r="B235" s="1816">
        <v>6121</v>
      </c>
      <c r="C235" s="1816">
        <v>38100884</v>
      </c>
      <c r="D235" s="1836" t="s">
        <v>603</v>
      </c>
      <c r="E235" s="1845">
        <v>0</v>
      </c>
      <c r="F235" s="1845">
        <v>215</v>
      </c>
      <c r="G235" s="1845">
        <v>128</v>
      </c>
      <c r="H235" s="1821">
        <f t="shared" si="23"/>
        <v>59.534883720930232</v>
      </c>
      <c r="I235" s="1829"/>
    </row>
    <row r="236" spans="1:9" ht="15.75" hidden="1" thickBot="1" x14ac:dyDescent="0.25">
      <c r="A236" s="1815">
        <v>2212</v>
      </c>
      <c r="B236" s="1897">
        <v>6121</v>
      </c>
      <c r="C236" s="1897">
        <v>38500881</v>
      </c>
      <c r="D236" s="1836" t="s">
        <v>603</v>
      </c>
      <c r="E236" s="1845">
        <v>0</v>
      </c>
      <c r="F236" s="1845">
        <v>0</v>
      </c>
      <c r="G236" s="1845">
        <v>0</v>
      </c>
      <c r="H236" s="1821" t="e">
        <f t="shared" si="23"/>
        <v>#DIV/0!</v>
      </c>
      <c r="I236" s="1829"/>
    </row>
    <row r="237" spans="1:9" ht="15.75" hidden="1" thickBot="1" x14ac:dyDescent="0.25">
      <c r="A237" s="1815">
        <v>2212</v>
      </c>
      <c r="B237" s="1897">
        <v>6121</v>
      </c>
      <c r="C237" s="1897">
        <v>38500871</v>
      </c>
      <c r="D237" s="1836" t="s">
        <v>603</v>
      </c>
      <c r="E237" s="1845">
        <v>0</v>
      </c>
      <c r="F237" s="1845">
        <v>0</v>
      </c>
      <c r="G237" s="1845">
        <v>0</v>
      </c>
      <c r="H237" s="1821" t="e">
        <f t="shared" si="23"/>
        <v>#DIV/0!</v>
      </c>
      <c r="I237" s="1829"/>
    </row>
    <row r="238" spans="1:9" ht="16.5" thickTop="1" thickBot="1" x14ac:dyDescent="0.3">
      <c r="A238" s="1837" t="s">
        <v>763</v>
      </c>
      <c r="B238" s="1838"/>
      <c r="C238" s="1838"/>
      <c r="D238" s="1839"/>
      <c r="E238" s="1818">
        <f>SUM(E233:E237)</f>
        <v>0</v>
      </c>
      <c r="F238" s="1818">
        <f>SUM(F233:F237)</f>
        <v>215</v>
      </c>
      <c r="G238" s="1818">
        <f>SUM(G233:G237)</f>
        <v>128</v>
      </c>
      <c r="H238" s="1822">
        <f t="shared" si="23"/>
        <v>59.534883720930232</v>
      </c>
      <c r="I238" s="1829"/>
    </row>
    <row r="239" spans="1:9" ht="13.5" customHeight="1" thickTop="1" x14ac:dyDescent="0.25">
      <c r="A239" s="1848"/>
      <c r="B239" s="1848"/>
      <c r="C239" s="1848"/>
      <c r="D239" s="1848"/>
      <c r="E239" s="1824"/>
      <c r="F239" s="1824"/>
      <c r="G239" s="1824"/>
      <c r="H239" s="1849"/>
      <c r="I239" s="1893"/>
    </row>
    <row r="240" spans="1:9" s="1656" customFormat="1" ht="15" x14ac:dyDescent="0.25">
      <c r="A240" s="1808" t="s">
        <v>1711</v>
      </c>
      <c r="B240" s="1802"/>
      <c r="C240" s="1802"/>
      <c r="D240" s="1802"/>
      <c r="E240" s="1803"/>
      <c r="F240" s="1829"/>
      <c r="G240" s="1829"/>
      <c r="H240" s="1829"/>
      <c r="I240" s="1803"/>
    </row>
    <row r="241" spans="1:9" s="1581" customFormat="1" ht="15.75" thickBot="1" x14ac:dyDescent="0.3">
      <c r="A241" s="1808" t="s">
        <v>1712</v>
      </c>
      <c r="B241" s="1802"/>
      <c r="C241" s="1802"/>
      <c r="D241" s="1802"/>
      <c r="E241" s="1803"/>
      <c r="F241" s="1829"/>
      <c r="G241" s="1829"/>
      <c r="H241" s="1892" t="s">
        <v>161</v>
      </c>
      <c r="I241" s="1803"/>
    </row>
    <row r="242" spans="1:9" ht="25.5" thickTop="1" thickBot="1" x14ac:dyDescent="0.25">
      <c r="A242" s="1809" t="s">
        <v>162</v>
      </c>
      <c r="B242" s="1810" t="s">
        <v>761</v>
      </c>
      <c r="C242" s="1810" t="s">
        <v>377</v>
      </c>
      <c r="D242" s="1811" t="s">
        <v>164</v>
      </c>
      <c r="E242" s="1833" t="s">
        <v>632</v>
      </c>
      <c r="F242" s="1833" t="s">
        <v>633</v>
      </c>
      <c r="G242" s="1834" t="s">
        <v>882</v>
      </c>
      <c r="H242" s="1835" t="s">
        <v>883</v>
      </c>
    </row>
    <row r="243" spans="1:9" ht="14.25" thickTop="1" thickBot="1" x14ac:dyDescent="0.25">
      <c r="A243" s="1643">
        <v>1</v>
      </c>
      <c r="B243" s="1642">
        <v>2</v>
      </c>
      <c r="C243" s="1642">
        <v>3</v>
      </c>
      <c r="D243" s="1642">
        <v>5</v>
      </c>
      <c r="E243" s="1641">
        <v>6</v>
      </c>
      <c r="F243" s="1641">
        <v>7</v>
      </c>
      <c r="G243" s="1877">
        <v>8</v>
      </c>
      <c r="H243" s="1814" t="s">
        <v>762</v>
      </c>
    </row>
    <row r="244" spans="1:9" ht="15.75" hidden="1" thickTop="1" x14ac:dyDescent="0.2">
      <c r="A244" s="1815">
        <v>2212</v>
      </c>
      <c r="B244" s="1897">
        <v>6121</v>
      </c>
      <c r="C244" s="1897">
        <v>12</v>
      </c>
      <c r="D244" s="1836" t="s">
        <v>603</v>
      </c>
      <c r="E244" s="1845">
        <v>0</v>
      </c>
      <c r="F244" s="1845">
        <v>0</v>
      </c>
      <c r="G244" s="1845">
        <v>0</v>
      </c>
      <c r="H244" s="1821" t="e">
        <f t="shared" ref="H244:H249" si="24">G244/F244*100</f>
        <v>#DIV/0!</v>
      </c>
    </row>
    <row r="245" spans="1:9" ht="15.75" hidden="1" thickTop="1" x14ac:dyDescent="0.2">
      <c r="A245" s="1815">
        <v>2212</v>
      </c>
      <c r="B245" s="1816">
        <v>6121</v>
      </c>
      <c r="C245" s="1816">
        <v>38100880</v>
      </c>
      <c r="D245" s="1836" t="s">
        <v>603</v>
      </c>
      <c r="E245" s="1845">
        <v>0</v>
      </c>
      <c r="F245" s="1845">
        <v>0</v>
      </c>
      <c r="G245" s="1845">
        <v>0</v>
      </c>
      <c r="H245" s="1821" t="e">
        <f t="shared" si="24"/>
        <v>#DIV/0!</v>
      </c>
    </row>
    <row r="246" spans="1:9" ht="16.5" thickTop="1" thickBot="1" x14ac:dyDescent="0.25">
      <c r="A246" s="1815">
        <v>2212</v>
      </c>
      <c r="B246" s="1816">
        <v>6121</v>
      </c>
      <c r="C246" s="1816">
        <v>38100884</v>
      </c>
      <c r="D246" s="1836" t="s">
        <v>603</v>
      </c>
      <c r="E246" s="1845">
        <v>0</v>
      </c>
      <c r="F246" s="1845">
        <v>624</v>
      </c>
      <c r="G246" s="1845">
        <v>460</v>
      </c>
      <c r="H246" s="1821">
        <f t="shared" si="24"/>
        <v>73.71794871794873</v>
      </c>
      <c r="I246" s="1829"/>
    </row>
    <row r="247" spans="1:9" ht="15.75" hidden="1" thickBot="1" x14ac:dyDescent="0.25">
      <c r="A247" s="1815">
        <v>2212</v>
      </c>
      <c r="B247" s="1897">
        <v>6121</v>
      </c>
      <c r="C247" s="1897">
        <v>38500881</v>
      </c>
      <c r="D247" s="1836" t="s">
        <v>603</v>
      </c>
      <c r="E247" s="1845">
        <v>0</v>
      </c>
      <c r="F247" s="1845">
        <v>0</v>
      </c>
      <c r="G247" s="1845">
        <v>0</v>
      </c>
      <c r="H247" s="1821" t="e">
        <f t="shared" si="24"/>
        <v>#DIV/0!</v>
      </c>
      <c r="I247" s="1829"/>
    </row>
    <row r="248" spans="1:9" ht="15.75" hidden="1" thickBot="1" x14ac:dyDescent="0.25">
      <c r="A248" s="1815">
        <v>2212</v>
      </c>
      <c r="B248" s="1897">
        <v>6121</v>
      </c>
      <c r="C248" s="1897">
        <v>38500871</v>
      </c>
      <c r="D248" s="1836" t="s">
        <v>603</v>
      </c>
      <c r="E248" s="1845">
        <v>0</v>
      </c>
      <c r="F248" s="1845">
        <v>0</v>
      </c>
      <c r="G248" s="1845">
        <v>0</v>
      </c>
      <c r="H248" s="1821" t="e">
        <f t="shared" si="24"/>
        <v>#DIV/0!</v>
      </c>
      <c r="I248" s="1829"/>
    </row>
    <row r="249" spans="1:9" ht="16.5" thickTop="1" thickBot="1" x14ac:dyDescent="0.3">
      <c r="A249" s="1837" t="s">
        <v>763</v>
      </c>
      <c r="B249" s="1838"/>
      <c r="C249" s="1838"/>
      <c r="D249" s="1839"/>
      <c r="E249" s="1818">
        <f>SUM(E244:E248)</f>
        <v>0</v>
      </c>
      <c r="F249" s="1818">
        <f>SUM(F244:F248)</f>
        <v>624</v>
      </c>
      <c r="G249" s="1818">
        <f>SUM(G244:G248)</f>
        <v>460</v>
      </c>
      <c r="H249" s="1822">
        <f t="shared" si="24"/>
        <v>73.71794871794873</v>
      </c>
      <c r="I249" s="1829"/>
    </row>
    <row r="250" spans="1:9" ht="13.5" customHeight="1" thickTop="1" x14ac:dyDescent="0.25">
      <c r="A250" s="1848"/>
      <c r="B250" s="1848"/>
      <c r="C250" s="1848"/>
      <c r="D250" s="1848"/>
      <c r="E250" s="1824"/>
      <c r="F250" s="1824"/>
      <c r="G250" s="1824"/>
      <c r="H250" s="1849"/>
      <c r="I250" s="1893"/>
    </row>
    <row r="251" spans="1:9" s="1656" customFormat="1" ht="15" x14ac:dyDescent="0.25">
      <c r="A251" s="1808" t="s">
        <v>1943</v>
      </c>
      <c r="B251" s="1802"/>
      <c r="C251" s="1802"/>
      <c r="D251" s="1802"/>
      <c r="E251" s="1803"/>
      <c r="F251" s="1829"/>
      <c r="G251" s="1829"/>
      <c r="H251" s="1829"/>
      <c r="I251" s="1803"/>
    </row>
    <row r="252" spans="1:9" s="1581" customFormat="1" ht="15.75" thickBot="1" x14ac:dyDescent="0.3">
      <c r="A252" s="1808" t="s">
        <v>1944</v>
      </c>
      <c r="B252" s="1802"/>
      <c r="C252" s="1802"/>
      <c r="D252" s="1802"/>
      <c r="E252" s="1803"/>
      <c r="F252" s="1829"/>
      <c r="G252" s="1829"/>
      <c r="H252" s="1892" t="s">
        <v>161</v>
      </c>
      <c r="I252" s="1803"/>
    </row>
    <row r="253" spans="1:9" ht="25.5" thickTop="1" thickBot="1" x14ac:dyDescent="0.25">
      <c r="A253" s="1809" t="s">
        <v>162</v>
      </c>
      <c r="B253" s="1810" t="s">
        <v>761</v>
      </c>
      <c r="C253" s="1810" t="s">
        <v>377</v>
      </c>
      <c r="D253" s="1811" t="s">
        <v>164</v>
      </c>
      <c r="E253" s="1833" t="s">
        <v>632</v>
      </c>
      <c r="F253" s="1833" t="s">
        <v>633</v>
      </c>
      <c r="G253" s="1834" t="s">
        <v>882</v>
      </c>
      <c r="H253" s="1835" t="s">
        <v>883</v>
      </c>
    </row>
    <row r="254" spans="1:9" ht="14.25" thickTop="1" thickBot="1" x14ac:dyDescent="0.25">
      <c r="A254" s="1643">
        <v>1</v>
      </c>
      <c r="B254" s="1642">
        <v>2</v>
      </c>
      <c r="C254" s="1642">
        <v>3</v>
      </c>
      <c r="D254" s="1642">
        <v>5</v>
      </c>
      <c r="E254" s="1641">
        <v>6</v>
      </c>
      <c r="F254" s="1641">
        <v>7</v>
      </c>
      <c r="G254" s="1877">
        <v>8</v>
      </c>
      <c r="H254" s="1814" t="s">
        <v>762</v>
      </c>
    </row>
    <row r="255" spans="1:9" ht="15.75" hidden="1" thickTop="1" x14ac:dyDescent="0.2">
      <c r="A255" s="1815">
        <v>2212</v>
      </c>
      <c r="B255" s="1897">
        <v>6121</v>
      </c>
      <c r="C255" s="1897">
        <v>12</v>
      </c>
      <c r="D255" s="1836" t="s">
        <v>603</v>
      </c>
      <c r="E255" s="1845">
        <v>0</v>
      </c>
      <c r="F255" s="1845">
        <v>0</v>
      </c>
      <c r="G255" s="1845">
        <v>0</v>
      </c>
      <c r="H255" s="1821" t="e">
        <f t="shared" ref="H255:H260" si="25">G255/F255*100</f>
        <v>#DIV/0!</v>
      </c>
    </row>
    <row r="256" spans="1:9" ht="15.75" hidden="1" thickTop="1" x14ac:dyDescent="0.2">
      <c r="A256" s="1815">
        <v>2212</v>
      </c>
      <c r="B256" s="1816">
        <v>6121</v>
      </c>
      <c r="C256" s="1816">
        <v>38100880</v>
      </c>
      <c r="D256" s="1836" t="s">
        <v>603</v>
      </c>
      <c r="E256" s="1845">
        <v>0</v>
      </c>
      <c r="F256" s="1845">
        <v>0</v>
      </c>
      <c r="G256" s="1845">
        <v>0</v>
      </c>
      <c r="H256" s="1821" t="e">
        <f t="shared" si="25"/>
        <v>#DIV/0!</v>
      </c>
    </row>
    <row r="257" spans="1:9" ht="16.5" thickTop="1" thickBot="1" x14ac:dyDescent="0.25">
      <c r="A257" s="1815">
        <v>2212</v>
      </c>
      <c r="B257" s="1816">
        <v>6121</v>
      </c>
      <c r="C257" s="1816">
        <v>38100884</v>
      </c>
      <c r="D257" s="1836" t="s">
        <v>603</v>
      </c>
      <c r="E257" s="1845">
        <v>0</v>
      </c>
      <c r="F257" s="1845">
        <v>250</v>
      </c>
      <c r="G257" s="1845">
        <v>6</v>
      </c>
      <c r="H257" s="1821">
        <f t="shared" si="25"/>
        <v>2.4</v>
      </c>
      <c r="I257" s="1829"/>
    </row>
    <row r="258" spans="1:9" ht="15.75" hidden="1" thickBot="1" x14ac:dyDescent="0.25">
      <c r="A258" s="1815">
        <v>2212</v>
      </c>
      <c r="B258" s="1897">
        <v>6121</v>
      </c>
      <c r="C258" s="1897">
        <v>38500881</v>
      </c>
      <c r="D258" s="1836" t="s">
        <v>603</v>
      </c>
      <c r="E258" s="1845">
        <v>0</v>
      </c>
      <c r="F258" s="1845">
        <v>0</v>
      </c>
      <c r="G258" s="1845">
        <v>0</v>
      </c>
      <c r="H258" s="1821" t="e">
        <f t="shared" si="25"/>
        <v>#DIV/0!</v>
      </c>
      <c r="I258" s="1829"/>
    </row>
    <row r="259" spans="1:9" ht="15.75" hidden="1" thickBot="1" x14ac:dyDescent="0.25">
      <c r="A259" s="1815">
        <v>2212</v>
      </c>
      <c r="B259" s="1897">
        <v>6121</v>
      </c>
      <c r="C259" s="1897">
        <v>38500871</v>
      </c>
      <c r="D259" s="1836" t="s">
        <v>603</v>
      </c>
      <c r="E259" s="1845">
        <v>0</v>
      </c>
      <c r="F259" s="1845">
        <v>0</v>
      </c>
      <c r="G259" s="1845">
        <v>0</v>
      </c>
      <c r="H259" s="1821" t="e">
        <f t="shared" si="25"/>
        <v>#DIV/0!</v>
      </c>
      <c r="I259" s="1829"/>
    </row>
    <row r="260" spans="1:9" ht="16.5" thickTop="1" thickBot="1" x14ac:dyDescent="0.3">
      <c r="A260" s="1837" t="s">
        <v>763</v>
      </c>
      <c r="B260" s="1838"/>
      <c r="C260" s="1838"/>
      <c r="D260" s="1839"/>
      <c r="E260" s="1818">
        <f>SUM(E255:E259)</f>
        <v>0</v>
      </c>
      <c r="F260" s="1818">
        <f>SUM(F255:F259)</f>
        <v>250</v>
      </c>
      <c r="G260" s="1818">
        <f>SUM(G255:G259)</f>
        <v>6</v>
      </c>
      <c r="H260" s="1822">
        <f t="shared" si="25"/>
        <v>2.4</v>
      </c>
      <c r="I260" s="1829"/>
    </row>
    <row r="261" spans="1:9" ht="13.5" customHeight="1" thickTop="1" x14ac:dyDescent="0.25">
      <c r="A261" s="1848"/>
      <c r="B261" s="1848"/>
      <c r="C261" s="1848"/>
      <c r="D261" s="1848"/>
      <c r="E261" s="1824"/>
      <c r="F261" s="1824"/>
      <c r="G261" s="1824"/>
      <c r="H261" s="1849"/>
      <c r="I261" s="1893"/>
    </row>
    <row r="262" spans="1:9" s="1656" customFormat="1" ht="15" x14ac:dyDescent="0.25">
      <c r="A262" s="1808" t="s">
        <v>1945</v>
      </c>
      <c r="B262" s="1802"/>
      <c r="C262" s="1802"/>
      <c r="D262" s="1802"/>
      <c r="E262" s="1803"/>
      <c r="F262" s="1829"/>
      <c r="G262" s="1829"/>
      <c r="H262" s="1829"/>
      <c r="I262" s="1803"/>
    </row>
    <row r="263" spans="1:9" s="1581" customFormat="1" ht="15.75" thickBot="1" x14ac:dyDescent="0.3">
      <c r="A263" s="1808" t="s">
        <v>1946</v>
      </c>
      <c r="B263" s="1802"/>
      <c r="C263" s="1802"/>
      <c r="D263" s="1802"/>
      <c r="E263" s="1803"/>
      <c r="F263" s="1829"/>
      <c r="G263" s="1829"/>
      <c r="H263" s="1892" t="s">
        <v>161</v>
      </c>
      <c r="I263" s="1803"/>
    </row>
    <row r="264" spans="1:9" ht="25.5" thickTop="1" thickBot="1" x14ac:dyDescent="0.25">
      <c r="A264" s="1809" t="s">
        <v>162</v>
      </c>
      <c r="B264" s="1810" t="s">
        <v>761</v>
      </c>
      <c r="C264" s="1810" t="s">
        <v>377</v>
      </c>
      <c r="D264" s="1811" t="s">
        <v>164</v>
      </c>
      <c r="E264" s="1833" t="s">
        <v>632</v>
      </c>
      <c r="F264" s="1833" t="s">
        <v>633</v>
      </c>
      <c r="G264" s="1834" t="s">
        <v>882</v>
      </c>
      <c r="H264" s="1835" t="s">
        <v>883</v>
      </c>
    </row>
    <row r="265" spans="1:9" ht="14.25" thickTop="1" thickBot="1" x14ac:dyDescent="0.25">
      <c r="A265" s="1643">
        <v>1</v>
      </c>
      <c r="B265" s="1642">
        <v>2</v>
      </c>
      <c r="C265" s="1642">
        <v>3</v>
      </c>
      <c r="D265" s="1642">
        <v>5</v>
      </c>
      <c r="E265" s="1641">
        <v>6</v>
      </c>
      <c r="F265" s="1641">
        <v>7</v>
      </c>
      <c r="G265" s="1877">
        <v>8</v>
      </c>
      <c r="H265" s="1814" t="s">
        <v>762</v>
      </c>
    </row>
    <row r="266" spans="1:9" ht="15.75" hidden="1" thickTop="1" x14ac:dyDescent="0.2">
      <c r="A266" s="1815">
        <v>2212</v>
      </c>
      <c r="B266" s="1897">
        <v>6121</v>
      </c>
      <c r="C266" s="1897">
        <v>12</v>
      </c>
      <c r="D266" s="1836" t="s">
        <v>603</v>
      </c>
      <c r="E266" s="1845">
        <v>0</v>
      </c>
      <c r="F266" s="1845">
        <v>0</v>
      </c>
      <c r="G266" s="1845">
        <v>0</v>
      </c>
      <c r="H266" s="1821" t="e">
        <f t="shared" ref="H266:H271" si="26">G266/F266*100</f>
        <v>#DIV/0!</v>
      </c>
    </row>
    <row r="267" spans="1:9" ht="15.75" hidden="1" thickTop="1" x14ac:dyDescent="0.2">
      <c r="A267" s="1815">
        <v>2212</v>
      </c>
      <c r="B267" s="1816">
        <v>6121</v>
      </c>
      <c r="C267" s="1816">
        <v>38100880</v>
      </c>
      <c r="D267" s="1836" t="s">
        <v>603</v>
      </c>
      <c r="E267" s="1845">
        <v>0</v>
      </c>
      <c r="F267" s="1845">
        <v>0</v>
      </c>
      <c r="G267" s="1845">
        <v>0</v>
      </c>
      <c r="H267" s="1821" t="e">
        <f t="shared" si="26"/>
        <v>#DIV/0!</v>
      </c>
    </row>
    <row r="268" spans="1:9" ht="16.5" thickTop="1" thickBot="1" x14ac:dyDescent="0.25">
      <c r="A268" s="1815">
        <v>2212</v>
      </c>
      <c r="B268" s="1816">
        <v>6121</v>
      </c>
      <c r="C268" s="1816">
        <v>38100884</v>
      </c>
      <c r="D268" s="1836" t="s">
        <v>603</v>
      </c>
      <c r="E268" s="1845">
        <v>0</v>
      </c>
      <c r="F268" s="1845">
        <v>250</v>
      </c>
      <c r="G268" s="1845">
        <v>6</v>
      </c>
      <c r="H268" s="1821">
        <f t="shared" si="26"/>
        <v>2.4</v>
      </c>
      <c r="I268" s="1829"/>
    </row>
    <row r="269" spans="1:9" ht="15.75" hidden="1" thickBot="1" x14ac:dyDescent="0.25">
      <c r="A269" s="1815">
        <v>2212</v>
      </c>
      <c r="B269" s="1897">
        <v>6121</v>
      </c>
      <c r="C269" s="1897">
        <v>38500881</v>
      </c>
      <c r="D269" s="1836" t="s">
        <v>603</v>
      </c>
      <c r="E269" s="1845">
        <v>0</v>
      </c>
      <c r="F269" s="1845">
        <v>0</v>
      </c>
      <c r="G269" s="1845">
        <v>0</v>
      </c>
      <c r="H269" s="1821" t="e">
        <f t="shared" si="26"/>
        <v>#DIV/0!</v>
      </c>
      <c r="I269" s="1829"/>
    </row>
    <row r="270" spans="1:9" ht="15.75" hidden="1" thickBot="1" x14ac:dyDescent="0.25">
      <c r="A270" s="1815">
        <v>2212</v>
      </c>
      <c r="B270" s="1897">
        <v>6121</v>
      </c>
      <c r="C270" s="1897">
        <v>38500871</v>
      </c>
      <c r="D270" s="1836" t="s">
        <v>603</v>
      </c>
      <c r="E270" s="1845">
        <v>0</v>
      </c>
      <c r="F270" s="1845">
        <v>0</v>
      </c>
      <c r="G270" s="1845">
        <v>0</v>
      </c>
      <c r="H270" s="1821" t="e">
        <f t="shared" si="26"/>
        <v>#DIV/0!</v>
      </c>
      <c r="I270" s="1829"/>
    </row>
    <row r="271" spans="1:9" ht="16.5" thickTop="1" thickBot="1" x14ac:dyDescent="0.3">
      <c r="A271" s="1837" t="s">
        <v>763</v>
      </c>
      <c r="B271" s="1838"/>
      <c r="C271" s="1838"/>
      <c r="D271" s="1839"/>
      <c r="E271" s="1818">
        <f>SUM(E266:E270)</f>
        <v>0</v>
      </c>
      <c r="F271" s="1818">
        <f>SUM(F266:F270)</f>
        <v>250</v>
      </c>
      <c r="G271" s="1818">
        <f>SUM(G266:G270)</f>
        <v>6</v>
      </c>
      <c r="H271" s="1822">
        <f t="shared" si="26"/>
        <v>2.4</v>
      </c>
      <c r="I271" s="1829"/>
    </row>
    <row r="272" spans="1:9" ht="13.5" customHeight="1" thickTop="1" x14ac:dyDescent="0.25">
      <c r="A272" s="1848"/>
      <c r="B272" s="1848"/>
      <c r="C272" s="1848"/>
      <c r="D272" s="1848"/>
      <c r="E272" s="1824"/>
      <c r="F272" s="1824"/>
      <c r="G272" s="1824"/>
      <c r="H272" s="1849"/>
      <c r="I272" s="1893"/>
    </row>
    <row r="273" spans="1:9" s="1656" customFormat="1" ht="15" x14ac:dyDescent="0.25">
      <c r="A273" s="1808" t="s">
        <v>1947</v>
      </c>
      <c r="B273" s="1802"/>
      <c r="C273" s="1802"/>
      <c r="D273" s="1802"/>
      <c r="E273" s="1803"/>
      <c r="F273" s="1829"/>
      <c r="G273" s="1829"/>
      <c r="H273" s="1829"/>
      <c r="I273" s="1803"/>
    </row>
    <row r="274" spans="1:9" s="1581" customFormat="1" ht="15.75" thickBot="1" x14ac:dyDescent="0.3">
      <c r="A274" s="1808" t="s">
        <v>1948</v>
      </c>
      <c r="B274" s="1802"/>
      <c r="C274" s="1802"/>
      <c r="D274" s="1802"/>
      <c r="E274" s="1803"/>
      <c r="F274" s="1829"/>
      <c r="G274" s="1829"/>
      <c r="H274" s="1892" t="s">
        <v>161</v>
      </c>
      <c r="I274" s="1803"/>
    </row>
    <row r="275" spans="1:9" ht="25.5" thickTop="1" thickBot="1" x14ac:dyDescent="0.25">
      <c r="A275" s="1809" t="s">
        <v>162</v>
      </c>
      <c r="B275" s="1810" t="s">
        <v>761</v>
      </c>
      <c r="C275" s="1810" t="s">
        <v>377</v>
      </c>
      <c r="D275" s="1811" t="s">
        <v>164</v>
      </c>
      <c r="E275" s="1833" t="s">
        <v>632</v>
      </c>
      <c r="F275" s="1833" t="s">
        <v>633</v>
      </c>
      <c r="G275" s="1834" t="s">
        <v>882</v>
      </c>
      <c r="H275" s="1835" t="s">
        <v>883</v>
      </c>
    </row>
    <row r="276" spans="1:9" ht="14.25" thickTop="1" thickBot="1" x14ac:dyDescent="0.25">
      <c r="A276" s="1643">
        <v>1</v>
      </c>
      <c r="B276" s="1642">
        <v>2</v>
      </c>
      <c r="C276" s="1642">
        <v>3</v>
      </c>
      <c r="D276" s="1642">
        <v>5</v>
      </c>
      <c r="E276" s="1641">
        <v>6</v>
      </c>
      <c r="F276" s="1641">
        <v>7</v>
      </c>
      <c r="G276" s="1877">
        <v>8</v>
      </c>
      <c r="H276" s="1814" t="s">
        <v>762</v>
      </c>
    </row>
    <row r="277" spans="1:9" ht="15.75" hidden="1" thickTop="1" x14ac:dyDescent="0.2">
      <c r="A277" s="1815">
        <v>2212</v>
      </c>
      <c r="B277" s="1897">
        <v>6121</v>
      </c>
      <c r="C277" s="1897">
        <v>12</v>
      </c>
      <c r="D277" s="1836" t="s">
        <v>603</v>
      </c>
      <c r="E277" s="1845">
        <v>0</v>
      </c>
      <c r="F277" s="1845">
        <v>0</v>
      </c>
      <c r="G277" s="1845">
        <v>0</v>
      </c>
      <c r="H277" s="1821" t="e">
        <f t="shared" ref="H277:H282" si="27">G277/F277*100</f>
        <v>#DIV/0!</v>
      </c>
    </row>
    <row r="278" spans="1:9" ht="15.75" hidden="1" thickTop="1" x14ac:dyDescent="0.2">
      <c r="A278" s="1815">
        <v>2212</v>
      </c>
      <c r="B278" s="1816">
        <v>6121</v>
      </c>
      <c r="C278" s="1816">
        <v>38100880</v>
      </c>
      <c r="D278" s="1836" t="s">
        <v>603</v>
      </c>
      <c r="E278" s="1845">
        <v>0</v>
      </c>
      <c r="F278" s="1845">
        <v>0</v>
      </c>
      <c r="G278" s="1845">
        <v>0</v>
      </c>
      <c r="H278" s="1821" t="e">
        <f t="shared" si="27"/>
        <v>#DIV/0!</v>
      </c>
    </row>
    <row r="279" spans="1:9" ht="16.5" thickTop="1" thickBot="1" x14ac:dyDescent="0.25">
      <c r="A279" s="1815">
        <v>2212</v>
      </c>
      <c r="B279" s="1816">
        <v>6121</v>
      </c>
      <c r="C279" s="1816">
        <v>38100884</v>
      </c>
      <c r="D279" s="1836" t="s">
        <v>603</v>
      </c>
      <c r="E279" s="1845">
        <v>0</v>
      </c>
      <c r="F279" s="1845">
        <v>150</v>
      </c>
      <c r="G279" s="1845">
        <v>0</v>
      </c>
      <c r="H279" s="1821">
        <f t="shared" si="27"/>
        <v>0</v>
      </c>
      <c r="I279" s="1829"/>
    </row>
    <row r="280" spans="1:9" ht="15.75" hidden="1" thickBot="1" x14ac:dyDescent="0.25">
      <c r="A280" s="1815">
        <v>2212</v>
      </c>
      <c r="B280" s="1897">
        <v>6121</v>
      </c>
      <c r="C280" s="1897">
        <v>38500881</v>
      </c>
      <c r="D280" s="1836" t="s">
        <v>603</v>
      </c>
      <c r="E280" s="1845">
        <v>0</v>
      </c>
      <c r="F280" s="1845">
        <v>0</v>
      </c>
      <c r="G280" s="1845">
        <v>0</v>
      </c>
      <c r="H280" s="1821" t="e">
        <f t="shared" si="27"/>
        <v>#DIV/0!</v>
      </c>
      <c r="I280" s="1829"/>
    </row>
    <row r="281" spans="1:9" ht="15.75" hidden="1" thickBot="1" x14ac:dyDescent="0.25">
      <c r="A281" s="1815">
        <v>2212</v>
      </c>
      <c r="B281" s="1897">
        <v>6121</v>
      </c>
      <c r="C281" s="1897">
        <v>38500871</v>
      </c>
      <c r="D281" s="1836" t="s">
        <v>603</v>
      </c>
      <c r="E281" s="1845">
        <v>0</v>
      </c>
      <c r="F281" s="1845">
        <v>0</v>
      </c>
      <c r="G281" s="1845">
        <v>0</v>
      </c>
      <c r="H281" s="1821" t="e">
        <f t="shared" si="27"/>
        <v>#DIV/0!</v>
      </c>
      <c r="I281" s="1829"/>
    </row>
    <row r="282" spans="1:9" ht="16.5" thickTop="1" thickBot="1" x14ac:dyDescent="0.3">
      <c r="A282" s="1837" t="s">
        <v>763</v>
      </c>
      <c r="B282" s="1838"/>
      <c r="C282" s="1838"/>
      <c r="D282" s="1839"/>
      <c r="E282" s="1818">
        <f>SUM(E277:E281)</f>
        <v>0</v>
      </c>
      <c r="F282" s="1818">
        <f>SUM(F277:F281)</f>
        <v>150</v>
      </c>
      <c r="G282" s="1818">
        <f>SUM(G277:G281)</f>
        <v>0</v>
      </c>
      <c r="H282" s="1822">
        <f t="shared" si="27"/>
        <v>0</v>
      </c>
      <c r="I282" s="1829"/>
    </row>
    <row r="283" spans="1:9" ht="13.5" customHeight="1" thickTop="1" x14ac:dyDescent="0.25">
      <c r="A283" s="1848"/>
      <c r="B283" s="1848"/>
      <c r="C283" s="1848"/>
      <c r="D283" s="1848"/>
      <c r="E283" s="1824"/>
      <c r="F283" s="1824"/>
      <c r="G283" s="1824"/>
      <c r="H283" s="1849"/>
      <c r="I283" s="1893"/>
    </row>
    <row r="284" spans="1:9" s="1656" customFormat="1" ht="15" x14ac:dyDescent="0.25">
      <c r="A284" s="1808" t="s">
        <v>1949</v>
      </c>
      <c r="B284" s="1802"/>
      <c r="C284" s="1802"/>
      <c r="D284" s="1802"/>
      <c r="E284" s="1803"/>
      <c r="F284" s="1829"/>
      <c r="G284" s="1829"/>
      <c r="H284" s="1829"/>
      <c r="I284" s="1803"/>
    </row>
    <row r="285" spans="1:9" s="1581" customFormat="1" ht="15.75" thickBot="1" x14ac:dyDescent="0.3">
      <c r="A285" s="1808" t="s">
        <v>1950</v>
      </c>
      <c r="B285" s="1802"/>
      <c r="C285" s="1802"/>
      <c r="D285" s="1802"/>
      <c r="E285" s="1803"/>
      <c r="F285" s="1829"/>
      <c r="G285" s="1829"/>
      <c r="H285" s="1892" t="s">
        <v>161</v>
      </c>
      <c r="I285" s="1803"/>
    </row>
    <row r="286" spans="1:9" ht="25.5" thickTop="1" thickBot="1" x14ac:dyDescent="0.25">
      <c r="A286" s="1809" t="s">
        <v>162</v>
      </c>
      <c r="B286" s="1810" t="s">
        <v>761</v>
      </c>
      <c r="C286" s="1810" t="s">
        <v>377</v>
      </c>
      <c r="D286" s="1811" t="s">
        <v>164</v>
      </c>
      <c r="E286" s="1833" t="s">
        <v>632</v>
      </c>
      <c r="F286" s="1833" t="s">
        <v>633</v>
      </c>
      <c r="G286" s="1834" t="s">
        <v>882</v>
      </c>
      <c r="H286" s="1835" t="s">
        <v>883</v>
      </c>
    </row>
    <row r="287" spans="1:9" ht="14.25" thickTop="1" thickBot="1" x14ac:dyDescent="0.25">
      <c r="A287" s="1643">
        <v>1</v>
      </c>
      <c r="B287" s="1642">
        <v>2</v>
      </c>
      <c r="C287" s="1642">
        <v>3</v>
      </c>
      <c r="D287" s="1642">
        <v>5</v>
      </c>
      <c r="E287" s="1641">
        <v>6</v>
      </c>
      <c r="F287" s="1641">
        <v>7</v>
      </c>
      <c r="G287" s="1877">
        <v>8</v>
      </c>
      <c r="H287" s="1814" t="s">
        <v>762</v>
      </c>
    </row>
    <row r="288" spans="1:9" ht="15.75" hidden="1" thickTop="1" x14ac:dyDescent="0.2">
      <c r="A288" s="1815">
        <v>2212</v>
      </c>
      <c r="B288" s="1897">
        <v>6121</v>
      </c>
      <c r="C288" s="1897">
        <v>12</v>
      </c>
      <c r="D288" s="1836" t="s">
        <v>603</v>
      </c>
      <c r="E288" s="1845">
        <v>0</v>
      </c>
      <c r="F288" s="1845">
        <v>0</v>
      </c>
      <c r="G288" s="1845">
        <v>0</v>
      </c>
      <c r="H288" s="1821" t="e">
        <f t="shared" ref="H288:H293" si="28">G288/F288*100</f>
        <v>#DIV/0!</v>
      </c>
    </row>
    <row r="289" spans="1:9" ht="15.75" hidden="1" thickTop="1" x14ac:dyDescent="0.2">
      <c r="A289" s="1815">
        <v>2212</v>
      </c>
      <c r="B289" s="1816">
        <v>6121</v>
      </c>
      <c r="C289" s="1816">
        <v>38100880</v>
      </c>
      <c r="D289" s="1836" t="s">
        <v>603</v>
      </c>
      <c r="E289" s="1845">
        <v>0</v>
      </c>
      <c r="F289" s="1845">
        <v>0</v>
      </c>
      <c r="G289" s="1845">
        <v>0</v>
      </c>
      <c r="H289" s="1821" t="e">
        <f t="shared" si="28"/>
        <v>#DIV/0!</v>
      </c>
    </row>
    <row r="290" spans="1:9" ht="16.5" thickTop="1" thickBot="1" x14ac:dyDescent="0.25">
      <c r="A290" s="1815">
        <v>2212</v>
      </c>
      <c r="B290" s="1816">
        <v>6121</v>
      </c>
      <c r="C290" s="1816">
        <v>38100884</v>
      </c>
      <c r="D290" s="1836" t="s">
        <v>603</v>
      </c>
      <c r="E290" s="1845">
        <v>0</v>
      </c>
      <c r="F290" s="1845">
        <v>90</v>
      </c>
      <c r="G290" s="1845">
        <v>62</v>
      </c>
      <c r="H290" s="1821">
        <f t="shared" si="28"/>
        <v>68.888888888888886</v>
      </c>
      <c r="I290" s="1829"/>
    </row>
    <row r="291" spans="1:9" ht="15.75" hidden="1" thickBot="1" x14ac:dyDescent="0.25">
      <c r="A291" s="1815">
        <v>2212</v>
      </c>
      <c r="B291" s="1897">
        <v>6121</v>
      </c>
      <c r="C291" s="1897">
        <v>38500881</v>
      </c>
      <c r="D291" s="1836" t="s">
        <v>603</v>
      </c>
      <c r="E291" s="1845">
        <v>0</v>
      </c>
      <c r="F291" s="1845">
        <v>0</v>
      </c>
      <c r="G291" s="1845">
        <v>0</v>
      </c>
      <c r="H291" s="1821" t="e">
        <f t="shared" si="28"/>
        <v>#DIV/0!</v>
      </c>
      <c r="I291" s="1829"/>
    </row>
    <row r="292" spans="1:9" ht="15.75" hidden="1" thickBot="1" x14ac:dyDescent="0.25">
      <c r="A292" s="1815">
        <v>2212</v>
      </c>
      <c r="B292" s="1897">
        <v>6121</v>
      </c>
      <c r="C292" s="1897">
        <v>38500871</v>
      </c>
      <c r="D292" s="1836" t="s">
        <v>603</v>
      </c>
      <c r="E292" s="1845">
        <v>0</v>
      </c>
      <c r="F292" s="1845">
        <v>0</v>
      </c>
      <c r="G292" s="1845">
        <v>0</v>
      </c>
      <c r="H292" s="1821" t="e">
        <f t="shared" si="28"/>
        <v>#DIV/0!</v>
      </c>
      <c r="I292" s="1829"/>
    </row>
    <row r="293" spans="1:9" ht="16.5" thickTop="1" thickBot="1" x14ac:dyDescent="0.3">
      <c r="A293" s="1837" t="s">
        <v>763</v>
      </c>
      <c r="B293" s="1838"/>
      <c r="C293" s="1838"/>
      <c r="D293" s="1839"/>
      <c r="E293" s="1818">
        <f>SUM(E288:E292)</f>
        <v>0</v>
      </c>
      <c r="F293" s="1818">
        <f>SUM(F288:F292)</f>
        <v>90</v>
      </c>
      <c r="G293" s="1818">
        <f>SUM(G288:G292)</f>
        <v>62</v>
      </c>
      <c r="H293" s="1822">
        <f t="shared" si="28"/>
        <v>68.888888888888886</v>
      </c>
      <c r="I293" s="1829"/>
    </row>
    <row r="294" spans="1:9" ht="13.5" customHeight="1" thickTop="1" x14ac:dyDescent="0.25">
      <c r="A294" s="1848"/>
      <c r="B294" s="1848"/>
      <c r="C294" s="1848"/>
      <c r="D294" s="1848"/>
      <c r="E294" s="1824"/>
      <c r="F294" s="1824"/>
      <c r="G294" s="1824"/>
      <c r="H294" s="1849"/>
      <c r="I294" s="1893"/>
    </row>
    <row r="295" spans="1:9" s="1656" customFormat="1" ht="15" x14ac:dyDescent="0.25">
      <c r="A295" s="1808" t="s">
        <v>1951</v>
      </c>
      <c r="B295" s="1802"/>
      <c r="C295" s="1802"/>
      <c r="D295" s="1802"/>
      <c r="E295" s="1803"/>
      <c r="F295" s="1829"/>
      <c r="G295" s="1829"/>
      <c r="H295" s="1829"/>
      <c r="I295" s="1803"/>
    </row>
    <row r="296" spans="1:9" s="1581" customFormat="1" ht="15.75" thickBot="1" x14ac:dyDescent="0.3">
      <c r="A296" s="1808" t="s">
        <v>1952</v>
      </c>
      <c r="B296" s="1802"/>
      <c r="C296" s="1802"/>
      <c r="D296" s="1802"/>
      <c r="E296" s="1803"/>
      <c r="F296" s="1829"/>
      <c r="G296" s="1829"/>
      <c r="H296" s="1892" t="s">
        <v>161</v>
      </c>
      <c r="I296" s="1803"/>
    </row>
    <row r="297" spans="1:9" ht="25.5" thickTop="1" thickBot="1" x14ac:dyDescent="0.25">
      <c r="A297" s="1809" t="s">
        <v>162</v>
      </c>
      <c r="B297" s="1810" t="s">
        <v>761</v>
      </c>
      <c r="C297" s="1810" t="s">
        <v>377</v>
      </c>
      <c r="D297" s="1811" t="s">
        <v>164</v>
      </c>
      <c r="E297" s="1833" t="s">
        <v>632</v>
      </c>
      <c r="F297" s="1833" t="s">
        <v>633</v>
      </c>
      <c r="G297" s="1834" t="s">
        <v>882</v>
      </c>
      <c r="H297" s="1835" t="s">
        <v>883</v>
      </c>
    </row>
    <row r="298" spans="1:9" ht="14.25" thickTop="1" thickBot="1" x14ac:dyDescent="0.25">
      <c r="A298" s="1643">
        <v>1</v>
      </c>
      <c r="B298" s="1642">
        <v>2</v>
      </c>
      <c r="C298" s="1642">
        <v>3</v>
      </c>
      <c r="D298" s="1642">
        <v>5</v>
      </c>
      <c r="E298" s="1641">
        <v>6</v>
      </c>
      <c r="F298" s="1641">
        <v>7</v>
      </c>
      <c r="G298" s="1877">
        <v>8</v>
      </c>
      <c r="H298" s="1814" t="s">
        <v>762</v>
      </c>
    </row>
    <row r="299" spans="1:9" ht="15.75" hidden="1" thickTop="1" x14ac:dyDescent="0.2">
      <c r="A299" s="1815">
        <v>2212</v>
      </c>
      <c r="B299" s="1897">
        <v>6121</v>
      </c>
      <c r="C299" s="1897">
        <v>12</v>
      </c>
      <c r="D299" s="1836" t="s">
        <v>603</v>
      </c>
      <c r="E299" s="1845">
        <v>0</v>
      </c>
      <c r="F299" s="1845">
        <v>0</v>
      </c>
      <c r="G299" s="1845">
        <v>0</v>
      </c>
      <c r="H299" s="1821" t="e">
        <f t="shared" ref="H299:H304" si="29">G299/F299*100</f>
        <v>#DIV/0!</v>
      </c>
    </row>
    <row r="300" spans="1:9" ht="15.75" hidden="1" thickTop="1" x14ac:dyDescent="0.2">
      <c r="A300" s="1815">
        <v>2212</v>
      </c>
      <c r="B300" s="1816">
        <v>6121</v>
      </c>
      <c r="C300" s="1816">
        <v>38100880</v>
      </c>
      <c r="D300" s="1836" t="s">
        <v>603</v>
      </c>
      <c r="E300" s="1845">
        <v>0</v>
      </c>
      <c r="F300" s="1845">
        <v>0</v>
      </c>
      <c r="G300" s="1845">
        <v>0</v>
      </c>
      <c r="H300" s="1821" t="e">
        <f t="shared" si="29"/>
        <v>#DIV/0!</v>
      </c>
    </row>
    <row r="301" spans="1:9" ht="16.5" thickTop="1" thickBot="1" x14ac:dyDescent="0.25">
      <c r="A301" s="1815">
        <v>2212</v>
      </c>
      <c r="B301" s="1816">
        <v>6121</v>
      </c>
      <c r="C301" s="1816">
        <v>38100884</v>
      </c>
      <c r="D301" s="1836" t="s">
        <v>603</v>
      </c>
      <c r="E301" s="1845">
        <v>0</v>
      </c>
      <c r="F301" s="1845">
        <v>450</v>
      </c>
      <c r="G301" s="1845">
        <v>7</v>
      </c>
      <c r="H301" s="1821">
        <f t="shared" si="29"/>
        <v>1.5555555555555556</v>
      </c>
      <c r="I301" s="1829"/>
    </row>
    <row r="302" spans="1:9" ht="15.75" hidden="1" thickBot="1" x14ac:dyDescent="0.25">
      <c r="A302" s="1815">
        <v>2212</v>
      </c>
      <c r="B302" s="1897">
        <v>6121</v>
      </c>
      <c r="C302" s="1897">
        <v>38500881</v>
      </c>
      <c r="D302" s="1836" t="s">
        <v>603</v>
      </c>
      <c r="E302" s="1845">
        <v>0</v>
      </c>
      <c r="F302" s="1845">
        <v>0</v>
      </c>
      <c r="G302" s="1845">
        <v>0</v>
      </c>
      <c r="H302" s="1821" t="e">
        <f t="shared" si="29"/>
        <v>#DIV/0!</v>
      </c>
      <c r="I302" s="1829"/>
    </row>
    <row r="303" spans="1:9" ht="15.75" hidden="1" thickBot="1" x14ac:dyDescent="0.25">
      <c r="A303" s="1815">
        <v>2212</v>
      </c>
      <c r="B303" s="1897">
        <v>6121</v>
      </c>
      <c r="C303" s="1897">
        <v>38500871</v>
      </c>
      <c r="D303" s="1836" t="s">
        <v>603</v>
      </c>
      <c r="E303" s="1845">
        <v>0</v>
      </c>
      <c r="F303" s="1845">
        <v>0</v>
      </c>
      <c r="G303" s="1845">
        <v>0</v>
      </c>
      <c r="H303" s="1821" t="e">
        <f t="shared" si="29"/>
        <v>#DIV/0!</v>
      </c>
      <c r="I303" s="1829"/>
    </row>
    <row r="304" spans="1:9" ht="16.5" thickTop="1" thickBot="1" x14ac:dyDescent="0.3">
      <c r="A304" s="1837" t="s">
        <v>763</v>
      </c>
      <c r="B304" s="1838"/>
      <c r="C304" s="1838"/>
      <c r="D304" s="1839"/>
      <c r="E304" s="1818">
        <f>SUM(E299:E303)</f>
        <v>0</v>
      </c>
      <c r="F304" s="1818">
        <f>SUM(F299:F303)</f>
        <v>450</v>
      </c>
      <c r="G304" s="1818">
        <f>SUM(G299:G303)</f>
        <v>7</v>
      </c>
      <c r="H304" s="1822">
        <f t="shared" si="29"/>
        <v>1.5555555555555556</v>
      </c>
      <c r="I304" s="1829"/>
    </row>
    <row r="305" spans="1:9" ht="15.75" thickTop="1" x14ac:dyDescent="0.25">
      <c r="A305" s="1848"/>
      <c r="B305" s="1848"/>
      <c r="C305" s="1848"/>
      <c r="D305" s="1848"/>
      <c r="E305" s="1824"/>
      <c r="F305" s="1824"/>
      <c r="G305" s="1824"/>
      <c r="H305" s="1849"/>
      <c r="I305" s="1893"/>
    </row>
    <row r="306" spans="1:9" s="1656" customFormat="1" ht="15" x14ac:dyDescent="0.25">
      <c r="A306" s="1808" t="s">
        <v>1953</v>
      </c>
      <c r="B306" s="1802"/>
      <c r="C306" s="1802"/>
      <c r="D306" s="1802"/>
      <c r="E306" s="1803"/>
      <c r="F306" s="1829"/>
      <c r="G306" s="1829"/>
      <c r="H306" s="1829"/>
      <c r="I306" s="1803"/>
    </row>
    <row r="307" spans="1:9" s="1581" customFormat="1" ht="15.75" thickBot="1" x14ac:dyDescent="0.3">
      <c r="A307" s="1808" t="s">
        <v>1954</v>
      </c>
      <c r="B307" s="1802"/>
      <c r="C307" s="1802"/>
      <c r="D307" s="1802"/>
      <c r="E307" s="1803"/>
      <c r="F307" s="1829"/>
      <c r="G307" s="1829"/>
      <c r="H307" s="1892" t="s">
        <v>161</v>
      </c>
      <c r="I307" s="1803"/>
    </row>
    <row r="308" spans="1:9" ht="25.5" thickTop="1" thickBot="1" x14ac:dyDescent="0.25">
      <c r="A308" s="1809" t="s">
        <v>162</v>
      </c>
      <c r="B308" s="1810" t="s">
        <v>761</v>
      </c>
      <c r="C308" s="1810" t="s">
        <v>377</v>
      </c>
      <c r="D308" s="1811" t="s">
        <v>164</v>
      </c>
      <c r="E308" s="1833" t="s">
        <v>632</v>
      </c>
      <c r="F308" s="1833" t="s">
        <v>633</v>
      </c>
      <c r="G308" s="1834" t="s">
        <v>882</v>
      </c>
      <c r="H308" s="1835" t="s">
        <v>883</v>
      </c>
    </row>
    <row r="309" spans="1:9" ht="14.25" thickTop="1" thickBot="1" x14ac:dyDescent="0.25">
      <c r="A309" s="1643">
        <v>1</v>
      </c>
      <c r="B309" s="1642">
        <v>2</v>
      </c>
      <c r="C309" s="1642">
        <v>3</v>
      </c>
      <c r="D309" s="1642">
        <v>5</v>
      </c>
      <c r="E309" s="1641">
        <v>6</v>
      </c>
      <c r="F309" s="1641">
        <v>7</v>
      </c>
      <c r="G309" s="1877">
        <v>8</v>
      </c>
      <c r="H309" s="1814" t="s">
        <v>762</v>
      </c>
    </row>
    <row r="310" spans="1:9" ht="15.75" hidden="1" thickTop="1" x14ac:dyDescent="0.2">
      <c r="A310" s="1815">
        <v>2212</v>
      </c>
      <c r="B310" s="1897">
        <v>6121</v>
      </c>
      <c r="C310" s="1897">
        <v>12</v>
      </c>
      <c r="D310" s="1836" t="s">
        <v>603</v>
      </c>
      <c r="E310" s="1845">
        <v>0</v>
      </c>
      <c r="F310" s="1845">
        <v>0</v>
      </c>
      <c r="G310" s="1845">
        <v>0</v>
      </c>
      <c r="H310" s="1821" t="e">
        <f t="shared" ref="H310:H315" si="30">G310/F310*100</f>
        <v>#DIV/0!</v>
      </c>
    </row>
    <row r="311" spans="1:9" ht="15.75" hidden="1" thickTop="1" x14ac:dyDescent="0.2">
      <c r="A311" s="1815">
        <v>2212</v>
      </c>
      <c r="B311" s="1816">
        <v>6121</v>
      </c>
      <c r="C311" s="1816">
        <v>38100880</v>
      </c>
      <c r="D311" s="1836" t="s">
        <v>603</v>
      </c>
      <c r="E311" s="1845">
        <v>0</v>
      </c>
      <c r="F311" s="1845">
        <v>0</v>
      </c>
      <c r="G311" s="1845">
        <v>0</v>
      </c>
      <c r="H311" s="1821" t="e">
        <f t="shared" si="30"/>
        <v>#DIV/0!</v>
      </c>
    </row>
    <row r="312" spans="1:9" ht="16.5" thickTop="1" thickBot="1" x14ac:dyDescent="0.25">
      <c r="A312" s="1815">
        <v>2212</v>
      </c>
      <c r="B312" s="1816">
        <v>6121</v>
      </c>
      <c r="C312" s="1816">
        <v>38100884</v>
      </c>
      <c r="D312" s="1836" t="s">
        <v>603</v>
      </c>
      <c r="E312" s="1845">
        <v>0</v>
      </c>
      <c r="F312" s="1845">
        <v>300</v>
      </c>
      <c r="G312" s="1845">
        <v>6</v>
      </c>
      <c r="H312" s="1821">
        <f t="shared" si="30"/>
        <v>2</v>
      </c>
      <c r="I312" s="1829"/>
    </row>
    <row r="313" spans="1:9" ht="15.75" hidden="1" thickBot="1" x14ac:dyDescent="0.25">
      <c r="A313" s="1815">
        <v>2212</v>
      </c>
      <c r="B313" s="1897">
        <v>6121</v>
      </c>
      <c r="C313" s="1897">
        <v>38500881</v>
      </c>
      <c r="D313" s="1836" t="s">
        <v>603</v>
      </c>
      <c r="E313" s="1845">
        <v>0</v>
      </c>
      <c r="F313" s="1845">
        <v>0</v>
      </c>
      <c r="G313" s="1845">
        <v>0</v>
      </c>
      <c r="H313" s="1821" t="e">
        <f t="shared" si="30"/>
        <v>#DIV/0!</v>
      </c>
      <c r="I313" s="1829"/>
    </row>
    <row r="314" spans="1:9" ht="15.75" hidden="1" thickBot="1" x14ac:dyDescent="0.25">
      <c r="A314" s="1815">
        <v>2212</v>
      </c>
      <c r="B314" s="1897">
        <v>6121</v>
      </c>
      <c r="C314" s="1897">
        <v>38500871</v>
      </c>
      <c r="D314" s="1836" t="s">
        <v>603</v>
      </c>
      <c r="E314" s="1845">
        <v>0</v>
      </c>
      <c r="F314" s="1845">
        <v>0</v>
      </c>
      <c r="G314" s="1845">
        <v>0</v>
      </c>
      <c r="H314" s="1821" t="e">
        <f t="shared" si="30"/>
        <v>#DIV/0!</v>
      </c>
      <c r="I314" s="1829"/>
    </row>
    <row r="315" spans="1:9" ht="16.5" thickTop="1" thickBot="1" x14ac:dyDescent="0.3">
      <c r="A315" s="1837" t="s">
        <v>763</v>
      </c>
      <c r="B315" s="1838"/>
      <c r="C315" s="1838"/>
      <c r="D315" s="1839"/>
      <c r="E315" s="1818">
        <f>SUM(E310:E314)</f>
        <v>0</v>
      </c>
      <c r="F315" s="1818">
        <f>SUM(F310:F314)</f>
        <v>300</v>
      </c>
      <c r="G315" s="1818">
        <f>SUM(G310:G314)</f>
        <v>6</v>
      </c>
      <c r="H315" s="1822">
        <f t="shared" si="30"/>
        <v>2</v>
      </c>
      <c r="I315" s="1829"/>
    </row>
    <row r="316" spans="1:9" ht="15.75" thickTop="1" x14ac:dyDescent="0.25">
      <c r="A316" s="1848"/>
      <c r="B316" s="1848"/>
      <c r="C316" s="1848"/>
      <c r="D316" s="1848"/>
      <c r="E316" s="1824"/>
      <c r="F316" s="1824"/>
      <c r="G316" s="1824"/>
      <c r="H316" s="1849"/>
      <c r="I316" s="1893"/>
    </row>
    <row r="317" spans="1:9" s="1656" customFormat="1" ht="15" x14ac:dyDescent="0.25">
      <c r="A317" s="1808" t="s">
        <v>1955</v>
      </c>
      <c r="B317" s="1802"/>
      <c r="C317" s="1802"/>
      <c r="D317" s="1802"/>
      <c r="E317" s="1803"/>
      <c r="F317" s="1829"/>
      <c r="G317" s="1829"/>
      <c r="H317" s="1829"/>
      <c r="I317" s="1803"/>
    </row>
    <row r="318" spans="1:9" s="1581" customFormat="1" ht="15.75" thickBot="1" x14ac:dyDescent="0.3">
      <c r="A318" s="1808" t="s">
        <v>1956</v>
      </c>
      <c r="B318" s="1802"/>
      <c r="C318" s="1802"/>
      <c r="D318" s="1802"/>
      <c r="E318" s="1803"/>
      <c r="F318" s="1829"/>
      <c r="G318" s="1829"/>
      <c r="H318" s="1892" t="s">
        <v>161</v>
      </c>
      <c r="I318" s="1803"/>
    </row>
    <row r="319" spans="1:9" ht="25.5" thickTop="1" thickBot="1" x14ac:dyDescent="0.25">
      <c r="A319" s="1809" t="s">
        <v>162</v>
      </c>
      <c r="B319" s="1810" t="s">
        <v>761</v>
      </c>
      <c r="C319" s="1810" t="s">
        <v>377</v>
      </c>
      <c r="D319" s="1811" t="s">
        <v>164</v>
      </c>
      <c r="E319" s="1833" t="s">
        <v>632</v>
      </c>
      <c r="F319" s="1833" t="s">
        <v>633</v>
      </c>
      <c r="G319" s="1834" t="s">
        <v>882</v>
      </c>
      <c r="H319" s="1835" t="s">
        <v>883</v>
      </c>
    </row>
    <row r="320" spans="1:9" ht="14.25" thickTop="1" thickBot="1" x14ac:dyDescent="0.25">
      <c r="A320" s="1643">
        <v>1</v>
      </c>
      <c r="B320" s="1642">
        <v>2</v>
      </c>
      <c r="C320" s="1642">
        <v>3</v>
      </c>
      <c r="D320" s="1642">
        <v>5</v>
      </c>
      <c r="E320" s="1641">
        <v>6</v>
      </c>
      <c r="F320" s="1641">
        <v>7</v>
      </c>
      <c r="G320" s="1877">
        <v>8</v>
      </c>
      <c r="H320" s="1814" t="s">
        <v>762</v>
      </c>
    </row>
    <row r="321" spans="1:9" ht="15.75" hidden="1" thickTop="1" x14ac:dyDescent="0.2">
      <c r="A321" s="1815">
        <v>2212</v>
      </c>
      <c r="B321" s="1897">
        <v>6121</v>
      </c>
      <c r="C321" s="1897">
        <v>12</v>
      </c>
      <c r="D321" s="1836" t="s">
        <v>603</v>
      </c>
      <c r="E321" s="1845">
        <v>0</v>
      </c>
      <c r="F321" s="1845">
        <v>0</v>
      </c>
      <c r="G321" s="1845">
        <v>0</v>
      </c>
      <c r="H321" s="1821" t="e">
        <f t="shared" ref="H321:H326" si="31">G321/F321*100</f>
        <v>#DIV/0!</v>
      </c>
    </row>
    <row r="322" spans="1:9" ht="15.75" hidden="1" thickTop="1" x14ac:dyDescent="0.2">
      <c r="A322" s="1815">
        <v>2212</v>
      </c>
      <c r="B322" s="1816">
        <v>6121</v>
      </c>
      <c r="C322" s="1816">
        <v>38100880</v>
      </c>
      <c r="D322" s="1836" t="s">
        <v>603</v>
      </c>
      <c r="E322" s="1845">
        <v>0</v>
      </c>
      <c r="F322" s="1845">
        <v>0</v>
      </c>
      <c r="G322" s="1845">
        <v>0</v>
      </c>
      <c r="H322" s="1821" t="e">
        <f t="shared" si="31"/>
        <v>#DIV/0!</v>
      </c>
    </row>
    <row r="323" spans="1:9" ht="16.5" thickTop="1" thickBot="1" x14ac:dyDescent="0.25">
      <c r="A323" s="1815">
        <v>2212</v>
      </c>
      <c r="B323" s="1816">
        <v>6121</v>
      </c>
      <c r="C323" s="1816">
        <v>38100884</v>
      </c>
      <c r="D323" s="1836" t="s">
        <v>603</v>
      </c>
      <c r="E323" s="1845">
        <v>0</v>
      </c>
      <c r="F323" s="1845">
        <v>400</v>
      </c>
      <c r="G323" s="1845">
        <v>0</v>
      </c>
      <c r="H323" s="1821">
        <f t="shared" si="31"/>
        <v>0</v>
      </c>
      <c r="I323" s="1829"/>
    </row>
    <row r="324" spans="1:9" ht="15.75" hidden="1" thickBot="1" x14ac:dyDescent="0.25">
      <c r="A324" s="1815">
        <v>2212</v>
      </c>
      <c r="B324" s="1897">
        <v>6121</v>
      </c>
      <c r="C324" s="1897">
        <v>38500881</v>
      </c>
      <c r="D324" s="1836" t="s">
        <v>603</v>
      </c>
      <c r="E324" s="1845">
        <v>0</v>
      </c>
      <c r="F324" s="1845">
        <v>0</v>
      </c>
      <c r="G324" s="1845">
        <v>0</v>
      </c>
      <c r="H324" s="1821" t="e">
        <f t="shared" si="31"/>
        <v>#DIV/0!</v>
      </c>
      <c r="I324" s="1829"/>
    </row>
    <row r="325" spans="1:9" ht="15.75" hidden="1" thickBot="1" x14ac:dyDescent="0.25">
      <c r="A325" s="1815">
        <v>2212</v>
      </c>
      <c r="B325" s="1897">
        <v>6121</v>
      </c>
      <c r="C325" s="1897">
        <v>38500871</v>
      </c>
      <c r="D325" s="1836" t="s">
        <v>603</v>
      </c>
      <c r="E325" s="1845">
        <v>0</v>
      </c>
      <c r="F325" s="1845">
        <v>0</v>
      </c>
      <c r="G325" s="1845">
        <v>0</v>
      </c>
      <c r="H325" s="1821" t="e">
        <f t="shared" si="31"/>
        <v>#DIV/0!</v>
      </c>
      <c r="I325" s="1829"/>
    </row>
    <row r="326" spans="1:9" ht="16.5" thickTop="1" thickBot="1" x14ac:dyDescent="0.3">
      <c r="A326" s="1837" t="s">
        <v>763</v>
      </c>
      <c r="B326" s="1838"/>
      <c r="C326" s="1838"/>
      <c r="D326" s="1839"/>
      <c r="E326" s="1818">
        <f>SUM(E321:E325)</f>
        <v>0</v>
      </c>
      <c r="F326" s="1818">
        <f>SUM(F321:F325)</f>
        <v>400</v>
      </c>
      <c r="G326" s="1818">
        <f>SUM(G321:G325)</f>
        <v>0</v>
      </c>
      <c r="H326" s="1822">
        <f t="shared" si="31"/>
        <v>0</v>
      </c>
      <c r="I326" s="1829"/>
    </row>
    <row r="327" spans="1:9" ht="15.75" thickTop="1" x14ac:dyDescent="0.25">
      <c r="A327" s="1848"/>
      <c r="B327" s="1848"/>
      <c r="C327" s="1848"/>
      <c r="D327" s="1848"/>
      <c r="E327" s="1824"/>
      <c r="F327" s="1824"/>
      <c r="G327" s="1824"/>
      <c r="H327" s="1849"/>
      <c r="I327" s="1893"/>
    </row>
    <row r="328" spans="1:9" s="1656" customFormat="1" ht="15" x14ac:dyDescent="0.25">
      <c r="A328" s="1808" t="s">
        <v>1957</v>
      </c>
      <c r="B328" s="1802"/>
      <c r="C328" s="1802"/>
      <c r="D328" s="1802"/>
      <c r="E328" s="1803"/>
      <c r="F328" s="1829"/>
      <c r="G328" s="1829"/>
      <c r="H328" s="1829"/>
      <c r="I328" s="1803"/>
    </row>
    <row r="329" spans="1:9" s="1581" customFormat="1" ht="15.75" thickBot="1" x14ac:dyDescent="0.3">
      <c r="A329" s="1808" t="s">
        <v>1958</v>
      </c>
      <c r="B329" s="1802"/>
      <c r="C329" s="1802"/>
      <c r="D329" s="1802"/>
      <c r="E329" s="1803"/>
      <c r="F329" s="1829"/>
      <c r="G329" s="1829"/>
      <c r="H329" s="1892" t="s">
        <v>161</v>
      </c>
      <c r="I329" s="1803"/>
    </row>
    <row r="330" spans="1:9" ht="25.5" thickTop="1" thickBot="1" x14ac:dyDescent="0.25">
      <c r="A330" s="1809" t="s">
        <v>162</v>
      </c>
      <c r="B330" s="1810" t="s">
        <v>761</v>
      </c>
      <c r="C330" s="1810" t="s">
        <v>377</v>
      </c>
      <c r="D330" s="1811" t="s">
        <v>164</v>
      </c>
      <c r="E330" s="1833" t="s">
        <v>632</v>
      </c>
      <c r="F330" s="1833" t="s">
        <v>633</v>
      </c>
      <c r="G330" s="1834" t="s">
        <v>882</v>
      </c>
      <c r="H330" s="1835" t="s">
        <v>883</v>
      </c>
    </row>
    <row r="331" spans="1:9" ht="14.25" thickTop="1" thickBot="1" x14ac:dyDescent="0.25">
      <c r="A331" s="1643">
        <v>1</v>
      </c>
      <c r="B331" s="1642">
        <v>2</v>
      </c>
      <c r="C331" s="1642">
        <v>3</v>
      </c>
      <c r="D331" s="1642">
        <v>5</v>
      </c>
      <c r="E331" s="1641">
        <v>6</v>
      </c>
      <c r="F331" s="1641">
        <v>7</v>
      </c>
      <c r="G331" s="1877">
        <v>8</v>
      </c>
      <c r="H331" s="1814" t="s">
        <v>762</v>
      </c>
    </row>
    <row r="332" spans="1:9" ht="15.75" hidden="1" thickTop="1" x14ac:dyDescent="0.2">
      <c r="A332" s="1815">
        <v>2212</v>
      </c>
      <c r="B332" s="1897">
        <v>6121</v>
      </c>
      <c r="C332" s="1897">
        <v>12</v>
      </c>
      <c r="D332" s="1836" t="s">
        <v>603</v>
      </c>
      <c r="E332" s="1845">
        <v>0</v>
      </c>
      <c r="F332" s="1845">
        <v>0</v>
      </c>
      <c r="G332" s="1845">
        <v>0</v>
      </c>
      <c r="H332" s="1821" t="e">
        <f t="shared" ref="H332:H337" si="32">G332/F332*100</f>
        <v>#DIV/0!</v>
      </c>
    </row>
    <row r="333" spans="1:9" ht="15.75" hidden="1" thickTop="1" x14ac:dyDescent="0.2">
      <c r="A333" s="1815">
        <v>2212</v>
      </c>
      <c r="B333" s="1816">
        <v>6121</v>
      </c>
      <c r="C333" s="1816">
        <v>38100880</v>
      </c>
      <c r="D333" s="1836" t="s">
        <v>603</v>
      </c>
      <c r="E333" s="1845">
        <v>0</v>
      </c>
      <c r="F333" s="1845">
        <v>0</v>
      </c>
      <c r="G333" s="1845">
        <v>0</v>
      </c>
      <c r="H333" s="1821" t="e">
        <f t="shared" si="32"/>
        <v>#DIV/0!</v>
      </c>
    </row>
    <row r="334" spans="1:9" ht="16.5" thickTop="1" thickBot="1" x14ac:dyDescent="0.25">
      <c r="A334" s="1815">
        <v>2212</v>
      </c>
      <c r="B334" s="1816">
        <v>6121</v>
      </c>
      <c r="C334" s="1816">
        <v>38100884</v>
      </c>
      <c r="D334" s="1836" t="s">
        <v>603</v>
      </c>
      <c r="E334" s="1845">
        <v>0</v>
      </c>
      <c r="F334" s="1845">
        <v>200</v>
      </c>
      <c r="G334" s="1845">
        <v>5</v>
      </c>
      <c r="H334" s="1821">
        <f t="shared" si="32"/>
        <v>2.5</v>
      </c>
      <c r="I334" s="1829"/>
    </row>
    <row r="335" spans="1:9" ht="15.75" hidden="1" thickBot="1" x14ac:dyDescent="0.25">
      <c r="A335" s="1815">
        <v>2212</v>
      </c>
      <c r="B335" s="1897">
        <v>6121</v>
      </c>
      <c r="C335" s="1897">
        <v>38500881</v>
      </c>
      <c r="D335" s="1836" t="s">
        <v>603</v>
      </c>
      <c r="E335" s="1845">
        <v>0</v>
      </c>
      <c r="F335" s="1845">
        <v>0</v>
      </c>
      <c r="G335" s="1845">
        <v>0</v>
      </c>
      <c r="H335" s="1821" t="e">
        <f t="shared" si="32"/>
        <v>#DIV/0!</v>
      </c>
      <c r="I335" s="1829"/>
    </row>
    <row r="336" spans="1:9" ht="15.75" hidden="1" thickBot="1" x14ac:dyDescent="0.25">
      <c r="A336" s="1815">
        <v>2212</v>
      </c>
      <c r="B336" s="1897">
        <v>6121</v>
      </c>
      <c r="C336" s="1897">
        <v>38500871</v>
      </c>
      <c r="D336" s="1836" t="s">
        <v>603</v>
      </c>
      <c r="E336" s="1845">
        <v>0</v>
      </c>
      <c r="F336" s="1845">
        <v>0</v>
      </c>
      <c r="G336" s="1845">
        <v>0</v>
      </c>
      <c r="H336" s="1821" t="e">
        <f t="shared" si="32"/>
        <v>#DIV/0!</v>
      </c>
      <c r="I336" s="1829"/>
    </row>
    <row r="337" spans="1:9" ht="16.5" thickTop="1" thickBot="1" x14ac:dyDescent="0.3">
      <c r="A337" s="1837" t="s">
        <v>763</v>
      </c>
      <c r="B337" s="1838"/>
      <c r="C337" s="1838"/>
      <c r="D337" s="1839"/>
      <c r="E337" s="1818">
        <f>SUM(E332:E336)</f>
        <v>0</v>
      </c>
      <c r="F337" s="1818">
        <f>SUM(F332:F336)</f>
        <v>200</v>
      </c>
      <c r="G337" s="1818">
        <f>SUM(G332:G336)</f>
        <v>5</v>
      </c>
      <c r="H337" s="1822">
        <f t="shared" si="32"/>
        <v>2.5</v>
      </c>
      <c r="I337" s="1829"/>
    </row>
    <row r="338" spans="1:9" ht="13.5" thickTop="1" x14ac:dyDescent="0.2">
      <c r="A338" s="1893"/>
      <c r="B338" s="1893"/>
      <c r="C338" s="1893"/>
      <c r="D338" s="1893"/>
      <c r="E338" s="1895"/>
      <c r="F338" s="1894"/>
      <c r="G338" s="1894"/>
      <c r="H338" s="1894"/>
      <c r="I338" s="1893"/>
    </row>
    <row r="339" spans="1:9" ht="15.75" thickBot="1" x14ac:dyDescent="0.3">
      <c r="A339" s="1808" t="s">
        <v>250</v>
      </c>
      <c r="H339" s="1892" t="s">
        <v>161</v>
      </c>
      <c r="I339" s="1891"/>
    </row>
    <row r="340" spans="1:9" ht="25.5" thickTop="1" thickBot="1" x14ac:dyDescent="0.25">
      <c r="A340" s="1809" t="s">
        <v>162</v>
      </c>
      <c r="B340" s="1810" t="s">
        <v>761</v>
      </c>
      <c r="C340" s="1810" t="s">
        <v>377</v>
      </c>
      <c r="D340" s="1811" t="s">
        <v>164</v>
      </c>
      <c r="E340" s="1833" t="s">
        <v>632</v>
      </c>
      <c r="F340" s="1833" t="s">
        <v>633</v>
      </c>
      <c r="G340" s="1834" t="s">
        <v>882</v>
      </c>
      <c r="H340" s="1835" t="s">
        <v>883</v>
      </c>
    </row>
    <row r="341" spans="1:9" ht="14.25" thickTop="1" thickBot="1" x14ac:dyDescent="0.25">
      <c r="A341" s="1643">
        <v>1</v>
      </c>
      <c r="B341" s="1642">
        <v>2</v>
      </c>
      <c r="C341" s="1642">
        <v>3</v>
      </c>
      <c r="D341" s="1642">
        <v>5</v>
      </c>
      <c r="E341" s="1641">
        <v>6</v>
      </c>
      <c r="F341" s="1641">
        <v>7</v>
      </c>
      <c r="G341" s="1877">
        <v>8</v>
      </c>
      <c r="H341" s="1814" t="s">
        <v>762</v>
      </c>
    </row>
    <row r="342" spans="1:9" s="1831" customFormat="1" ht="16.5" thickTop="1" thickBot="1" x14ac:dyDescent="0.3">
      <c r="A342" s="1890">
        <v>6330</v>
      </c>
      <c r="B342" s="1816">
        <v>5345</v>
      </c>
      <c r="C342" s="1889"/>
      <c r="D342" s="1886" t="s">
        <v>767</v>
      </c>
      <c r="E342" s="1832">
        <v>0</v>
      </c>
      <c r="F342" s="1832">
        <v>0</v>
      </c>
      <c r="G342" s="1888">
        <v>26716</v>
      </c>
      <c r="H342" s="1819">
        <v>0</v>
      </c>
    </row>
    <row r="343" spans="1:9" s="1831" customFormat="1" ht="15.75" hidden="1" thickBot="1" x14ac:dyDescent="0.3">
      <c r="A343" s="1815">
        <v>6409</v>
      </c>
      <c r="B343" s="1816">
        <v>5909</v>
      </c>
      <c r="C343" s="1887"/>
      <c r="D343" s="1886" t="s">
        <v>781</v>
      </c>
      <c r="E343" s="1845">
        <v>0</v>
      </c>
      <c r="F343" s="1845">
        <v>0</v>
      </c>
      <c r="G343" s="1885">
        <v>0</v>
      </c>
      <c r="H343" s="1821">
        <v>0</v>
      </c>
    </row>
    <row r="344" spans="1:9" ht="16.5" thickTop="1" thickBot="1" x14ac:dyDescent="0.3">
      <c r="A344" s="1837" t="s">
        <v>763</v>
      </c>
      <c r="B344" s="1838"/>
      <c r="C344" s="1838"/>
      <c r="D344" s="1839"/>
      <c r="E344" s="1818">
        <f>SUM(E342:E343)</f>
        <v>0</v>
      </c>
      <c r="F344" s="1818">
        <f>SUM(F342:F343)</f>
        <v>0</v>
      </c>
      <c r="G344" s="1818">
        <f>SUM(G342:G343)</f>
        <v>26716</v>
      </c>
      <c r="H344" s="1822">
        <v>0</v>
      </c>
    </row>
    <row r="345" spans="1:9" ht="17.25" customHeight="1" thickTop="1" x14ac:dyDescent="0.2"/>
    <row r="346" spans="1:9" ht="14.25" customHeight="1" x14ac:dyDescent="0.2"/>
    <row r="347" spans="1:9" ht="15.75" customHeight="1" x14ac:dyDescent="0.2"/>
    <row r="348" spans="1:9" ht="12.75" customHeight="1" x14ac:dyDescent="0.2"/>
    <row r="349" spans="1:9" ht="18.75" customHeight="1" x14ac:dyDescent="0.2"/>
    <row r="350" spans="1:9" ht="15" customHeight="1" x14ac:dyDescent="0.2"/>
    <row r="351" spans="1:9" ht="19.5" customHeight="1" x14ac:dyDescent="0.2"/>
    <row r="352" spans="1:9" ht="18.75" customHeight="1" x14ac:dyDescent="0.2"/>
    <row r="353" spans="1:16" ht="16.5" x14ac:dyDescent="0.25">
      <c r="A353" s="1860" t="s">
        <v>465</v>
      </c>
      <c r="B353" s="1861"/>
      <c r="C353" s="1862"/>
      <c r="D353" s="1863"/>
      <c r="E353" s="1864">
        <f>SUM(E354:E356)</f>
        <v>104217</v>
      </c>
      <c r="F353" s="1864">
        <f>F354+F355+F356+F357</f>
        <v>300339</v>
      </c>
      <c r="G353" s="1864">
        <f>G354+G355+G356+G357</f>
        <v>189343</v>
      </c>
      <c r="H353" s="1884">
        <f>G353/F353*100</f>
        <v>63.043094636394201</v>
      </c>
      <c r="K353" s="1866">
        <f>K354+K355+K356</f>
        <v>104217000</v>
      </c>
      <c r="L353" s="1866">
        <f>L354+L355+L356</f>
        <v>300339324.13999999</v>
      </c>
      <c r="M353" s="1866">
        <f>M354+M355+M356</f>
        <v>189342840.31999999</v>
      </c>
    </row>
    <row r="354" spans="1:16" ht="15" x14ac:dyDescent="0.2">
      <c r="A354" s="1600" t="s">
        <v>263</v>
      </c>
      <c r="B354" s="1603"/>
      <c r="C354" s="1598"/>
      <c r="D354" s="1867"/>
      <c r="E354" s="1601">
        <v>0</v>
      </c>
      <c r="F354" s="1601">
        <v>0</v>
      </c>
      <c r="G354" s="1601">
        <v>0</v>
      </c>
      <c r="H354" s="1883">
        <v>0</v>
      </c>
      <c r="K354" s="1868">
        <v>0</v>
      </c>
      <c r="L354" s="1868">
        <v>0</v>
      </c>
      <c r="M354" s="1868">
        <v>0</v>
      </c>
    </row>
    <row r="355" spans="1:16" ht="15" x14ac:dyDescent="0.2">
      <c r="A355" s="1600" t="s">
        <v>264</v>
      </c>
      <c r="B355" s="1599"/>
      <c r="C355" s="1598"/>
      <c r="D355" s="1869"/>
      <c r="E355" s="1601">
        <f>E11+E21+E22+E31+E32+E33+E34+E42+E43+E44+E45+E52+E53+E54+E55+E56+E64+E65+E66+E67+E68+E127+E128+E129+E130+E131+E138+E139+E140+E141+E148+E149+E150+E157+E158+E159+E160+E161+E168+E169+E170+E171+E178+E179+E180+E181+E182+E189+E190+E191+E192+E193+E200+E201+E202+E203+E204+E211+E212+E213+E214+E215+E223+E224+E225+E235+E246+E257+E268+E279+E290+E301+E312+E323+E334+E342</f>
        <v>104217</v>
      </c>
      <c r="F355" s="1601">
        <f>F11+F21+F22+F31+F32+F33+F34+F42+F43+F44+F45+F52+F53+F54+F55+F56+F64+F65+F66+F67+F68+F127+F128+F129+F130+F131+F138+F139+F140+F141+F148+F149+F150+F157+F158+F159+F160+F161+F168+F169+F170+F171+F178+F179+F180+F181+F182+F189+F190+F191+F192+F193+F200+F201+F202+F203+F204+F211+F212+F213+F214+F215+F223+F224+F225+F235+F246+F257+F268+F279+F290+F301+F312+F323+F334+F342</f>
        <v>300339</v>
      </c>
      <c r="G355" s="1601">
        <f>G11+G21+G22+G31+G32+G33+G34+G42+G43+G44+G45+G52+G53+G54+G55+G56+G64+G65+G66+G67+G68+G127+G128+G129+G130+G131+G138+G139+G140+G141+G148+G149+G150+G157+G158+G159+G160+G161+G168+G169+G170+G171+G178+G179+G180+G181+G182+G189+G190+G191+G192+G193+G200+G201+G202+G203+G204+G211+G212+G213+G214+G215+G223+G224+G225+G235+G246+G257+G268+G279+G290+G301+G312+G323+G334</f>
        <v>162627</v>
      </c>
      <c r="H355" s="1883">
        <f>G355/F355*100</f>
        <v>54.147812971342383</v>
      </c>
      <c r="K355" s="1868">
        <v>104217000</v>
      </c>
      <c r="L355" s="1868">
        <v>300339324.13999999</v>
      </c>
      <c r="M355" s="1868">
        <v>162626546.34</v>
      </c>
    </row>
    <row r="356" spans="1:16" ht="15" x14ac:dyDescent="0.2">
      <c r="A356" s="1600" t="s">
        <v>466</v>
      </c>
      <c r="B356" s="1599"/>
      <c r="C356" s="1598"/>
      <c r="D356" s="1869"/>
      <c r="E356" s="1601">
        <f>E342</f>
        <v>0</v>
      </c>
      <c r="F356" s="1601">
        <f>F342</f>
        <v>0</v>
      </c>
      <c r="G356" s="1601">
        <f>G342</f>
        <v>26716</v>
      </c>
      <c r="H356" s="1883">
        <v>0</v>
      </c>
      <c r="K356" s="1868">
        <v>0</v>
      </c>
      <c r="L356" s="1868">
        <v>0</v>
      </c>
      <c r="M356" s="1868">
        <v>26716293.98</v>
      </c>
    </row>
    <row r="357" spans="1:16" ht="15" x14ac:dyDescent="0.2">
      <c r="A357" s="1600"/>
      <c r="B357" s="1599"/>
      <c r="C357" s="1598"/>
      <c r="D357" s="1869"/>
      <c r="E357" s="1601"/>
      <c r="F357" s="1601"/>
      <c r="G357" s="1601"/>
      <c r="H357" s="1597"/>
    </row>
    <row r="358" spans="1:16" ht="51" customHeight="1" thickBot="1" x14ac:dyDescent="0.4">
      <c r="A358" s="2741" t="s">
        <v>1541</v>
      </c>
      <c r="B358" s="2742"/>
      <c r="C358" s="2742"/>
      <c r="D358" s="2742"/>
      <c r="E358" s="1591">
        <f>SUM(E353)</f>
        <v>104217</v>
      </c>
      <c r="F358" s="1591">
        <f>SUM(F353)</f>
        <v>300339</v>
      </c>
      <c r="G358" s="1591">
        <f>SUM(G353)</f>
        <v>189343</v>
      </c>
      <c r="H358" s="1590">
        <f>(G358/F358)*100</f>
        <v>63.043094636394201</v>
      </c>
    </row>
    <row r="359" spans="1:16" ht="13.5" thickTop="1" x14ac:dyDescent="0.2"/>
    <row r="364" spans="1:16" x14ac:dyDescent="0.2">
      <c r="P364" s="1829"/>
    </row>
  </sheetData>
  <mergeCells count="1">
    <mergeCell ref="A358:D358"/>
  </mergeCells>
  <pageMargins left="0.78740157480314965" right="0.98425196850393704" top="0.98425196850393704" bottom="0.98425196850393704" header="0.51181102362204722" footer="0.51181102362204722"/>
  <pageSetup paperSize="9" scale="65" firstPageNumber="124" orientation="portrait" useFirstPageNumber="1" r:id="rId1"/>
  <headerFooter alignWithMargins="0">
    <oddFooter xml:space="preserve">&amp;L&amp;"Arial,Kurzíva"Zastupitelstvo Olomouckého kraje 26.6.2015
4. - Závěrečný  účet Olomouckého kraje za rok 2014
Příloha č. 3: Plnění rozpočtu výdajů Olomouckého kraje k 31.12.2014&amp;R&amp;"Arial,Kurzíva"Strana &amp;P (Celkem 484)
</oddFooter>
  </headerFooter>
  <rowBreaks count="3" manualBreakCount="3">
    <brk id="184" max="7" man="1"/>
    <brk id="261" max="7" man="1"/>
    <brk id="352" max="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73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1588" customWidth="1"/>
    <col min="2" max="2" width="4.7109375" style="1581" customWidth="1"/>
    <col min="3" max="3" width="8.85546875" style="1587" customWidth="1"/>
    <col min="4" max="4" width="47.28515625" style="1581" customWidth="1"/>
    <col min="5" max="5" width="12.85546875" style="1586" customWidth="1"/>
    <col min="6" max="6" width="15" style="1586" customWidth="1"/>
    <col min="7" max="7" width="14.85546875" style="1586" customWidth="1"/>
    <col min="8" max="8" width="8.28515625" style="1585" customWidth="1"/>
    <col min="9" max="16384" width="9.140625" style="1581"/>
  </cols>
  <sheetData>
    <row r="1" spans="1:9" ht="18.75" thickBot="1" x14ac:dyDescent="0.3">
      <c r="A1" s="1710" t="s">
        <v>1249</v>
      </c>
      <c r="B1" s="1709"/>
      <c r="C1" s="1709"/>
      <c r="D1" s="1708"/>
      <c r="E1" s="1707"/>
      <c r="F1" s="1706" t="s">
        <v>606</v>
      </c>
      <c r="I1" s="1654"/>
    </row>
    <row r="2" spans="1:9" ht="12.75" customHeight="1" x14ac:dyDescent="0.25">
      <c r="A2" s="2372" t="s">
        <v>1835</v>
      </c>
      <c r="B2" s="1658"/>
      <c r="C2" s="1658"/>
      <c r="D2" s="1701"/>
      <c r="E2" s="1655"/>
      <c r="F2" s="1655"/>
      <c r="G2" s="2442"/>
      <c r="H2" s="1653"/>
      <c r="I2" s="1654"/>
    </row>
    <row r="3" spans="1:9" ht="12.75" customHeight="1" x14ac:dyDescent="0.25">
      <c r="A3" s="1702"/>
      <c r="B3" s="1658"/>
      <c r="C3" s="1658"/>
      <c r="D3" s="1701"/>
      <c r="E3" s="1655"/>
      <c r="F3" s="1655"/>
      <c r="G3" s="2442"/>
      <c r="H3" s="1653"/>
      <c r="I3" s="1654"/>
    </row>
    <row r="4" spans="1:9" ht="12.75" customHeight="1" x14ac:dyDescent="0.25">
      <c r="A4" s="1705" t="s">
        <v>367</v>
      </c>
      <c r="B4" s="1658"/>
      <c r="C4" s="1703" t="s">
        <v>368</v>
      </c>
      <c r="D4" s="1704"/>
      <c r="E4" s="1655"/>
      <c r="F4" s="2442"/>
      <c r="G4" s="1654"/>
      <c r="H4" s="1653"/>
    </row>
    <row r="5" spans="1:9" ht="12.75" customHeight="1" x14ac:dyDescent="0.25">
      <c r="A5" s="1702"/>
      <c r="B5" s="1658"/>
      <c r="C5" s="1703" t="s">
        <v>366</v>
      </c>
      <c r="D5" s="1586"/>
      <c r="E5" s="1655"/>
      <c r="F5" s="2442"/>
      <c r="G5" s="1654"/>
      <c r="H5" s="1653"/>
    </row>
    <row r="6" spans="1:9" ht="12.75" customHeight="1" x14ac:dyDescent="0.25">
      <c r="A6" s="1702"/>
      <c r="B6" s="1658"/>
      <c r="C6" s="1658"/>
      <c r="D6" s="1701"/>
      <c r="E6" s="1655"/>
      <c r="F6" s="1655"/>
      <c r="G6" s="2442"/>
      <c r="H6" s="1653"/>
      <c r="I6" s="1654"/>
    </row>
    <row r="7" spans="1:9" ht="18" x14ac:dyDescent="0.25">
      <c r="A7" s="1659" t="s">
        <v>884</v>
      </c>
      <c r="B7" s="1658"/>
      <c r="C7" s="1658"/>
      <c r="D7" s="1701"/>
      <c r="E7" s="1655"/>
      <c r="F7" s="1655"/>
      <c r="G7" s="2442"/>
      <c r="H7" s="1653"/>
      <c r="I7" s="1654"/>
    </row>
    <row r="8" spans="1:9" ht="13.5" thickBot="1" x14ac:dyDescent="0.25">
      <c r="A8" s="1652"/>
      <c r="B8" s="1652"/>
      <c r="C8" s="1652"/>
      <c r="D8" s="1677"/>
      <c r="G8" s="1650"/>
      <c r="H8" s="1585" t="s">
        <v>161</v>
      </c>
    </row>
    <row r="9" spans="1:9" s="1644" customFormat="1" ht="20.25" customHeight="1" thickTop="1" thickBot="1" x14ac:dyDescent="0.25">
      <c r="A9" s="1649" t="s">
        <v>162</v>
      </c>
      <c r="B9" s="1648" t="s">
        <v>163</v>
      </c>
      <c r="C9" s="1676" t="s">
        <v>705</v>
      </c>
      <c r="D9" s="1676" t="s">
        <v>164</v>
      </c>
      <c r="E9" s="1676" t="s">
        <v>165</v>
      </c>
      <c r="F9" s="1676" t="s">
        <v>881</v>
      </c>
      <c r="G9" s="1676" t="s">
        <v>882</v>
      </c>
      <c r="H9" s="1645" t="s">
        <v>883</v>
      </c>
    </row>
    <row r="10" spans="1:9" s="1638" customFormat="1" ht="13.5" thickTop="1" thickBot="1" x14ac:dyDescent="0.25">
      <c r="A10" s="1643">
        <v>1</v>
      </c>
      <c r="B10" s="1642">
        <v>2</v>
      </c>
      <c r="C10" s="1642">
        <v>3</v>
      </c>
      <c r="D10" s="1642">
        <v>4</v>
      </c>
      <c r="E10" s="1642">
        <v>5</v>
      </c>
      <c r="F10" s="1641">
        <v>6</v>
      </c>
      <c r="G10" s="1641">
        <v>7</v>
      </c>
      <c r="H10" s="1640" t="s">
        <v>61</v>
      </c>
      <c r="I10" s="1639"/>
    </row>
    <row r="11" spans="1:9" s="1616" customFormat="1" ht="15.75" thickTop="1" x14ac:dyDescent="0.25">
      <c r="A11" s="1684">
        <v>5272</v>
      </c>
      <c r="B11" s="1683">
        <v>5168</v>
      </c>
      <c r="C11" s="1685"/>
      <c r="D11" s="2632" t="s">
        <v>1836</v>
      </c>
      <c r="E11" s="1673">
        <v>70</v>
      </c>
      <c r="F11" s="1666">
        <v>0</v>
      </c>
      <c r="G11" s="1627">
        <v>0</v>
      </c>
      <c r="H11" s="1671">
        <v>0</v>
      </c>
    </row>
    <row r="12" spans="1:9" s="1616" customFormat="1" ht="15" x14ac:dyDescent="0.25">
      <c r="A12" s="1684"/>
      <c r="B12" s="1683"/>
      <c r="C12" s="1685"/>
      <c r="D12" s="2633"/>
      <c r="E12" s="1673"/>
      <c r="F12" s="1666"/>
      <c r="G12" s="1627"/>
      <c r="H12" s="1671"/>
    </row>
    <row r="13" spans="1:9" s="1616" customFormat="1" ht="15" x14ac:dyDescent="0.25">
      <c r="A13" s="1684">
        <v>5273</v>
      </c>
      <c r="B13" s="1683">
        <v>5134</v>
      </c>
      <c r="C13" s="1674"/>
      <c r="D13" s="1667" t="s">
        <v>607</v>
      </c>
      <c r="E13" s="1673">
        <v>5</v>
      </c>
      <c r="F13" s="1666">
        <v>5</v>
      </c>
      <c r="G13" s="1627">
        <v>5</v>
      </c>
      <c r="H13" s="1671">
        <f t="shared" ref="H13:H33" si="0">(G13/F13)*100</f>
        <v>100</v>
      </c>
    </row>
    <row r="14" spans="1:9" s="1616" customFormat="1" ht="15" x14ac:dyDescent="0.25">
      <c r="A14" s="1684">
        <v>5273</v>
      </c>
      <c r="B14" s="1624">
        <v>5136</v>
      </c>
      <c r="C14" s="1674"/>
      <c r="D14" s="1667" t="s">
        <v>608</v>
      </c>
      <c r="E14" s="1673">
        <v>2</v>
      </c>
      <c r="F14" s="1666">
        <v>2</v>
      </c>
      <c r="G14" s="1627">
        <v>0</v>
      </c>
      <c r="H14" s="1671">
        <f t="shared" si="0"/>
        <v>0</v>
      </c>
    </row>
    <row r="15" spans="1:9" s="1616" customFormat="1" ht="15" x14ac:dyDescent="0.25">
      <c r="A15" s="1684">
        <v>5273</v>
      </c>
      <c r="B15" s="1683">
        <v>5137</v>
      </c>
      <c r="C15" s="1674"/>
      <c r="D15" s="1667" t="s">
        <v>155</v>
      </c>
      <c r="E15" s="1673">
        <v>5</v>
      </c>
      <c r="F15" s="1666">
        <v>90</v>
      </c>
      <c r="G15" s="1627">
        <v>73</v>
      </c>
      <c r="H15" s="1671">
        <f t="shared" si="0"/>
        <v>81.111111111111114</v>
      </c>
    </row>
    <row r="16" spans="1:9" s="1616" customFormat="1" ht="14.25" x14ac:dyDescent="0.2">
      <c r="A16" s="1684"/>
      <c r="B16" s="1683"/>
      <c r="C16" s="1625" t="s">
        <v>753</v>
      </c>
      <c r="D16" s="1631" t="s">
        <v>1259</v>
      </c>
      <c r="E16" s="1620">
        <v>5</v>
      </c>
      <c r="F16" s="1619">
        <v>5</v>
      </c>
      <c r="G16" s="1618">
        <v>0</v>
      </c>
      <c r="H16" s="1668">
        <v>0</v>
      </c>
    </row>
    <row r="17" spans="1:8" s="1616" customFormat="1" ht="14.25" x14ac:dyDescent="0.2">
      <c r="A17" s="1684"/>
      <c r="B17" s="1683"/>
      <c r="C17" s="1069" t="s">
        <v>22</v>
      </c>
      <c r="D17" s="1064" t="s">
        <v>1203</v>
      </c>
      <c r="E17" s="1620">
        <v>0</v>
      </c>
      <c r="F17" s="1619">
        <v>85</v>
      </c>
      <c r="G17" s="1618">
        <v>73</v>
      </c>
      <c r="H17" s="1668">
        <f t="shared" si="0"/>
        <v>85.882352941176464</v>
      </c>
    </row>
    <row r="18" spans="1:8" s="1616" customFormat="1" ht="15" x14ac:dyDescent="0.25">
      <c r="A18" s="1684">
        <v>5273</v>
      </c>
      <c r="B18" s="1683">
        <v>5139</v>
      </c>
      <c r="C18" s="1674"/>
      <c r="D18" s="1629" t="s">
        <v>295</v>
      </c>
      <c r="E18" s="1673">
        <v>80</v>
      </c>
      <c r="F18" s="1673">
        <v>36</v>
      </c>
      <c r="G18" s="1673">
        <v>19</v>
      </c>
      <c r="H18" s="1671">
        <f t="shared" si="0"/>
        <v>52.777777777777779</v>
      </c>
    </row>
    <row r="19" spans="1:8" s="1616" customFormat="1" ht="14.25" x14ac:dyDescent="0.2">
      <c r="A19" s="1623"/>
      <c r="B19" s="1622"/>
      <c r="C19" s="1625" t="s">
        <v>247</v>
      </c>
      <c r="D19" s="2456" t="s">
        <v>32</v>
      </c>
      <c r="E19" s="1620"/>
      <c r="F19" s="1619">
        <v>3</v>
      </c>
      <c r="G19" s="1618">
        <v>3</v>
      </c>
      <c r="H19" s="1668">
        <f t="shared" si="0"/>
        <v>100</v>
      </c>
    </row>
    <row r="20" spans="1:8" s="1616" customFormat="1" ht="15" x14ac:dyDescent="0.25">
      <c r="A20" s="1623">
        <v>5273</v>
      </c>
      <c r="B20" s="1622">
        <v>5153</v>
      </c>
      <c r="C20" s="1625"/>
      <c r="D20" s="1675" t="s">
        <v>1226</v>
      </c>
      <c r="E20" s="1620"/>
      <c r="F20" s="1628">
        <v>3</v>
      </c>
      <c r="G20" s="1627">
        <v>3</v>
      </c>
      <c r="H20" s="1665">
        <f t="shared" si="0"/>
        <v>100</v>
      </c>
    </row>
    <row r="21" spans="1:8" s="1616" customFormat="1" ht="15" x14ac:dyDescent="0.25">
      <c r="A21" s="1623">
        <v>5273</v>
      </c>
      <c r="B21" s="1622">
        <v>5164</v>
      </c>
      <c r="C21" s="1674"/>
      <c r="D21" s="1667" t="s">
        <v>170</v>
      </c>
      <c r="E21" s="1673">
        <v>10</v>
      </c>
      <c r="F21" s="1666">
        <v>7</v>
      </c>
      <c r="G21" s="1672">
        <v>5</v>
      </c>
      <c r="H21" s="1671">
        <f t="shared" si="0"/>
        <v>71.428571428571431</v>
      </c>
    </row>
    <row r="22" spans="1:8" s="1616" customFormat="1" ht="15" x14ac:dyDescent="0.25">
      <c r="A22" s="1623">
        <v>5273</v>
      </c>
      <c r="B22" s="1622">
        <v>5169</v>
      </c>
      <c r="C22" s="1674"/>
      <c r="D22" s="1667" t="s">
        <v>852</v>
      </c>
      <c r="E22" s="1673">
        <v>150</v>
      </c>
      <c r="F22" s="1673">
        <v>160</v>
      </c>
      <c r="G22" s="1673">
        <f>G23+G24</f>
        <v>99</v>
      </c>
      <c r="H22" s="1671">
        <f t="shared" si="0"/>
        <v>61.875</v>
      </c>
    </row>
    <row r="23" spans="1:8" s="1616" customFormat="1" ht="14.25" x14ac:dyDescent="0.2">
      <c r="A23" s="1623"/>
      <c r="B23" s="1622"/>
      <c r="C23" s="1625" t="s">
        <v>753</v>
      </c>
      <c r="D23" s="1631" t="s">
        <v>1259</v>
      </c>
      <c r="E23" s="1620">
        <v>150</v>
      </c>
      <c r="F23" s="1619">
        <v>120</v>
      </c>
      <c r="G23" s="1618">
        <v>91</v>
      </c>
      <c r="H23" s="1668">
        <f t="shared" si="0"/>
        <v>75.833333333333329</v>
      </c>
    </row>
    <row r="24" spans="1:8" s="1616" customFormat="1" ht="15" x14ac:dyDescent="0.25">
      <c r="A24" s="1623"/>
      <c r="B24" s="1622"/>
      <c r="C24" s="1625" t="s">
        <v>247</v>
      </c>
      <c r="D24" s="2456" t="s">
        <v>32</v>
      </c>
      <c r="E24" s="1673"/>
      <c r="F24" s="1619">
        <v>40</v>
      </c>
      <c r="G24" s="1618">
        <v>8</v>
      </c>
      <c r="H24" s="1668">
        <f t="shared" si="0"/>
        <v>20</v>
      </c>
    </row>
    <row r="25" spans="1:8" s="1616" customFormat="1" ht="15" x14ac:dyDescent="0.25">
      <c r="A25" s="1623">
        <v>5273</v>
      </c>
      <c r="B25" s="1622">
        <v>5172</v>
      </c>
      <c r="C25" s="1625"/>
      <c r="D25" s="1675" t="s">
        <v>897</v>
      </c>
      <c r="E25" s="1673"/>
      <c r="F25" s="1628">
        <v>36</v>
      </c>
      <c r="G25" s="1627">
        <v>34</v>
      </c>
      <c r="H25" s="1665">
        <f t="shared" si="0"/>
        <v>94.444444444444443</v>
      </c>
    </row>
    <row r="26" spans="1:8" s="1616" customFormat="1" ht="15" x14ac:dyDescent="0.25">
      <c r="A26" s="1623"/>
      <c r="B26" s="1622"/>
      <c r="C26" s="1069" t="s">
        <v>22</v>
      </c>
      <c r="D26" s="1064" t="s">
        <v>1203</v>
      </c>
      <c r="E26" s="1673"/>
      <c r="F26" s="1619">
        <v>36</v>
      </c>
      <c r="G26" s="1618">
        <v>34</v>
      </c>
      <c r="H26" s="1668">
        <f t="shared" si="0"/>
        <v>94.444444444444443</v>
      </c>
    </row>
    <row r="27" spans="1:8" s="1616" customFormat="1" ht="15" x14ac:dyDescent="0.25">
      <c r="A27" s="1623">
        <v>5273</v>
      </c>
      <c r="B27" s="1622">
        <v>5175</v>
      </c>
      <c r="C27" s="1625"/>
      <c r="D27" s="1635" t="s">
        <v>669</v>
      </c>
      <c r="E27" s="1673">
        <v>120</v>
      </c>
      <c r="F27" s="1672">
        <f>F28+F29</f>
        <v>210</v>
      </c>
      <c r="G27" s="1672">
        <f>G28+G29</f>
        <v>200</v>
      </c>
      <c r="H27" s="1671">
        <f t="shared" si="0"/>
        <v>95.238095238095227</v>
      </c>
    </row>
    <row r="28" spans="1:8" s="1616" customFormat="1" ht="14.25" x14ac:dyDescent="0.2">
      <c r="A28" s="1623"/>
      <c r="B28" s="1622"/>
      <c r="C28" s="1625" t="s">
        <v>753</v>
      </c>
      <c r="D28" s="1631" t="s">
        <v>1259</v>
      </c>
      <c r="E28" s="1620">
        <v>120</v>
      </c>
      <c r="F28" s="1619">
        <v>150</v>
      </c>
      <c r="G28" s="1618">
        <v>144</v>
      </c>
      <c r="H28" s="1668">
        <f t="shared" si="0"/>
        <v>96</v>
      </c>
    </row>
    <row r="29" spans="1:8" s="1616" customFormat="1" ht="14.25" x14ac:dyDescent="0.2">
      <c r="A29" s="1623"/>
      <c r="B29" s="1622"/>
      <c r="C29" s="1625" t="s">
        <v>247</v>
      </c>
      <c r="D29" s="2456" t="s">
        <v>32</v>
      </c>
      <c r="E29" s="1620"/>
      <c r="F29" s="1619">
        <v>60</v>
      </c>
      <c r="G29" s="1618">
        <v>56</v>
      </c>
      <c r="H29" s="1668">
        <f t="shared" si="0"/>
        <v>93.333333333333329</v>
      </c>
    </row>
    <row r="30" spans="1:8" s="1616" customFormat="1" ht="15" x14ac:dyDescent="0.25">
      <c r="A30" s="1623">
        <v>5273</v>
      </c>
      <c r="B30" s="1622">
        <v>5194</v>
      </c>
      <c r="C30" s="1625"/>
      <c r="D30" s="1675" t="s">
        <v>599</v>
      </c>
      <c r="E30" s="1620"/>
      <c r="F30" s="1628">
        <v>3</v>
      </c>
      <c r="G30" s="1627">
        <v>3</v>
      </c>
      <c r="H30" s="1665">
        <f t="shared" si="0"/>
        <v>100</v>
      </c>
    </row>
    <row r="31" spans="1:8" s="1616" customFormat="1" ht="15" x14ac:dyDescent="0.25">
      <c r="A31" s="1623">
        <v>5273</v>
      </c>
      <c r="B31" s="1622">
        <v>5222</v>
      </c>
      <c r="C31" s="1625"/>
      <c r="D31" s="1680" t="s">
        <v>221</v>
      </c>
      <c r="E31" s="1673">
        <v>600</v>
      </c>
      <c r="F31" s="1672">
        <v>600</v>
      </c>
      <c r="G31" s="1672">
        <v>600</v>
      </c>
      <c r="H31" s="1671">
        <f t="shared" si="0"/>
        <v>100</v>
      </c>
    </row>
    <row r="32" spans="1:8" s="1616" customFormat="1" ht="14.25" x14ac:dyDescent="0.2">
      <c r="A32" s="1623"/>
      <c r="B32" s="1622"/>
      <c r="C32" s="1630" t="s">
        <v>249</v>
      </c>
      <c r="D32" s="1631" t="s">
        <v>318</v>
      </c>
      <c r="E32" s="1620">
        <v>300</v>
      </c>
      <c r="F32" s="1619">
        <v>300</v>
      </c>
      <c r="G32" s="1618">
        <v>300</v>
      </c>
      <c r="H32" s="1668">
        <f t="shared" si="0"/>
        <v>100</v>
      </c>
    </row>
    <row r="33" spans="1:8" s="1616" customFormat="1" ht="14.25" x14ac:dyDescent="0.2">
      <c r="A33" s="1623"/>
      <c r="B33" s="1622"/>
      <c r="C33" s="1682" t="s">
        <v>352</v>
      </c>
      <c r="D33" s="1681" t="s">
        <v>891</v>
      </c>
      <c r="E33" s="1620">
        <v>300</v>
      </c>
      <c r="F33" s="1670">
        <v>300</v>
      </c>
      <c r="G33" s="1669">
        <v>300</v>
      </c>
      <c r="H33" s="1668">
        <f t="shared" si="0"/>
        <v>100</v>
      </c>
    </row>
    <row r="34" spans="1:8" s="1616" customFormat="1" ht="15" x14ac:dyDescent="0.25">
      <c r="A34" s="1623">
        <v>5273</v>
      </c>
      <c r="B34" s="1622">
        <v>5901</v>
      </c>
      <c r="C34" s="1674"/>
      <c r="D34" s="1667" t="s">
        <v>797</v>
      </c>
      <c r="E34" s="1673">
        <v>6000</v>
      </c>
      <c r="F34" s="1666">
        <v>405</v>
      </c>
      <c r="G34" s="1672">
        <v>0</v>
      </c>
      <c r="H34" s="1671">
        <v>0</v>
      </c>
    </row>
    <row r="35" spans="1:8" s="1616" customFormat="1" ht="14.25" x14ac:dyDescent="0.2">
      <c r="A35" s="1623"/>
      <c r="B35" s="1622"/>
      <c r="C35" s="1625" t="s">
        <v>247</v>
      </c>
      <c r="D35" s="2456" t="s">
        <v>32</v>
      </c>
      <c r="E35" s="1620">
        <v>6000</v>
      </c>
      <c r="F35" s="1670">
        <v>405</v>
      </c>
      <c r="G35" s="1669">
        <v>0</v>
      </c>
      <c r="H35" s="1668">
        <v>0</v>
      </c>
    </row>
    <row r="36" spans="1:8" s="1616" customFormat="1" ht="15" x14ac:dyDescent="0.25">
      <c r="A36" s="1623">
        <v>5299</v>
      </c>
      <c r="B36" s="1622">
        <v>5321</v>
      </c>
      <c r="C36" s="1621"/>
      <c r="D36" s="1667" t="s">
        <v>1201</v>
      </c>
      <c r="E36" s="1620"/>
      <c r="F36" s="1628">
        <v>1400</v>
      </c>
      <c r="G36" s="1627">
        <v>1400</v>
      </c>
      <c r="H36" s="1665">
        <f>(G36/F36)*100</f>
        <v>100</v>
      </c>
    </row>
    <row r="37" spans="1:8" s="1616" customFormat="1" ht="14.25" x14ac:dyDescent="0.2">
      <c r="A37" s="1623"/>
      <c r="B37" s="1622"/>
      <c r="C37" s="1625" t="s">
        <v>247</v>
      </c>
      <c r="D37" s="2456" t="s">
        <v>32</v>
      </c>
      <c r="E37" s="1620"/>
      <c r="F37" s="1670">
        <v>1400</v>
      </c>
      <c r="G37" s="1669">
        <v>1400</v>
      </c>
      <c r="H37" s="1668">
        <f>(G37/F37)*100</f>
        <v>100</v>
      </c>
    </row>
    <row r="38" spans="1:8" s="1616" customFormat="1" ht="15" x14ac:dyDescent="0.25">
      <c r="A38" s="1623">
        <v>5511</v>
      </c>
      <c r="B38" s="1622">
        <v>5311</v>
      </c>
      <c r="C38" s="1625"/>
      <c r="D38" s="1635" t="s">
        <v>47</v>
      </c>
      <c r="E38" s="1632"/>
      <c r="F38" s="1672">
        <v>1365</v>
      </c>
      <c r="G38" s="1672">
        <v>1365</v>
      </c>
      <c r="H38" s="1665">
        <f t="shared" ref="H38:H46" si="1">(G38/F38)*100</f>
        <v>100</v>
      </c>
    </row>
    <row r="39" spans="1:8" s="1616" customFormat="1" ht="15" x14ac:dyDescent="0.25">
      <c r="A39" s="1623"/>
      <c r="B39" s="1622"/>
      <c r="C39" s="1625" t="s">
        <v>247</v>
      </c>
      <c r="D39" s="2456" t="s">
        <v>32</v>
      </c>
      <c r="E39" s="1632"/>
      <c r="F39" s="1670">
        <v>1365</v>
      </c>
      <c r="G39" s="1669">
        <v>1365</v>
      </c>
      <c r="H39" s="1668">
        <f t="shared" si="1"/>
        <v>100</v>
      </c>
    </row>
    <row r="40" spans="1:8" s="1616" customFormat="1" ht="15" x14ac:dyDescent="0.25">
      <c r="A40" s="1623">
        <v>5512</v>
      </c>
      <c r="B40" s="1622">
        <v>5222</v>
      </c>
      <c r="C40" s="1630"/>
      <c r="D40" s="1680" t="s">
        <v>221</v>
      </c>
      <c r="E40" s="1632"/>
      <c r="F40" s="1672">
        <f>F41+F42</f>
        <v>1663</v>
      </c>
      <c r="G40" s="1672">
        <f>G41+G42</f>
        <v>1648</v>
      </c>
      <c r="H40" s="1671">
        <f t="shared" si="1"/>
        <v>99.098015634395679</v>
      </c>
    </row>
    <row r="41" spans="1:8" s="1616" customFormat="1" ht="15" x14ac:dyDescent="0.25">
      <c r="A41" s="1623"/>
      <c r="B41" s="1622"/>
      <c r="C41" s="1630" t="s">
        <v>1202</v>
      </c>
      <c r="D41" s="1631" t="s">
        <v>1635</v>
      </c>
      <c r="E41" s="1632"/>
      <c r="F41" s="1670">
        <v>758</v>
      </c>
      <c r="G41" s="1669">
        <v>743</v>
      </c>
      <c r="H41" s="1668">
        <f t="shared" si="1"/>
        <v>98.021108179419528</v>
      </c>
    </row>
    <row r="42" spans="1:8" s="1616" customFormat="1" ht="15" x14ac:dyDescent="0.25">
      <c r="A42" s="1623"/>
      <c r="B42" s="1622"/>
      <c r="C42" s="1625" t="s">
        <v>247</v>
      </c>
      <c r="D42" s="2456" t="s">
        <v>32</v>
      </c>
      <c r="E42" s="1632"/>
      <c r="F42" s="1670">
        <v>905</v>
      </c>
      <c r="G42" s="1669">
        <v>905</v>
      </c>
      <c r="H42" s="1668">
        <f t="shared" si="1"/>
        <v>100</v>
      </c>
    </row>
    <row r="43" spans="1:8" s="1616" customFormat="1" ht="15" x14ac:dyDescent="0.25">
      <c r="A43" s="1623">
        <v>5512</v>
      </c>
      <c r="B43" s="1622">
        <v>5321</v>
      </c>
      <c r="C43" s="1674"/>
      <c r="D43" s="1667" t="s">
        <v>1201</v>
      </c>
      <c r="E43" s="1673">
        <v>5000</v>
      </c>
      <c r="F43" s="1672">
        <f>F44+F45+F46</f>
        <v>9612</v>
      </c>
      <c r="G43" s="1672">
        <f>G44+G45+G46</f>
        <v>9492</v>
      </c>
      <c r="H43" s="1665">
        <f t="shared" si="1"/>
        <v>98.751560549313353</v>
      </c>
    </row>
    <row r="44" spans="1:8" s="1616" customFormat="1" ht="14.25" x14ac:dyDescent="0.2">
      <c r="A44" s="1623"/>
      <c r="B44" s="1622"/>
      <c r="C44" s="1625" t="s">
        <v>1204</v>
      </c>
      <c r="D44" s="1624" t="s">
        <v>1118</v>
      </c>
      <c r="E44" s="1620">
        <v>5000</v>
      </c>
      <c r="F44" s="1670">
        <v>2367</v>
      </c>
      <c r="G44" s="1669">
        <v>2247</v>
      </c>
      <c r="H44" s="1668">
        <f t="shared" si="1"/>
        <v>94.93029150823827</v>
      </c>
    </row>
    <row r="45" spans="1:8" s="1616" customFormat="1" ht="14.25" x14ac:dyDescent="0.2">
      <c r="A45" s="1623"/>
      <c r="B45" s="1622"/>
      <c r="C45" s="1625" t="s">
        <v>247</v>
      </c>
      <c r="D45" s="2456" t="s">
        <v>32</v>
      </c>
      <c r="E45" s="1620"/>
      <c r="F45" s="1670">
        <v>316</v>
      </c>
      <c r="G45" s="1669">
        <v>316</v>
      </c>
      <c r="H45" s="1668">
        <f t="shared" si="1"/>
        <v>100</v>
      </c>
    </row>
    <row r="46" spans="1:8" s="1616" customFormat="1" ht="14.25" x14ac:dyDescent="0.2">
      <c r="A46" s="1623"/>
      <c r="B46" s="1622"/>
      <c r="C46" s="1625" t="s">
        <v>301</v>
      </c>
      <c r="D46" s="1679" t="s">
        <v>197</v>
      </c>
      <c r="E46" s="1620"/>
      <c r="F46" s="1670">
        <v>6929</v>
      </c>
      <c r="G46" s="1669">
        <v>6929</v>
      </c>
      <c r="H46" s="1668">
        <f t="shared" si="1"/>
        <v>100</v>
      </c>
    </row>
    <row r="47" spans="1:8" s="1616" customFormat="1" ht="15" x14ac:dyDescent="0.25">
      <c r="A47" s="1623">
        <v>5529</v>
      </c>
      <c r="B47" s="1622">
        <v>5169</v>
      </c>
      <c r="C47" s="1674"/>
      <c r="D47" s="1667" t="s">
        <v>852</v>
      </c>
      <c r="E47" s="1673">
        <v>40</v>
      </c>
      <c r="F47" s="1666">
        <v>40</v>
      </c>
      <c r="G47" s="1672">
        <v>30</v>
      </c>
      <c r="H47" s="1671">
        <f t="shared" ref="H47:H53" si="2">(G47/F47)*100</f>
        <v>75</v>
      </c>
    </row>
    <row r="48" spans="1:8" s="1616" customFormat="1" ht="15" x14ac:dyDescent="0.25">
      <c r="A48" s="1623">
        <v>5599</v>
      </c>
      <c r="B48" s="1622">
        <v>5221</v>
      </c>
      <c r="C48" s="1630"/>
      <c r="D48" s="1667" t="s">
        <v>46</v>
      </c>
      <c r="E48" s="1673"/>
      <c r="F48" s="1666">
        <v>200</v>
      </c>
      <c r="G48" s="1627">
        <v>200</v>
      </c>
      <c r="H48" s="1665">
        <f t="shared" si="2"/>
        <v>100</v>
      </c>
    </row>
    <row r="49" spans="1:12" s="1616" customFormat="1" ht="15" x14ac:dyDescent="0.25">
      <c r="A49" s="1623"/>
      <c r="B49" s="1622"/>
      <c r="C49" s="1625" t="s">
        <v>247</v>
      </c>
      <c r="D49" s="2456" t="s">
        <v>32</v>
      </c>
      <c r="E49" s="1673"/>
      <c r="F49" s="1670">
        <v>200</v>
      </c>
      <c r="G49" s="1669">
        <v>200</v>
      </c>
      <c r="H49" s="1668">
        <f t="shared" si="2"/>
        <v>100</v>
      </c>
      <c r="J49" s="1678"/>
      <c r="K49" s="1678"/>
      <c r="L49" s="1678"/>
    </row>
    <row r="50" spans="1:12" s="1616" customFormat="1" ht="15" x14ac:dyDescent="0.25">
      <c r="A50" s="1623">
        <v>6221</v>
      </c>
      <c r="B50" s="1622">
        <v>5221</v>
      </c>
      <c r="C50" s="1625"/>
      <c r="D50" s="1675" t="s">
        <v>1833</v>
      </c>
      <c r="E50" s="1673"/>
      <c r="F50" s="1628">
        <v>240</v>
      </c>
      <c r="G50" s="1627">
        <v>240</v>
      </c>
      <c r="H50" s="1665">
        <f t="shared" si="2"/>
        <v>100</v>
      </c>
      <c r="J50" s="1678"/>
      <c r="K50" s="1678"/>
      <c r="L50" s="1678"/>
    </row>
    <row r="51" spans="1:12" s="1616" customFormat="1" ht="15" x14ac:dyDescent="0.25">
      <c r="A51" s="1623"/>
      <c r="B51" s="1622"/>
      <c r="C51" s="1625" t="s">
        <v>247</v>
      </c>
      <c r="D51" s="2456" t="s">
        <v>32</v>
      </c>
      <c r="E51" s="1673"/>
      <c r="F51" s="1670">
        <v>240</v>
      </c>
      <c r="G51" s="1669">
        <v>240</v>
      </c>
      <c r="H51" s="1668">
        <f t="shared" si="2"/>
        <v>100</v>
      </c>
      <c r="J51" s="1678"/>
      <c r="K51" s="1678"/>
      <c r="L51" s="1678"/>
    </row>
    <row r="52" spans="1:12" s="1616" customFormat="1" ht="15" x14ac:dyDescent="0.25">
      <c r="A52" s="1623">
        <v>6221</v>
      </c>
      <c r="B52" s="1622">
        <v>5222</v>
      </c>
      <c r="C52" s="1625"/>
      <c r="D52" s="1667" t="s">
        <v>1731</v>
      </c>
      <c r="E52" s="1673"/>
      <c r="F52" s="1628">
        <v>50</v>
      </c>
      <c r="G52" s="1627">
        <v>50</v>
      </c>
      <c r="H52" s="1665">
        <f t="shared" si="2"/>
        <v>100</v>
      </c>
      <c r="J52" s="1678"/>
      <c r="K52" s="1678"/>
      <c r="L52" s="1678"/>
    </row>
    <row r="53" spans="1:12" s="1616" customFormat="1" ht="15" x14ac:dyDescent="0.25">
      <c r="A53" s="1623"/>
      <c r="B53" s="1622"/>
      <c r="C53" s="1625" t="s">
        <v>247</v>
      </c>
      <c r="D53" s="2456" t="s">
        <v>32</v>
      </c>
      <c r="E53" s="1673"/>
      <c r="F53" s="1670">
        <v>50</v>
      </c>
      <c r="G53" s="1669">
        <v>50</v>
      </c>
      <c r="H53" s="1668">
        <f t="shared" si="2"/>
        <v>100</v>
      </c>
      <c r="J53" s="1678"/>
      <c r="K53" s="1678"/>
      <c r="L53" s="1678"/>
    </row>
    <row r="54" spans="1:12" s="1616" customFormat="1" ht="15" x14ac:dyDescent="0.25">
      <c r="A54" s="1623">
        <v>6221</v>
      </c>
      <c r="B54" s="1622">
        <v>5223</v>
      </c>
      <c r="C54" s="1674"/>
      <c r="D54" s="1667" t="s">
        <v>1834</v>
      </c>
      <c r="E54" s="1673"/>
      <c r="F54" s="1666">
        <v>120</v>
      </c>
      <c r="G54" s="1672">
        <v>120</v>
      </c>
      <c r="H54" s="1671">
        <f t="shared" ref="H54:H55" si="3">(G54/F54)*100</f>
        <v>100</v>
      </c>
    </row>
    <row r="55" spans="1:12" s="1616" customFormat="1" ht="15" thickBot="1" x14ac:dyDescent="0.25">
      <c r="A55" s="1623"/>
      <c r="B55" s="1622"/>
      <c r="C55" s="1625" t="s">
        <v>247</v>
      </c>
      <c r="D55" s="2456" t="s">
        <v>32</v>
      </c>
      <c r="E55" s="1620"/>
      <c r="F55" s="1670">
        <v>120</v>
      </c>
      <c r="G55" s="1669">
        <v>120</v>
      </c>
      <c r="H55" s="1668">
        <f t="shared" si="3"/>
        <v>100</v>
      </c>
    </row>
    <row r="56" spans="1:12" s="1609" customFormat="1" ht="30.75" customHeight="1" thickTop="1" thickBot="1" x14ac:dyDescent="0.3">
      <c r="A56" s="1615" t="s">
        <v>245</v>
      </c>
      <c r="B56" s="1614"/>
      <c r="C56" s="1664"/>
      <c r="D56" s="1614"/>
      <c r="E56" s="1611">
        <f>E11+E13+E14+E15+E18+E21+E22+E27+E31+E34+E43+E47</f>
        <v>12082</v>
      </c>
      <c r="F56" s="1611">
        <f>F11+F13+F14+F15+F18+F20+F21+F22+F25+F27+F30+F31+F34+F36+F38+F40+F43+F47+F48+F50+F52+F54</f>
        <v>16247</v>
      </c>
      <c r="G56" s="1611">
        <f>G11+G13+G14+G15+G18+G20+G21+G22+G25+G27+G30+G31+G34+G36+G38+G40+G43+G47+G48+G50+G52+G54</f>
        <v>15586</v>
      </c>
      <c r="H56" s="1610">
        <f>(G56/F56)*100</f>
        <v>95.931556595063711</v>
      </c>
      <c r="I56" s="1581"/>
      <c r="J56" s="1586"/>
      <c r="K56" s="1586"/>
    </row>
    <row r="57" spans="1:12" s="1609" customFormat="1" ht="30.75" customHeight="1" thickTop="1" x14ac:dyDescent="0.25">
      <c r="A57" s="2373"/>
      <c r="B57" s="2374"/>
      <c r="C57" s="1657"/>
      <c r="D57" s="2374"/>
      <c r="E57" s="1654"/>
      <c r="F57" s="1654"/>
      <c r="G57" s="1654"/>
      <c r="H57" s="2375"/>
      <c r="I57" s="1581"/>
      <c r="J57" s="1586"/>
      <c r="K57" s="1586"/>
    </row>
    <row r="58" spans="1:12" s="1609" customFormat="1" ht="30.75" customHeight="1" x14ac:dyDescent="0.25">
      <c r="A58" s="2373"/>
      <c r="B58" s="2374"/>
      <c r="C58" s="1657"/>
      <c r="D58" s="2374"/>
      <c r="E58" s="1654"/>
      <c r="F58" s="1654"/>
      <c r="G58" s="1654"/>
      <c r="H58" s="2375"/>
      <c r="I58" s="1581"/>
      <c r="J58" s="1586"/>
      <c r="K58" s="1586"/>
    </row>
    <row r="59" spans="1:12" s="1609" customFormat="1" ht="30.75" customHeight="1" x14ac:dyDescent="0.25">
      <c r="A59" s="2373"/>
      <c r="B59" s="2374"/>
      <c r="C59" s="1657"/>
      <c r="D59" s="2374"/>
      <c r="E59" s="1654"/>
      <c r="F59" s="1654"/>
      <c r="G59" s="1654"/>
      <c r="H59" s="2375"/>
      <c r="I59" s="1581"/>
      <c r="J59" s="1586"/>
      <c r="K59" s="1586"/>
    </row>
    <row r="60" spans="1:12" s="1609" customFormat="1" ht="30.75" customHeight="1" x14ac:dyDescent="0.25">
      <c r="A60" s="2373"/>
      <c r="B60" s="2374"/>
      <c r="C60" s="1657"/>
      <c r="D60" s="2374"/>
      <c r="E60" s="1654"/>
      <c r="F60" s="1654"/>
      <c r="G60" s="1654"/>
      <c r="H60" s="2375"/>
      <c r="I60" s="1581"/>
      <c r="J60" s="1586"/>
      <c r="K60" s="1586"/>
    </row>
    <row r="61" spans="1:12" s="1609" customFormat="1" ht="30.75" customHeight="1" x14ac:dyDescent="0.25">
      <c r="A61" s="2373"/>
      <c r="B61" s="2374"/>
      <c r="C61" s="1657"/>
      <c r="D61" s="2374"/>
      <c r="E61" s="1654"/>
      <c r="F61" s="1654"/>
      <c r="G61" s="1654"/>
      <c r="H61" s="2375"/>
      <c r="I61" s="1581"/>
      <c r="J61" s="1586"/>
      <c r="K61" s="1586"/>
    </row>
    <row r="62" spans="1:12" s="1609" customFormat="1" ht="15.75" customHeight="1" x14ac:dyDescent="0.25">
      <c r="A62" s="2373"/>
      <c r="B62" s="2374"/>
      <c r="C62" s="1657"/>
      <c r="D62" s="2374"/>
      <c r="E62" s="1654"/>
      <c r="F62" s="1654"/>
      <c r="G62" s="1654"/>
      <c r="H62" s="2375"/>
      <c r="I62" s="1581"/>
      <c r="J62" s="1586"/>
      <c r="K62" s="1586"/>
    </row>
    <row r="63" spans="1:12" ht="18" x14ac:dyDescent="0.25">
      <c r="A63" s="1659" t="s">
        <v>1248</v>
      </c>
      <c r="B63" s="1658"/>
      <c r="C63" s="1657"/>
      <c r="D63" s="1656"/>
      <c r="E63" s="1655"/>
      <c r="F63" s="2442"/>
      <c r="G63" s="1654"/>
      <c r="H63" s="1653"/>
    </row>
    <row r="64" spans="1:12" ht="14.25" thickTop="1" thickBot="1" x14ac:dyDescent="0.25">
      <c r="A64" s="1652"/>
      <c r="B64" s="1652"/>
      <c r="C64" s="1651"/>
      <c r="F64" s="1650"/>
      <c r="H64" s="1585" t="s">
        <v>161</v>
      </c>
      <c r="I64" s="1644"/>
    </row>
    <row r="65" spans="1:9" s="1644" customFormat="1" ht="20.25" customHeight="1" thickTop="1" thickBot="1" x14ac:dyDescent="0.25">
      <c r="A65" s="1649" t="s">
        <v>162</v>
      </c>
      <c r="B65" s="1648" t="s">
        <v>163</v>
      </c>
      <c r="C65" s="1647" t="s">
        <v>705</v>
      </c>
      <c r="D65" s="1646" t="s">
        <v>164</v>
      </c>
      <c r="E65" s="1646" t="s">
        <v>165</v>
      </c>
      <c r="F65" s="1646" t="s">
        <v>881</v>
      </c>
      <c r="G65" s="1646" t="s">
        <v>882</v>
      </c>
      <c r="H65" s="1645" t="s">
        <v>883</v>
      </c>
      <c r="I65" s="1581"/>
    </row>
    <row r="66" spans="1:9" s="1638" customFormat="1" ht="13.5" thickTop="1" thickBot="1" x14ac:dyDescent="0.25">
      <c r="A66" s="1643">
        <v>1</v>
      </c>
      <c r="B66" s="1642">
        <v>2</v>
      </c>
      <c r="C66" s="1642">
        <v>3</v>
      </c>
      <c r="D66" s="1642">
        <v>4</v>
      </c>
      <c r="E66" s="1642">
        <v>5</v>
      </c>
      <c r="F66" s="1641">
        <v>6</v>
      </c>
      <c r="G66" s="1641">
        <v>7</v>
      </c>
      <c r="H66" s="1640" t="s">
        <v>61</v>
      </c>
      <c r="I66" s="1639"/>
    </row>
    <row r="67" spans="1:9" s="1638" customFormat="1" ht="15.75" thickTop="1" x14ac:dyDescent="0.25">
      <c r="A67" s="1623">
        <v>5273</v>
      </c>
      <c r="B67" s="1622">
        <v>6122</v>
      </c>
      <c r="C67" s="1621"/>
      <c r="D67" s="1629" t="s">
        <v>604</v>
      </c>
      <c r="E67" s="1856"/>
      <c r="F67" s="1628">
        <v>264</v>
      </c>
      <c r="G67" s="1627">
        <v>256</v>
      </c>
      <c r="H67" s="1634">
        <f>(G67/F67)*100</f>
        <v>96.969696969696969</v>
      </c>
      <c r="I67" s="1639"/>
    </row>
    <row r="68" spans="1:9" s="1638" customFormat="1" ht="15" thickTop="1" x14ac:dyDescent="0.2">
      <c r="A68" s="1623"/>
      <c r="B68" s="1622"/>
      <c r="C68" s="1069" t="s">
        <v>22</v>
      </c>
      <c r="D68" s="1064" t="s">
        <v>1203</v>
      </c>
      <c r="E68" s="1856"/>
      <c r="F68" s="1619">
        <v>264</v>
      </c>
      <c r="G68" s="1618">
        <v>256</v>
      </c>
      <c r="H68" s="1617">
        <f>(G68/F68)*100</f>
        <v>96.969696969696969</v>
      </c>
      <c r="I68" s="1639"/>
    </row>
    <row r="69" spans="1:9" s="1616" customFormat="1" ht="15" x14ac:dyDescent="0.25">
      <c r="A69" s="1623">
        <v>5511</v>
      </c>
      <c r="B69" s="1622">
        <v>6331</v>
      </c>
      <c r="C69" s="1625"/>
      <c r="D69" s="1633" t="s">
        <v>815</v>
      </c>
      <c r="E69" s="1632"/>
      <c r="F69" s="1628">
        <v>120</v>
      </c>
      <c r="G69" s="1627">
        <v>118</v>
      </c>
      <c r="H69" s="1634">
        <f t="shared" ref="H69:H75" si="4">(G69/F69)*100</f>
        <v>98.333333333333329</v>
      </c>
    </row>
    <row r="70" spans="1:9" s="1616" customFormat="1" ht="15" x14ac:dyDescent="0.25">
      <c r="A70" s="1623"/>
      <c r="B70" s="1622"/>
      <c r="C70" s="1625" t="s">
        <v>247</v>
      </c>
      <c r="D70" s="2456" t="s">
        <v>32</v>
      </c>
      <c r="E70" s="1632"/>
      <c r="F70" s="1619">
        <v>120</v>
      </c>
      <c r="G70" s="1618">
        <v>118</v>
      </c>
      <c r="H70" s="1617">
        <f t="shared" si="4"/>
        <v>98.333333333333329</v>
      </c>
    </row>
    <row r="71" spans="1:9" s="1616" customFormat="1" ht="15" x14ac:dyDescent="0.25">
      <c r="A71" s="1623">
        <v>5512</v>
      </c>
      <c r="B71" s="1622">
        <v>6341</v>
      </c>
      <c r="C71" s="1630"/>
      <c r="D71" s="1629" t="s">
        <v>248</v>
      </c>
      <c r="E71" s="1632">
        <v>2000</v>
      </c>
      <c r="F71" s="1628">
        <v>4783</v>
      </c>
      <c r="G71" s="1627">
        <v>4781</v>
      </c>
      <c r="H71" s="1626">
        <f t="shared" si="4"/>
        <v>99.958185239389508</v>
      </c>
    </row>
    <row r="72" spans="1:9" s="1616" customFormat="1" ht="14.25" x14ac:dyDescent="0.2">
      <c r="A72" s="1623"/>
      <c r="B72" s="1622"/>
      <c r="C72" s="1625" t="s">
        <v>1204</v>
      </c>
      <c r="D72" s="1624" t="s">
        <v>1118</v>
      </c>
      <c r="E72" s="1620"/>
      <c r="F72" s="1619">
        <v>2633</v>
      </c>
      <c r="G72" s="1618">
        <v>2631</v>
      </c>
      <c r="H72" s="1617">
        <f t="shared" si="4"/>
        <v>99.924041017850357</v>
      </c>
    </row>
    <row r="73" spans="1:9" s="1616" customFormat="1" ht="14.25" x14ac:dyDescent="0.2">
      <c r="A73" s="1623"/>
      <c r="B73" s="1622"/>
      <c r="C73" s="1625" t="s">
        <v>247</v>
      </c>
      <c r="D73" s="2457" t="s">
        <v>32</v>
      </c>
      <c r="E73" s="1620"/>
      <c r="F73" s="1619">
        <v>150</v>
      </c>
      <c r="G73" s="1618">
        <v>150</v>
      </c>
      <c r="H73" s="1617">
        <f t="shared" si="4"/>
        <v>100</v>
      </c>
    </row>
    <row r="74" spans="1:9" s="1616" customFormat="1" ht="15" thickBot="1" x14ac:dyDescent="0.25">
      <c r="A74" s="1688"/>
      <c r="B74" s="1687"/>
      <c r="C74" s="2367" t="s">
        <v>352</v>
      </c>
      <c r="D74" s="2368" t="s">
        <v>891</v>
      </c>
      <c r="E74" s="2196">
        <v>2000</v>
      </c>
      <c r="F74" s="2369">
        <v>2000</v>
      </c>
      <c r="G74" s="2370">
        <v>2000</v>
      </c>
      <c r="H74" s="2371">
        <f t="shared" si="4"/>
        <v>100</v>
      </c>
    </row>
    <row r="75" spans="1:9" s="1609" customFormat="1" ht="29.25" customHeight="1" thickTop="1" thickBot="1" x14ac:dyDescent="0.3">
      <c r="A75" s="2362" t="s">
        <v>244</v>
      </c>
      <c r="B75" s="2363"/>
      <c r="C75" s="2364"/>
      <c r="D75" s="1612"/>
      <c r="E75" s="2365">
        <f>E71</f>
        <v>2000</v>
      </c>
      <c r="F75" s="2365">
        <f>F67+F69+F71</f>
        <v>5167</v>
      </c>
      <c r="G75" s="2365">
        <f>G67+G69+G71</f>
        <v>5155</v>
      </c>
      <c r="H75" s="2366">
        <f t="shared" si="4"/>
        <v>99.767756918908461</v>
      </c>
      <c r="I75" s="1581"/>
    </row>
    <row r="76" spans="1:9" ht="13.5" thickTop="1" x14ac:dyDescent="0.2">
      <c r="H76" s="1595"/>
    </row>
    <row r="77" spans="1:9" x14ac:dyDescent="0.2">
      <c r="E77" s="1586">
        <f>E56+E75</f>
        <v>14082</v>
      </c>
      <c r="F77" s="1586">
        <f>F56+F75</f>
        <v>21414</v>
      </c>
      <c r="G77" s="1586">
        <f>G56+G75</f>
        <v>20741</v>
      </c>
      <c r="H77" s="1595"/>
    </row>
    <row r="78" spans="1:9" x14ac:dyDescent="0.2">
      <c r="H78" s="1595"/>
    </row>
    <row r="79" spans="1:9" x14ac:dyDescent="0.2">
      <c r="H79" s="1595"/>
    </row>
    <row r="80" spans="1:9" x14ac:dyDescent="0.2">
      <c r="H80" s="1595"/>
    </row>
    <row r="81" spans="1:9" x14ac:dyDescent="0.2">
      <c r="H81" s="1595"/>
    </row>
    <row r="82" spans="1:9" ht="18.75" thickBot="1" x14ac:dyDescent="0.3">
      <c r="A82" s="1710" t="s">
        <v>1249</v>
      </c>
      <c r="B82" s="1709"/>
      <c r="C82" s="1709"/>
      <c r="D82" s="1708"/>
      <c r="E82" s="1707"/>
      <c r="F82" s="1706" t="s">
        <v>606</v>
      </c>
      <c r="I82" s="1654"/>
    </row>
    <row r="83" spans="1:9" ht="12.75" customHeight="1" x14ac:dyDescent="0.25">
      <c r="A83" s="2372" t="s">
        <v>1835</v>
      </c>
      <c r="B83" s="1658"/>
      <c r="C83" s="1658"/>
      <c r="D83" s="1701"/>
      <c r="E83" s="1655"/>
      <c r="F83" s="1655"/>
      <c r="G83" s="2442"/>
      <c r="H83" s="1653"/>
      <c r="I83" s="1654"/>
    </row>
    <row r="84" spans="1:9" x14ac:dyDescent="0.2">
      <c r="H84" s="1595"/>
    </row>
    <row r="85" spans="1:9" ht="14.25" x14ac:dyDescent="0.2">
      <c r="A85" s="67" t="s">
        <v>367</v>
      </c>
      <c r="B85" s="28"/>
      <c r="C85" s="523" t="s">
        <v>1641</v>
      </c>
      <c r="D85" s="627"/>
      <c r="H85" s="1595"/>
    </row>
    <row r="86" spans="1:9" ht="18" x14ac:dyDescent="0.25">
      <c r="A86" s="6"/>
      <c r="B86" s="28"/>
      <c r="C86" s="523" t="s">
        <v>1640</v>
      </c>
      <c r="D86" s="382"/>
      <c r="H86" s="1595"/>
    </row>
    <row r="87" spans="1:9" x14ac:dyDescent="0.2">
      <c r="H87" s="1595"/>
    </row>
    <row r="88" spans="1:9" x14ac:dyDescent="0.2">
      <c r="H88" s="1595"/>
    </row>
    <row r="89" spans="1:9" ht="18" x14ac:dyDescent="0.25">
      <c r="A89" s="1659" t="s">
        <v>884</v>
      </c>
      <c r="B89" s="1658"/>
      <c r="C89" s="1658"/>
      <c r="D89" s="1701"/>
      <c r="E89" s="1655"/>
      <c r="F89" s="1655"/>
      <c r="G89" s="2442"/>
      <c r="H89" s="1653"/>
      <c r="I89" s="1654"/>
    </row>
    <row r="90" spans="1:9" ht="13.5" thickBot="1" x14ac:dyDescent="0.25">
      <c r="A90" s="1652"/>
      <c r="B90" s="1652"/>
      <c r="C90" s="1652"/>
      <c r="D90" s="1677"/>
      <c r="G90" s="1650"/>
      <c r="H90" s="1585" t="s">
        <v>161</v>
      </c>
    </row>
    <row r="91" spans="1:9" s="1644" customFormat="1" ht="20.25" customHeight="1" thickTop="1" thickBot="1" x14ac:dyDescent="0.25">
      <c r="A91" s="1649" t="s">
        <v>162</v>
      </c>
      <c r="B91" s="1648" t="s">
        <v>163</v>
      </c>
      <c r="C91" s="1676" t="s">
        <v>705</v>
      </c>
      <c r="D91" s="1676" t="s">
        <v>164</v>
      </c>
      <c r="E91" s="1676" t="s">
        <v>165</v>
      </c>
      <c r="F91" s="1676" t="s">
        <v>881</v>
      </c>
      <c r="G91" s="1676" t="s">
        <v>882</v>
      </c>
      <c r="H91" s="1645" t="s">
        <v>883</v>
      </c>
    </row>
    <row r="92" spans="1:9" s="1638" customFormat="1" ht="13.5" thickTop="1" thickBot="1" x14ac:dyDescent="0.25">
      <c r="A92" s="1643">
        <v>1</v>
      </c>
      <c r="B92" s="1642">
        <v>2</v>
      </c>
      <c r="C92" s="1642">
        <v>3</v>
      </c>
      <c r="D92" s="1642">
        <v>4</v>
      </c>
      <c r="E92" s="1642">
        <v>5</v>
      </c>
      <c r="F92" s="1641">
        <v>6</v>
      </c>
      <c r="G92" s="1641">
        <v>7</v>
      </c>
      <c r="H92" s="1640" t="s">
        <v>61</v>
      </c>
      <c r="I92" s="1639"/>
    </row>
    <row r="93" spans="1:9" s="1690" customFormat="1" ht="15.75" thickTop="1" x14ac:dyDescent="0.25">
      <c r="A93" s="1700">
        <v>2143</v>
      </c>
      <c r="B93" s="1699">
        <v>5139</v>
      </c>
      <c r="C93" s="1698"/>
      <c r="D93" s="1697" t="s">
        <v>625</v>
      </c>
      <c r="E93" s="1636">
        <v>200</v>
      </c>
      <c r="F93" s="1637">
        <v>350</v>
      </c>
      <c r="G93" s="1636">
        <v>347</v>
      </c>
      <c r="H93" s="1671">
        <f t="shared" ref="H93:H135" si="5">(G93/F93)*100</f>
        <v>99.142857142857139</v>
      </c>
    </row>
    <row r="94" spans="1:9" s="1690" customFormat="1" ht="15" customHeight="1" x14ac:dyDescent="0.25">
      <c r="A94" s="1696"/>
      <c r="B94" s="1695"/>
      <c r="C94" s="1625" t="s">
        <v>1472</v>
      </c>
      <c r="D94" s="2458" t="s">
        <v>1471</v>
      </c>
      <c r="E94" s="1692">
        <v>350</v>
      </c>
      <c r="F94" s="1691">
        <v>350</v>
      </c>
      <c r="G94" s="1618">
        <v>347</v>
      </c>
      <c r="H94" s="1668">
        <f t="shared" si="5"/>
        <v>99.142857142857139</v>
      </c>
    </row>
    <row r="95" spans="1:9" s="1690" customFormat="1" ht="15" customHeight="1" x14ac:dyDescent="0.25">
      <c r="A95" s="1684">
        <v>2143</v>
      </c>
      <c r="B95" s="1683">
        <v>5164</v>
      </c>
      <c r="C95" s="1625"/>
      <c r="D95" s="1667" t="s">
        <v>170</v>
      </c>
      <c r="E95" s="1692"/>
      <c r="F95" s="1694">
        <v>16</v>
      </c>
      <c r="G95" s="1627">
        <v>15</v>
      </c>
      <c r="H95" s="1671">
        <f t="shared" si="5"/>
        <v>93.75</v>
      </c>
    </row>
    <row r="96" spans="1:9" s="1690" customFormat="1" ht="15" customHeight="1" x14ac:dyDescent="0.25">
      <c r="A96" s="1696"/>
      <c r="B96" s="1695"/>
      <c r="C96" s="1625" t="s">
        <v>1472</v>
      </c>
      <c r="D96" s="2458" t="s">
        <v>1471</v>
      </c>
      <c r="E96" s="1692"/>
      <c r="F96" s="1691">
        <v>16</v>
      </c>
      <c r="G96" s="1618">
        <v>15</v>
      </c>
      <c r="H96" s="1668">
        <f t="shared" si="5"/>
        <v>93.75</v>
      </c>
    </row>
    <row r="97" spans="1:8" s="1690" customFormat="1" ht="15" customHeight="1" x14ac:dyDescent="0.25">
      <c r="A97" s="1684">
        <v>2143</v>
      </c>
      <c r="B97" s="1683">
        <v>5166</v>
      </c>
      <c r="C97" s="1625"/>
      <c r="D97" s="1667" t="s">
        <v>609</v>
      </c>
      <c r="E97" s="1693">
        <v>239</v>
      </c>
      <c r="F97" s="1694">
        <v>239</v>
      </c>
      <c r="G97" s="1627">
        <v>154</v>
      </c>
      <c r="H97" s="1671">
        <f t="shared" si="5"/>
        <v>64.43514644351464</v>
      </c>
    </row>
    <row r="98" spans="1:8" s="1690" customFormat="1" ht="15" customHeight="1" x14ac:dyDescent="0.2">
      <c r="A98" s="1684"/>
      <c r="B98" s="1683"/>
      <c r="C98" s="1625" t="s">
        <v>1472</v>
      </c>
      <c r="D98" s="2456" t="s">
        <v>1471</v>
      </c>
      <c r="E98" s="1692">
        <v>239</v>
      </c>
      <c r="F98" s="1691">
        <v>239</v>
      </c>
      <c r="G98" s="1618">
        <v>154</v>
      </c>
      <c r="H98" s="1668">
        <f t="shared" si="5"/>
        <v>64.43514644351464</v>
      </c>
    </row>
    <row r="99" spans="1:8" s="1690" customFormat="1" ht="15" customHeight="1" x14ac:dyDescent="0.25">
      <c r="A99" s="1684">
        <v>2143</v>
      </c>
      <c r="B99" s="1683">
        <v>5168</v>
      </c>
      <c r="C99" s="1625"/>
      <c r="D99" s="2632" t="s">
        <v>1836</v>
      </c>
      <c r="E99" s="1692"/>
      <c r="F99" s="1694">
        <v>535</v>
      </c>
      <c r="G99" s="1627">
        <v>473</v>
      </c>
      <c r="H99" s="1665">
        <f t="shared" si="5"/>
        <v>88.411214953271028</v>
      </c>
    </row>
    <row r="100" spans="1:8" s="1690" customFormat="1" ht="15" customHeight="1" x14ac:dyDescent="0.2">
      <c r="A100" s="1684"/>
      <c r="B100" s="1683"/>
      <c r="C100" s="1625"/>
      <c r="D100" s="2633"/>
      <c r="E100" s="1692"/>
      <c r="F100" s="1691"/>
      <c r="G100" s="1618"/>
      <c r="H100" s="1668"/>
    </row>
    <row r="101" spans="1:8" s="1690" customFormat="1" ht="15" customHeight="1" x14ac:dyDescent="0.2">
      <c r="A101" s="1684"/>
      <c r="B101" s="1683"/>
      <c r="C101" s="1625" t="s">
        <v>1472</v>
      </c>
      <c r="D101" s="2456" t="s">
        <v>1471</v>
      </c>
      <c r="E101" s="1692"/>
      <c r="F101" s="1691">
        <v>535</v>
      </c>
      <c r="G101" s="1618">
        <v>473</v>
      </c>
      <c r="H101" s="1668">
        <f t="shared" si="5"/>
        <v>88.411214953271028</v>
      </c>
    </row>
    <row r="102" spans="1:8" s="1616" customFormat="1" ht="15" x14ac:dyDescent="0.25">
      <c r="A102" s="1684">
        <v>2143</v>
      </c>
      <c r="B102" s="1683">
        <v>5169</v>
      </c>
      <c r="C102" s="1625"/>
      <c r="D102" s="1667" t="s">
        <v>852</v>
      </c>
      <c r="E102" s="1673">
        <v>5889</v>
      </c>
      <c r="F102" s="1673">
        <v>3292</v>
      </c>
      <c r="G102" s="1673">
        <v>2753</v>
      </c>
      <c r="H102" s="1671">
        <f t="shared" si="5"/>
        <v>83.626974483596598</v>
      </c>
    </row>
    <row r="103" spans="1:8" s="1616" customFormat="1" ht="14.25" x14ac:dyDescent="0.2">
      <c r="A103" s="1684"/>
      <c r="B103" s="1683"/>
      <c r="C103" s="1069" t="s">
        <v>753</v>
      </c>
      <c r="D103" s="1063" t="s">
        <v>1259</v>
      </c>
      <c r="E103" s="1620">
        <v>1150</v>
      </c>
      <c r="F103" s="1689">
        <v>754</v>
      </c>
      <c r="G103" s="1620">
        <v>254</v>
      </c>
      <c r="H103" s="1668">
        <f t="shared" si="5"/>
        <v>33.687002652519894</v>
      </c>
    </row>
    <row r="104" spans="1:8" s="1616" customFormat="1" ht="15" customHeight="1" x14ac:dyDescent="0.2">
      <c r="A104" s="1684"/>
      <c r="B104" s="1683"/>
      <c r="C104" s="1625" t="s">
        <v>1472</v>
      </c>
      <c r="D104" s="2456" t="s">
        <v>1471</v>
      </c>
      <c r="E104" s="1620">
        <v>4739</v>
      </c>
      <c r="F104" s="1619">
        <v>2538</v>
      </c>
      <c r="G104" s="1618">
        <v>2399</v>
      </c>
      <c r="H104" s="1668">
        <f t="shared" si="5"/>
        <v>94.523246650906216</v>
      </c>
    </row>
    <row r="105" spans="1:8" s="1616" customFormat="1" ht="15" customHeight="1" x14ac:dyDescent="0.25">
      <c r="A105" s="1684">
        <v>2143</v>
      </c>
      <c r="B105" s="1683">
        <v>5175</v>
      </c>
      <c r="C105" s="1625"/>
      <c r="D105" s="1667" t="s">
        <v>669</v>
      </c>
      <c r="E105" s="1673">
        <v>15</v>
      </c>
      <c r="F105" s="1666">
        <v>15</v>
      </c>
      <c r="G105" s="1627">
        <v>10</v>
      </c>
      <c r="H105" s="1671">
        <f t="shared" si="5"/>
        <v>66.666666666666657</v>
      </c>
    </row>
    <row r="106" spans="1:8" s="1616" customFormat="1" ht="15" customHeight="1" x14ac:dyDescent="0.2">
      <c r="A106" s="1684"/>
      <c r="B106" s="1683"/>
      <c r="C106" s="1625" t="s">
        <v>1472</v>
      </c>
      <c r="D106" s="2456" t="s">
        <v>1471</v>
      </c>
      <c r="E106" s="1620">
        <v>15</v>
      </c>
      <c r="F106" s="1618">
        <v>15</v>
      </c>
      <c r="G106" s="1618">
        <v>10</v>
      </c>
      <c r="H106" s="1668">
        <f t="shared" si="5"/>
        <v>66.666666666666657</v>
      </c>
    </row>
    <row r="107" spans="1:8" s="1616" customFormat="1" ht="15" customHeight="1" x14ac:dyDescent="0.25">
      <c r="A107" s="1684">
        <v>2143</v>
      </c>
      <c r="B107" s="1683">
        <v>5212</v>
      </c>
      <c r="C107" s="1625"/>
      <c r="D107" s="1633" t="s">
        <v>1477</v>
      </c>
      <c r="E107" s="1632">
        <f>E110+E111+E112</f>
        <v>400</v>
      </c>
      <c r="F107" s="1632">
        <f>F110+F111+F112+F108+F109</f>
        <v>780</v>
      </c>
      <c r="G107" s="1632">
        <f>G110+G111+G112+G108+G109</f>
        <v>722</v>
      </c>
      <c r="H107" s="1671">
        <f t="shared" si="5"/>
        <v>92.564102564102569</v>
      </c>
    </row>
    <row r="108" spans="1:8" s="1616" customFormat="1" ht="15" customHeight="1" x14ac:dyDescent="0.25">
      <c r="A108" s="1684"/>
      <c r="B108" s="1683"/>
      <c r="C108" s="1630" t="s">
        <v>249</v>
      </c>
      <c r="D108" s="1631" t="s">
        <v>318</v>
      </c>
      <c r="E108" s="1632"/>
      <c r="F108" s="1620">
        <v>150</v>
      </c>
      <c r="G108" s="1620">
        <v>150</v>
      </c>
      <c r="H108" s="1668">
        <f t="shared" si="5"/>
        <v>100</v>
      </c>
    </row>
    <row r="109" spans="1:8" s="1616" customFormat="1" ht="15" customHeight="1" x14ac:dyDescent="0.25">
      <c r="A109" s="1684"/>
      <c r="B109" s="1683"/>
      <c r="C109" s="1630" t="s">
        <v>1202</v>
      </c>
      <c r="D109" s="1631" t="s">
        <v>1635</v>
      </c>
      <c r="E109" s="1632"/>
      <c r="F109" s="1620">
        <v>30</v>
      </c>
      <c r="G109" s="1620">
        <v>30</v>
      </c>
      <c r="H109" s="1668">
        <f t="shared" si="5"/>
        <v>100</v>
      </c>
    </row>
    <row r="110" spans="1:8" s="1616" customFormat="1" ht="15" customHeight="1" x14ac:dyDescent="0.2">
      <c r="A110" s="1684"/>
      <c r="B110" s="1683"/>
      <c r="C110" s="1625" t="s">
        <v>1476</v>
      </c>
      <c r="D110" s="2456" t="s">
        <v>1475</v>
      </c>
      <c r="E110" s="1620">
        <v>400</v>
      </c>
      <c r="F110" s="1618">
        <v>400</v>
      </c>
      <c r="G110" s="1618">
        <v>372</v>
      </c>
      <c r="H110" s="1668">
        <f t="shared" si="5"/>
        <v>93</v>
      </c>
    </row>
    <row r="111" spans="1:8" s="1616" customFormat="1" ht="15" customHeight="1" x14ac:dyDescent="0.2">
      <c r="A111" s="1684"/>
      <c r="B111" s="1683"/>
      <c r="C111" s="1625" t="s">
        <v>1478</v>
      </c>
      <c r="D111" s="2456" t="s">
        <v>1479</v>
      </c>
      <c r="E111" s="1620"/>
      <c r="F111" s="1618">
        <v>170</v>
      </c>
      <c r="G111" s="1618">
        <v>140</v>
      </c>
      <c r="H111" s="1668">
        <f t="shared" si="5"/>
        <v>82.35294117647058</v>
      </c>
    </row>
    <row r="112" spans="1:8" s="1616" customFormat="1" ht="15" customHeight="1" x14ac:dyDescent="0.2">
      <c r="A112" s="1684"/>
      <c r="B112" s="1683"/>
      <c r="C112" s="1625" t="s">
        <v>1480</v>
      </c>
      <c r="D112" s="2456" t="s">
        <v>1481</v>
      </c>
      <c r="E112" s="1620"/>
      <c r="F112" s="1618">
        <v>30</v>
      </c>
      <c r="G112" s="1618">
        <v>30</v>
      </c>
      <c r="H112" s="1668">
        <f t="shared" si="5"/>
        <v>100</v>
      </c>
    </row>
    <row r="113" spans="1:8" s="1616" customFormat="1" ht="15" customHeight="1" x14ac:dyDescent="0.25">
      <c r="A113" s="1684">
        <v>2143</v>
      </c>
      <c r="B113" s="1683">
        <v>5213</v>
      </c>
      <c r="C113" s="1625"/>
      <c r="D113" s="1667" t="s">
        <v>212</v>
      </c>
      <c r="E113" s="1620"/>
      <c r="F113" s="1627">
        <f>F115+F116+F114</f>
        <v>330</v>
      </c>
      <c r="G113" s="1627">
        <f>G115+G116+G114</f>
        <v>295</v>
      </c>
      <c r="H113" s="1665">
        <f t="shared" si="5"/>
        <v>89.393939393939391</v>
      </c>
    </row>
    <row r="114" spans="1:8" s="1616" customFormat="1" ht="15" customHeight="1" x14ac:dyDescent="0.2">
      <c r="A114" s="1684"/>
      <c r="B114" s="1683"/>
      <c r="C114" s="1630" t="s">
        <v>1202</v>
      </c>
      <c r="D114" s="1631" t="s">
        <v>1635</v>
      </c>
      <c r="E114" s="1620"/>
      <c r="F114" s="1618">
        <v>15</v>
      </c>
      <c r="G114" s="1618">
        <v>15</v>
      </c>
      <c r="H114" s="1668">
        <f t="shared" si="5"/>
        <v>100</v>
      </c>
    </row>
    <row r="115" spans="1:8" s="1616" customFormat="1" ht="15" customHeight="1" x14ac:dyDescent="0.2">
      <c r="A115" s="1684"/>
      <c r="B115" s="1683"/>
      <c r="C115" s="1625" t="s">
        <v>1478</v>
      </c>
      <c r="D115" s="2456" t="s">
        <v>1479</v>
      </c>
      <c r="E115" s="1620"/>
      <c r="F115" s="1618">
        <v>170</v>
      </c>
      <c r="G115" s="1618">
        <v>170</v>
      </c>
      <c r="H115" s="1668">
        <f t="shared" si="5"/>
        <v>100</v>
      </c>
    </row>
    <row r="116" spans="1:8" s="1616" customFormat="1" ht="15" customHeight="1" x14ac:dyDescent="0.2">
      <c r="A116" s="1684"/>
      <c r="B116" s="1683"/>
      <c r="C116" s="1625" t="s">
        <v>1480</v>
      </c>
      <c r="D116" s="2456" t="s">
        <v>1481</v>
      </c>
      <c r="E116" s="1620"/>
      <c r="F116" s="1618">
        <v>145</v>
      </c>
      <c r="G116" s="1618">
        <v>110</v>
      </c>
      <c r="H116" s="1668">
        <f t="shared" si="5"/>
        <v>75.862068965517238</v>
      </c>
    </row>
    <row r="117" spans="1:8" s="1616" customFormat="1" ht="15" customHeight="1" x14ac:dyDescent="0.25">
      <c r="A117" s="1684">
        <v>2143</v>
      </c>
      <c r="B117" s="1683">
        <v>5221</v>
      </c>
      <c r="C117" s="1625"/>
      <c r="D117" s="1667" t="s">
        <v>46</v>
      </c>
      <c r="E117" s="1620"/>
      <c r="F117" s="1627">
        <v>55</v>
      </c>
      <c r="G117" s="1627">
        <v>55</v>
      </c>
      <c r="H117" s="1665">
        <f t="shared" si="5"/>
        <v>100</v>
      </c>
    </row>
    <row r="118" spans="1:8" s="1616" customFormat="1" ht="15" customHeight="1" x14ac:dyDescent="0.2">
      <c r="A118" s="1684"/>
      <c r="B118" s="1683"/>
      <c r="C118" s="1625" t="s">
        <v>1480</v>
      </c>
      <c r="D118" s="2456" t="s">
        <v>1481</v>
      </c>
      <c r="E118" s="1620"/>
      <c r="F118" s="1619">
        <v>55</v>
      </c>
      <c r="G118" s="1618">
        <v>55</v>
      </c>
      <c r="H118" s="1668">
        <f t="shared" si="5"/>
        <v>100</v>
      </c>
    </row>
    <row r="119" spans="1:8" s="1616" customFormat="1" ht="15" x14ac:dyDescent="0.25">
      <c r="A119" s="1684">
        <v>2143</v>
      </c>
      <c r="B119" s="1683">
        <v>5222</v>
      </c>
      <c r="C119" s="1711"/>
      <c r="D119" s="1680" t="s">
        <v>221</v>
      </c>
      <c r="E119" s="1673">
        <v>400</v>
      </c>
      <c r="F119" s="1672">
        <f>F120+F123+F121+F122</f>
        <v>1058</v>
      </c>
      <c r="G119" s="1672">
        <f>G120+G123+G121+G122</f>
        <v>1043</v>
      </c>
      <c r="H119" s="1671">
        <f t="shared" si="5"/>
        <v>98.582230623818518</v>
      </c>
    </row>
    <row r="120" spans="1:8" s="1616" customFormat="1" ht="14.25" x14ac:dyDescent="0.2">
      <c r="A120" s="1684"/>
      <c r="B120" s="1683"/>
      <c r="C120" s="1625" t="s">
        <v>1474</v>
      </c>
      <c r="D120" s="2458" t="s">
        <v>1473</v>
      </c>
      <c r="E120" s="1620">
        <v>400</v>
      </c>
      <c r="F120" s="1619">
        <v>400</v>
      </c>
      <c r="G120" s="1618">
        <v>400</v>
      </c>
      <c r="H120" s="1668">
        <f t="shared" si="5"/>
        <v>100</v>
      </c>
    </row>
    <row r="121" spans="1:8" s="1616" customFormat="1" ht="14.25" x14ac:dyDescent="0.2">
      <c r="A121" s="1684"/>
      <c r="B121" s="1683"/>
      <c r="C121" s="1625" t="s">
        <v>1478</v>
      </c>
      <c r="D121" s="2456" t="s">
        <v>1479</v>
      </c>
      <c r="E121" s="1620"/>
      <c r="F121" s="1619">
        <v>430</v>
      </c>
      <c r="G121" s="1618">
        <v>430</v>
      </c>
      <c r="H121" s="1668">
        <f t="shared" si="5"/>
        <v>100</v>
      </c>
    </row>
    <row r="122" spans="1:8" s="1616" customFormat="1" ht="14.25" x14ac:dyDescent="0.2">
      <c r="A122" s="1684"/>
      <c r="B122" s="1683"/>
      <c r="C122" s="1625" t="s">
        <v>1480</v>
      </c>
      <c r="D122" s="2456" t="s">
        <v>1481</v>
      </c>
      <c r="E122" s="1620"/>
      <c r="F122" s="1619">
        <v>40</v>
      </c>
      <c r="G122" s="1618">
        <v>40</v>
      </c>
      <c r="H122" s="1668">
        <f t="shared" si="5"/>
        <v>100</v>
      </c>
    </row>
    <row r="123" spans="1:8" s="1616" customFormat="1" ht="14.25" x14ac:dyDescent="0.2">
      <c r="A123" s="1684"/>
      <c r="B123" s="1683"/>
      <c r="C123" s="1625" t="s">
        <v>1482</v>
      </c>
      <c r="D123" s="1631" t="s">
        <v>1483</v>
      </c>
      <c r="E123" s="1620"/>
      <c r="F123" s="1619">
        <v>188</v>
      </c>
      <c r="G123" s="1618">
        <v>173</v>
      </c>
      <c r="H123" s="1668">
        <f t="shared" si="5"/>
        <v>92.021276595744681</v>
      </c>
    </row>
    <row r="124" spans="1:8" s="1616" customFormat="1" ht="15" x14ac:dyDescent="0.25">
      <c r="A124" s="1684">
        <v>2143</v>
      </c>
      <c r="B124" s="1683">
        <v>5229</v>
      </c>
      <c r="C124" s="1625"/>
      <c r="D124" s="1667" t="s">
        <v>1132</v>
      </c>
      <c r="E124" s="1673">
        <f>E125+E126+E127</f>
        <v>4300</v>
      </c>
      <c r="F124" s="1673">
        <f>F125+F126+F127+F128</f>
        <v>4568</v>
      </c>
      <c r="G124" s="1673">
        <f>G125+G126+G127+G128</f>
        <v>4568</v>
      </c>
      <c r="H124" s="1671">
        <f t="shared" si="5"/>
        <v>100</v>
      </c>
    </row>
    <row r="125" spans="1:8" s="1616" customFormat="1" ht="14.25" x14ac:dyDescent="0.2">
      <c r="A125" s="1684"/>
      <c r="B125" s="1683"/>
      <c r="C125" s="1630" t="s">
        <v>249</v>
      </c>
      <c r="D125" s="1631" t="s">
        <v>318</v>
      </c>
      <c r="E125" s="1620">
        <v>800</v>
      </c>
      <c r="F125" s="1689">
        <v>800</v>
      </c>
      <c r="G125" s="1618">
        <v>800</v>
      </c>
      <c r="H125" s="1668">
        <f t="shared" si="5"/>
        <v>100</v>
      </c>
    </row>
    <row r="126" spans="1:8" s="1616" customFormat="1" ht="14.25" x14ac:dyDescent="0.2">
      <c r="A126" s="1684"/>
      <c r="B126" s="1683"/>
      <c r="C126" s="1625" t="s">
        <v>1469</v>
      </c>
      <c r="D126" s="1624" t="s">
        <v>1470</v>
      </c>
      <c r="E126" s="1620">
        <v>3500</v>
      </c>
      <c r="F126" s="1619">
        <v>3500</v>
      </c>
      <c r="G126" s="1618">
        <v>3500</v>
      </c>
      <c r="H126" s="1668">
        <f t="shared" si="5"/>
        <v>100</v>
      </c>
    </row>
    <row r="127" spans="1:8" s="1616" customFormat="1" ht="14.25" customHeight="1" x14ac:dyDescent="0.2">
      <c r="A127" s="1684"/>
      <c r="B127" s="1683"/>
      <c r="C127" s="1625" t="s">
        <v>1478</v>
      </c>
      <c r="D127" s="2456" t="s">
        <v>1479</v>
      </c>
      <c r="E127" s="1620"/>
      <c r="F127" s="1619">
        <v>210</v>
      </c>
      <c r="G127" s="1618">
        <v>210</v>
      </c>
      <c r="H127" s="1668">
        <f t="shared" si="5"/>
        <v>100</v>
      </c>
    </row>
    <row r="128" spans="1:8" s="1616" customFormat="1" ht="14.25" customHeight="1" thickBot="1" x14ac:dyDescent="0.25">
      <c r="A128" s="1684"/>
      <c r="B128" s="1683"/>
      <c r="C128" s="1625" t="s">
        <v>1482</v>
      </c>
      <c r="D128" s="1631" t="s">
        <v>1483</v>
      </c>
      <c r="E128" s="1620"/>
      <c r="F128" s="1619">
        <v>58</v>
      </c>
      <c r="G128" s="1618">
        <v>58</v>
      </c>
      <c r="H128" s="1668">
        <f t="shared" si="5"/>
        <v>100</v>
      </c>
    </row>
    <row r="129" spans="1:9" s="1616" customFormat="1" ht="14.25" customHeight="1" thickTop="1" x14ac:dyDescent="0.2">
      <c r="A129" s="1699"/>
      <c r="B129" s="1699"/>
      <c r="C129" s="2377"/>
      <c r="D129" s="1797"/>
      <c r="E129" s="2378"/>
      <c r="F129" s="2379"/>
      <c r="G129" s="2379"/>
      <c r="H129" s="2380"/>
    </row>
    <row r="130" spans="1:9" s="1616" customFormat="1" ht="14.25" customHeight="1" x14ac:dyDescent="0.2">
      <c r="A130" s="1683"/>
      <c r="B130" s="1683"/>
      <c r="C130" s="2381"/>
      <c r="D130" s="1631"/>
      <c r="E130" s="1689"/>
      <c r="F130" s="1619"/>
      <c r="G130" s="1619"/>
      <c r="H130" s="2195"/>
    </row>
    <row r="131" spans="1:9" ht="13.5" thickBot="1" x14ac:dyDescent="0.25">
      <c r="A131" s="1652"/>
      <c r="B131" s="1652"/>
      <c r="C131" s="1652"/>
      <c r="D131" s="1677"/>
      <c r="G131" s="1650"/>
      <c r="H131" s="1585" t="s">
        <v>161</v>
      </c>
    </row>
    <row r="132" spans="1:9" s="1644" customFormat="1" ht="20.25" customHeight="1" thickTop="1" thickBot="1" x14ac:dyDescent="0.25">
      <c r="A132" s="1649" t="s">
        <v>162</v>
      </c>
      <c r="B132" s="1648" t="s">
        <v>163</v>
      </c>
      <c r="C132" s="1676" t="s">
        <v>705</v>
      </c>
      <c r="D132" s="1676" t="s">
        <v>164</v>
      </c>
      <c r="E132" s="1676" t="s">
        <v>165</v>
      </c>
      <c r="F132" s="1676" t="s">
        <v>881</v>
      </c>
      <c r="G132" s="1676" t="s">
        <v>882</v>
      </c>
      <c r="H132" s="1645" t="s">
        <v>883</v>
      </c>
    </row>
    <row r="133" spans="1:9" s="1638" customFormat="1" ht="13.5" thickTop="1" thickBot="1" x14ac:dyDescent="0.25">
      <c r="A133" s="1643">
        <v>1</v>
      </c>
      <c r="B133" s="1642">
        <v>2</v>
      </c>
      <c r="C133" s="1642">
        <v>3</v>
      </c>
      <c r="D133" s="1642">
        <v>4</v>
      </c>
      <c r="E133" s="1642">
        <v>5</v>
      </c>
      <c r="F133" s="1641">
        <v>6</v>
      </c>
      <c r="G133" s="1641">
        <v>7</v>
      </c>
      <c r="H133" s="1640" t="s">
        <v>61</v>
      </c>
      <c r="I133" s="1639"/>
    </row>
    <row r="134" spans="1:9" s="1616" customFormat="1" ht="14.25" customHeight="1" thickTop="1" x14ac:dyDescent="0.25">
      <c r="A134" s="1684">
        <v>2143</v>
      </c>
      <c r="B134" s="1683">
        <v>5321</v>
      </c>
      <c r="C134" s="1625"/>
      <c r="D134" s="1667" t="s">
        <v>1201</v>
      </c>
      <c r="E134" s="1632">
        <f>E135+E136+E137+E138</f>
        <v>1150</v>
      </c>
      <c r="F134" s="1632">
        <f>F135+F136+F137+F138</f>
        <v>1220</v>
      </c>
      <c r="G134" s="1632">
        <f>G135+G136+G137+G138</f>
        <v>1183</v>
      </c>
      <c r="H134" s="1671">
        <f t="shared" si="5"/>
        <v>96.967213114754102</v>
      </c>
    </row>
    <row r="135" spans="1:9" s="1616" customFormat="1" ht="14.25" customHeight="1" x14ac:dyDescent="0.2">
      <c r="A135" s="1684"/>
      <c r="B135" s="1683"/>
      <c r="C135" s="1625" t="s">
        <v>1468</v>
      </c>
      <c r="D135" s="2456" t="s">
        <v>1467</v>
      </c>
      <c r="E135" s="1620">
        <v>350</v>
      </c>
      <c r="F135" s="1689">
        <v>350</v>
      </c>
      <c r="G135" s="1620">
        <v>350</v>
      </c>
      <c r="H135" s="1668">
        <f t="shared" si="5"/>
        <v>100</v>
      </c>
    </row>
    <row r="136" spans="1:9" s="1616" customFormat="1" ht="14.25" customHeight="1" x14ac:dyDescent="0.2">
      <c r="A136" s="1684"/>
      <c r="B136" s="1683"/>
      <c r="C136" s="1625" t="s">
        <v>1478</v>
      </c>
      <c r="D136" s="2456" t="s">
        <v>1479</v>
      </c>
      <c r="E136" s="1620"/>
      <c r="F136" s="1619">
        <v>340</v>
      </c>
      <c r="G136" s="1618">
        <v>340</v>
      </c>
      <c r="H136" s="1668">
        <f t="shared" ref="H136:H145" si="6">(G136/F136)*100</f>
        <v>100</v>
      </c>
    </row>
    <row r="137" spans="1:9" s="1616" customFormat="1" ht="14.25" customHeight="1" x14ac:dyDescent="0.2">
      <c r="A137" s="1684"/>
      <c r="B137" s="1683"/>
      <c r="C137" s="1625" t="s">
        <v>1480</v>
      </c>
      <c r="D137" s="2456" t="s">
        <v>1481</v>
      </c>
      <c r="E137" s="1620">
        <v>800</v>
      </c>
      <c r="F137" s="1619">
        <v>500</v>
      </c>
      <c r="G137" s="1618">
        <v>470</v>
      </c>
      <c r="H137" s="1668">
        <f t="shared" si="6"/>
        <v>94</v>
      </c>
    </row>
    <row r="138" spans="1:9" s="1616" customFormat="1" ht="14.25" customHeight="1" x14ac:dyDescent="0.2">
      <c r="A138" s="1684"/>
      <c r="B138" s="1683"/>
      <c r="C138" s="1625" t="s">
        <v>1482</v>
      </c>
      <c r="D138" s="1631" t="s">
        <v>1483</v>
      </c>
      <c r="E138" s="1620"/>
      <c r="F138" s="1619">
        <v>30</v>
      </c>
      <c r="G138" s="1618">
        <v>23</v>
      </c>
      <c r="H138" s="1668">
        <f t="shared" si="6"/>
        <v>76.666666666666671</v>
      </c>
    </row>
    <row r="139" spans="1:9" s="1616" customFormat="1" ht="14.25" customHeight="1" x14ac:dyDescent="0.25">
      <c r="A139" s="1684">
        <v>2143</v>
      </c>
      <c r="B139" s="1683">
        <v>5323</v>
      </c>
      <c r="C139" s="1625"/>
      <c r="D139" s="1675" t="s">
        <v>222</v>
      </c>
      <c r="E139" s="1632">
        <v>300</v>
      </c>
      <c r="F139" s="1628">
        <v>300</v>
      </c>
      <c r="G139" s="1627">
        <v>250</v>
      </c>
      <c r="H139" s="1665">
        <f t="shared" si="6"/>
        <v>83.333333333333343</v>
      </c>
    </row>
    <row r="140" spans="1:9" s="1616" customFormat="1" ht="14.25" customHeight="1" x14ac:dyDescent="0.2">
      <c r="A140" s="1684"/>
      <c r="B140" s="1683"/>
      <c r="C140" s="1625" t="s">
        <v>1472</v>
      </c>
      <c r="D140" s="2456" t="s">
        <v>1471</v>
      </c>
      <c r="E140" s="1620">
        <v>300</v>
      </c>
      <c r="F140" s="1619">
        <v>300</v>
      </c>
      <c r="G140" s="1618">
        <v>250</v>
      </c>
      <c r="H140" s="1668">
        <f t="shared" si="6"/>
        <v>83.333333333333343</v>
      </c>
    </row>
    <row r="141" spans="1:9" s="1616" customFormat="1" ht="15" x14ac:dyDescent="0.25">
      <c r="A141" s="1684">
        <v>2143</v>
      </c>
      <c r="B141" s="1683">
        <v>5329</v>
      </c>
      <c r="C141" s="1625"/>
      <c r="D141" s="1675" t="s">
        <v>921</v>
      </c>
      <c r="E141" s="1632"/>
      <c r="F141" s="1628">
        <v>30</v>
      </c>
      <c r="G141" s="1627">
        <v>30</v>
      </c>
      <c r="H141" s="1665">
        <f t="shared" si="6"/>
        <v>100</v>
      </c>
    </row>
    <row r="142" spans="1:9" s="1616" customFormat="1" ht="14.25" x14ac:dyDescent="0.2">
      <c r="A142" s="1684"/>
      <c r="B142" s="1683"/>
      <c r="C142" s="1625" t="s">
        <v>1480</v>
      </c>
      <c r="D142" s="2456" t="s">
        <v>1481</v>
      </c>
      <c r="E142" s="1620"/>
      <c r="F142" s="1619">
        <v>30</v>
      </c>
      <c r="G142" s="1618">
        <v>30</v>
      </c>
      <c r="H142" s="1668">
        <f t="shared" si="6"/>
        <v>100</v>
      </c>
    </row>
    <row r="143" spans="1:9" s="1616" customFormat="1" ht="15" x14ac:dyDescent="0.25">
      <c r="A143" s="1684">
        <v>2143</v>
      </c>
      <c r="B143" s="1683">
        <v>5331</v>
      </c>
      <c r="C143" s="1625"/>
      <c r="D143" s="1686" t="s">
        <v>951</v>
      </c>
      <c r="E143" s="1620"/>
      <c r="F143" s="1628">
        <v>180</v>
      </c>
      <c r="G143" s="1627">
        <v>180</v>
      </c>
      <c r="H143" s="1665">
        <f t="shared" si="6"/>
        <v>100</v>
      </c>
    </row>
    <row r="144" spans="1:9" s="1616" customFormat="1" ht="14.25" x14ac:dyDescent="0.2">
      <c r="A144" s="1684"/>
      <c r="B144" s="1683"/>
      <c r="C144" s="1625" t="s">
        <v>1478</v>
      </c>
      <c r="D144" s="2456" t="s">
        <v>1479</v>
      </c>
      <c r="E144" s="1620"/>
      <c r="F144" s="1619">
        <v>120</v>
      </c>
      <c r="G144" s="1618">
        <v>120</v>
      </c>
      <c r="H144" s="1668">
        <f t="shared" si="6"/>
        <v>100</v>
      </c>
    </row>
    <row r="145" spans="1:11" s="1616" customFormat="1" ht="14.25" x14ac:dyDescent="0.2">
      <c r="A145" s="1684"/>
      <c r="B145" s="1683"/>
      <c r="C145" s="1625" t="s">
        <v>1482</v>
      </c>
      <c r="D145" s="1631" t="s">
        <v>1483</v>
      </c>
      <c r="E145" s="1620"/>
      <c r="F145" s="1619">
        <v>60</v>
      </c>
      <c r="G145" s="1618">
        <v>60</v>
      </c>
      <c r="H145" s="1668">
        <f t="shared" si="6"/>
        <v>100</v>
      </c>
    </row>
    <row r="146" spans="1:11" s="1616" customFormat="1" ht="15" x14ac:dyDescent="0.25">
      <c r="A146" s="1684">
        <v>2143</v>
      </c>
      <c r="B146" s="1683">
        <v>5339</v>
      </c>
      <c r="C146" s="1625"/>
      <c r="D146" s="1629" t="s">
        <v>1344</v>
      </c>
      <c r="E146" s="1620"/>
      <c r="F146" s="1628">
        <v>60</v>
      </c>
      <c r="G146" s="1627">
        <v>60</v>
      </c>
      <c r="H146" s="1665">
        <f t="shared" ref="H146:H147" si="7">(G146/F146)*100</f>
        <v>100</v>
      </c>
    </row>
    <row r="147" spans="1:11" s="1616" customFormat="1" ht="15" thickBot="1" x14ac:dyDescent="0.25">
      <c r="A147" s="1684"/>
      <c r="B147" s="1683"/>
      <c r="C147" s="1625" t="s">
        <v>1482</v>
      </c>
      <c r="D147" s="1631" t="s">
        <v>1483</v>
      </c>
      <c r="E147" s="1620"/>
      <c r="F147" s="1619">
        <v>60</v>
      </c>
      <c r="G147" s="1618">
        <v>60</v>
      </c>
      <c r="H147" s="1668">
        <f t="shared" si="7"/>
        <v>100</v>
      </c>
    </row>
    <row r="148" spans="1:11" s="1609" customFormat="1" ht="35.25" customHeight="1" thickTop="1" thickBot="1" x14ac:dyDescent="0.3">
      <c r="A148" s="1615" t="s">
        <v>245</v>
      </c>
      <c r="B148" s="1614"/>
      <c r="C148" s="1664"/>
      <c r="D148" s="1614"/>
      <c r="E148" s="1611">
        <f>E93+E97+E102+E105+E107+E119+E124+E134+E139</f>
        <v>12893</v>
      </c>
      <c r="F148" s="1611">
        <f>F93+F95+F97+F99+F102+F105+F107+F113+F117+F119+F124+F134+F139+F141+F143+F146</f>
        <v>13028</v>
      </c>
      <c r="G148" s="1611">
        <f>G93+G95+G97+G99+G102+G105+G107+G113+G117+G119+G124+G134+G139+G141+G143+G146</f>
        <v>12138</v>
      </c>
      <c r="H148" s="1610">
        <f>(G148/F148)*100</f>
        <v>93.168560024562481</v>
      </c>
      <c r="I148" s="1581"/>
      <c r="J148" s="1586"/>
      <c r="K148" s="1586"/>
    </row>
    <row r="149" spans="1:11" ht="15.75" thickTop="1" x14ac:dyDescent="0.25">
      <c r="B149" s="1588"/>
      <c r="C149" s="1651"/>
      <c r="D149" s="1663"/>
      <c r="E149" s="1661"/>
      <c r="F149" s="1662"/>
      <c r="G149" s="1661"/>
      <c r="H149" s="1660"/>
    </row>
    <row r="150" spans="1:11" ht="15" x14ac:dyDescent="0.25">
      <c r="B150" s="1588"/>
      <c r="C150" s="1651"/>
      <c r="D150" s="1663"/>
      <c r="E150" s="1661"/>
      <c r="F150" s="1662"/>
      <c r="G150" s="1712"/>
      <c r="H150" s="1660"/>
    </row>
    <row r="151" spans="1:11" ht="15" x14ac:dyDescent="0.25">
      <c r="B151" s="1588"/>
      <c r="C151" s="1651"/>
      <c r="D151" s="1663"/>
      <c r="E151" s="1661"/>
      <c r="F151" s="1662"/>
      <c r="G151" s="1661"/>
      <c r="H151" s="1660"/>
    </row>
    <row r="152" spans="1:11" ht="18" x14ac:dyDescent="0.25">
      <c r="A152" s="1659" t="s">
        <v>1248</v>
      </c>
      <c r="B152" s="1658"/>
      <c r="C152" s="1657"/>
      <c r="D152" s="1656"/>
      <c r="E152" s="1655"/>
      <c r="F152" s="2442"/>
      <c r="G152" s="1654"/>
      <c r="H152" s="1653"/>
    </row>
    <row r="153" spans="1:11" ht="13.5" thickBot="1" x14ac:dyDescent="0.25">
      <c r="A153" s="1652"/>
      <c r="B153" s="1652"/>
      <c r="C153" s="1651"/>
      <c r="F153" s="1650"/>
      <c r="H153" s="1585" t="s">
        <v>161</v>
      </c>
      <c r="I153" s="1644"/>
    </row>
    <row r="154" spans="1:11" s="1644" customFormat="1" ht="20.25" customHeight="1" thickTop="1" thickBot="1" x14ac:dyDescent="0.25">
      <c r="A154" s="1649" t="s">
        <v>162</v>
      </c>
      <c r="B154" s="1648" t="s">
        <v>163</v>
      </c>
      <c r="C154" s="1647" t="s">
        <v>705</v>
      </c>
      <c r="D154" s="1646" t="s">
        <v>164</v>
      </c>
      <c r="E154" s="1646" t="s">
        <v>165</v>
      </c>
      <c r="F154" s="1646" t="s">
        <v>881</v>
      </c>
      <c r="G154" s="1646" t="s">
        <v>882</v>
      </c>
      <c r="H154" s="1645" t="s">
        <v>883</v>
      </c>
      <c r="I154" s="1581"/>
    </row>
    <row r="155" spans="1:11" s="1638" customFormat="1" ht="13.5" thickTop="1" thickBot="1" x14ac:dyDescent="0.25">
      <c r="A155" s="1643">
        <v>1</v>
      </c>
      <c r="B155" s="1642">
        <v>2</v>
      </c>
      <c r="C155" s="1642">
        <v>3</v>
      </c>
      <c r="D155" s="1642">
        <v>4</v>
      </c>
      <c r="E155" s="1642">
        <v>5</v>
      </c>
      <c r="F155" s="1641">
        <v>6</v>
      </c>
      <c r="G155" s="1641">
        <v>7</v>
      </c>
      <c r="H155" s="1640" t="s">
        <v>61</v>
      </c>
      <c r="I155" s="1639"/>
    </row>
    <row r="156" spans="1:11" s="1638" customFormat="1" ht="15.75" thickTop="1" x14ac:dyDescent="0.25">
      <c r="A156" s="1623">
        <v>2143</v>
      </c>
      <c r="B156" s="1622">
        <v>6322</v>
      </c>
      <c r="C156" s="1621"/>
      <c r="D156" s="1629" t="s">
        <v>1146</v>
      </c>
      <c r="E156" s="1856"/>
      <c r="F156" s="1628">
        <v>25</v>
      </c>
      <c r="G156" s="1627">
        <v>25</v>
      </c>
      <c r="H156" s="1634">
        <f>(G156/F156)*100</f>
        <v>100</v>
      </c>
      <c r="I156" s="1639"/>
    </row>
    <row r="157" spans="1:11" s="1638" customFormat="1" ht="15" thickBot="1" x14ac:dyDescent="0.25">
      <c r="A157" s="1623"/>
      <c r="B157" s="1622"/>
      <c r="C157" s="1630" t="s">
        <v>1202</v>
      </c>
      <c r="D157" s="2376" t="s">
        <v>1635</v>
      </c>
      <c r="E157" s="1856"/>
      <c r="F157" s="1619">
        <v>25</v>
      </c>
      <c r="G157" s="1618">
        <v>25</v>
      </c>
      <c r="H157" s="1617">
        <f>(G157/F157)*100</f>
        <v>100</v>
      </c>
      <c r="I157" s="1639"/>
    </row>
    <row r="158" spans="1:11" s="1609" customFormat="1" ht="35.25" customHeight="1" thickTop="1" thickBot="1" x14ac:dyDescent="0.3">
      <c r="A158" s="1615" t="s">
        <v>244</v>
      </c>
      <c r="B158" s="1614"/>
      <c r="C158" s="1613"/>
      <c r="D158" s="1612"/>
      <c r="E158" s="1611">
        <v>0</v>
      </c>
      <c r="F158" s="1611">
        <f>F156</f>
        <v>25</v>
      </c>
      <c r="G158" s="1611">
        <f>G156</f>
        <v>25</v>
      </c>
      <c r="H158" s="1610">
        <f t="shared" ref="H158" si="8">(G158/F158)*100</f>
        <v>100</v>
      </c>
      <c r="I158" s="1581"/>
    </row>
    <row r="159" spans="1:11" ht="13.5" thickTop="1" x14ac:dyDescent="0.2">
      <c r="H159" s="1595"/>
    </row>
    <row r="160" spans="1:11" x14ac:dyDescent="0.2">
      <c r="E160" s="1586">
        <f>E148+E158</f>
        <v>12893</v>
      </c>
      <c r="F160" s="1586">
        <f>F148+F158</f>
        <v>13053</v>
      </c>
      <c r="G160" s="1586">
        <f>G148+G158</f>
        <v>12163</v>
      </c>
      <c r="H160" s="1595"/>
    </row>
    <row r="161" spans="1:9" x14ac:dyDescent="0.2">
      <c r="H161" s="1595"/>
    </row>
    <row r="162" spans="1:9" x14ac:dyDescent="0.2">
      <c r="E162" s="1586">
        <f>E77+E160</f>
        <v>26975</v>
      </c>
      <c r="F162" s="1586">
        <f>F77+F160</f>
        <v>34467</v>
      </c>
      <c r="G162" s="1586">
        <f>G77+G160</f>
        <v>32904</v>
      </c>
      <c r="H162" s="1595"/>
    </row>
    <row r="163" spans="1:9" x14ac:dyDescent="0.2">
      <c r="H163" s="1595"/>
    </row>
    <row r="164" spans="1:9" ht="16.5" x14ac:dyDescent="0.25">
      <c r="A164" s="1608" t="s">
        <v>485</v>
      </c>
      <c r="B164" s="1607"/>
      <c r="C164" s="1606"/>
      <c r="E164" s="1605">
        <f>E165+E166+E167+E168</f>
        <v>26975</v>
      </c>
      <c r="F164" s="1605">
        <f>F165+F166+F167+F168</f>
        <v>34467</v>
      </c>
      <c r="G164" s="1605">
        <f>G165+G166+G167+G168</f>
        <v>32904</v>
      </c>
      <c r="H164" s="1604">
        <f>(G164/F164)*100</f>
        <v>95.465227609017319</v>
      </c>
    </row>
    <row r="165" spans="1:9" ht="15" x14ac:dyDescent="0.2">
      <c r="A165" s="1600" t="s">
        <v>263</v>
      </c>
      <c r="B165" s="1603"/>
      <c r="C165" s="1598"/>
      <c r="E165" s="1602">
        <f>E56+E148</f>
        <v>24975</v>
      </c>
      <c r="F165" s="1602">
        <f>F56+F148-F167</f>
        <v>22346</v>
      </c>
      <c r="G165" s="1602">
        <f>G56+G148-G167</f>
        <v>20795</v>
      </c>
      <c r="H165" s="1596">
        <f>(G165/F165)*100</f>
        <v>93.059160476147866</v>
      </c>
    </row>
    <row r="166" spans="1:9" ht="15" x14ac:dyDescent="0.2">
      <c r="A166" s="1600" t="s">
        <v>264</v>
      </c>
      <c r="B166" s="1599"/>
      <c r="C166" s="1598"/>
      <c r="E166" s="1597">
        <f>E75+E158</f>
        <v>2000</v>
      </c>
      <c r="F166" s="1597">
        <f>F75+F158</f>
        <v>5192</v>
      </c>
      <c r="G166" s="1597">
        <f>G75+G158</f>
        <v>5180</v>
      </c>
      <c r="H166" s="1596">
        <f>(G166/F166)*100</f>
        <v>99.768875192604</v>
      </c>
    </row>
    <row r="167" spans="1:9" ht="15" x14ac:dyDescent="0.2">
      <c r="A167" s="1600" t="s">
        <v>208</v>
      </c>
      <c r="B167" s="1599"/>
      <c r="C167" s="1598"/>
      <c r="E167" s="1597">
        <f>E46</f>
        <v>0</v>
      </c>
      <c r="F167" s="1597">
        <f>F46</f>
        <v>6929</v>
      </c>
      <c r="G167" s="1597">
        <f>G46</f>
        <v>6929</v>
      </c>
      <c r="H167" s="1596">
        <f>(G167/F167)*100</f>
        <v>100</v>
      </c>
    </row>
    <row r="168" spans="1:9" ht="15" x14ac:dyDescent="0.2">
      <c r="A168" s="1600" t="s">
        <v>1147</v>
      </c>
      <c r="B168" s="1599"/>
      <c r="C168" s="1598"/>
      <c r="E168" s="1597">
        <v>0</v>
      </c>
      <c r="F168" s="1597">
        <v>0</v>
      </c>
      <c r="G168" s="1597">
        <v>0</v>
      </c>
      <c r="H168" s="1596">
        <v>0</v>
      </c>
    </row>
    <row r="169" spans="1:9" x14ac:dyDescent="0.2">
      <c r="H169" s="1595"/>
    </row>
    <row r="170" spans="1:9" x14ac:dyDescent="0.2">
      <c r="H170" s="1595"/>
    </row>
    <row r="171" spans="1:9" ht="23.25" x14ac:dyDescent="0.35">
      <c r="H171" s="1595"/>
      <c r="I171" s="1589"/>
    </row>
    <row r="172" spans="1:9" s="1589" customFormat="1" ht="47.25" customHeight="1" thickBot="1" x14ac:dyDescent="0.4">
      <c r="A172" s="1594" t="s">
        <v>1250</v>
      </c>
      <c r="B172" s="1593"/>
      <c r="C172" s="1593"/>
      <c r="D172" s="1592"/>
      <c r="E172" s="1591">
        <f>SUM(E75,E56,E148,E158)</f>
        <v>26975</v>
      </c>
      <c r="F172" s="1591">
        <f>SUM(F75,F56,F148,F158)</f>
        <v>34467</v>
      </c>
      <c r="G172" s="1591">
        <f>SUM(G75,G56,G148,G158)</f>
        <v>32904</v>
      </c>
      <c r="H172" s="1590">
        <f>(G172/F172)*100</f>
        <v>95.465227609017319</v>
      </c>
      <c r="I172" s="1581"/>
    </row>
    <row r="173" spans="1:9" ht="13.5" thickTop="1" x14ac:dyDescent="0.2"/>
  </sheetData>
  <mergeCells count="2">
    <mergeCell ref="D99:D100"/>
    <mergeCell ref="D11:D12"/>
  </mergeCells>
  <pageMargins left="0.98425196850393704" right="0.98425196850393704" top="0.98425196850393704" bottom="0.98425196850393704" header="0.51181102362204722" footer="0.51181102362204722"/>
  <pageSetup paperSize="9" scale="70" firstPageNumber="28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63"/>
  <sheetViews>
    <sheetView showGridLines="0" view="pageBreakPreview" topLeftCell="A610" zoomScaleNormal="100" zoomScaleSheetLayoutView="100" workbookViewId="0">
      <selection activeCell="I10" sqref="I10"/>
    </sheetView>
  </sheetViews>
  <sheetFormatPr defaultRowHeight="12.75" x14ac:dyDescent="0.2"/>
  <cols>
    <col min="1" max="1" width="5" style="1802" customWidth="1"/>
    <col min="2" max="2" width="6.7109375" style="1802" customWidth="1"/>
    <col min="3" max="3" width="8.85546875" style="1802" customWidth="1"/>
    <col min="4" max="4" width="46.42578125" style="1803" customWidth="1"/>
    <col min="5" max="5" width="12.85546875" style="1829" customWidth="1"/>
    <col min="6" max="6" width="15.5703125" style="1829" customWidth="1"/>
    <col min="7" max="7" width="15.85546875" style="1829" customWidth="1"/>
    <col min="8" max="8" width="9" style="1803" customWidth="1"/>
    <col min="9" max="9" width="5.28515625" style="1803" customWidth="1"/>
    <col min="10" max="10" width="16" style="1803" bestFit="1" customWidth="1"/>
    <col min="11" max="11" width="17.28515625" style="1803" customWidth="1"/>
    <col min="12" max="12" width="17.42578125" style="1803" customWidth="1"/>
    <col min="13" max="256" width="9.140625" style="1803"/>
    <col min="257" max="257" width="4.7109375" style="1803" customWidth="1"/>
    <col min="258" max="258" width="6.7109375" style="1803" customWidth="1"/>
    <col min="259" max="259" width="8.85546875" style="1803" customWidth="1"/>
    <col min="260" max="260" width="46.42578125" style="1803" customWidth="1"/>
    <col min="261" max="261" width="12.85546875" style="1803" customWidth="1"/>
    <col min="262" max="262" width="15.5703125" style="1803" customWidth="1"/>
    <col min="263" max="263" width="15.85546875" style="1803" customWidth="1"/>
    <col min="264" max="264" width="7.140625" style="1803" customWidth="1"/>
    <col min="265" max="265" width="5.28515625" style="1803" customWidth="1"/>
    <col min="266" max="266" width="9.140625" style="1803"/>
    <col min="267" max="267" width="15.5703125" style="1803" customWidth="1"/>
    <col min="268" max="268" width="16" style="1803" customWidth="1"/>
    <col min="269" max="512" width="9.140625" style="1803"/>
    <col min="513" max="513" width="4.7109375" style="1803" customWidth="1"/>
    <col min="514" max="514" width="6.7109375" style="1803" customWidth="1"/>
    <col min="515" max="515" width="8.85546875" style="1803" customWidth="1"/>
    <col min="516" max="516" width="46.42578125" style="1803" customWidth="1"/>
    <col min="517" max="517" width="12.85546875" style="1803" customWidth="1"/>
    <col min="518" max="518" width="15.5703125" style="1803" customWidth="1"/>
    <col min="519" max="519" width="15.85546875" style="1803" customWidth="1"/>
    <col min="520" max="520" width="7.140625" style="1803" customWidth="1"/>
    <col min="521" max="521" width="5.28515625" style="1803" customWidth="1"/>
    <col min="522" max="522" width="9.140625" style="1803"/>
    <col min="523" max="523" width="15.5703125" style="1803" customWidth="1"/>
    <col min="524" max="524" width="16" style="1803" customWidth="1"/>
    <col min="525" max="768" width="9.140625" style="1803"/>
    <col min="769" max="769" width="4.7109375" style="1803" customWidth="1"/>
    <col min="770" max="770" width="6.7109375" style="1803" customWidth="1"/>
    <col min="771" max="771" width="8.85546875" style="1803" customWidth="1"/>
    <col min="772" max="772" width="46.42578125" style="1803" customWidth="1"/>
    <col min="773" max="773" width="12.85546875" style="1803" customWidth="1"/>
    <col min="774" max="774" width="15.5703125" style="1803" customWidth="1"/>
    <col min="775" max="775" width="15.85546875" style="1803" customWidth="1"/>
    <col min="776" max="776" width="7.140625" style="1803" customWidth="1"/>
    <col min="777" max="777" width="5.28515625" style="1803" customWidth="1"/>
    <col min="778" max="778" width="9.140625" style="1803"/>
    <col min="779" max="779" width="15.5703125" style="1803" customWidth="1"/>
    <col min="780" max="780" width="16" style="1803" customWidth="1"/>
    <col min="781" max="1024" width="9.140625" style="1803"/>
    <col min="1025" max="1025" width="4.7109375" style="1803" customWidth="1"/>
    <col min="1026" max="1026" width="6.7109375" style="1803" customWidth="1"/>
    <col min="1027" max="1027" width="8.85546875" style="1803" customWidth="1"/>
    <col min="1028" max="1028" width="46.42578125" style="1803" customWidth="1"/>
    <col min="1029" max="1029" width="12.85546875" style="1803" customWidth="1"/>
    <col min="1030" max="1030" width="15.5703125" style="1803" customWidth="1"/>
    <col min="1031" max="1031" width="15.85546875" style="1803" customWidth="1"/>
    <col min="1032" max="1032" width="7.140625" style="1803" customWidth="1"/>
    <col min="1033" max="1033" width="5.28515625" style="1803" customWidth="1"/>
    <col min="1034" max="1034" width="9.140625" style="1803"/>
    <col min="1035" max="1035" width="15.5703125" style="1803" customWidth="1"/>
    <col min="1036" max="1036" width="16" style="1803" customWidth="1"/>
    <col min="1037" max="1280" width="9.140625" style="1803"/>
    <col min="1281" max="1281" width="4.7109375" style="1803" customWidth="1"/>
    <col min="1282" max="1282" width="6.7109375" style="1803" customWidth="1"/>
    <col min="1283" max="1283" width="8.85546875" style="1803" customWidth="1"/>
    <col min="1284" max="1284" width="46.42578125" style="1803" customWidth="1"/>
    <col min="1285" max="1285" width="12.85546875" style="1803" customWidth="1"/>
    <col min="1286" max="1286" width="15.5703125" style="1803" customWidth="1"/>
    <col min="1287" max="1287" width="15.85546875" style="1803" customWidth="1"/>
    <col min="1288" max="1288" width="7.140625" style="1803" customWidth="1"/>
    <col min="1289" max="1289" width="5.28515625" style="1803" customWidth="1"/>
    <col min="1290" max="1290" width="9.140625" style="1803"/>
    <col min="1291" max="1291" width="15.5703125" style="1803" customWidth="1"/>
    <col min="1292" max="1292" width="16" style="1803" customWidth="1"/>
    <col min="1293" max="1536" width="9.140625" style="1803"/>
    <col min="1537" max="1537" width="4.7109375" style="1803" customWidth="1"/>
    <col min="1538" max="1538" width="6.7109375" style="1803" customWidth="1"/>
    <col min="1539" max="1539" width="8.85546875" style="1803" customWidth="1"/>
    <col min="1540" max="1540" width="46.42578125" style="1803" customWidth="1"/>
    <col min="1541" max="1541" width="12.85546875" style="1803" customWidth="1"/>
    <col min="1542" max="1542" width="15.5703125" style="1803" customWidth="1"/>
    <col min="1543" max="1543" width="15.85546875" style="1803" customWidth="1"/>
    <col min="1544" max="1544" width="7.140625" style="1803" customWidth="1"/>
    <col min="1545" max="1545" width="5.28515625" style="1803" customWidth="1"/>
    <col min="1546" max="1546" width="9.140625" style="1803"/>
    <col min="1547" max="1547" width="15.5703125" style="1803" customWidth="1"/>
    <col min="1548" max="1548" width="16" style="1803" customWidth="1"/>
    <col min="1549" max="1792" width="9.140625" style="1803"/>
    <col min="1793" max="1793" width="4.7109375" style="1803" customWidth="1"/>
    <col min="1794" max="1794" width="6.7109375" style="1803" customWidth="1"/>
    <col min="1795" max="1795" width="8.85546875" style="1803" customWidth="1"/>
    <col min="1796" max="1796" width="46.42578125" style="1803" customWidth="1"/>
    <col min="1797" max="1797" width="12.85546875" style="1803" customWidth="1"/>
    <col min="1798" max="1798" width="15.5703125" style="1803" customWidth="1"/>
    <col min="1799" max="1799" width="15.85546875" style="1803" customWidth="1"/>
    <col min="1800" max="1800" width="7.140625" style="1803" customWidth="1"/>
    <col min="1801" max="1801" width="5.28515625" style="1803" customWidth="1"/>
    <col min="1802" max="1802" width="9.140625" style="1803"/>
    <col min="1803" max="1803" width="15.5703125" style="1803" customWidth="1"/>
    <col min="1804" max="1804" width="16" style="1803" customWidth="1"/>
    <col min="1805" max="2048" width="9.140625" style="1803"/>
    <col min="2049" max="2049" width="4.7109375" style="1803" customWidth="1"/>
    <col min="2050" max="2050" width="6.7109375" style="1803" customWidth="1"/>
    <col min="2051" max="2051" width="8.85546875" style="1803" customWidth="1"/>
    <col min="2052" max="2052" width="46.42578125" style="1803" customWidth="1"/>
    <col min="2053" max="2053" width="12.85546875" style="1803" customWidth="1"/>
    <col min="2054" max="2054" width="15.5703125" style="1803" customWidth="1"/>
    <col min="2055" max="2055" width="15.85546875" style="1803" customWidth="1"/>
    <col min="2056" max="2056" width="7.140625" style="1803" customWidth="1"/>
    <col min="2057" max="2057" width="5.28515625" style="1803" customWidth="1"/>
    <col min="2058" max="2058" width="9.140625" style="1803"/>
    <col min="2059" max="2059" width="15.5703125" style="1803" customWidth="1"/>
    <col min="2060" max="2060" width="16" style="1803" customWidth="1"/>
    <col min="2061" max="2304" width="9.140625" style="1803"/>
    <col min="2305" max="2305" width="4.7109375" style="1803" customWidth="1"/>
    <col min="2306" max="2306" width="6.7109375" style="1803" customWidth="1"/>
    <col min="2307" max="2307" width="8.85546875" style="1803" customWidth="1"/>
    <col min="2308" max="2308" width="46.42578125" style="1803" customWidth="1"/>
    <col min="2309" max="2309" width="12.85546875" style="1803" customWidth="1"/>
    <col min="2310" max="2310" width="15.5703125" style="1803" customWidth="1"/>
    <col min="2311" max="2311" width="15.85546875" style="1803" customWidth="1"/>
    <col min="2312" max="2312" width="7.140625" style="1803" customWidth="1"/>
    <col min="2313" max="2313" width="5.28515625" style="1803" customWidth="1"/>
    <col min="2314" max="2314" width="9.140625" style="1803"/>
    <col min="2315" max="2315" width="15.5703125" style="1803" customWidth="1"/>
    <col min="2316" max="2316" width="16" style="1803" customWidth="1"/>
    <col min="2317" max="2560" width="9.140625" style="1803"/>
    <col min="2561" max="2561" width="4.7109375" style="1803" customWidth="1"/>
    <col min="2562" max="2562" width="6.7109375" style="1803" customWidth="1"/>
    <col min="2563" max="2563" width="8.85546875" style="1803" customWidth="1"/>
    <col min="2564" max="2564" width="46.42578125" style="1803" customWidth="1"/>
    <col min="2565" max="2565" width="12.85546875" style="1803" customWidth="1"/>
    <col min="2566" max="2566" width="15.5703125" style="1803" customWidth="1"/>
    <col min="2567" max="2567" width="15.85546875" style="1803" customWidth="1"/>
    <col min="2568" max="2568" width="7.140625" style="1803" customWidth="1"/>
    <col min="2569" max="2569" width="5.28515625" style="1803" customWidth="1"/>
    <col min="2570" max="2570" width="9.140625" style="1803"/>
    <col min="2571" max="2571" width="15.5703125" style="1803" customWidth="1"/>
    <col min="2572" max="2572" width="16" style="1803" customWidth="1"/>
    <col min="2573" max="2816" width="9.140625" style="1803"/>
    <col min="2817" max="2817" width="4.7109375" style="1803" customWidth="1"/>
    <col min="2818" max="2818" width="6.7109375" style="1803" customWidth="1"/>
    <col min="2819" max="2819" width="8.85546875" style="1803" customWidth="1"/>
    <col min="2820" max="2820" width="46.42578125" style="1803" customWidth="1"/>
    <col min="2821" max="2821" width="12.85546875" style="1803" customWidth="1"/>
    <col min="2822" max="2822" width="15.5703125" style="1803" customWidth="1"/>
    <col min="2823" max="2823" width="15.85546875" style="1803" customWidth="1"/>
    <col min="2824" max="2824" width="7.140625" style="1803" customWidth="1"/>
    <col min="2825" max="2825" width="5.28515625" style="1803" customWidth="1"/>
    <col min="2826" max="2826" width="9.140625" style="1803"/>
    <col min="2827" max="2827" width="15.5703125" style="1803" customWidth="1"/>
    <col min="2828" max="2828" width="16" style="1803" customWidth="1"/>
    <col min="2829" max="3072" width="9.140625" style="1803"/>
    <col min="3073" max="3073" width="4.7109375" style="1803" customWidth="1"/>
    <col min="3074" max="3074" width="6.7109375" style="1803" customWidth="1"/>
    <col min="3075" max="3075" width="8.85546875" style="1803" customWidth="1"/>
    <col min="3076" max="3076" width="46.42578125" style="1803" customWidth="1"/>
    <col min="3077" max="3077" width="12.85546875" style="1803" customWidth="1"/>
    <col min="3078" max="3078" width="15.5703125" style="1803" customWidth="1"/>
    <col min="3079" max="3079" width="15.85546875" style="1803" customWidth="1"/>
    <col min="3080" max="3080" width="7.140625" style="1803" customWidth="1"/>
    <col min="3081" max="3081" width="5.28515625" style="1803" customWidth="1"/>
    <col min="3082" max="3082" width="9.140625" style="1803"/>
    <col min="3083" max="3083" width="15.5703125" style="1803" customWidth="1"/>
    <col min="3084" max="3084" width="16" style="1803" customWidth="1"/>
    <col min="3085" max="3328" width="9.140625" style="1803"/>
    <col min="3329" max="3329" width="4.7109375" style="1803" customWidth="1"/>
    <col min="3330" max="3330" width="6.7109375" style="1803" customWidth="1"/>
    <col min="3331" max="3331" width="8.85546875" style="1803" customWidth="1"/>
    <col min="3332" max="3332" width="46.42578125" style="1803" customWidth="1"/>
    <col min="3333" max="3333" width="12.85546875" style="1803" customWidth="1"/>
    <col min="3334" max="3334" width="15.5703125" style="1803" customWidth="1"/>
    <col min="3335" max="3335" width="15.85546875" style="1803" customWidth="1"/>
    <col min="3336" max="3336" width="7.140625" style="1803" customWidth="1"/>
    <col min="3337" max="3337" width="5.28515625" style="1803" customWidth="1"/>
    <col min="3338" max="3338" width="9.140625" style="1803"/>
    <col min="3339" max="3339" width="15.5703125" style="1803" customWidth="1"/>
    <col min="3340" max="3340" width="16" style="1803" customWidth="1"/>
    <col min="3341" max="3584" width="9.140625" style="1803"/>
    <col min="3585" max="3585" width="4.7109375" style="1803" customWidth="1"/>
    <col min="3586" max="3586" width="6.7109375" style="1803" customWidth="1"/>
    <col min="3587" max="3587" width="8.85546875" style="1803" customWidth="1"/>
    <col min="3588" max="3588" width="46.42578125" style="1803" customWidth="1"/>
    <col min="3589" max="3589" width="12.85546875" style="1803" customWidth="1"/>
    <col min="3590" max="3590" width="15.5703125" style="1803" customWidth="1"/>
    <col min="3591" max="3591" width="15.85546875" style="1803" customWidth="1"/>
    <col min="3592" max="3592" width="7.140625" style="1803" customWidth="1"/>
    <col min="3593" max="3593" width="5.28515625" style="1803" customWidth="1"/>
    <col min="3594" max="3594" width="9.140625" style="1803"/>
    <col min="3595" max="3595" width="15.5703125" style="1803" customWidth="1"/>
    <col min="3596" max="3596" width="16" style="1803" customWidth="1"/>
    <col min="3597" max="3840" width="9.140625" style="1803"/>
    <col min="3841" max="3841" width="4.7109375" style="1803" customWidth="1"/>
    <col min="3842" max="3842" width="6.7109375" style="1803" customWidth="1"/>
    <col min="3843" max="3843" width="8.85546875" style="1803" customWidth="1"/>
    <col min="3844" max="3844" width="46.42578125" style="1803" customWidth="1"/>
    <col min="3845" max="3845" width="12.85546875" style="1803" customWidth="1"/>
    <col min="3846" max="3846" width="15.5703125" style="1803" customWidth="1"/>
    <col min="3847" max="3847" width="15.85546875" style="1803" customWidth="1"/>
    <col min="3848" max="3848" width="7.140625" style="1803" customWidth="1"/>
    <col min="3849" max="3849" width="5.28515625" style="1803" customWidth="1"/>
    <col min="3850" max="3850" width="9.140625" style="1803"/>
    <col min="3851" max="3851" width="15.5703125" style="1803" customWidth="1"/>
    <col min="3852" max="3852" width="16" style="1803" customWidth="1"/>
    <col min="3853" max="4096" width="9.140625" style="1803"/>
    <col min="4097" max="4097" width="4.7109375" style="1803" customWidth="1"/>
    <col min="4098" max="4098" width="6.7109375" style="1803" customWidth="1"/>
    <col min="4099" max="4099" width="8.85546875" style="1803" customWidth="1"/>
    <col min="4100" max="4100" width="46.42578125" style="1803" customWidth="1"/>
    <col min="4101" max="4101" width="12.85546875" style="1803" customWidth="1"/>
    <col min="4102" max="4102" width="15.5703125" style="1803" customWidth="1"/>
    <col min="4103" max="4103" width="15.85546875" style="1803" customWidth="1"/>
    <col min="4104" max="4104" width="7.140625" style="1803" customWidth="1"/>
    <col min="4105" max="4105" width="5.28515625" style="1803" customWidth="1"/>
    <col min="4106" max="4106" width="9.140625" style="1803"/>
    <col min="4107" max="4107" width="15.5703125" style="1803" customWidth="1"/>
    <col min="4108" max="4108" width="16" style="1803" customWidth="1"/>
    <col min="4109" max="4352" width="9.140625" style="1803"/>
    <col min="4353" max="4353" width="4.7109375" style="1803" customWidth="1"/>
    <col min="4354" max="4354" width="6.7109375" style="1803" customWidth="1"/>
    <col min="4355" max="4355" width="8.85546875" style="1803" customWidth="1"/>
    <col min="4356" max="4356" width="46.42578125" style="1803" customWidth="1"/>
    <col min="4357" max="4357" width="12.85546875" style="1803" customWidth="1"/>
    <col min="4358" max="4358" width="15.5703125" style="1803" customWidth="1"/>
    <col min="4359" max="4359" width="15.85546875" style="1803" customWidth="1"/>
    <col min="4360" max="4360" width="7.140625" style="1803" customWidth="1"/>
    <col min="4361" max="4361" width="5.28515625" style="1803" customWidth="1"/>
    <col min="4362" max="4362" width="9.140625" style="1803"/>
    <col min="4363" max="4363" width="15.5703125" style="1803" customWidth="1"/>
    <col min="4364" max="4364" width="16" style="1803" customWidth="1"/>
    <col min="4365" max="4608" width="9.140625" style="1803"/>
    <col min="4609" max="4609" width="4.7109375" style="1803" customWidth="1"/>
    <col min="4610" max="4610" width="6.7109375" style="1803" customWidth="1"/>
    <col min="4611" max="4611" width="8.85546875" style="1803" customWidth="1"/>
    <col min="4612" max="4612" width="46.42578125" style="1803" customWidth="1"/>
    <col min="4613" max="4613" width="12.85546875" style="1803" customWidth="1"/>
    <col min="4614" max="4614" width="15.5703125" style="1803" customWidth="1"/>
    <col min="4615" max="4615" width="15.85546875" style="1803" customWidth="1"/>
    <col min="4616" max="4616" width="7.140625" style="1803" customWidth="1"/>
    <col min="4617" max="4617" width="5.28515625" style="1803" customWidth="1"/>
    <col min="4618" max="4618" width="9.140625" style="1803"/>
    <col min="4619" max="4619" width="15.5703125" style="1803" customWidth="1"/>
    <col min="4620" max="4620" width="16" style="1803" customWidth="1"/>
    <col min="4621" max="4864" width="9.140625" style="1803"/>
    <col min="4865" max="4865" width="4.7109375" style="1803" customWidth="1"/>
    <col min="4866" max="4866" width="6.7109375" style="1803" customWidth="1"/>
    <col min="4867" max="4867" width="8.85546875" style="1803" customWidth="1"/>
    <col min="4868" max="4868" width="46.42578125" style="1803" customWidth="1"/>
    <col min="4869" max="4869" width="12.85546875" style="1803" customWidth="1"/>
    <col min="4870" max="4870" width="15.5703125" style="1803" customWidth="1"/>
    <col min="4871" max="4871" width="15.85546875" style="1803" customWidth="1"/>
    <col min="4872" max="4872" width="7.140625" style="1803" customWidth="1"/>
    <col min="4873" max="4873" width="5.28515625" style="1803" customWidth="1"/>
    <col min="4874" max="4874" width="9.140625" style="1803"/>
    <col min="4875" max="4875" width="15.5703125" style="1803" customWidth="1"/>
    <col min="4876" max="4876" width="16" style="1803" customWidth="1"/>
    <col min="4877" max="5120" width="9.140625" style="1803"/>
    <col min="5121" max="5121" width="4.7109375" style="1803" customWidth="1"/>
    <col min="5122" max="5122" width="6.7109375" style="1803" customWidth="1"/>
    <col min="5123" max="5123" width="8.85546875" style="1803" customWidth="1"/>
    <col min="5124" max="5124" width="46.42578125" style="1803" customWidth="1"/>
    <col min="5125" max="5125" width="12.85546875" style="1803" customWidth="1"/>
    <col min="5126" max="5126" width="15.5703125" style="1803" customWidth="1"/>
    <col min="5127" max="5127" width="15.85546875" style="1803" customWidth="1"/>
    <col min="5128" max="5128" width="7.140625" style="1803" customWidth="1"/>
    <col min="5129" max="5129" width="5.28515625" style="1803" customWidth="1"/>
    <col min="5130" max="5130" width="9.140625" style="1803"/>
    <col min="5131" max="5131" width="15.5703125" style="1803" customWidth="1"/>
    <col min="5132" max="5132" width="16" style="1803" customWidth="1"/>
    <col min="5133" max="5376" width="9.140625" style="1803"/>
    <col min="5377" max="5377" width="4.7109375" style="1803" customWidth="1"/>
    <col min="5378" max="5378" width="6.7109375" style="1803" customWidth="1"/>
    <col min="5379" max="5379" width="8.85546875" style="1803" customWidth="1"/>
    <col min="5380" max="5380" width="46.42578125" style="1803" customWidth="1"/>
    <col min="5381" max="5381" width="12.85546875" style="1803" customWidth="1"/>
    <col min="5382" max="5382" width="15.5703125" style="1803" customWidth="1"/>
    <col min="5383" max="5383" width="15.85546875" style="1803" customWidth="1"/>
    <col min="5384" max="5384" width="7.140625" style="1803" customWidth="1"/>
    <col min="5385" max="5385" width="5.28515625" style="1803" customWidth="1"/>
    <col min="5386" max="5386" width="9.140625" style="1803"/>
    <col min="5387" max="5387" width="15.5703125" style="1803" customWidth="1"/>
    <col min="5388" max="5388" width="16" style="1803" customWidth="1"/>
    <col min="5389" max="5632" width="9.140625" style="1803"/>
    <col min="5633" max="5633" width="4.7109375" style="1803" customWidth="1"/>
    <col min="5634" max="5634" width="6.7109375" style="1803" customWidth="1"/>
    <col min="5635" max="5635" width="8.85546875" style="1803" customWidth="1"/>
    <col min="5636" max="5636" width="46.42578125" style="1803" customWidth="1"/>
    <col min="5637" max="5637" width="12.85546875" style="1803" customWidth="1"/>
    <col min="5638" max="5638" width="15.5703125" style="1803" customWidth="1"/>
    <col min="5639" max="5639" width="15.85546875" style="1803" customWidth="1"/>
    <col min="5640" max="5640" width="7.140625" style="1803" customWidth="1"/>
    <col min="5641" max="5641" width="5.28515625" style="1803" customWidth="1"/>
    <col min="5642" max="5642" width="9.140625" style="1803"/>
    <col min="5643" max="5643" width="15.5703125" style="1803" customWidth="1"/>
    <col min="5644" max="5644" width="16" style="1803" customWidth="1"/>
    <col min="5645" max="5888" width="9.140625" style="1803"/>
    <col min="5889" max="5889" width="4.7109375" style="1803" customWidth="1"/>
    <col min="5890" max="5890" width="6.7109375" style="1803" customWidth="1"/>
    <col min="5891" max="5891" width="8.85546875" style="1803" customWidth="1"/>
    <col min="5892" max="5892" width="46.42578125" style="1803" customWidth="1"/>
    <col min="5893" max="5893" width="12.85546875" style="1803" customWidth="1"/>
    <col min="5894" max="5894" width="15.5703125" style="1803" customWidth="1"/>
    <col min="5895" max="5895" width="15.85546875" style="1803" customWidth="1"/>
    <col min="5896" max="5896" width="7.140625" style="1803" customWidth="1"/>
    <col min="5897" max="5897" width="5.28515625" style="1803" customWidth="1"/>
    <col min="5898" max="5898" width="9.140625" style="1803"/>
    <col min="5899" max="5899" width="15.5703125" style="1803" customWidth="1"/>
    <col min="5900" max="5900" width="16" style="1803" customWidth="1"/>
    <col min="5901" max="6144" width="9.140625" style="1803"/>
    <col min="6145" max="6145" width="4.7109375" style="1803" customWidth="1"/>
    <col min="6146" max="6146" width="6.7109375" style="1803" customWidth="1"/>
    <col min="6147" max="6147" width="8.85546875" style="1803" customWidth="1"/>
    <col min="6148" max="6148" width="46.42578125" style="1803" customWidth="1"/>
    <col min="6149" max="6149" width="12.85546875" style="1803" customWidth="1"/>
    <col min="6150" max="6150" width="15.5703125" style="1803" customWidth="1"/>
    <col min="6151" max="6151" width="15.85546875" style="1803" customWidth="1"/>
    <col min="6152" max="6152" width="7.140625" style="1803" customWidth="1"/>
    <col min="6153" max="6153" width="5.28515625" style="1803" customWidth="1"/>
    <col min="6154" max="6154" width="9.140625" style="1803"/>
    <col min="6155" max="6155" width="15.5703125" style="1803" customWidth="1"/>
    <col min="6156" max="6156" width="16" style="1803" customWidth="1"/>
    <col min="6157" max="6400" width="9.140625" style="1803"/>
    <col min="6401" max="6401" width="4.7109375" style="1803" customWidth="1"/>
    <col min="6402" max="6402" width="6.7109375" style="1803" customWidth="1"/>
    <col min="6403" max="6403" width="8.85546875" style="1803" customWidth="1"/>
    <col min="6404" max="6404" width="46.42578125" style="1803" customWidth="1"/>
    <col min="6405" max="6405" width="12.85546875" style="1803" customWidth="1"/>
    <col min="6406" max="6406" width="15.5703125" style="1803" customWidth="1"/>
    <col min="6407" max="6407" width="15.85546875" style="1803" customWidth="1"/>
    <col min="6408" max="6408" width="7.140625" style="1803" customWidth="1"/>
    <col min="6409" max="6409" width="5.28515625" style="1803" customWidth="1"/>
    <col min="6410" max="6410" width="9.140625" style="1803"/>
    <col min="6411" max="6411" width="15.5703125" style="1803" customWidth="1"/>
    <col min="6412" max="6412" width="16" style="1803" customWidth="1"/>
    <col min="6413" max="6656" width="9.140625" style="1803"/>
    <col min="6657" max="6657" width="4.7109375" style="1803" customWidth="1"/>
    <col min="6658" max="6658" width="6.7109375" style="1803" customWidth="1"/>
    <col min="6659" max="6659" width="8.85546875" style="1803" customWidth="1"/>
    <col min="6660" max="6660" width="46.42578125" style="1803" customWidth="1"/>
    <col min="6661" max="6661" width="12.85546875" style="1803" customWidth="1"/>
    <col min="6662" max="6662" width="15.5703125" style="1803" customWidth="1"/>
    <col min="6663" max="6663" width="15.85546875" style="1803" customWidth="1"/>
    <col min="6664" max="6664" width="7.140625" style="1803" customWidth="1"/>
    <col min="6665" max="6665" width="5.28515625" style="1803" customWidth="1"/>
    <col min="6666" max="6666" width="9.140625" style="1803"/>
    <col min="6667" max="6667" width="15.5703125" style="1803" customWidth="1"/>
    <col min="6668" max="6668" width="16" style="1803" customWidth="1"/>
    <col min="6669" max="6912" width="9.140625" style="1803"/>
    <col min="6913" max="6913" width="4.7109375" style="1803" customWidth="1"/>
    <col min="6914" max="6914" width="6.7109375" style="1803" customWidth="1"/>
    <col min="6915" max="6915" width="8.85546875" style="1803" customWidth="1"/>
    <col min="6916" max="6916" width="46.42578125" style="1803" customWidth="1"/>
    <col min="6917" max="6917" width="12.85546875" style="1803" customWidth="1"/>
    <col min="6918" max="6918" width="15.5703125" style="1803" customWidth="1"/>
    <col min="6919" max="6919" width="15.85546875" style="1803" customWidth="1"/>
    <col min="6920" max="6920" width="7.140625" style="1803" customWidth="1"/>
    <col min="6921" max="6921" width="5.28515625" style="1803" customWidth="1"/>
    <col min="6922" max="6922" width="9.140625" style="1803"/>
    <col min="6923" max="6923" width="15.5703125" style="1803" customWidth="1"/>
    <col min="6924" max="6924" width="16" style="1803" customWidth="1"/>
    <col min="6925" max="7168" width="9.140625" style="1803"/>
    <col min="7169" max="7169" width="4.7109375" style="1803" customWidth="1"/>
    <col min="7170" max="7170" width="6.7109375" style="1803" customWidth="1"/>
    <col min="7171" max="7171" width="8.85546875" style="1803" customWidth="1"/>
    <col min="7172" max="7172" width="46.42578125" style="1803" customWidth="1"/>
    <col min="7173" max="7173" width="12.85546875" style="1803" customWidth="1"/>
    <col min="7174" max="7174" width="15.5703125" style="1803" customWidth="1"/>
    <col min="7175" max="7175" width="15.85546875" style="1803" customWidth="1"/>
    <col min="7176" max="7176" width="7.140625" style="1803" customWidth="1"/>
    <col min="7177" max="7177" width="5.28515625" style="1803" customWidth="1"/>
    <col min="7178" max="7178" width="9.140625" style="1803"/>
    <col min="7179" max="7179" width="15.5703125" style="1803" customWidth="1"/>
    <col min="7180" max="7180" width="16" style="1803" customWidth="1"/>
    <col min="7181" max="7424" width="9.140625" style="1803"/>
    <col min="7425" max="7425" width="4.7109375" style="1803" customWidth="1"/>
    <col min="7426" max="7426" width="6.7109375" style="1803" customWidth="1"/>
    <col min="7427" max="7427" width="8.85546875" style="1803" customWidth="1"/>
    <col min="7428" max="7428" width="46.42578125" style="1803" customWidth="1"/>
    <col min="7429" max="7429" width="12.85546875" style="1803" customWidth="1"/>
    <col min="7430" max="7430" width="15.5703125" style="1803" customWidth="1"/>
    <col min="7431" max="7431" width="15.85546875" style="1803" customWidth="1"/>
    <col min="7432" max="7432" width="7.140625" style="1803" customWidth="1"/>
    <col min="7433" max="7433" width="5.28515625" style="1803" customWidth="1"/>
    <col min="7434" max="7434" width="9.140625" style="1803"/>
    <col min="7435" max="7435" width="15.5703125" style="1803" customWidth="1"/>
    <col min="7436" max="7436" width="16" style="1803" customWidth="1"/>
    <col min="7437" max="7680" width="9.140625" style="1803"/>
    <col min="7681" max="7681" width="4.7109375" style="1803" customWidth="1"/>
    <col min="7682" max="7682" width="6.7109375" style="1803" customWidth="1"/>
    <col min="7683" max="7683" width="8.85546875" style="1803" customWidth="1"/>
    <col min="7684" max="7684" width="46.42578125" style="1803" customWidth="1"/>
    <col min="7685" max="7685" width="12.85546875" style="1803" customWidth="1"/>
    <col min="7686" max="7686" width="15.5703125" style="1803" customWidth="1"/>
    <col min="7687" max="7687" width="15.85546875" style="1803" customWidth="1"/>
    <col min="7688" max="7688" width="7.140625" style="1803" customWidth="1"/>
    <col min="7689" max="7689" width="5.28515625" style="1803" customWidth="1"/>
    <col min="7690" max="7690" width="9.140625" style="1803"/>
    <col min="7691" max="7691" width="15.5703125" style="1803" customWidth="1"/>
    <col min="7692" max="7692" width="16" style="1803" customWidth="1"/>
    <col min="7693" max="7936" width="9.140625" style="1803"/>
    <col min="7937" max="7937" width="4.7109375" style="1803" customWidth="1"/>
    <col min="7938" max="7938" width="6.7109375" style="1803" customWidth="1"/>
    <col min="7939" max="7939" width="8.85546875" style="1803" customWidth="1"/>
    <col min="7940" max="7940" width="46.42578125" style="1803" customWidth="1"/>
    <col min="7941" max="7941" width="12.85546875" style="1803" customWidth="1"/>
    <col min="7942" max="7942" width="15.5703125" style="1803" customWidth="1"/>
    <col min="7943" max="7943" width="15.85546875" style="1803" customWidth="1"/>
    <col min="7944" max="7944" width="7.140625" style="1803" customWidth="1"/>
    <col min="7945" max="7945" width="5.28515625" style="1803" customWidth="1"/>
    <col min="7946" max="7946" width="9.140625" style="1803"/>
    <col min="7947" max="7947" width="15.5703125" style="1803" customWidth="1"/>
    <col min="7948" max="7948" width="16" style="1803" customWidth="1"/>
    <col min="7949" max="8192" width="9.140625" style="1803"/>
    <col min="8193" max="8193" width="4.7109375" style="1803" customWidth="1"/>
    <col min="8194" max="8194" width="6.7109375" style="1803" customWidth="1"/>
    <col min="8195" max="8195" width="8.85546875" style="1803" customWidth="1"/>
    <col min="8196" max="8196" width="46.42578125" style="1803" customWidth="1"/>
    <col min="8197" max="8197" width="12.85546875" style="1803" customWidth="1"/>
    <col min="8198" max="8198" width="15.5703125" style="1803" customWidth="1"/>
    <col min="8199" max="8199" width="15.85546875" style="1803" customWidth="1"/>
    <col min="8200" max="8200" width="7.140625" style="1803" customWidth="1"/>
    <col min="8201" max="8201" width="5.28515625" style="1803" customWidth="1"/>
    <col min="8202" max="8202" width="9.140625" style="1803"/>
    <col min="8203" max="8203" width="15.5703125" style="1803" customWidth="1"/>
    <col min="8204" max="8204" width="16" style="1803" customWidth="1"/>
    <col min="8205" max="8448" width="9.140625" style="1803"/>
    <col min="8449" max="8449" width="4.7109375" style="1803" customWidth="1"/>
    <col min="8450" max="8450" width="6.7109375" style="1803" customWidth="1"/>
    <col min="8451" max="8451" width="8.85546875" style="1803" customWidth="1"/>
    <col min="8452" max="8452" width="46.42578125" style="1803" customWidth="1"/>
    <col min="8453" max="8453" width="12.85546875" style="1803" customWidth="1"/>
    <col min="8454" max="8454" width="15.5703125" style="1803" customWidth="1"/>
    <col min="8455" max="8455" width="15.85546875" style="1803" customWidth="1"/>
    <col min="8456" max="8456" width="7.140625" style="1803" customWidth="1"/>
    <col min="8457" max="8457" width="5.28515625" style="1803" customWidth="1"/>
    <col min="8458" max="8458" width="9.140625" style="1803"/>
    <col min="8459" max="8459" width="15.5703125" style="1803" customWidth="1"/>
    <col min="8460" max="8460" width="16" style="1803" customWidth="1"/>
    <col min="8461" max="8704" width="9.140625" style="1803"/>
    <col min="8705" max="8705" width="4.7109375" style="1803" customWidth="1"/>
    <col min="8706" max="8706" width="6.7109375" style="1803" customWidth="1"/>
    <col min="8707" max="8707" width="8.85546875" style="1803" customWidth="1"/>
    <col min="8708" max="8708" width="46.42578125" style="1803" customWidth="1"/>
    <col min="8709" max="8709" width="12.85546875" style="1803" customWidth="1"/>
    <col min="8710" max="8710" width="15.5703125" style="1803" customWidth="1"/>
    <col min="8711" max="8711" width="15.85546875" style="1803" customWidth="1"/>
    <col min="8712" max="8712" width="7.140625" style="1803" customWidth="1"/>
    <col min="8713" max="8713" width="5.28515625" style="1803" customWidth="1"/>
    <col min="8714" max="8714" width="9.140625" style="1803"/>
    <col min="8715" max="8715" width="15.5703125" style="1803" customWidth="1"/>
    <col min="8716" max="8716" width="16" style="1803" customWidth="1"/>
    <col min="8717" max="8960" width="9.140625" style="1803"/>
    <col min="8961" max="8961" width="4.7109375" style="1803" customWidth="1"/>
    <col min="8962" max="8962" width="6.7109375" style="1803" customWidth="1"/>
    <col min="8963" max="8963" width="8.85546875" style="1803" customWidth="1"/>
    <col min="8964" max="8964" width="46.42578125" style="1803" customWidth="1"/>
    <col min="8965" max="8965" width="12.85546875" style="1803" customWidth="1"/>
    <col min="8966" max="8966" width="15.5703125" style="1803" customWidth="1"/>
    <col min="8967" max="8967" width="15.85546875" style="1803" customWidth="1"/>
    <col min="8968" max="8968" width="7.140625" style="1803" customWidth="1"/>
    <col min="8969" max="8969" width="5.28515625" style="1803" customWidth="1"/>
    <col min="8970" max="8970" width="9.140625" style="1803"/>
    <col min="8971" max="8971" width="15.5703125" style="1803" customWidth="1"/>
    <col min="8972" max="8972" width="16" style="1803" customWidth="1"/>
    <col min="8973" max="9216" width="9.140625" style="1803"/>
    <col min="9217" max="9217" width="4.7109375" style="1803" customWidth="1"/>
    <col min="9218" max="9218" width="6.7109375" style="1803" customWidth="1"/>
    <col min="9219" max="9219" width="8.85546875" style="1803" customWidth="1"/>
    <col min="9220" max="9220" width="46.42578125" style="1803" customWidth="1"/>
    <col min="9221" max="9221" width="12.85546875" style="1803" customWidth="1"/>
    <col min="9222" max="9222" width="15.5703125" style="1803" customWidth="1"/>
    <col min="9223" max="9223" width="15.85546875" style="1803" customWidth="1"/>
    <col min="9224" max="9224" width="7.140625" style="1803" customWidth="1"/>
    <col min="9225" max="9225" width="5.28515625" style="1803" customWidth="1"/>
    <col min="9226" max="9226" width="9.140625" style="1803"/>
    <col min="9227" max="9227" width="15.5703125" style="1803" customWidth="1"/>
    <col min="9228" max="9228" width="16" style="1803" customWidth="1"/>
    <col min="9229" max="9472" width="9.140625" style="1803"/>
    <col min="9473" max="9473" width="4.7109375" style="1803" customWidth="1"/>
    <col min="9474" max="9474" width="6.7109375" style="1803" customWidth="1"/>
    <col min="9475" max="9475" width="8.85546875" style="1803" customWidth="1"/>
    <col min="9476" max="9476" width="46.42578125" style="1803" customWidth="1"/>
    <col min="9477" max="9477" width="12.85546875" style="1803" customWidth="1"/>
    <col min="9478" max="9478" width="15.5703125" style="1803" customWidth="1"/>
    <col min="9479" max="9479" width="15.85546875" style="1803" customWidth="1"/>
    <col min="9480" max="9480" width="7.140625" style="1803" customWidth="1"/>
    <col min="9481" max="9481" width="5.28515625" style="1803" customWidth="1"/>
    <col min="9482" max="9482" width="9.140625" style="1803"/>
    <col min="9483" max="9483" width="15.5703125" style="1803" customWidth="1"/>
    <col min="9484" max="9484" width="16" style="1803" customWidth="1"/>
    <col min="9485" max="9728" width="9.140625" style="1803"/>
    <col min="9729" max="9729" width="4.7109375" style="1803" customWidth="1"/>
    <col min="9730" max="9730" width="6.7109375" style="1803" customWidth="1"/>
    <col min="9731" max="9731" width="8.85546875" style="1803" customWidth="1"/>
    <col min="9732" max="9732" width="46.42578125" style="1803" customWidth="1"/>
    <col min="9733" max="9733" width="12.85546875" style="1803" customWidth="1"/>
    <col min="9734" max="9734" width="15.5703125" style="1803" customWidth="1"/>
    <col min="9735" max="9735" width="15.85546875" style="1803" customWidth="1"/>
    <col min="9736" max="9736" width="7.140625" style="1803" customWidth="1"/>
    <col min="9737" max="9737" width="5.28515625" style="1803" customWidth="1"/>
    <col min="9738" max="9738" width="9.140625" style="1803"/>
    <col min="9739" max="9739" width="15.5703125" style="1803" customWidth="1"/>
    <col min="9740" max="9740" width="16" style="1803" customWidth="1"/>
    <col min="9741" max="9984" width="9.140625" style="1803"/>
    <col min="9985" max="9985" width="4.7109375" style="1803" customWidth="1"/>
    <col min="9986" max="9986" width="6.7109375" style="1803" customWidth="1"/>
    <col min="9987" max="9987" width="8.85546875" style="1803" customWidth="1"/>
    <col min="9988" max="9988" width="46.42578125" style="1803" customWidth="1"/>
    <col min="9989" max="9989" width="12.85546875" style="1803" customWidth="1"/>
    <col min="9990" max="9990" width="15.5703125" style="1803" customWidth="1"/>
    <col min="9991" max="9991" width="15.85546875" style="1803" customWidth="1"/>
    <col min="9992" max="9992" width="7.140625" style="1803" customWidth="1"/>
    <col min="9993" max="9993" width="5.28515625" style="1803" customWidth="1"/>
    <col min="9994" max="9994" width="9.140625" style="1803"/>
    <col min="9995" max="9995" width="15.5703125" style="1803" customWidth="1"/>
    <col min="9996" max="9996" width="16" style="1803" customWidth="1"/>
    <col min="9997" max="10240" width="9.140625" style="1803"/>
    <col min="10241" max="10241" width="4.7109375" style="1803" customWidth="1"/>
    <col min="10242" max="10242" width="6.7109375" style="1803" customWidth="1"/>
    <col min="10243" max="10243" width="8.85546875" style="1803" customWidth="1"/>
    <col min="10244" max="10244" width="46.42578125" style="1803" customWidth="1"/>
    <col min="10245" max="10245" width="12.85546875" style="1803" customWidth="1"/>
    <col min="10246" max="10246" width="15.5703125" style="1803" customWidth="1"/>
    <col min="10247" max="10247" width="15.85546875" style="1803" customWidth="1"/>
    <col min="10248" max="10248" width="7.140625" style="1803" customWidth="1"/>
    <col min="10249" max="10249" width="5.28515625" style="1803" customWidth="1"/>
    <col min="10250" max="10250" width="9.140625" style="1803"/>
    <col min="10251" max="10251" width="15.5703125" style="1803" customWidth="1"/>
    <col min="10252" max="10252" width="16" style="1803" customWidth="1"/>
    <col min="10253" max="10496" width="9.140625" style="1803"/>
    <col min="10497" max="10497" width="4.7109375" style="1803" customWidth="1"/>
    <col min="10498" max="10498" width="6.7109375" style="1803" customWidth="1"/>
    <col min="10499" max="10499" width="8.85546875" style="1803" customWidth="1"/>
    <col min="10500" max="10500" width="46.42578125" style="1803" customWidth="1"/>
    <col min="10501" max="10501" width="12.85546875" style="1803" customWidth="1"/>
    <col min="10502" max="10502" width="15.5703125" style="1803" customWidth="1"/>
    <col min="10503" max="10503" width="15.85546875" style="1803" customWidth="1"/>
    <col min="10504" max="10504" width="7.140625" style="1803" customWidth="1"/>
    <col min="10505" max="10505" width="5.28515625" style="1803" customWidth="1"/>
    <col min="10506" max="10506" width="9.140625" style="1803"/>
    <col min="10507" max="10507" width="15.5703125" style="1803" customWidth="1"/>
    <col min="10508" max="10508" width="16" style="1803" customWidth="1"/>
    <col min="10509" max="10752" width="9.140625" style="1803"/>
    <col min="10753" max="10753" width="4.7109375" style="1803" customWidth="1"/>
    <col min="10754" max="10754" width="6.7109375" style="1803" customWidth="1"/>
    <col min="10755" max="10755" width="8.85546875" style="1803" customWidth="1"/>
    <col min="10756" max="10756" width="46.42578125" style="1803" customWidth="1"/>
    <col min="10757" max="10757" width="12.85546875" style="1803" customWidth="1"/>
    <col min="10758" max="10758" width="15.5703125" style="1803" customWidth="1"/>
    <col min="10759" max="10759" width="15.85546875" style="1803" customWidth="1"/>
    <col min="10760" max="10760" width="7.140625" style="1803" customWidth="1"/>
    <col min="10761" max="10761" width="5.28515625" style="1803" customWidth="1"/>
    <col min="10762" max="10762" width="9.140625" style="1803"/>
    <col min="10763" max="10763" width="15.5703125" style="1803" customWidth="1"/>
    <col min="10764" max="10764" width="16" style="1803" customWidth="1"/>
    <col min="10765" max="11008" width="9.140625" style="1803"/>
    <col min="11009" max="11009" width="4.7109375" style="1803" customWidth="1"/>
    <col min="11010" max="11010" width="6.7109375" style="1803" customWidth="1"/>
    <col min="11011" max="11011" width="8.85546875" style="1803" customWidth="1"/>
    <col min="11012" max="11012" width="46.42578125" style="1803" customWidth="1"/>
    <col min="11013" max="11013" width="12.85546875" style="1803" customWidth="1"/>
    <col min="11014" max="11014" width="15.5703125" style="1803" customWidth="1"/>
    <col min="11015" max="11015" width="15.85546875" style="1803" customWidth="1"/>
    <col min="11016" max="11016" width="7.140625" style="1803" customWidth="1"/>
    <col min="11017" max="11017" width="5.28515625" style="1803" customWidth="1"/>
    <col min="11018" max="11018" width="9.140625" style="1803"/>
    <col min="11019" max="11019" width="15.5703125" style="1803" customWidth="1"/>
    <col min="11020" max="11020" width="16" style="1803" customWidth="1"/>
    <col min="11021" max="11264" width="9.140625" style="1803"/>
    <col min="11265" max="11265" width="4.7109375" style="1803" customWidth="1"/>
    <col min="11266" max="11266" width="6.7109375" style="1803" customWidth="1"/>
    <col min="11267" max="11267" width="8.85546875" style="1803" customWidth="1"/>
    <col min="11268" max="11268" width="46.42578125" style="1803" customWidth="1"/>
    <col min="11269" max="11269" width="12.85546875" style="1803" customWidth="1"/>
    <col min="11270" max="11270" width="15.5703125" style="1803" customWidth="1"/>
    <col min="11271" max="11271" width="15.85546875" style="1803" customWidth="1"/>
    <col min="11272" max="11272" width="7.140625" style="1803" customWidth="1"/>
    <col min="11273" max="11273" width="5.28515625" style="1803" customWidth="1"/>
    <col min="11274" max="11274" width="9.140625" style="1803"/>
    <col min="11275" max="11275" width="15.5703125" style="1803" customWidth="1"/>
    <col min="11276" max="11276" width="16" style="1803" customWidth="1"/>
    <col min="11277" max="11520" width="9.140625" style="1803"/>
    <col min="11521" max="11521" width="4.7109375" style="1803" customWidth="1"/>
    <col min="11522" max="11522" width="6.7109375" style="1803" customWidth="1"/>
    <col min="11523" max="11523" width="8.85546875" style="1803" customWidth="1"/>
    <col min="11524" max="11524" width="46.42578125" style="1803" customWidth="1"/>
    <col min="11525" max="11525" width="12.85546875" style="1803" customWidth="1"/>
    <col min="11526" max="11526" width="15.5703125" style="1803" customWidth="1"/>
    <col min="11527" max="11527" width="15.85546875" style="1803" customWidth="1"/>
    <col min="11528" max="11528" width="7.140625" style="1803" customWidth="1"/>
    <col min="11529" max="11529" width="5.28515625" style="1803" customWidth="1"/>
    <col min="11530" max="11530" width="9.140625" style="1803"/>
    <col min="11531" max="11531" width="15.5703125" style="1803" customWidth="1"/>
    <col min="11532" max="11532" width="16" style="1803" customWidth="1"/>
    <col min="11533" max="11776" width="9.140625" style="1803"/>
    <col min="11777" max="11777" width="4.7109375" style="1803" customWidth="1"/>
    <col min="11778" max="11778" width="6.7109375" style="1803" customWidth="1"/>
    <col min="11779" max="11779" width="8.85546875" style="1803" customWidth="1"/>
    <col min="11780" max="11780" width="46.42578125" style="1803" customWidth="1"/>
    <col min="11781" max="11781" width="12.85546875" style="1803" customWidth="1"/>
    <col min="11782" max="11782" width="15.5703125" style="1803" customWidth="1"/>
    <col min="11783" max="11783" width="15.85546875" style="1803" customWidth="1"/>
    <col min="11784" max="11784" width="7.140625" style="1803" customWidth="1"/>
    <col min="11785" max="11785" width="5.28515625" style="1803" customWidth="1"/>
    <col min="11786" max="11786" width="9.140625" style="1803"/>
    <col min="11787" max="11787" width="15.5703125" style="1803" customWidth="1"/>
    <col min="11788" max="11788" width="16" style="1803" customWidth="1"/>
    <col min="11789" max="12032" width="9.140625" style="1803"/>
    <col min="12033" max="12033" width="4.7109375" style="1803" customWidth="1"/>
    <col min="12034" max="12034" width="6.7109375" style="1803" customWidth="1"/>
    <col min="12035" max="12035" width="8.85546875" style="1803" customWidth="1"/>
    <col min="12036" max="12036" width="46.42578125" style="1803" customWidth="1"/>
    <col min="12037" max="12037" width="12.85546875" style="1803" customWidth="1"/>
    <col min="12038" max="12038" width="15.5703125" style="1803" customWidth="1"/>
    <col min="12039" max="12039" width="15.85546875" style="1803" customWidth="1"/>
    <col min="12040" max="12040" width="7.140625" style="1803" customWidth="1"/>
    <col min="12041" max="12041" width="5.28515625" style="1803" customWidth="1"/>
    <col min="12042" max="12042" width="9.140625" style="1803"/>
    <col min="12043" max="12043" width="15.5703125" style="1803" customWidth="1"/>
    <col min="12044" max="12044" width="16" style="1803" customWidth="1"/>
    <col min="12045" max="12288" width="9.140625" style="1803"/>
    <col min="12289" max="12289" width="4.7109375" style="1803" customWidth="1"/>
    <col min="12290" max="12290" width="6.7109375" style="1803" customWidth="1"/>
    <col min="12291" max="12291" width="8.85546875" style="1803" customWidth="1"/>
    <col min="12292" max="12292" width="46.42578125" style="1803" customWidth="1"/>
    <col min="12293" max="12293" width="12.85546875" style="1803" customWidth="1"/>
    <col min="12294" max="12294" width="15.5703125" style="1803" customWidth="1"/>
    <col min="12295" max="12295" width="15.85546875" style="1803" customWidth="1"/>
    <col min="12296" max="12296" width="7.140625" style="1803" customWidth="1"/>
    <col min="12297" max="12297" width="5.28515625" style="1803" customWidth="1"/>
    <col min="12298" max="12298" width="9.140625" style="1803"/>
    <col min="12299" max="12299" width="15.5703125" style="1803" customWidth="1"/>
    <col min="12300" max="12300" width="16" style="1803" customWidth="1"/>
    <col min="12301" max="12544" width="9.140625" style="1803"/>
    <col min="12545" max="12545" width="4.7109375" style="1803" customWidth="1"/>
    <col min="12546" max="12546" width="6.7109375" style="1803" customWidth="1"/>
    <col min="12547" max="12547" width="8.85546875" style="1803" customWidth="1"/>
    <col min="12548" max="12548" width="46.42578125" style="1803" customWidth="1"/>
    <col min="12549" max="12549" width="12.85546875" style="1803" customWidth="1"/>
    <col min="12550" max="12550" width="15.5703125" style="1803" customWidth="1"/>
    <col min="12551" max="12551" width="15.85546875" style="1803" customWidth="1"/>
    <col min="12552" max="12552" width="7.140625" style="1803" customWidth="1"/>
    <col min="12553" max="12553" width="5.28515625" style="1803" customWidth="1"/>
    <col min="12554" max="12554" width="9.140625" style="1803"/>
    <col min="12555" max="12555" width="15.5703125" style="1803" customWidth="1"/>
    <col min="12556" max="12556" width="16" style="1803" customWidth="1"/>
    <col min="12557" max="12800" width="9.140625" style="1803"/>
    <col min="12801" max="12801" width="4.7109375" style="1803" customWidth="1"/>
    <col min="12802" max="12802" width="6.7109375" style="1803" customWidth="1"/>
    <col min="12803" max="12803" width="8.85546875" style="1803" customWidth="1"/>
    <col min="12804" max="12804" width="46.42578125" style="1803" customWidth="1"/>
    <col min="12805" max="12805" width="12.85546875" style="1803" customWidth="1"/>
    <col min="12806" max="12806" width="15.5703125" style="1803" customWidth="1"/>
    <col min="12807" max="12807" width="15.85546875" style="1803" customWidth="1"/>
    <col min="12808" max="12808" width="7.140625" style="1803" customWidth="1"/>
    <col min="12809" max="12809" width="5.28515625" style="1803" customWidth="1"/>
    <col min="12810" max="12810" width="9.140625" style="1803"/>
    <col min="12811" max="12811" width="15.5703125" style="1803" customWidth="1"/>
    <col min="12812" max="12812" width="16" style="1803" customWidth="1"/>
    <col min="12813" max="13056" width="9.140625" style="1803"/>
    <col min="13057" max="13057" width="4.7109375" style="1803" customWidth="1"/>
    <col min="13058" max="13058" width="6.7109375" style="1803" customWidth="1"/>
    <col min="13059" max="13059" width="8.85546875" style="1803" customWidth="1"/>
    <col min="13060" max="13060" width="46.42578125" style="1803" customWidth="1"/>
    <col min="13061" max="13061" width="12.85546875" style="1803" customWidth="1"/>
    <col min="13062" max="13062" width="15.5703125" style="1803" customWidth="1"/>
    <col min="13063" max="13063" width="15.85546875" style="1803" customWidth="1"/>
    <col min="13064" max="13064" width="7.140625" style="1803" customWidth="1"/>
    <col min="13065" max="13065" width="5.28515625" style="1803" customWidth="1"/>
    <col min="13066" max="13066" width="9.140625" style="1803"/>
    <col min="13067" max="13067" width="15.5703125" style="1803" customWidth="1"/>
    <col min="13068" max="13068" width="16" style="1803" customWidth="1"/>
    <col min="13069" max="13312" width="9.140625" style="1803"/>
    <col min="13313" max="13313" width="4.7109375" style="1803" customWidth="1"/>
    <col min="13314" max="13314" width="6.7109375" style="1803" customWidth="1"/>
    <col min="13315" max="13315" width="8.85546875" style="1803" customWidth="1"/>
    <col min="13316" max="13316" width="46.42578125" style="1803" customWidth="1"/>
    <col min="13317" max="13317" width="12.85546875" style="1803" customWidth="1"/>
    <col min="13318" max="13318" width="15.5703125" style="1803" customWidth="1"/>
    <col min="13319" max="13319" width="15.85546875" style="1803" customWidth="1"/>
    <col min="13320" max="13320" width="7.140625" style="1803" customWidth="1"/>
    <col min="13321" max="13321" width="5.28515625" style="1803" customWidth="1"/>
    <col min="13322" max="13322" width="9.140625" style="1803"/>
    <col min="13323" max="13323" width="15.5703125" style="1803" customWidth="1"/>
    <col min="13324" max="13324" width="16" style="1803" customWidth="1"/>
    <col min="13325" max="13568" width="9.140625" style="1803"/>
    <col min="13569" max="13569" width="4.7109375" style="1803" customWidth="1"/>
    <col min="13570" max="13570" width="6.7109375" style="1803" customWidth="1"/>
    <col min="13571" max="13571" width="8.85546875" style="1803" customWidth="1"/>
    <col min="13572" max="13572" width="46.42578125" style="1803" customWidth="1"/>
    <col min="13573" max="13573" width="12.85546875" style="1803" customWidth="1"/>
    <col min="13574" max="13574" width="15.5703125" style="1803" customWidth="1"/>
    <col min="13575" max="13575" width="15.85546875" style="1803" customWidth="1"/>
    <col min="13576" max="13576" width="7.140625" style="1803" customWidth="1"/>
    <col min="13577" max="13577" width="5.28515625" style="1803" customWidth="1"/>
    <col min="13578" max="13578" width="9.140625" style="1803"/>
    <col min="13579" max="13579" width="15.5703125" style="1803" customWidth="1"/>
    <col min="13580" max="13580" width="16" style="1803" customWidth="1"/>
    <col min="13581" max="13824" width="9.140625" style="1803"/>
    <col min="13825" max="13825" width="4.7109375" style="1803" customWidth="1"/>
    <col min="13826" max="13826" width="6.7109375" style="1803" customWidth="1"/>
    <col min="13827" max="13827" width="8.85546875" style="1803" customWidth="1"/>
    <col min="13828" max="13828" width="46.42578125" style="1803" customWidth="1"/>
    <col min="13829" max="13829" width="12.85546875" style="1803" customWidth="1"/>
    <col min="13830" max="13830" width="15.5703125" style="1803" customWidth="1"/>
    <col min="13831" max="13831" width="15.85546875" style="1803" customWidth="1"/>
    <col min="13832" max="13832" width="7.140625" style="1803" customWidth="1"/>
    <col min="13833" max="13833" width="5.28515625" style="1803" customWidth="1"/>
    <col min="13834" max="13834" width="9.140625" style="1803"/>
    <col min="13835" max="13835" width="15.5703125" style="1803" customWidth="1"/>
    <col min="13836" max="13836" width="16" style="1803" customWidth="1"/>
    <col min="13837" max="14080" width="9.140625" style="1803"/>
    <col min="14081" max="14081" width="4.7109375" style="1803" customWidth="1"/>
    <col min="14082" max="14082" width="6.7109375" style="1803" customWidth="1"/>
    <col min="14083" max="14083" width="8.85546875" style="1803" customWidth="1"/>
    <col min="14084" max="14084" width="46.42578125" style="1803" customWidth="1"/>
    <col min="14085" max="14085" width="12.85546875" style="1803" customWidth="1"/>
    <col min="14086" max="14086" width="15.5703125" style="1803" customWidth="1"/>
    <col min="14087" max="14087" width="15.85546875" style="1803" customWidth="1"/>
    <col min="14088" max="14088" width="7.140625" style="1803" customWidth="1"/>
    <col min="14089" max="14089" width="5.28515625" style="1803" customWidth="1"/>
    <col min="14090" max="14090" width="9.140625" style="1803"/>
    <col min="14091" max="14091" width="15.5703125" style="1803" customWidth="1"/>
    <col min="14092" max="14092" width="16" style="1803" customWidth="1"/>
    <col min="14093" max="14336" width="9.140625" style="1803"/>
    <col min="14337" max="14337" width="4.7109375" style="1803" customWidth="1"/>
    <col min="14338" max="14338" width="6.7109375" style="1803" customWidth="1"/>
    <col min="14339" max="14339" width="8.85546875" style="1803" customWidth="1"/>
    <col min="14340" max="14340" width="46.42578125" style="1803" customWidth="1"/>
    <col min="14341" max="14341" width="12.85546875" style="1803" customWidth="1"/>
    <col min="14342" max="14342" width="15.5703125" style="1803" customWidth="1"/>
    <col min="14343" max="14343" width="15.85546875" style="1803" customWidth="1"/>
    <col min="14344" max="14344" width="7.140625" style="1803" customWidth="1"/>
    <col min="14345" max="14345" width="5.28515625" style="1803" customWidth="1"/>
    <col min="14346" max="14346" width="9.140625" style="1803"/>
    <col min="14347" max="14347" width="15.5703125" style="1803" customWidth="1"/>
    <col min="14348" max="14348" width="16" style="1803" customWidth="1"/>
    <col min="14349" max="14592" width="9.140625" style="1803"/>
    <col min="14593" max="14593" width="4.7109375" style="1803" customWidth="1"/>
    <col min="14594" max="14594" width="6.7109375" style="1803" customWidth="1"/>
    <col min="14595" max="14595" width="8.85546875" style="1803" customWidth="1"/>
    <col min="14596" max="14596" width="46.42578125" style="1803" customWidth="1"/>
    <col min="14597" max="14597" width="12.85546875" style="1803" customWidth="1"/>
    <col min="14598" max="14598" width="15.5703125" style="1803" customWidth="1"/>
    <col min="14599" max="14599" width="15.85546875" style="1803" customWidth="1"/>
    <col min="14600" max="14600" width="7.140625" style="1803" customWidth="1"/>
    <col min="14601" max="14601" width="5.28515625" style="1803" customWidth="1"/>
    <col min="14602" max="14602" width="9.140625" style="1803"/>
    <col min="14603" max="14603" width="15.5703125" style="1803" customWidth="1"/>
    <col min="14604" max="14604" width="16" style="1803" customWidth="1"/>
    <col min="14605" max="14848" width="9.140625" style="1803"/>
    <col min="14849" max="14849" width="4.7109375" style="1803" customWidth="1"/>
    <col min="14850" max="14850" width="6.7109375" style="1803" customWidth="1"/>
    <col min="14851" max="14851" width="8.85546875" style="1803" customWidth="1"/>
    <col min="14852" max="14852" width="46.42578125" style="1803" customWidth="1"/>
    <col min="14853" max="14853" width="12.85546875" style="1803" customWidth="1"/>
    <col min="14854" max="14854" width="15.5703125" style="1803" customWidth="1"/>
    <col min="14855" max="14855" width="15.85546875" style="1803" customWidth="1"/>
    <col min="14856" max="14856" width="7.140625" style="1803" customWidth="1"/>
    <col min="14857" max="14857" width="5.28515625" style="1803" customWidth="1"/>
    <col min="14858" max="14858" width="9.140625" style="1803"/>
    <col min="14859" max="14859" width="15.5703125" style="1803" customWidth="1"/>
    <col min="14860" max="14860" width="16" style="1803" customWidth="1"/>
    <col min="14861" max="15104" width="9.140625" style="1803"/>
    <col min="15105" max="15105" width="4.7109375" style="1803" customWidth="1"/>
    <col min="15106" max="15106" width="6.7109375" style="1803" customWidth="1"/>
    <col min="15107" max="15107" width="8.85546875" style="1803" customWidth="1"/>
    <col min="15108" max="15108" width="46.42578125" style="1803" customWidth="1"/>
    <col min="15109" max="15109" width="12.85546875" style="1803" customWidth="1"/>
    <col min="15110" max="15110" width="15.5703125" style="1803" customWidth="1"/>
    <col min="15111" max="15111" width="15.85546875" style="1803" customWidth="1"/>
    <col min="15112" max="15112" width="7.140625" style="1803" customWidth="1"/>
    <col min="15113" max="15113" width="5.28515625" style="1803" customWidth="1"/>
    <col min="15114" max="15114" width="9.140625" style="1803"/>
    <col min="15115" max="15115" width="15.5703125" style="1803" customWidth="1"/>
    <col min="15116" max="15116" width="16" style="1803" customWidth="1"/>
    <col min="15117" max="15360" width="9.140625" style="1803"/>
    <col min="15361" max="15361" width="4.7109375" style="1803" customWidth="1"/>
    <col min="15362" max="15362" width="6.7109375" style="1803" customWidth="1"/>
    <col min="15363" max="15363" width="8.85546875" style="1803" customWidth="1"/>
    <col min="15364" max="15364" width="46.42578125" style="1803" customWidth="1"/>
    <col min="15365" max="15365" width="12.85546875" style="1803" customWidth="1"/>
    <col min="15366" max="15366" width="15.5703125" style="1803" customWidth="1"/>
    <col min="15367" max="15367" width="15.85546875" style="1803" customWidth="1"/>
    <col min="15368" max="15368" width="7.140625" style="1803" customWidth="1"/>
    <col min="15369" max="15369" width="5.28515625" style="1803" customWidth="1"/>
    <col min="15370" max="15370" width="9.140625" style="1803"/>
    <col min="15371" max="15371" width="15.5703125" style="1803" customWidth="1"/>
    <col min="15372" max="15372" width="16" style="1803" customWidth="1"/>
    <col min="15373" max="15616" width="9.140625" style="1803"/>
    <col min="15617" max="15617" width="4.7109375" style="1803" customWidth="1"/>
    <col min="15618" max="15618" width="6.7109375" style="1803" customWidth="1"/>
    <col min="15619" max="15619" width="8.85546875" style="1803" customWidth="1"/>
    <col min="15620" max="15620" width="46.42578125" style="1803" customWidth="1"/>
    <col min="15621" max="15621" width="12.85546875" style="1803" customWidth="1"/>
    <col min="15622" max="15622" width="15.5703125" style="1803" customWidth="1"/>
    <col min="15623" max="15623" width="15.85546875" style="1803" customWidth="1"/>
    <col min="15624" max="15624" width="7.140625" style="1803" customWidth="1"/>
    <col min="15625" max="15625" width="5.28515625" style="1803" customWidth="1"/>
    <col min="15626" max="15626" width="9.140625" style="1803"/>
    <col min="15627" max="15627" width="15.5703125" style="1803" customWidth="1"/>
    <col min="15628" max="15628" width="16" style="1803" customWidth="1"/>
    <col min="15629" max="15872" width="9.140625" style="1803"/>
    <col min="15873" max="15873" width="4.7109375" style="1803" customWidth="1"/>
    <col min="15874" max="15874" width="6.7109375" style="1803" customWidth="1"/>
    <col min="15875" max="15875" width="8.85546875" style="1803" customWidth="1"/>
    <col min="15876" max="15876" width="46.42578125" style="1803" customWidth="1"/>
    <col min="15877" max="15877" width="12.85546875" style="1803" customWidth="1"/>
    <col min="15878" max="15878" width="15.5703125" style="1803" customWidth="1"/>
    <col min="15879" max="15879" width="15.85546875" style="1803" customWidth="1"/>
    <col min="15880" max="15880" width="7.140625" style="1803" customWidth="1"/>
    <col min="15881" max="15881" width="5.28515625" style="1803" customWidth="1"/>
    <col min="15882" max="15882" width="9.140625" style="1803"/>
    <col min="15883" max="15883" width="15.5703125" style="1803" customWidth="1"/>
    <col min="15884" max="15884" width="16" style="1803" customWidth="1"/>
    <col min="15885" max="16128" width="9.140625" style="1803"/>
    <col min="16129" max="16129" width="4.7109375" style="1803" customWidth="1"/>
    <col min="16130" max="16130" width="6.7109375" style="1803" customWidth="1"/>
    <col min="16131" max="16131" width="8.85546875" style="1803" customWidth="1"/>
    <col min="16132" max="16132" width="46.42578125" style="1803" customWidth="1"/>
    <col min="16133" max="16133" width="12.85546875" style="1803" customWidth="1"/>
    <col min="16134" max="16134" width="15.5703125" style="1803" customWidth="1"/>
    <col min="16135" max="16135" width="15.85546875" style="1803" customWidth="1"/>
    <col min="16136" max="16136" width="7.140625" style="1803" customWidth="1"/>
    <col min="16137" max="16137" width="5.28515625" style="1803" customWidth="1"/>
    <col min="16138" max="16138" width="9.140625" style="1803"/>
    <col min="16139" max="16139" width="15.5703125" style="1803" customWidth="1"/>
    <col min="16140" max="16140" width="16" style="1803" customWidth="1"/>
    <col min="16141" max="16384" width="9.140625" style="1803"/>
  </cols>
  <sheetData>
    <row r="1" spans="1:9" ht="19.5" customHeight="1" thickBot="1" x14ac:dyDescent="0.3">
      <c r="A1" s="1710" t="s">
        <v>916</v>
      </c>
      <c r="B1" s="1709"/>
      <c r="C1" s="1798"/>
      <c r="D1" s="1707"/>
      <c r="E1" s="1706"/>
      <c r="F1" s="1707"/>
      <c r="G1" s="1900"/>
      <c r="H1" s="1710"/>
    </row>
    <row r="2" spans="1:9" ht="19.5" customHeight="1" x14ac:dyDescent="0.25">
      <c r="A2" s="1806"/>
      <c r="B2" s="2448"/>
      <c r="C2" s="2448"/>
      <c r="D2" s="2448"/>
      <c r="E2" s="2448"/>
      <c r="F2" s="2448"/>
      <c r="G2" s="2448"/>
      <c r="H2" s="2448"/>
    </row>
    <row r="3" spans="1:9" ht="19.5" customHeight="1" x14ac:dyDescent="0.2">
      <c r="A3" s="1705" t="s">
        <v>367</v>
      </c>
      <c r="B3" s="2448"/>
      <c r="C3" s="1801" t="s">
        <v>347</v>
      </c>
      <c r="D3" s="2448"/>
      <c r="E3" s="2448"/>
      <c r="F3" s="2448"/>
      <c r="G3" s="2448"/>
      <c r="H3" s="2448"/>
    </row>
    <row r="4" spans="1:9" ht="18" x14ac:dyDescent="0.25">
      <c r="B4" s="1831"/>
      <c r="C4" s="1801" t="s">
        <v>348</v>
      </c>
      <c r="D4" s="1831"/>
      <c r="E4" s="1831"/>
      <c r="F4" s="1831"/>
      <c r="G4" s="1831"/>
      <c r="H4" s="1876" t="s">
        <v>917</v>
      </c>
    </row>
    <row r="5" spans="1:9" ht="18" x14ac:dyDescent="0.25">
      <c r="A5" s="1806" t="s">
        <v>918</v>
      </c>
      <c r="B5" s="1831"/>
      <c r="C5" s="1831"/>
      <c r="D5" s="1831"/>
      <c r="E5" s="1831"/>
      <c r="F5" s="1831"/>
      <c r="G5" s="1831"/>
      <c r="H5" s="1876"/>
    </row>
    <row r="6" spans="1:9" ht="18" x14ac:dyDescent="0.25">
      <c r="A6" s="1806"/>
      <c r="B6" s="1831"/>
      <c r="C6" s="1831"/>
      <c r="D6" s="1831"/>
      <c r="E6" s="1831"/>
      <c r="F6" s="1831"/>
      <c r="G6" s="1831"/>
      <c r="H6" s="1876"/>
    </row>
    <row r="7" spans="1:9" ht="18" x14ac:dyDescent="0.25">
      <c r="A7" s="1808" t="s">
        <v>1959</v>
      </c>
      <c r="B7" s="1831"/>
      <c r="C7" s="1831"/>
      <c r="D7" s="1831"/>
      <c r="E7" s="1831"/>
      <c r="F7" s="1831"/>
      <c r="G7" s="1831"/>
      <c r="H7" s="1876"/>
    </row>
    <row r="8" spans="1:9" ht="16.5" thickBot="1" x14ac:dyDescent="0.3">
      <c r="A8" s="1807" t="s">
        <v>1939</v>
      </c>
      <c r="H8" s="1825" t="s">
        <v>161</v>
      </c>
    </row>
    <row r="9" spans="1:9" s="1638" customFormat="1" ht="25.5" thickTop="1" thickBot="1" x14ac:dyDescent="0.25">
      <c r="A9" s="1809" t="s">
        <v>162</v>
      </c>
      <c r="B9" s="1810" t="s">
        <v>761</v>
      </c>
      <c r="C9" s="1810" t="s">
        <v>377</v>
      </c>
      <c r="D9" s="1811" t="s">
        <v>164</v>
      </c>
      <c r="E9" s="1833" t="s">
        <v>632</v>
      </c>
      <c r="F9" s="1833" t="s">
        <v>633</v>
      </c>
      <c r="G9" s="1834" t="s">
        <v>882</v>
      </c>
      <c r="H9" s="1835" t="s">
        <v>883</v>
      </c>
    </row>
    <row r="10" spans="1:9" s="1638" customFormat="1" ht="13.5" thickTop="1" thickBot="1" x14ac:dyDescent="0.25">
      <c r="A10" s="1643">
        <v>1</v>
      </c>
      <c r="B10" s="1642">
        <v>2</v>
      </c>
      <c r="C10" s="1642">
        <v>3</v>
      </c>
      <c r="D10" s="1642">
        <v>4</v>
      </c>
      <c r="E10" s="1641">
        <v>5</v>
      </c>
      <c r="F10" s="1641">
        <v>6</v>
      </c>
      <c r="G10" s="1877">
        <v>7</v>
      </c>
      <c r="H10" s="1901" t="s">
        <v>61</v>
      </c>
    </row>
    <row r="11" spans="1:9" ht="16.5" thickTop="1" thickBot="1" x14ac:dyDescent="0.25">
      <c r="A11" s="1896">
        <v>3122</v>
      </c>
      <c r="B11" s="1903">
        <v>6121</v>
      </c>
      <c r="C11" s="1906">
        <v>10</v>
      </c>
      <c r="D11" s="1836" t="s">
        <v>603</v>
      </c>
      <c r="E11" s="1832">
        <v>50853</v>
      </c>
      <c r="F11" s="1832">
        <v>0</v>
      </c>
      <c r="G11" s="1832">
        <v>0</v>
      </c>
      <c r="H11" s="1821">
        <v>0</v>
      </c>
    </row>
    <row r="12" spans="1:9" ht="15.75" hidden="1" thickBot="1" x14ac:dyDescent="0.25">
      <c r="A12" s="1896">
        <v>3122</v>
      </c>
      <c r="B12" s="1903">
        <v>6121</v>
      </c>
      <c r="C12" s="1906">
        <v>53100872</v>
      </c>
      <c r="D12" s="1836" t="s">
        <v>603</v>
      </c>
      <c r="E12" s="1845">
        <v>0</v>
      </c>
      <c r="F12" s="1845"/>
      <c r="G12" s="1845"/>
      <c r="H12" s="1821" t="e">
        <f>G12/F12*100</f>
        <v>#DIV/0!</v>
      </c>
    </row>
    <row r="13" spans="1:9" ht="15.75" hidden="1" thickBot="1" x14ac:dyDescent="0.25">
      <c r="A13" s="1896">
        <v>3122</v>
      </c>
      <c r="B13" s="1903">
        <v>6121</v>
      </c>
      <c r="C13" s="1906">
        <v>53100874</v>
      </c>
      <c r="D13" s="1836" t="s">
        <v>603</v>
      </c>
      <c r="E13" s="1845">
        <v>0</v>
      </c>
      <c r="F13" s="1845">
        <v>0</v>
      </c>
      <c r="G13" s="1845">
        <v>0</v>
      </c>
      <c r="H13" s="1821" t="e">
        <f>G13/F13*100</f>
        <v>#DIV/0!</v>
      </c>
    </row>
    <row r="14" spans="1:9" ht="15.75" hidden="1" thickBot="1" x14ac:dyDescent="0.25">
      <c r="A14" s="1896">
        <v>3122</v>
      </c>
      <c r="B14" s="1903">
        <v>6121</v>
      </c>
      <c r="C14" s="1906">
        <v>53500871</v>
      </c>
      <c r="D14" s="1836" t="s">
        <v>603</v>
      </c>
      <c r="E14" s="1845">
        <v>0</v>
      </c>
      <c r="F14" s="1845"/>
      <c r="G14" s="1845"/>
      <c r="H14" s="1827">
        <v>0</v>
      </c>
    </row>
    <row r="15" spans="1:9" s="1828" customFormat="1" ht="16.5" thickTop="1" thickBot="1" x14ac:dyDescent="0.3">
      <c r="A15" s="2751" t="s">
        <v>763</v>
      </c>
      <c r="B15" s="2752"/>
      <c r="C15" s="2752"/>
      <c r="D15" s="2752"/>
      <c r="E15" s="1818">
        <f>SUM(E11:E14)</f>
        <v>50853</v>
      </c>
      <c r="F15" s="1818">
        <f>SUM(F11:F14)</f>
        <v>0</v>
      </c>
      <c r="G15" s="1818">
        <f>SUM(G11:G14)</f>
        <v>0</v>
      </c>
      <c r="H15" s="1822">
        <v>0</v>
      </c>
      <c r="I15" s="1910"/>
    </row>
    <row r="16" spans="1:9" s="1828" customFormat="1" ht="15.75" thickTop="1" x14ac:dyDescent="0.25">
      <c r="A16" s="1823"/>
      <c r="B16" s="1823"/>
      <c r="C16" s="1823"/>
      <c r="D16" s="1823"/>
      <c r="E16" s="1824"/>
      <c r="F16" s="1824"/>
      <c r="G16" s="1824"/>
      <c r="H16" s="1849"/>
      <c r="I16" s="1910"/>
    </row>
    <row r="17" spans="1:9" ht="18" x14ac:dyDescent="0.25">
      <c r="A17" s="1808" t="s">
        <v>1093</v>
      </c>
      <c r="B17" s="1831"/>
      <c r="C17" s="1831"/>
      <c r="D17" s="1831"/>
      <c r="E17" s="1831"/>
      <c r="F17" s="1831"/>
      <c r="G17" s="1831"/>
      <c r="H17" s="1876"/>
    </row>
    <row r="18" spans="1:9" ht="16.5" thickBot="1" x14ac:dyDescent="0.3">
      <c r="A18" s="1807" t="s">
        <v>1094</v>
      </c>
      <c r="H18" s="1825" t="s">
        <v>161</v>
      </c>
    </row>
    <row r="19" spans="1:9" s="1638" customFormat="1" ht="25.5" thickTop="1" thickBot="1" x14ac:dyDescent="0.25">
      <c r="A19" s="1809" t="s">
        <v>162</v>
      </c>
      <c r="B19" s="1810" t="s">
        <v>761</v>
      </c>
      <c r="C19" s="1810" t="s">
        <v>377</v>
      </c>
      <c r="D19" s="1811" t="s">
        <v>164</v>
      </c>
      <c r="E19" s="1833" t="s">
        <v>632</v>
      </c>
      <c r="F19" s="1833" t="s">
        <v>633</v>
      </c>
      <c r="G19" s="1834" t="s">
        <v>882</v>
      </c>
      <c r="H19" s="1835" t="s">
        <v>883</v>
      </c>
    </row>
    <row r="20" spans="1:9" s="1638" customFormat="1" ht="13.5" thickTop="1" thickBot="1" x14ac:dyDescent="0.25">
      <c r="A20" s="1643">
        <v>1</v>
      </c>
      <c r="B20" s="1642">
        <v>2</v>
      </c>
      <c r="C20" s="1642">
        <v>3</v>
      </c>
      <c r="D20" s="1642">
        <v>4</v>
      </c>
      <c r="E20" s="1641">
        <v>5</v>
      </c>
      <c r="F20" s="1641">
        <v>6</v>
      </c>
      <c r="G20" s="1877">
        <v>7</v>
      </c>
      <c r="H20" s="1901" t="s">
        <v>61</v>
      </c>
    </row>
    <row r="21" spans="1:9" ht="15.75" thickTop="1" x14ac:dyDescent="0.2">
      <c r="A21" s="1896">
        <v>3122</v>
      </c>
      <c r="B21" s="1903">
        <v>6121</v>
      </c>
      <c r="C21" s="1906">
        <v>54100870</v>
      </c>
      <c r="D21" s="1836" t="s">
        <v>603</v>
      </c>
      <c r="E21" s="1832">
        <v>0</v>
      </c>
      <c r="F21" s="1832">
        <v>503</v>
      </c>
      <c r="G21" s="1832">
        <v>503</v>
      </c>
      <c r="H21" s="1819">
        <f>G21/F21*100</f>
        <v>100</v>
      </c>
    </row>
    <row r="22" spans="1:9" ht="15" x14ac:dyDescent="0.2">
      <c r="A22" s="1896">
        <v>3122</v>
      </c>
      <c r="B22" s="1903">
        <v>6121</v>
      </c>
      <c r="C22" s="1906">
        <v>54100874</v>
      </c>
      <c r="D22" s="1836" t="s">
        <v>603</v>
      </c>
      <c r="E22" s="1845">
        <v>0</v>
      </c>
      <c r="F22" s="1845">
        <v>4729</v>
      </c>
      <c r="G22" s="1845">
        <v>4729</v>
      </c>
      <c r="H22" s="1821">
        <f>G22/F22*100</f>
        <v>100</v>
      </c>
    </row>
    <row r="23" spans="1:9" ht="15" x14ac:dyDescent="0.2">
      <c r="A23" s="1896">
        <v>3122</v>
      </c>
      <c r="B23" s="1903">
        <v>6121</v>
      </c>
      <c r="C23" s="1906">
        <v>54100880</v>
      </c>
      <c r="D23" s="1836" t="s">
        <v>603</v>
      </c>
      <c r="E23" s="1845">
        <v>0</v>
      </c>
      <c r="F23" s="1845">
        <v>52</v>
      </c>
      <c r="G23" s="1845">
        <v>52</v>
      </c>
      <c r="H23" s="1821">
        <f>G23/F23*100</f>
        <v>100</v>
      </c>
    </row>
    <row r="24" spans="1:9" ht="15" x14ac:dyDescent="0.2">
      <c r="A24" s="1896">
        <v>3122</v>
      </c>
      <c r="B24" s="1903">
        <v>6121</v>
      </c>
      <c r="C24" s="1906">
        <v>54100884</v>
      </c>
      <c r="D24" s="1836" t="s">
        <v>603</v>
      </c>
      <c r="E24" s="1845">
        <v>0</v>
      </c>
      <c r="F24" s="1845">
        <v>2692</v>
      </c>
      <c r="G24" s="1845">
        <v>2692</v>
      </c>
      <c r="H24" s="1821">
        <f>G24/F24*100</f>
        <v>100</v>
      </c>
    </row>
    <row r="25" spans="1:9" ht="15" x14ac:dyDescent="0.2">
      <c r="A25" s="1896">
        <v>3122</v>
      </c>
      <c r="B25" s="1903">
        <v>6121</v>
      </c>
      <c r="C25" s="1906">
        <v>54190877</v>
      </c>
      <c r="D25" s="1836" t="s">
        <v>603</v>
      </c>
      <c r="E25" s="1845">
        <v>0</v>
      </c>
      <c r="F25" s="1845">
        <v>306</v>
      </c>
      <c r="G25" s="1845">
        <v>277</v>
      </c>
      <c r="H25" s="1821">
        <f t="shared" ref="H25:H26" si="0">G25/F25*100</f>
        <v>90.522875816993462</v>
      </c>
    </row>
    <row r="26" spans="1:9" ht="15.75" thickBot="1" x14ac:dyDescent="0.25">
      <c r="A26" s="1896">
        <v>3122</v>
      </c>
      <c r="B26" s="1903">
        <v>6121</v>
      </c>
      <c r="C26" s="1906">
        <v>54515835</v>
      </c>
      <c r="D26" s="1836" t="s">
        <v>603</v>
      </c>
      <c r="E26" s="1845">
        <v>0</v>
      </c>
      <c r="F26" s="1845">
        <v>5200</v>
      </c>
      <c r="G26" s="1845">
        <v>4712</v>
      </c>
      <c r="H26" s="1821">
        <f t="shared" si="0"/>
        <v>90.615384615384613</v>
      </c>
    </row>
    <row r="27" spans="1:9" s="1828" customFormat="1" ht="16.5" thickTop="1" thickBot="1" x14ac:dyDescent="0.3">
      <c r="A27" s="2751" t="s">
        <v>763</v>
      </c>
      <c r="B27" s="2752"/>
      <c r="C27" s="2752"/>
      <c r="D27" s="2752"/>
      <c r="E27" s="1818">
        <f>SUM(E21:E26)</f>
        <v>0</v>
      </c>
      <c r="F27" s="1818">
        <f t="shared" ref="F27:G27" si="1">SUM(F21:F26)</f>
        <v>13482</v>
      </c>
      <c r="G27" s="1818">
        <f t="shared" si="1"/>
        <v>12965</v>
      </c>
      <c r="H27" s="1822">
        <f>G27/F27*100</f>
        <v>96.165257380210662</v>
      </c>
      <c r="I27" s="1910"/>
    </row>
    <row r="28" spans="1:9" s="1828" customFormat="1" ht="15.75" thickTop="1" x14ac:dyDescent="0.25">
      <c r="A28" s="1823"/>
      <c r="B28" s="1823"/>
      <c r="C28" s="1823"/>
      <c r="D28" s="1823"/>
      <c r="E28" s="1824"/>
      <c r="F28" s="1824"/>
      <c r="G28" s="1824"/>
      <c r="H28" s="1849"/>
      <c r="I28" s="1910"/>
    </row>
    <row r="29" spans="1:9" ht="18" x14ac:dyDescent="0.25">
      <c r="A29" s="1808" t="s">
        <v>80</v>
      </c>
      <c r="B29" s="1831"/>
      <c r="C29" s="1831"/>
      <c r="D29" s="1831"/>
      <c r="E29" s="1831"/>
      <c r="F29" s="1831"/>
      <c r="G29" s="1831"/>
      <c r="H29" s="1876"/>
    </row>
    <row r="30" spans="1:9" ht="16.5" thickBot="1" x14ac:dyDescent="0.3">
      <c r="A30" s="1807" t="s">
        <v>81</v>
      </c>
      <c r="H30" s="1825" t="s">
        <v>161</v>
      </c>
    </row>
    <row r="31" spans="1:9" s="1638" customFormat="1" ht="25.5" thickTop="1" thickBot="1" x14ac:dyDescent="0.25">
      <c r="A31" s="1809" t="s">
        <v>162</v>
      </c>
      <c r="B31" s="1810" t="s">
        <v>761</v>
      </c>
      <c r="C31" s="1810" t="s">
        <v>377</v>
      </c>
      <c r="D31" s="1811" t="s">
        <v>164</v>
      </c>
      <c r="E31" s="1833" t="s">
        <v>632</v>
      </c>
      <c r="F31" s="1833" t="s">
        <v>633</v>
      </c>
      <c r="G31" s="1834" t="s">
        <v>882</v>
      </c>
      <c r="H31" s="1835" t="s">
        <v>883</v>
      </c>
    </row>
    <row r="32" spans="1:9" s="1638" customFormat="1" ht="13.5" thickTop="1" thickBot="1" x14ac:dyDescent="0.25">
      <c r="A32" s="1643">
        <v>1</v>
      </c>
      <c r="B32" s="1642">
        <v>2</v>
      </c>
      <c r="C32" s="1642">
        <v>3</v>
      </c>
      <c r="D32" s="1642">
        <v>4</v>
      </c>
      <c r="E32" s="1641">
        <v>5</v>
      </c>
      <c r="F32" s="1641">
        <v>6</v>
      </c>
      <c r="G32" s="1877">
        <v>7</v>
      </c>
      <c r="H32" s="1901" t="s">
        <v>61</v>
      </c>
    </row>
    <row r="33" spans="1:9" s="1638" customFormat="1" ht="15.75" thickTop="1" x14ac:dyDescent="0.2">
      <c r="A33" s="1896">
        <v>3122</v>
      </c>
      <c r="B33" s="1903">
        <v>6121</v>
      </c>
      <c r="C33" s="1906">
        <v>53100870</v>
      </c>
      <c r="D33" s="1836" t="s">
        <v>603</v>
      </c>
      <c r="E33" s="1845">
        <v>0</v>
      </c>
      <c r="F33" s="1845">
        <v>4</v>
      </c>
      <c r="G33" s="1845">
        <v>4</v>
      </c>
      <c r="H33" s="1821">
        <f t="shared" ref="H33:H35" si="2">G33/F33*100</f>
        <v>100</v>
      </c>
    </row>
    <row r="34" spans="1:9" s="1638" customFormat="1" ht="15" x14ac:dyDescent="0.2">
      <c r="A34" s="1896">
        <v>3122</v>
      </c>
      <c r="B34" s="1903">
        <v>6121</v>
      </c>
      <c r="C34" s="1906">
        <v>53100872</v>
      </c>
      <c r="D34" s="1836" t="s">
        <v>603</v>
      </c>
      <c r="E34" s="1845">
        <v>0</v>
      </c>
      <c r="F34" s="1845">
        <v>2</v>
      </c>
      <c r="G34" s="1845">
        <v>2</v>
      </c>
      <c r="H34" s="1821">
        <f t="shared" si="2"/>
        <v>100</v>
      </c>
    </row>
    <row r="35" spans="1:9" s="1638" customFormat="1" ht="15" x14ac:dyDescent="0.2">
      <c r="A35" s="1896">
        <v>3122</v>
      </c>
      <c r="B35" s="1903">
        <v>6121</v>
      </c>
      <c r="C35" s="1906">
        <v>53500871</v>
      </c>
      <c r="D35" s="1836" t="s">
        <v>603</v>
      </c>
      <c r="E35" s="1845">
        <v>0</v>
      </c>
      <c r="F35" s="1845">
        <v>34</v>
      </c>
      <c r="G35" s="1845">
        <v>34</v>
      </c>
      <c r="H35" s="1821">
        <f t="shared" si="2"/>
        <v>100</v>
      </c>
    </row>
    <row r="36" spans="1:9" ht="15" x14ac:dyDescent="0.2">
      <c r="A36" s="1896">
        <v>3122</v>
      </c>
      <c r="B36" s="1903">
        <v>6121</v>
      </c>
      <c r="C36" s="1906">
        <v>54100870</v>
      </c>
      <c r="D36" s="1836" t="s">
        <v>603</v>
      </c>
      <c r="E36" s="1845">
        <v>0</v>
      </c>
      <c r="F36" s="1845">
        <v>1158</v>
      </c>
      <c r="G36" s="1845">
        <v>424</v>
      </c>
      <c r="H36" s="1821">
        <f>G36/F36*100</f>
        <v>36.614853195164073</v>
      </c>
    </row>
    <row r="37" spans="1:9" ht="15" x14ac:dyDescent="0.2">
      <c r="A37" s="1896">
        <v>3122</v>
      </c>
      <c r="B37" s="1903">
        <v>6121</v>
      </c>
      <c r="C37" s="1906">
        <v>54100874</v>
      </c>
      <c r="D37" s="1836" t="s">
        <v>603</v>
      </c>
      <c r="E37" s="1845">
        <v>0</v>
      </c>
      <c r="F37" s="1845">
        <v>6393</v>
      </c>
      <c r="G37" s="1845">
        <v>6148</v>
      </c>
      <c r="H37" s="1821">
        <f t="shared" ref="H37:H41" si="3">G37/F37*100</f>
        <v>96.167683403722819</v>
      </c>
    </row>
    <row r="38" spans="1:9" ht="15" x14ac:dyDescent="0.2">
      <c r="A38" s="1896">
        <v>3122</v>
      </c>
      <c r="B38" s="1903">
        <v>6121</v>
      </c>
      <c r="C38" s="1906">
        <v>54100880</v>
      </c>
      <c r="D38" s="1836" t="s">
        <v>603</v>
      </c>
      <c r="E38" s="1845">
        <v>0</v>
      </c>
      <c r="F38" s="1845">
        <v>607</v>
      </c>
      <c r="G38" s="1845">
        <v>607</v>
      </c>
      <c r="H38" s="1821">
        <f t="shared" si="3"/>
        <v>100</v>
      </c>
    </row>
    <row r="39" spans="1:9" ht="15" x14ac:dyDescent="0.2">
      <c r="A39" s="1896">
        <v>3122</v>
      </c>
      <c r="B39" s="1903">
        <v>6121</v>
      </c>
      <c r="C39" s="1906">
        <v>54100884</v>
      </c>
      <c r="D39" s="1836" t="s">
        <v>603</v>
      </c>
      <c r="E39" s="1845">
        <v>0</v>
      </c>
      <c r="F39" s="1845">
        <v>9737</v>
      </c>
      <c r="G39" s="1845">
        <v>8400</v>
      </c>
      <c r="H39" s="1821">
        <f t="shared" si="3"/>
        <v>86.268871315600293</v>
      </c>
    </row>
    <row r="40" spans="1:9" ht="15" x14ac:dyDescent="0.2">
      <c r="A40" s="1896">
        <v>3122</v>
      </c>
      <c r="B40" s="1903">
        <v>6121</v>
      </c>
      <c r="C40" s="1906">
        <v>54190877</v>
      </c>
      <c r="D40" s="1836" t="s">
        <v>603</v>
      </c>
      <c r="E40" s="1845">
        <v>0</v>
      </c>
      <c r="F40" s="1845">
        <v>661</v>
      </c>
      <c r="G40" s="1845">
        <v>516</v>
      </c>
      <c r="H40" s="1821">
        <f t="shared" si="3"/>
        <v>78.063540090771554</v>
      </c>
    </row>
    <row r="41" spans="1:9" ht="15.75" thickBot="1" x14ac:dyDescent="0.25">
      <c r="A41" s="1896">
        <v>3122</v>
      </c>
      <c r="B41" s="1903">
        <v>6121</v>
      </c>
      <c r="C41" s="1906">
        <v>54515835</v>
      </c>
      <c r="D41" s="1836" t="s">
        <v>603</v>
      </c>
      <c r="E41" s="1845">
        <v>0</v>
      </c>
      <c r="F41" s="1845">
        <v>11248</v>
      </c>
      <c r="G41" s="1845">
        <v>8770</v>
      </c>
      <c r="H41" s="1821">
        <f t="shared" si="3"/>
        <v>77.969416785206263</v>
      </c>
    </row>
    <row r="42" spans="1:9" s="1828" customFormat="1" ht="16.5" thickTop="1" thickBot="1" x14ac:dyDescent="0.3">
      <c r="A42" s="2751" t="s">
        <v>763</v>
      </c>
      <c r="B42" s="2752"/>
      <c r="C42" s="2752"/>
      <c r="D42" s="2752"/>
      <c r="E42" s="1818">
        <f>SUM(E33:E41)</f>
        <v>0</v>
      </c>
      <c r="F42" s="1818">
        <f t="shared" ref="F42:G42" si="4">SUM(F33:F41)</f>
        <v>29844</v>
      </c>
      <c r="G42" s="1818">
        <f t="shared" si="4"/>
        <v>24905</v>
      </c>
      <c r="H42" s="1822">
        <f>G42/F42*100</f>
        <v>83.45060983782335</v>
      </c>
      <c r="I42" s="1910"/>
    </row>
    <row r="43" spans="1:9" s="1828" customFormat="1" ht="15.75" thickTop="1" x14ac:dyDescent="0.25">
      <c r="A43" s="1823"/>
      <c r="B43" s="1823"/>
      <c r="C43" s="1823"/>
      <c r="D43" s="1823"/>
      <c r="E43" s="1824"/>
      <c r="F43" s="1824"/>
      <c r="G43" s="1824"/>
      <c r="H43" s="1849"/>
      <c r="I43" s="1910"/>
    </row>
    <row r="44" spans="1:9" ht="18" x14ac:dyDescent="0.25">
      <c r="A44" s="1808" t="s">
        <v>82</v>
      </c>
      <c r="B44" s="1831"/>
      <c r="C44" s="1831"/>
      <c r="D44" s="1831"/>
      <c r="E44" s="1831"/>
      <c r="F44" s="1831"/>
      <c r="G44" s="1831"/>
      <c r="H44" s="1876"/>
    </row>
    <row r="45" spans="1:9" ht="16.5" thickBot="1" x14ac:dyDescent="0.3">
      <c r="A45" s="1807" t="s">
        <v>83</v>
      </c>
      <c r="H45" s="1825" t="s">
        <v>161</v>
      </c>
    </row>
    <row r="46" spans="1:9" s="1638" customFormat="1" ht="25.5" thickTop="1" thickBot="1" x14ac:dyDescent="0.25">
      <c r="A46" s="1809" t="s">
        <v>162</v>
      </c>
      <c r="B46" s="1810" t="s">
        <v>761</v>
      </c>
      <c r="C46" s="1810" t="s">
        <v>377</v>
      </c>
      <c r="D46" s="1811" t="s">
        <v>164</v>
      </c>
      <c r="E46" s="1833" t="s">
        <v>632</v>
      </c>
      <c r="F46" s="1833" t="s">
        <v>633</v>
      </c>
      <c r="G46" s="1834" t="s">
        <v>882</v>
      </c>
      <c r="H46" s="1835" t="s">
        <v>883</v>
      </c>
    </row>
    <row r="47" spans="1:9" s="1638" customFormat="1" ht="13.5" thickTop="1" thickBot="1" x14ac:dyDescent="0.25">
      <c r="A47" s="1643">
        <v>1</v>
      </c>
      <c r="B47" s="1642">
        <v>2</v>
      </c>
      <c r="C47" s="1642">
        <v>3</v>
      </c>
      <c r="D47" s="1642">
        <v>4</v>
      </c>
      <c r="E47" s="1641">
        <v>5</v>
      </c>
      <c r="F47" s="1641">
        <v>6</v>
      </c>
      <c r="G47" s="1877">
        <v>7</v>
      </c>
      <c r="H47" s="1901" t="s">
        <v>61</v>
      </c>
    </row>
    <row r="48" spans="1:9" s="1638" customFormat="1" ht="15.75" thickTop="1" x14ac:dyDescent="0.2">
      <c r="A48" s="1896">
        <v>3121</v>
      </c>
      <c r="B48" s="1903">
        <v>6121</v>
      </c>
      <c r="C48" s="1906">
        <v>54100870</v>
      </c>
      <c r="D48" s="1836" t="s">
        <v>603</v>
      </c>
      <c r="E48" s="1845">
        <v>0</v>
      </c>
      <c r="F48" s="1845">
        <v>344</v>
      </c>
      <c r="G48" s="1845">
        <v>317</v>
      </c>
      <c r="H48" s="1821">
        <f t="shared" ref="H48:H53" si="5">G48/F48*100</f>
        <v>92.151162790697668</v>
      </c>
    </row>
    <row r="49" spans="1:9" ht="15" x14ac:dyDescent="0.2">
      <c r="A49" s="1896">
        <v>3121</v>
      </c>
      <c r="B49" s="1903">
        <v>6121</v>
      </c>
      <c r="C49" s="1906">
        <v>54100874</v>
      </c>
      <c r="D49" s="1836" t="s">
        <v>603</v>
      </c>
      <c r="E49" s="1845">
        <v>0</v>
      </c>
      <c r="F49" s="1845">
        <v>3673</v>
      </c>
      <c r="G49" s="1845">
        <v>3673</v>
      </c>
      <c r="H49" s="1821">
        <f t="shared" si="5"/>
        <v>100</v>
      </c>
    </row>
    <row r="50" spans="1:9" ht="15" x14ac:dyDescent="0.2">
      <c r="A50" s="1896">
        <v>3121</v>
      </c>
      <c r="B50" s="1903">
        <v>6121</v>
      </c>
      <c r="C50" s="1906">
        <v>54100880</v>
      </c>
      <c r="D50" s="1836" t="s">
        <v>603</v>
      </c>
      <c r="E50" s="1845">
        <v>0</v>
      </c>
      <c r="F50" s="1845">
        <v>1191</v>
      </c>
      <c r="G50" s="1845">
        <v>1191</v>
      </c>
      <c r="H50" s="1821">
        <f t="shared" si="5"/>
        <v>100</v>
      </c>
    </row>
    <row r="51" spans="1:9" ht="15" x14ac:dyDescent="0.2">
      <c r="A51" s="1896">
        <v>3121</v>
      </c>
      <c r="B51" s="1903">
        <v>6121</v>
      </c>
      <c r="C51" s="1906">
        <v>54100884</v>
      </c>
      <c r="D51" s="1836" t="s">
        <v>603</v>
      </c>
      <c r="E51" s="1845">
        <v>0</v>
      </c>
      <c r="F51" s="1845">
        <v>9607</v>
      </c>
      <c r="G51" s="1845">
        <v>8752</v>
      </c>
      <c r="H51" s="1821">
        <f t="shared" si="5"/>
        <v>91.100239408764438</v>
      </c>
    </row>
    <row r="52" spans="1:9" ht="15" x14ac:dyDescent="0.2">
      <c r="A52" s="1896">
        <v>3121</v>
      </c>
      <c r="B52" s="1903">
        <v>6121</v>
      </c>
      <c r="C52" s="1906">
        <v>54190877</v>
      </c>
      <c r="D52" s="1836" t="s">
        <v>603</v>
      </c>
      <c r="E52" s="1845">
        <v>0</v>
      </c>
      <c r="F52" s="1845">
        <v>764</v>
      </c>
      <c r="G52" s="1845">
        <v>754</v>
      </c>
      <c r="H52" s="1821">
        <f t="shared" si="5"/>
        <v>98.691099476439788</v>
      </c>
    </row>
    <row r="53" spans="1:9" ht="15.75" thickBot="1" x14ac:dyDescent="0.25">
      <c r="A53" s="1896">
        <v>3121</v>
      </c>
      <c r="B53" s="1903">
        <v>6121</v>
      </c>
      <c r="C53" s="1906">
        <v>54515835</v>
      </c>
      <c r="D53" s="1836" t="s">
        <v>603</v>
      </c>
      <c r="E53" s="1845">
        <v>0</v>
      </c>
      <c r="F53" s="1845">
        <v>12984</v>
      </c>
      <c r="G53" s="1845">
        <v>12814</v>
      </c>
      <c r="H53" s="1821">
        <f t="shared" si="5"/>
        <v>98.69069624152803</v>
      </c>
    </row>
    <row r="54" spans="1:9" s="1828" customFormat="1" ht="16.5" thickTop="1" thickBot="1" x14ac:dyDescent="0.3">
      <c r="A54" s="2751" t="s">
        <v>763</v>
      </c>
      <c r="B54" s="2752"/>
      <c r="C54" s="2752"/>
      <c r="D54" s="2752"/>
      <c r="E54" s="1818">
        <f>SUM(E48:E53)</f>
        <v>0</v>
      </c>
      <c r="F54" s="1818">
        <f>SUM(F48:F53)</f>
        <v>28563</v>
      </c>
      <c r="G54" s="1818">
        <f>SUM(G48:G53)</f>
        <v>27501</v>
      </c>
      <c r="H54" s="1822">
        <f>G54/F54*100</f>
        <v>96.281903161432624</v>
      </c>
      <c r="I54" s="1910"/>
    </row>
    <row r="55" spans="1:9" s="1828" customFormat="1" ht="15.75" thickTop="1" x14ac:dyDescent="0.25">
      <c r="A55" s="1823"/>
      <c r="B55" s="1823"/>
      <c r="C55" s="1823"/>
      <c r="D55" s="1823"/>
      <c r="E55" s="1824"/>
      <c r="F55" s="1824"/>
      <c r="G55" s="1824"/>
      <c r="H55" s="1849"/>
      <c r="I55" s="1910"/>
    </row>
    <row r="56" spans="1:9" ht="18" x14ac:dyDescent="0.25">
      <c r="A56" s="1808" t="s">
        <v>1960</v>
      </c>
      <c r="B56" s="1831"/>
      <c r="C56" s="1831"/>
      <c r="D56" s="1831"/>
      <c r="E56" s="1831"/>
      <c r="F56" s="1831"/>
      <c r="G56" s="1831"/>
      <c r="H56" s="1876"/>
    </row>
    <row r="57" spans="1:9" ht="16.5" thickBot="1" x14ac:dyDescent="0.3">
      <c r="A57" s="1807" t="s">
        <v>1961</v>
      </c>
      <c r="H57" s="1825" t="s">
        <v>161</v>
      </c>
    </row>
    <row r="58" spans="1:9" s="1638" customFormat="1" ht="25.5" thickTop="1" thickBot="1" x14ac:dyDescent="0.25">
      <c r="A58" s="1809" t="s">
        <v>162</v>
      </c>
      <c r="B58" s="1810" t="s">
        <v>761</v>
      </c>
      <c r="C58" s="1810" t="s">
        <v>377</v>
      </c>
      <c r="D58" s="1811" t="s">
        <v>164</v>
      </c>
      <c r="E58" s="1833" t="s">
        <v>632</v>
      </c>
      <c r="F58" s="1833" t="s">
        <v>633</v>
      </c>
      <c r="G58" s="1834" t="s">
        <v>882</v>
      </c>
      <c r="H58" s="1835" t="s">
        <v>883</v>
      </c>
    </row>
    <row r="59" spans="1:9" s="1638" customFormat="1" ht="13.5" thickTop="1" thickBot="1" x14ac:dyDescent="0.25">
      <c r="A59" s="1643">
        <v>1</v>
      </c>
      <c r="B59" s="1642">
        <v>2</v>
      </c>
      <c r="C59" s="1642">
        <v>3</v>
      </c>
      <c r="D59" s="1642">
        <v>4</v>
      </c>
      <c r="E59" s="1641">
        <v>5</v>
      </c>
      <c r="F59" s="1641">
        <v>6</v>
      </c>
      <c r="G59" s="1877">
        <v>7</v>
      </c>
      <c r="H59" s="1901" t="s">
        <v>61</v>
      </c>
    </row>
    <row r="60" spans="1:9" ht="15.75" thickTop="1" x14ac:dyDescent="0.2">
      <c r="A60" s="1896">
        <v>3122</v>
      </c>
      <c r="B60" s="1903">
        <v>6121</v>
      </c>
      <c r="C60" s="1906">
        <v>54100880</v>
      </c>
      <c r="D60" s="1836" t="s">
        <v>603</v>
      </c>
      <c r="E60" s="1845">
        <v>0</v>
      </c>
      <c r="F60" s="1845">
        <v>109</v>
      </c>
      <c r="G60" s="1845">
        <v>3</v>
      </c>
      <c r="H60" s="1821">
        <f t="shared" ref="H60:H61" si="6">G60/F60*100</f>
        <v>2.7522935779816518</v>
      </c>
    </row>
    <row r="61" spans="1:9" ht="15.75" thickBot="1" x14ac:dyDescent="0.25">
      <c r="A61" s="1896">
        <v>3122</v>
      </c>
      <c r="B61" s="1903">
        <v>6121</v>
      </c>
      <c r="C61" s="1906">
        <v>54100884</v>
      </c>
      <c r="D61" s="1836" t="s">
        <v>603</v>
      </c>
      <c r="E61" s="1845">
        <v>0</v>
      </c>
      <c r="F61" s="1845">
        <v>119</v>
      </c>
      <c r="G61" s="1845">
        <v>91</v>
      </c>
      <c r="H61" s="1821">
        <f t="shared" si="6"/>
        <v>76.470588235294116</v>
      </c>
    </row>
    <row r="62" spans="1:9" s="1828" customFormat="1" ht="16.5" thickTop="1" thickBot="1" x14ac:dyDescent="0.3">
      <c r="A62" s="2751" t="s">
        <v>763</v>
      </c>
      <c r="B62" s="2752"/>
      <c r="C62" s="2752"/>
      <c r="D62" s="2752"/>
      <c r="E62" s="1818">
        <f>SUM(E60:E61)</f>
        <v>0</v>
      </c>
      <c r="F62" s="1818">
        <f>SUM(F60:F61)</f>
        <v>228</v>
      </c>
      <c r="G62" s="1818">
        <f>SUM(G60:G61)</f>
        <v>94</v>
      </c>
      <c r="H62" s="1822">
        <f>G62/F62*100</f>
        <v>41.228070175438596</v>
      </c>
      <c r="I62" s="1910"/>
    </row>
    <row r="63" spans="1:9" s="1828" customFormat="1" ht="15.75" thickTop="1" x14ac:dyDescent="0.25">
      <c r="A63" s="1823"/>
      <c r="B63" s="1823"/>
      <c r="C63" s="1823"/>
      <c r="D63" s="1823"/>
      <c r="E63" s="1824"/>
      <c r="F63" s="1824"/>
      <c r="G63" s="1824"/>
      <c r="H63" s="1849"/>
      <c r="I63" s="1910"/>
    </row>
    <row r="64" spans="1:9" ht="18" x14ac:dyDescent="0.25">
      <c r="A64" s="1808" t="s">
        <v>826</v>
      </c>
      <c r="B64" s="1831"/>
      <c r="C64" s="1831"/>
      <c r="D64" s="1831"/>
      <c r="E64" s="1831"/>
      <c r="F64" s="1831"/>
      <c r="G64" s="1831"/>
      <c r="H64" s="1876"/>
    </row>
    <row r="65" spans="1:9" ht="16.5" thickBot="1" x14ac:dyDescent="0.3">
      <c r="A65" s="1807" t="s">
        <v>827</v>
      </c>
      <c r="H65" s="1825" t="s">
        <v>161</v>
      </c>
    </row>
    <row r="66" spans="1:9" s="1638" customFormat="1" ht="25.5" thickTop="1" thickBot="1" x14ac:dyDescent="0.25">
      <c r="A66" s="1809" t="s">
        <v>162</v>
      </c>
      <c r="B66" s="1810" t="s">
        <v>761</v>
      </c>
      <c r="C66" s="1810" t="s">
        <v>377</v>
      </c>
      <c r="D66" s="1811" t="s">
        <v>164</v>
      </c>
      <c r="E66" s="1833" t="s">
        <v>632</v>
      </c>
      <c r="F66" s="1833" t="s">
        <v>633</v>
      </c>
      <c r="G66" s="1834" t="s">
        <v>882</v>
      </c>
      <c r="H66" s="1835" t="s">
        <v>883</v>
      </c>
    </row>
    <row r="67" spans="1:9" s="1638" customFormat="1" ht="13.5" thickTop="1" thickBot="1" x14ac:dyDescent="0.25">
      <c r="A67" s="1643">
        <v>1</v>
      </c>
      <c r="B67" s="1642">
        <v>2</v>
      </c>
      <c r="C67" s="1642">
        <v>3</v>
      </c>
      <c r="D67" s="1642">
        <v>4</v>
      </c>
      <c r="E67" s="1641">
        <v>5</v>
      </c>
      <c r="F67" s="1641">
        <v>6</v>
      </c>
      <c r="G67" s="1877">
        <v>7</v>
      </c>
      <c r="H67" s="1901" t="s">
        <v>61</v>
      </c>
    </row>
    <row r="68" spans="1:9" ht="15.75" thickTop="1" x14ac:dyDescent="0.2">
      <c r="A68" s="1896">
        <v>3122</v>
      </c>
      <c r="B68" s="1903">
        <v>6121</v>
      </c>
      <c r="C68" s="1906">
        <v>54100874</v>
      </c>
      <c r="D68" s="1836" t="s">
        <v>603</v>
      </c>
      <c r="E68" s="1845">
        <v>0</v>
      </c>
      <c r="F68" s="1845">
        <v>22</v>
      </c>
      <c r="G68" s="1845">
        <v>21</v>
      </c>
      <c r="H68" s="1821">
        <f t="shared" ref="H68:H72" si="7">G68/F68*100</f>
        <v>95.454545454545453</v>
      </c>
    </row>
    <row r="69" spans="1:9" ht="15" x14ac:dyDescent="0.2">
      <c r="A69" s="1896">
        <v>3122</v>
      </c>
      <c r="B69" s="1903">
        <v>6121</v>
      </c>
      <c r="C69" s="1906">
        <v>54100880</v>
      </c>
      <c r="D69" s="1836" t="s">
        <v>603</v>
      </c>
      <c r="E69" s="1845">
        <v>0</v>
      </c>
      <c r="F69" s="1845">
        <v>536</v>
      </c>
      <c r="G69" s="1845">
        <v>507</v>
      </c>
      <c r="H69" s="1821">
        <f t="shared" si="7"/>
        <v>94.589552238805979</v>
      </c>
    </row>
    <row r="70" spans="1:9" ht="15" x14ac:dyDescent="0.2">
      <c r="A70" s="1896">
        <v>3122</v>
      </c>
      <c r="B70" s="1903">
        <v>6121</v>
      </c>
      <c r="C70" s="1906">
        <v>54100884</v>
      </c>
      <c r="D70" s="1836" t="s">
        <v>603</v>
      </c>
      <c r="E70" s="1845">
        <v>0</v>
      </c>
      <c r="F70" s="1845">
        <v>3046</v>
      </c>
      <c r="G70" s="1845">
        <v>3006</v>
      </c>
      <c r="H70" s="1821">
        <f t="shared" si="7"/>
        <v>98.686802363755746</v>
      </c>
    </row>
    <row r="71" spans="1:9" ht="15" x14ac:dyDescent="0.2">
      <c r="A71" s="1896">
        <v>3122</v>
      </c>
      <c r="B71" s="1903">
        <v>6121</v>
      </c>
      <c r="C71" s="1906">
        <v>54190877</v>
      </c>
      <c r="D71" s="1836" t="s">
        <v>603</v>
      </c>
      <c r="E71" s="1845">
        <v>0</v>
      </c>
      <c r="F71" s="1845">
        <v>258</v>
      </c>
      <c r="G71" s="1845">
        <v>254</v>
      </c>
      <c r="H71" s="1821">
        <f t="shared" si="7"/>
        <v>98.449612403100772</v>
      </c>
    </row>
    <row r="72" spans="1:9" ht="15.75" thickBot="1" x14ac:dyDescent="0.25">
      <c r="A72" s="1896">
        <v>3122</v>
      </c>
      <c r="B72" s="1903">
        <v>6121</v>
      </c>
      <c r="C72" s="1906">
        <v>54515835</v>
      </c>
      <c r="D72" s="1836" t="s">
        <v>603</v>
      </c>
      <c r="E72" s="1845">
        <v>0</v>
      </c>
      <c r="F72" s="1845">
        <v>4396</v>
      </c>
      <c r="G72" s="1845">
        <v>4312</v>
      </c>
      <c r="H72" s="1821">
        <f t="shared" si="7"/>
        <v>98.089171974522287</v>
      </c>
    </row>
    <row r="73" spans="1:9" s="1828" customFormat="1" ht="16.5" thickTop="1" thickBot="1" x14ac:dyDescent="0.3">
      <c r="A73" s="2751" t="s">
        <v>763</v>
      </c>
      <c r="B73" s="2752"/>
      <c r="C73" s="2752"/>
      <c r="D73" s="2752"/>
      <c r="E73" s="1818">
        <f>SUM(E68:E72)</f>
        <v>0</v>
      </c>
      <c r="F73" s="1818">
        <f>SUM(F68:F72)</f>
        <v>8258</v>
      </c>
      <c r="G73" s="1818">
        <f>SUM(G68:G72)</f>
        <v>8100</v>
      </c>
      <c r="H73" s="1822">
        <f>G73/F73*100</f>
        <v>98.086703802373449</v>
      </c>
      <c r="I73" s="1910"/>
    </row>
    <row r="74" spans="1:9" s="1828" customFormat="1" ht="15.75" thickTop="1" x14ac:dyDescent="0.25">
      <c r="A74" s="1823"/>
      <c r="B74" s="1823"/>
      <c r="C74" s="1823"/>
      <c r="D74" s="1823"/>
      <c r="E74" s="1824"/>
      <c r="F74" s="1824"/>
      <c r="G74" s="1824"/>
      <c r="H74" s="1849"/>
      <c r="I74" s="1910"/>
    </row>
    <row r="75" spans="1:9" ht="18" x14ac:dyDescent="0.25">
      <c r="A75" s="1808" t="s">
        <v>1962</v>
      </c>
      <c r="B75" s="1831"/>
      <c r="C75" s="1831"/>
      <c r="D75" s="1831"/>
      <c r="E75" s="1831"/>
      <c r="F75" s="1831"/>
      <c r="G75" s="1831"/>
      <c r="H75" s="1876"/>
    </row>
    <row r="76" spans="1:9" ht="16.5" thickBot="1" x14ac:dyDescent="0.3">
      <c r="A76" s="1807" t="s">
        <v>90</v>
      </c>
      <c r="H76" s="1825" t="s">
        <v>161</v>
      </c>
    </row>
    <row r="77" spans="1:9" s="1638" customFormat="1" ht="25.5" thickTop="1" thickBot="1" x14ac:dyDescent="0.25">
      <c r="A77" s="1809" t="s">
        <v>162</v>
      </c>
      <c r="B77" s="1810" t="s">
        <v>761</v>
      </c>
      <c r="C77" s="1810" t="s">
        <v>377</v>
      </c>
      <c r="D77" s="1811" t="s">
        <v>164</v>
      </c>
      <c r="E77" s="1833" t="s">
        <v>632</v>
      </c>
      <c r="F77" s="1833" t="s">
        <v>633</v>
      </c>
      <c r="G77" s="1834" t="s">
        <v>882</v>
      </c>
      <c r="H77" s="1835" t="s">
        <v>883</v>
      </c>
    </row>
    <row r="78" spans="1:9" s="1638" customFormat="1" ht="13.5" thickTop="1" thickBot="1" x14ac:dyDescent="0.25">
      <c r="A78" s="1643">
        <v>1</v>
      </c>
      <c r="B78" s="1642">
        <v>2</v>
      </c>
      <c r="C78" s="1642">
        <v>3</v>
      </c>
      <c r="D78" s="1642">
        <v>4</v>
      </c>
      <c r="E78" s="1641">
        <v>5</v>
      </c>
      <c r="F78" s="1641">
        <v>6</v>
      </c>
      <c r="G78" s="1877">
        <v>7</v>
      </c>
      <c r="H78" s="1901" t="s">
        <v>61</v>
      </c>
    </row>
    <row r="79" spans="1:9" ht="15.75" thickTop="1" x14ac:dyDescent="0.2">
      <c r="A79" s="1896">
        <v>3123</v>
      </c>
      <c r="B79" s="1903">
        <v>6121</v>
      </c>
      <c r="C79" s="1906">
        <v>10</v>
      </c>
      <c r="D79" s="1836" t="s">
        <v>603</v>
      </c>
      <c r="E79" s="1845">
        <v>10904</v>
      </c>
      <c r="F79" s="1845">
        <v>0</v>
      </c>
      <c r="G79" s="1845">
        <v>0</v>
      </c>
      <c r="H79" s="1821">
        <v>0</v>
      </c>
    </row>
    <row r="80" spans="1:9" ht="15" x14ac:dyDescent="0.2">
      <c r="A80" s="1896">
        <v>3123</v>
      </c>
      <c r="B80" s="1903">
        <v>6121</v>
      </c>
      <c r="C80" s="1906">
        <v>53100884</v>
      </c>
      <c r="D80" s="1836" t="s">
        <v>603</v>
      </c>
      <c r="E80" s="1845">
        <v>0</v>
      </c>
      <c r="F80" s="1845">
        <v>7</v>
      </c>
      <c r="G80" s="1845">
        <v>7</v>
      </c>
      <c r="H80" s="1821">
        <f t="shared" ref="H80:H84" si="8">G80/F80*100</f>
        <v>100</v>
      </c>
    </row>
    <row r="81" spans="1:9" ht="15" x14ac:dyDescent="0.2">
      <c r="A81" s="1896">
        <v>3123</v>
      </c>
      <c r="B81" s="1903">
        <v>6121</v>
      </c>
      <c r="C81" s="1906">
        <v>54100880</v>
      </c>
      <c r="D81" s="1836" t="s">
        <v>603</v>
      </c>
      <c r="E81" s="1845">
        <v>0</v>
      </c>
      <c r="F81" s="1845">
        <v>1177</v>
      </c>
      <c r="G81" s="1845">
        <v>1163</v>
      </c>
      <c r="H81" s="1821">
        <f t="shared" si="8"/>
        <v>98.810535259133388</v>
      </c>
    </row>
    <row r="82" spans="1:9" ht="15" x14ac:dyDescent="0.2">
      <c r="A82" s="1896">
        <v>3123</v>
      </c>
      <c r="B82" s="1903">
        <v>6121</v>
      </c>
      <c r="C82" s="1906">
        <v>54100884</v>
      </c>
      <c r="D82" s="1836" t="s">
        <v>603</v>
      </c>
      <c r="E82" s="1845">
        <v>0</v>
      </c>
      <c r="F82" s="1845">
        <v>8650</v>
      </c>
      <c r="G82" s="1845">
        <v>8424</v>
      </c>
      <c r="H82" s="1821">
        <f t="shared" si="8"/>
        <v>97.387283236994222</v>
      </c>
    </row>
    <row r="83" spans="1:9" ht="15" x14ac:dyDescent="0.2">
      <c r="A83" s="1896">
        <v>3123</v>
      </c>
      <c r="B83" s="1903">
        <v>6121</v>
      </c>
      <c r="C83" s="1906">
        <v>54190877</v>
      </c>
      <c r="D83" s="1836" t="s">
        <v>603</v>
      </c>
      <c r="E83" s="1845">
        <v>0</v>
      </c>
      <c r="F83" s="1845">
        <v>611</v>
      </c>
      <c r="G83" s="1845">
        <v>582</v>
      </c>
      <c r="H83" s="1821">
        <f t="shared" si="8"/>
        <v>95.253682487725044</v>
      </c>
    </row>
    <row r="84" spans="1:9" ht="15.75" thickBot="1" x14ac:dyDescent="0.25">
      <c r="A84" s="1896">
        <v>3123</v>
      </c>
      <c r="B84" s="1903">
        <v>6121</v>
      </c>
      <c r="C84" s="1906">
        <v>54515835</v>
      </c>
      <c r="D84" s="1836" t="s">
        <v>603</v>
      </c>
      <c r="E84" s="1845">
        <v>0</v>
      </c>
      <c r="F84" s="1845">
        <v>10385</v>
      </c>
      <c r="G84" s="1845">
        <v>9889</v>
      </c>
      <c r="H84" s="1821">
        <f t="shared" si="8"/>
        <v>95.223880597014926</v>
      </c>
    </row>
    <row r="85" spans="1:9" s="1828" customFormat="1" ht="16.5" thickTop="1" thickBot="1" x14ac:dyDescent="0.3">
      <c r="A85" s="2751" t="s">
        <v>763</v>
      </c>
      <c r="B85" s="2752"/>
      <c r="C85" s="2752"/>
      <c r="D85" s="2752"/>
      <c r="E85" s="1818">
        <f>SUM(E79:E84)</f>
        <v>10904</v>
      </c>
      <c r="F85" s="1818">
        <f>SUM(F79:F84)</f>
        <v>20830</v>
      </c>
      <c r="G85" s="1818">
        <f>SUM(G79:G84)</f>
        <v>20065</v>
      </c>
      <c r="H85" s="1822">
        <f>G85/F85*100</f>
        <v>96.327412385981759</v>
      </c>
      <c r="I85" s="1910"/>
    </row>
    <row r="86" spans="1:9" s="1828" customFormat="1" ht="15.75" thickTop="1" x14ac:dyDescent="0.25">
      <c r="A86" s="1823"/>
      <c r="B86" s="1823"/>
      <c r="C86" s="1823"/>
      <c r="D86" s="1823"/>
      <c r="E86" s="1824"/>
      <c r="F86" s="1824"/>
      <c r="G86" s="1824"/>
      <c r="H86" s="1849"/>
      <c r="I86" s="1910"/>
    </row>
    <row r="87" spans="1:9" s="1828" customFormat="1" ht="15" x14ac:dyDescent="0.25">
      <c r="A87" s="1823"/>
      <c r="B87" s="1823"/>
      <c r="C87" s="1823"/>
      <c r="D87" s="1823"/>
      <c r="E87" s="1824"/>
      <c r="F87" s="1824"/>
      <c r="G87" s="1824"/>
      <c r="H87" s="1849"/>
      <c r="I87" s="1910"/>
    </row>
    <row r="88" spans="1:9" ht="18" x14ac:dyDescent="0.25">
      <c r="A88" s="1808" t="s">
        <v>91</v>
      </c>
      <c r="B88" s="1831"/>
      <c r="C88" s="1831"/>
      <c r="D88" s="1831"/>
      <c r="E88" s="1831"/>
      <c r="F88" s="1831"/>
      <c r="G88" s="1831"/>
      <c r="H88" s="1876"/>
    </row>
    <row r="89" spans="1:9" ht="16.5" thickBot="1" x14ac:dyDescent="0.3">
      <c r="A89" s="1807" t="s">
        <v>92</v>
      </c>
      <c r="H89" s="1825" t="s">
        <v>161</v>
      </c>
    </row>
    <row r="90" spans="1:9" s="1638" customFormat="1" ht="25.5" thickTop="1" thickBot="1" x14ac:dyDescent="0.25">
      <c r="A90" s="1809" t="s">
        <v>162</v>
      </c>
      <c r="B90" s="1810" t="s">
        <v>761</v>
      </c>
      <c r="C90" s="1810" t="s">
        <v>377</v>
      </c>
      <c r="D90" s="1811" t="s">
        <v>164</v>
      </c>
      <c r="E90" s="1833" t="s">
        <v>632</v>
      </c>
      <c r="F90" s="1833" t="s">
        <v>633</v>
      </c>
      <c r="G90" s="1834" t="s">
        <v>882</v>
      </c>
      <c r="H90" s="1835" t="s">
        <v>883</v>
      </c>
    </row>
    <row r="91" spans="1:9" s="1638" customFormat="1" ht="13.5" thickTop="1" thickBot="1" x14ac:dyDescent="0.25">
      <c r="A91" s="1643">
        <v>1</v>
      </c>
      <c r="B91" s="1642">
        <v>2</v>
      </c>
      <c r="C91" s="1642">
        <v>3</v>
      </c>
      <c r="D91" s="1642">
        <v>4</v>
      </c>
      <c r="E91" s="1641">
        <v>5</v>
      </c>
      <c r="F91" s="1641">
        <v>6</v>
      </c>
      <c r="G91" s="1877">
        <v>7</v>
      </c>
      <c r="H91" s="1901" t="s">
        <v>61</v>
      </c>
    </row>
    <row r="92" spans="1:9" s="1638" customFormat="1" ht="15.75" thickTop="1" x14ac:dyDescent="0.2">
      <c r="A92" s="1896">
        <v>3122</v>
      </c>
      <c r="B92" s="1903">
        <v>6121</v>
      </c>
      <c r="C92" s="1906">
        <v>53100870</v>
      </c>
      <c r="D92" s="1836" t="s">
        <v>603</v>
      </c>
      <c r="E92" s="1832">
        <v>0</v>
      </c>
      <c r="F92" s="2492">
        <v>1</v>
      </c>
      <c r="G92" s="1832">
        <v>1</v>
      </c>
      <c r="H92" s="2169">
        <f t="shared" ref="H92:H100" si="9">G92/F92*100</f>
        <v>100</v>
      </c>
    </row>
    <row r="93" spans="1:9" s="1638" customFormat="1" ht="15" x14ac:dyDescent="0.2">
      <c r="A93" s="1896">
        <v>3122</v>
      </c>
      <c r="B93" s="1903">
        <v>6121</v>
      </c>
      <c r="C93" s="1906">
        <v>53100872</v>
      </c>
      <c r="D93" s="1836" t="s">
        <v>603</v>
      </c>
      <c r="E93" s="1845">
        <v>0</v>
      </c>
      <c r="F93" s="1845">
        <v>1</v>
      </c>
      <c r="G93" s="1845">
        <v>1</v>
      </c>
      <c r="H93" s="2169">
        <f t="shared" si="9"/>
        <v>100</v>
      </c>
    </row>
    <row r="94" spans="1:9" s="1638" customFormat="1" ht="15" x14ac:dyDescent="0.2">
      <c r="A94" s="1896">
        <v>3122</v>
      </c>
      <c r="B94" s="1903">
        <v>6121</v>
      </c>
      <c r="C94" s="1906">
        <v>53100874</v>
      </c>
      <c r="D94" s="1836" t="s">
        <v>603</v>
      </c>
      <c r="E94" s="1845">
        <v>0</v>
      </c>
      <c r="F94" s="1845">
        <v>2900</v>
      </c>
      <c r="G94" s="1845">
        <v>2873</v>
      </c>
      <c r="H94" s="2169">
        <f t="shared" si="9"/>
        <v>99.068965517241381</v>
      </c>
    </row>
    <row r="95" spans="1:9" s="1638" customFormat="1" ht="15" x14ac:dyDescent="0.2">
      <c r="A95" s="1896">
        <v>3122</v>
      </c>
      <c r="B95" s="1903">
        <v>6121</v>
      </c>
      <c r="C95" s="1906">
        <v>53500871</v>
      </c>
      <c r="D95" s="1836" t="s">
        <v>603</v>
      </c>
      <c r="E95" s="1845">
        <v>0</v>
      </c>
      <c r="F95" s="1845">
        <v>10</v>
      </c>
      <c r="G95" s="1845">
        <v>10</v>
      </c>
      <c r="H95" s="2169">
        <f t="shared" si="9"/>
        <v>100</v>
      </c>
    </row>
    <row r="96" spans="1:9" s="1638" customFormat="1" ht="15" x14ac:dyDescent="0.2">
      <c r="A96" s="1896">
        <v>3122</v>
      </c>
      <c r="B96" s="1903">
        <v>6121</v>
      </c>
      <c r="C96" s="1906">
        <v>54100870</v>
      </c>
      <c r="D96" s="1836" t="s">
        <v>603</v>
      </c>
      <c r="E96" s="1845">
        <v>0</v>
      </c>
      <c r="F96" s="1845">
        <v>350</v>
      </c>
      <c r="G96" s="1845">
        <v>343</v>
      </c>
      <c r="H96" s="2169">
        <f t="shared" si="9"/>
        <v>98</v>
      </c>
    </row>
    <row r="97" spans="1:9" s="1638" customFormat="1" ht="15" x14ac:dyDescent="0.2">
      <c r="A97" s="1896">
        <v>3122</v>
      </c>
      <c r="B97" s="1903">
        <v>6121</v>
      </c>
      <c r="C97" s="1906">
        <v>54100872</v>
      </c>
      <c r="D97" s="1836" t="s">
        <v>603</v>
      </c>
      <c r="E97" s="1845">
        <v>0</v>
      </c>
      <c r="F97" s="1845">
        <v>2</v>
      </c>
      <c r="G97" s="1845">
        <v>0</v>
      </c>
      <c r="H97" s="2169">
        <f t="shared" si="9"/>
        <v>0</v>
      </c>
    </row>
    <row r="98" spans="1:9" s="1638" customFormat="1" ht="15" x14ac:dyDescent="0.2">
      <c r="A98" s="1896">
        <v>3122</v>
      </c>
      <c r="B98" s="1903">
        <v>6121</v>
      </c>
      <c r="C98" s="1906">
        <v>54100874</v>
      </c>
      <c r="D98" s="1836" t="s">
        <v>603</v>
      </c>
      <c r="E98" s="2168">
        <v>0</v>
      </c>
      <c r="F98" s="1845">
        <v>1321</v>
      </c>
      <c r="G98" s="1845">
        <v>674</v>
      </c>
      <c r="H98" s="2169">
        <f t="shared" si="9"/>
        <v>51.021953065859194</v>
      </c>
    </row>
    <row r="99" spans="1:9" s="1638" customFormat="1" ht="15" x14ac:dyDescent="0.2">
      <c r="A99" s="1896">
        <v>3122</v>
      </c>
      <c r="B99" s="1903">
        <v>6121</v>
      </c>
      <c r="C99" s="1906">
        <v>54100880</v>
      </c>
      <c r="D99" s="1836" t="s">
        <v>603</v>
      </c>
      <c r="E99" s="1845">
        <v>0</v>
      </c>
      <c r="F99" s="1845">
        <v>995</v>
      </c>
      <c r="G99" s="1845">
        <v>972</v>
      </c>
      <c r="H99" s="2169">
        <f t="shared" si="9"/>
        <v>97.688442211055275</v>
      </c>
    </row>
    <row r="100" spans="1:9" s="1638" customFormat="1" ht="15" x14ac:dyDescent="0.2">
      <c r="A100" s="1896">
        <v>3122</v>
      </c>
      <c r="B100" s="1903">
        <v>6121</v>
      </c>
      <c r="C100" s="1906">
        <v>54100884</v>
      </c>
      <c r="D100" s="1836" t="s">
        <v>603</v>
      </c>
      <c r="E100" s="2168">
        <v>0</v>
      </c>
      <c r="F100" s="1845">
        <v>325</v>
      </c>
      <c r="G100" s="1845">
        <v>0</v>
      </c>
      <c r="H100" s="2169">
        <f t="shared" si="9"/>
        <v>0</v>
      </c>
    </row>
    <row r="101" spans="1:9" ht="15" x14ac:dyDescent="0.2">
      <c r="A101" s="1896">
        <v>3122</v>
      </c>
      <c r="B101" s="1903">
        <v>6121</v>
      </c>
      <c r="C101" s="1906">
        <v>54190877</v>
      </c>
      <c r="D101" s="1836" t="s">
        <v>603</v>
      </c>
      <c r="E101" s="1845">
        <v>0</v>
      </c>
      <c r="F101" s="1845">
        <v>659</v>
      </c>
      <c r="G101" s="1845">
        <v>657</v>
      </c>
      <c r="H101" s="2169">
        <f>G101/F101*100</f>
        <v>99.696509863429441</v>
      </c>
    </row>
    <row r="102" spans="1:9" ht="15" x14ac:dyDescent="0.2">
      <c r="A102" s="1896">
        <v>3122</v>
      </c>
      <c r="B102" s="1903">
        <v>6121</v>
      </c>
      <c r="C102" s="1906">
        <v>54500871</v>
      </c>
      <c r="D102" s="1836" t="s">
        <v>603</v>
      </c>
      <c r="E102" s="1845">
        <v>0</v>
      </c>
      <c r="F102" s="1845">
        <v>34</v>
      </c>
      <c r="G102" s="1845">
        <v>1</v>
      </c>
      <c r="H102" s="2169">
        <f>G102/F102*100</f>
        <v>2.9411764705882351</v>
      </c>
    </row>
    <row r="103" spans="1:9" ht="15.75" thickBot="1" x14ac:dyDescent="0.25">
      <c r="A103" s="1896">
        <v>3122</v>
      </c>
      <c r="B103" s="1903">
        <v>6121</v>
      </c>
      <c r="C103" s="1906">
        <v>54515835</v>
      </c>
      <c r="D103" s="1836" t="s">
        <v>603</v>
      </c>
      <c r="E103" s="1845">
        <v>0</v>
      </c>
      <c r="F103" s="1845">
        <v>11204</v>
      </c>
      <c r="G103" s="1845">
        <v>11178</v>
      </c>
      <c r="H103" s="1821">
        <f>G103/F103*100</f>
        <v>99.767940021420927</v>
      </c>
    </row>
    <row r="104" spans="1:9" ht="15.75" hidden="1" thickBot="1" x14ac:dyDescent="0.25">
      <c r="A104" s="1896">
        <v>3122</v>
      </c>
      <c r="B104" s="1903">
        <v>6121</v>
      </c>
      <c r="C104" s="1906">
        <v>53500871</v>
      </c>
      <c r="D104" s="1836" t="s">
        <v>603</v>
      </c>
      <c r="E104" s="1845">
        <v>0</v>
      </c>
      <c r="F104" s="1845"/>
      <c r="G104" s="1845"/>
      <c r="H104" s="1827">
        <v>0</v>
      </c>
    </row>
    <row r="105" spans="1:9" s="1828" customFormat="1" ht="16.5" thickTop="1" thickBot="1" x14ac:dyDescent="0.3">
      <c r="A105" s="2751" t="s">
        <v>763</v>
      </c>
      <c r="B105" s="2752"/>
      <c r="C105" s="2752"/>
      <c r="D105" s="2752"/>
      <c r="E105" s="1818">
        <f>SUM(E92:E104)</f>
        <v>0</v>
      </c>
      <c r="F105" s="1818">
        <f t="shared" ref="F105:G105" si="10">SUM(F92:F104)</f>
        <v>17802</v>
      </c>
      <c r="G105" s="1818">
        <f t="shared" si="10"/>
        <v>16710</v>
      </c>
      <c r="H105" s="1822">
        <f>G105/F105*100</f>
        <v>93.865857768790022</v>
      </c>
      <c r="I105" s="1910"/>
    </row>
    <row r="106" spans="1:9" s="1828" customFormat="1" ht="15.75" thickTop="1" x14ac:dyDescent="0.25">
      <c r="A106" s="1823"/>
      <c r="B106" s="1823"/>
      <c r="C106" s="1823"/>
      <c r="D106" s="1823"/>
      <c r="E106" s="1824"/>
      <c r="F106" s="1824"/>
      <c r="G106" s="1824"/>
      <c r="H106" s="1849"/>
      <c r="I106" s="1910"/>
    </row>
    <row r="107" spans="1:9" ht="18" x14ac:dyDescent="0.25">
      <c r="A107" s="1808" t="s">
        <v>93</v>
      </c>
      <c r="B107" s="1831"/>
      <c r="C107" s="1831"/>
      <c r="D107" s="1831"/>
      <c r="E107" s="1831"/>
      <c r="F107" s="1831"/>
      <c r="G107" s="1831"/>
      <c r="H107" s="1876"/>
    </row>
    <row r="108" spans="1:9" ht="16.5" thickBot="1" x14ac:dyDescent="0.3">
      <c r="A108" s="1807" t="s">
        <v>94</v>
      </c>
      <c r="H108" s="1825" t="s">
        <v>161</v>
      </c>
    </row>
    <row r="109" spans="1:9" s="1638" customFormat="1" ht="25.5" thickTop="1" thickBot="1" x14ac:dyDescent="0.25">
      <c r="A109" s="1809" t="s">
        <v>162</v>
      </c>
      <c r="B109" s="1810" t="s">
        <v>761</v>
      </c>
      <c r="C109" s="1810" t="s">
        <v>377</v>
      </c>
      <c r="D109" s="1811" t="s">
        <v>164</v>
      </c>
      <c r="E109" s="1833" t="s">
        <v>632</v>
      </c>
      <c r="F109" s="1833" t="s">
        <v>633</v>
      </c>
      <c r="G109" s="1834" t="s">
        <v>882</v>
      </c>
      <c r="H109" s="1835" t="s">
        <v>883</v>
      </c>
    </row>
    <row r="110" spans="1:9" s="1638" customFormat="1" ht="13.5" thickTop="1" thickBot="1" x14ac:dyDescent="0.25">
      <c r="A110" s="1643">
        <v>1</v>
      </c>
      <c r="B110" s="1642">
        <v>2</v>
      </c>
      <c r="C110" s="1642">
        <v>3</v>
      </c>
      <c r="D110" s="1642">
        <v>4</v>
      </c>
      <c r="E110" s="1641">
        <v>5</v>
      </c>
      <c r="F110" s="1641">
        <v>6</v>
      </c>
      <c r="G110" s="1877">
        <v>7</v>
      </c>
      <c r="H110" s="1901" t="s">
        <v>61</v>
      </c>
    </row>
    <row r="111" spans="1:9" ht="15.75" thickTop="1" x14ac:dyDescent="0.2">
      <c r="A111" s="1896">
        <v>3122</v>
      </c>
      <c r="B111" s="1903">
        <v>6121</v>
      </c>
      <c r="C111" s="1906">
        <v>54100870</v>
      </c>
      <c r="D111" s="1836" t="s">
        <v>603</v>
      </c>
      <c r="E111" s="1845">
        <v>0</v>
      </c>
      <c r="F111" s="1845">
        <v>303</v>
      </c>
      <c r="G111" s="1845">
        <v>303</v>
      </c>
      <c r="H111" s="1821">
        <f t="shared" ref="H111:H112" si="11">G111/F111*100</f>
        <v>100</v>
      </c>
    </row>
    <row r="112" spans="1:9" ht="15" x14ac:dyDescent="0.2">
      <c r="A112" s="1896">
        <v>3122</v>
      </c>
      <c r="B112" s="1903">
        <v>6121</v>
      </c>
      <c r="C112" s="1906">
        <v>54100874</v>
      </c>
      <c r="D112" s="1836" t="s">
        <v>603</v>
      </c>
      <c r="E112" s="1845"/>
      <c r="F112" s="1845">
        <v>6199</v>
      </c>
      <c r="G112" s="1845">
        <v>6188</v>
      </c>
      <c r="H112" s="1821">
        <f t="shared" si="11"/>
        <v>99.822552024520078</v>
      </c>
    </row>
    <row r="113" spans="1:9" ht="15" x14ac:dyDescent="0.2">
      <c r="A113" s="1896">
        <v>3122</v>
      </c>
      <c r="B113" s="1903">
        <v>6121</v>
      </c>
      <c r="C113" s="1906">
        <v>54100880</v>
      </c>
      <c r="D113" s="1836" t="s">
        <v>603</v>
      </c>
      <c r="E113" s="1845">
        <v>0</v>
      </c>
      <c r="F113" s="1845">
        <v>578</v>
      </c>
      <c r="G113" s="1845">
        <v>578</v>
      </c>
      <c r="H113" s="1821">
        <f>G113/F113*100</f>
        <v>100</v>
      </c>
    </row>
    <row r="114" spans="1:9" ht="15" x14ac:dyDescent="0.2">
      <c r="A114" s="1896">
        <v>3122</v>
      </c>
      <c r="B114" s="1903">
        <v>6121</v>
      </c>
      <c r="C114" s="1906">
        <v>54100884</v>
      </c>
      <c r="D114" s="1836" t="s">
        <v>603</v>
      </c>
      <c r="E114" s="1845">
        <v>0</v>
      </c>
      <c r="F114" s="1845">
        <v>7475</v>
      </c>
      <c r="G114" s="1845">
        <v>7474</v>
      </c>
      <c r="H114" s="1821">
        <f>G114/F114*100</f>
        <v>99.986622073578587</v>
      </c>
    </row>
    <row r="115" spans="1:9" ht="15" x14ac:dyDescent="0.2">
      <c r="A115" s="1896">
        <v>3122</v>
      </c>
      <c r="B115" s="1903">
        <v>6121</v>
      </c>
      <c r="C115" s="1906">
        <v>54190877</v>
      </c>
      <c r="D115" s="1836" t="s">
        <v>603</v>
      </c>
      <c r="E115" s="1845">
        <v>0</v>
      </c>
      <c r="F115" s="1845">
        <v>475</v>
      </c>
      <c r="G115" s="1845">
        <v>440</v>
      </c>
      <c r="H115" s="1821">
        <f>G115/F115*100</f>
        <v>92.631578947368425</v>
      </c>
    </row>
    <row r="116" spans="1:9" ht="15.75" thickBot="1" x14ac:dyDescent="0.25">
      <c r="A116" s="1896">
        <v>3122</v>
      </c>
      <c r="B116" s="1903">
        <v>6121</v>
      </c>
      <c r="C116" s="1906">
        <v>54515835</v>
      </c>
      <c r="D116" s="1836" t="s">
        <v>603</v>
      </c>
      <c r="E116" s="1845">
        <v>0</v>
      </c>
      <c r="F116" s="1845">
        <v>8079</v>
      </c>
      <c r="G116" s="1845">
        <v>7482</v>
      </c>
      <c r="H116" s="1821">
        <f>G116/F116*100</f>
        <v>92.610471593018943</v>
      </c>
    </row>
    <row r="117" spans="1:9" s="1828" customFormat="1" ht="16.5" thickTop="1" thickBot="1" x14ac:dyDescent="0.3">
      <c r="A117" s="2751" t="s">
        <v>763</v>
      </c>
      <c r="B117" s="2752"/>
      <c r="C117" s="2752"/>
      <c r="D117" s="2752"/>
      <c r="E117" s="1818">
        <f>SUM(E111:E116)</f>
        <v>0</v>
      </c>
      <c r="F117" s="1818">
        <f t="shared" ref="F117:G117" si="12">SUM(F111:F116)</f>
        <v>23109</v>
      </c>
      <c r="G117" s="1818">
        <f t="shared" si="12"/>
        <v>22465</v>
      </c>
      <c r="H117" s="1822">
        <f>G117/F117*100</f>
        <v>97.213206975637206</v>
      </c>
      <c r="I117" s="1910"/>
    </row>
    <row r="118" spans="1:9" s="1828" customFormat="1" ht="15.75" thickTop="1" x14ac:dyDescent="0.25">
      <c r="A118" s="1823"/>
      <c r="B118" s="1823"/>
      <c r="C118" s="1823"/>
      <c r="D118" s="1823"/>
      <c r="E118" s="1824"/>
      <c r="F118" s="1824"/>
      <c r="G118" s="1824"/>
      <c r="H118" s="1849"/>
      <c r="I118" s="1910"/>
    </row>
    <row r="119" spans="1:9" ht="18" x14ac:dyDescent="0.25">
      <c r="A119" s="1808" t="s">
        <v>1720</v>
      </c>
      <c r="B119" s="1831"/>
      <c r="C119" s="1831"/>
      <c r="D119" s="1831"/>
      <c r="E119" s="1831"/>
      <c r="F119" s="1831"/>
      <c r="G119" s="1831"/>
      <c r="H119" s="1876"/>
    </row>
    <row r="120" spans="1:9" ht="16.5" thickBot="1" x14ac:dyDescent="0.3">
      <c r="A120" s="1807" t="s">
        <v>95</v>
      </c>
      <c r="H120" s="1825" t="s">
        <v>161</v>
      </c>
    </row>
    <row r="121" spans="1:9" s="1638" customFormat="1" ht="25.5" thickTop="1" thickBot="1" x14ac:dyDescent="0.25">
      <c r="A121" s="1809" t="s">
        <v>162</v>
      </c>
      <c r="B121" s="1810" t="s">
        <v>761</v>
      </c>
      <c r="C121" s="1810" t="s">
        <v>377</v>
      </c>
      <c r="D121" s="1811" t="s">
        <v>164</v>
      </c>
      <c r="E121" s="1833" t="s">
        <v>632</v>
      </c>
      <c r="F121" s="1833" t="s">
        <v>633</v>
      </c>
      <c r="G121" s="1834" t="s">
        <v>882</v>
      </c>
      <c r="H121" s="1835" t="s">
        <v>883</v>
      </c>
    </row>
    <row r="122" spans="1:9" s="1638" customFormat="1" ht="13.5" thickTop="1" thickBot="1" x14ac:dyDescent="0.25">
      <c r="A122" s="1643">
        <v>1</v>
      </c>
      <c r="B122" s="1642">
        <v>2</v>
      </c>
      <c r="C122" s="1642">
        <v>3</v>
      </c>
      <c r="D122" s="1642">
        <v>4</v>
      </c>
      <c r="E122" s="1641">
        <v>5</v>
      </c>
      <c r="F122" s="1641">
        <v>6</v>
      </c>
      <c r="G122" s="1877">
        <v>7</v>
      </c>
      <c r="H122" s="1901" t="s">
        <v>61</v>
      </c>
    </row>
    <row r="123" spans="1:9" ht="15.75" thickTop="1" x14ac:dyDescent="0.2">
      <c r="A123" s="1896">
        <v>3121</v>
      </c>
      <c r="B123" s="1903">
        <v>6121</v>
      </c>
      <c r="C123" s="1906">
        <v>54100870</v>
      </c>
      <c r="D123" s="1836" t="s">
        <v>603</v>
      </c>
      <c r="E123" s="1832">
        <v>0</v>
      </c>
      <c r="F123" s="1832">
        <v>856</v>
      </c>
      <c r="G123" s="1832">
        <v>856</v>
      </c>
      <c r="H123" s="1819">
        <f>G123/F123*100</f>
        <v>100</v>
      </c>
    </row>
    <row r="124" spans="1:9" ht="15" x14ac:dyDescent="0.2">
      <c r="A124" s="1896">
        <v>3121</v>
      </c>
      <c r="B124" s="1903">
        <v>6121</v>
      </c>
      <c r="C124" s="1906">
        <v>54100874</v>
      </c>
      <c r="D124" s="1836" t="s">
        <v>603</v>
      </c>
      <c r="E124" s="1845">
        <v>0</v>
      </c>
      <c r="F124" s="1845">
        <v>14341</v>
      </c>
      <c r="G124" s="1845">
        <v>14341</v>
      </c>
      <c r="H124" s="1821">
        <f>G124/F124*100</f>
        <v>100</v>
      </c>
    </row>
    <row r="125" spans="1:9" ht="15" x14ac:dyDescent="0.2">
      <c r="A125" s="1896">
        <v>3121</v>
      </c>
      <c r="B125" s="1903">
        <v>6121</v>
      </c>
      <c r="C125" s="1906">
        <v>54100880</v>
      </c>
      <c r="D125" s="1836" t="s">
        <v>603</v>
      </c>
      <c r="E125" s="1845">
        <v>0</v>
      </c>
      <c r="F125" s="1845">
        <v>335</v>
      </c>
      <c r="G125" s="1845">
        <v>332</v>
      </c>
      <c r="H125" s="1821">
        <f>G125/F125*100</f>
        <v>99.104477611940297</v>
      </c>
    </row>
    <row r="126" spans="1:9" ht="15" x14ac:dyDescent="0.2">
      <c r="A126" s="1896">
        <v>3121</v>
      </c>
      <c r="B126" s="1903">
        <v>6121</v>
      </c>
      <c r="C126" s="1906">
        <v>54100884</v>
      </c>
      <c r="D126" s="1836" t="s">
        <v>603</v>
      </c>
      <c r="E126" s="1845">
        <v>0</v>
      </c>
      <c r="F126" s="1845">
        <v>2089</v>
      </c>
      <c r="G126" s="1845">
        <v>2089</v>
      </c>
      <c r="H126" s="1821">
        <f>G126/F126*100</f>
        <v>100</v>
      </c>
    </row>
    <row r="127" spans="1:9" ht="15" x14ac:dyDescent="0.2">
      <c r="A127" s="1896">
        <v>3121</v>
      </c>
      <c r="B127" s="1903">
        <v>6121</v>
      </c>
      <c r="C127" s="1906">
        <v>54190877</v>
      </c>
      <c r="D127" s="1836" t="s">
        <v>603</v>
      </c>
      <c r="E127" s="1845">
        <v>0</v>
      </c>
      <c r="F127" s="1845">
        <v>616</v>
      </c>
      <c r="G127" s="1845">
        <v>594</v>
      </c>
      <c r="H127" s="1821">
        <f t="shared" ref="H127:H128" si="13">G127/F127*100</f>
        <v>96.428571428571431</v>
      </c>
    </row>
    <row r="128" spans="1:9" ht="15.75" thickBot="1" x14ac:dyDescent="0.25">
      <c r="A128" s="1896">
        <v>3121</v>
      </c>
      <c r="B128" s="1903">
        <v>6121</v>
      </c>
      <c r="C128" s="1906">
        <v>54515835</v>
      </c>
      <c r="D128" s="1836" t="s">
        <v>603</v>
      </c>
      <c r="E128" s="1845">
        <v>0</v>
      </c>
      <c r="F128" s="1845">
        <v>10475</v>
      </c>
      <c r="G128" s="1845">
        <v>10098</v>
      </c>
      <c r="H128" s="1821">
        <f t="shared" si="13"/>
        <v>96.400954653937944</v>
      </c>
    </row>
    <row r="129" spans="1:9" s="1828" customFormat="1" ht="16.5" thickTop="1" thickBot="1" x14ac:dyDescent="0.3">
      <c r="A129" s="2751" t="s">
        <v>763</v>
      </c>
      <c r="B129" s="2752"/>
      <c r="C129" s="2752"/>
      <c r="D129" s="2752"/>
      <c r="E129" s="1818">
        <f>SUM(E123:E128)</f>
        <v>0</v>
      </c>
      <c r="F129" s="1818">
        <f t="shared" ref="F129:G129" si="14">SUM(F123:F128)</f>
        <v>28712</v>
      </c>
      <c r="G129" s="1818">
        <f t="shared" si="14"/>
        <v>28310</v>
      </c>
      <c r="H129" s="1822">
        <f>G129/F129*100</f>
        <v>98.59988854834215</v>
      </c>
      <c r="I129" s="1910"/>
    </row>
    <row r="130" spans="1:9" ht="13.5" thickTop="1" x14ac:dyDescent="0.2"/>
    <row r="131" spans="1:9" ht="18" x14ac:dyDescent="0.25">
      <c r="A131" s="1808" t="s">
        <v>96</v>
      </c>
      <c r="B131" s="1831"/>
      <c r="C131" s="1831"/>
      <c r="D131" s="1831"/>
      <c r="E131" s="1831"/>
      <c r="F131" s="1831"/>
      <c r="G131" s="1831"/>
      <c r="H131" s="1876"/>
    </row>
    <row r="132" spans="1:9" ht="16.5" thickBot="1" x14ac:dyDescent="0.3">
      <c r="A132" s="1807" t="s">
        <v>97</v>
      </c>
      <c r="H132" s="1825" t="s">
        <v>161</v>
      </c>
    </row>
    <row r="133" spans="1:9" s="1638" customFormat="1" ht="25.5" thickTop="1" thickBot="1" x14ac:dyDescent="0.25">
      <c r="A133" s="1809" t="s">
        <v>162</v>
      </c>
      <c r="B133" s="1810" t="s">
        <v>761</v>
      </c>
      <c r="C133" s="1810" t="s">
        <v>377</v>
      </c>
      <c r="D133" s="1811" t="s">
        <v>164</v>
      </c>
      <c r="E133" s="1833" t="s">
        <v>632</v>
      </c>
      <c r="F133" s="1833" t="s">
        <v>633</v>
      </c>
      <c r="G133" s="1834" t="s">
        <v>882</v>
      </c>
      <c r="H133" s="1835" t="s">
        <v>883</v>
      </c>
    </row>
    <row r="134" spans="1:9" s="1638" customFormat="1" ht="13.5" thickTop="1" thickBot="1" x14ac:dyDescent="0.25">
      <c r="A134" s="1643">
        <v>1</v>
      </c>
      <c r="B134" s="1642">
        <v>2</v>
      </c>
      <c r="C134" s="1642">
        <v>3</v>
      </c>
      <c r="D134" s="1642">
        <v>4</v>
      </c>
      <c r="E134" s="1641">
        <v>5</v>
      </c>
      <c r="F134" s="1641">
        <v>6</v>
      </c>
      <c r="G134" s="1877">
        <v>7</v>
      </c>
      <c r="H134" s="1901" t="s">
        <v>61</v>
      </c>
    </row>
    <row r="135" spans="1:9" ht="15.75" thickTop="1" x14ac:dyDescent="0.2">
      <c r="A135" s="1896">
        <v>3122</v>
      </c>
      <c r="B135" s="1903">
        <v>6121</v>
      </c>
      <c r="C135" s="1906">
        <v>53100870</v>
      </c>
      <c r="D135" s="1836" t="s">
        <v>603</v>
      </c>
      <c r="E135" s="1845">
        <v>0</v>
      </c>
      <c r="F135" s="1845">
        <v>0</v>
      </c>
      <c r="G135" s="1845">
        <v>0</v>
      </c>
      <c r="H135" s="1821">
        <v>0</v>
      </c>
    </row>
    <row r="136" spans="1:9" ht="15" x14ac:dyDescent="0.2">
      <c r="A136" s="1896">
        <v>3122</v>
      </c>
      <c r="B136" s="1903">
        <v>6121</v>
      </c>
      <c r="C136" s="1906">
        <v>53100872</v>
      </c>
      <c r="D136" s="1836" t="s">
        <v>603</v>
      </c>
      <c r="E136" s="1845">
        <v>0</v>
      </c>
      <c r="F136" s="1845">
        <v>0</v>
      </c>
      <c r="G136" s="1845">
        <v>0</v>
      </c>
      <c r="H136" s="1821">
        <v>0</v>
      </c>
    </row>
    <row r="137" spans="1:9" ht="15" x14ac:dyDescent="0.2">
      <c r="A137" s="1896">
        <v>3122</v>
      </c>
      <c r="B137" s="1903">
        <v>6121</v>
      </c>
      <c r="C137" s="1906">
        <v>53500871</v>
      </c>
      <c r="D137" s="1836" t="s">
        <v>603</v>
      </c>
      <c r="E137" s="1845">
        <v>0</v>
      </c>
      <c r="F137" s="1845">
        <v>3</v>
      </c>
      <c r="G137" s="1845">
        <v>3</v>
      </c>
      <c r="H137" s="1821">
        <f t="shared" ref="H137:H140" si="15">G137/F137*100</f>
        <v>100</v>
      </c>
    </row>
    <row r="138" spans="1:9" ht="15" x14ac:dyDescent="0.2">
      <c r="A138" s="1896">
        <v>3122</v>
      </c>
      <c r="B138" s="1903">
        <v>6121</v>
      </c>
      <c r="C138" s="1906">
        <v>54100870</v>
      </c>
      <c r="D138" s="1836" t="s">
        <v>603</v>
      </c>
      <c r="E138" s="1845">
        <v>0</v>
      </c>
      <c r="F138" s="1845">
        <v>239</v>
      </c>
      <c r="G138" s="1845">
        <v>239</v>
      </c>
      <c r="H138" s="1821">
        <f t="shared" si="15"/>
        <v>100</v>
      </c>
    </row>
    <row r="139" spans="1:9" ht="15" x14ac:dyDescent="0.2">
      <c r="A139" s="1896">
        <v>3122</v>
      </c>
      <c r="B139" s="1903">
        <v>6121</v>
      </c>
      <c r="C139" s="1906">
        <v>54100874</v>
      </c>
      <c r="D139" s="1836" t="s">
        <v>603</v>
      </c>
      <c r="E139" s="1845">
        <v>0</v>
      </c>
      <c r="F139" s="1845">
        <v>2447</v>
      </c>
      <c r="G139" s="1845">
        <v>2447</v>
      </c>
      <c r="H139" s="1821">
        <f t="shared" si="15"/>
        <v>100</v>
      </c>
    </row>
    <row r="140" spans="1:9" ht="15" x14ac:dyDescent="0.2">
      <c r="A140" s="1896">
        <v>3122</v>
      </c>
      <c r="B140" s="1903">
        <v>6121</v>
      </c>
      <c r="C140" s="1906">
        <v>54100880</v>
      </c>
      <c r="D140" s="1836" t="s">
        <v>603</v>
      </c>
      <c r="E140" s="1845">
        <v>0</v>
      </c>
      <c r="F140" s="1845">
        <v>144</v>
      </c>
      <c r="G140" s="1845">
        <v>144</v>
      </c>
      <c r="H140" s="1821">
        <f t="shared" si="15"/>
        <v>100</v>
      </c>
    </row>
    <row r="141" spans="1:9" ht="15" x14ac:dyDescent="0.2">
      <c r="A141" s="1896">
        <v>3122</v>
      </c>
      <c r="B141" s="1903">
        <v>6121</v>
      </c>
      <c r="C141" s="1906">
        <v>54100884</v>
      </c>
      <c r="D141" s="1836" t="s">
        <v>603</v>
      </c>
      <c r="E141" s="1845">
        <v>0</v>
      </c>
      <c r="F141" s="1845">
        <v>1284</v>
      </c>
      <c r="G141" s="1845">
        <v>1280</v>
      </c>
      <c r="H141" s="1821">
        <f>G141/F141*100</f>
        <v>99.688473520249218</v>
      </c>
    </row>
    <row r="142" spans="1:9" ht="15" x14ac:dyDescent="0.2">
      <c r="A142" s="1896">
        <v>3122</v>
      </c>
      <c r="B142" s="1903">
        <v>6121</v>
      </c>
      <c r="C142" s="1906">
        <v>54190877</v>
      </c>
      <c r="D142" s="1836" t="s">
        <v>603</v>
      </c>
      <c r="E142" s="1845">
        <v>0</v>
      </c>
      <c r="F142" s="1845">
        <v>211</v>
      </c>
      <c r="G142" s="1845">
        <v>191</v>
      </c>
      <c r="H142" s="1821">
        <f>G142/F142*100</f>
        <v>90.521327014218016</v>
      </c>
    </row>
    <row r="143" spans="1:9" ht="15.75" thickBot="1" x14ac:dyDescent="0.25">
      <c r="A143" s="1896">
        <v>3122</v>
      </c>
      <c r="B143" s="1903">
        <v>6121</v>
      </c>
      <c r="C143" s="1906">
        <v>54515835</v>
      </c>
      <c r="D143" s="1836" t="s">
        <v>603</v>
      </c>
      <c r="E143" s="1845">
        <v>0</v>
      </c>
      <c r="F143" s="1845">
        <v>3581</v>
      </c>
      <c r="G143" s="1845">
        <v>3255</v>
      </c>
      <c r="H143" s="1821">
        <f>G143/F143*100</f>
        <v>90.896397654286503</v>
      </c>
    </row>
    <row r="144" spans="1:9" ht="15.75" hidden="1" thickBot="1" x14ac:dyDescent="0.25">
      <c r="A144" s="1896">
        <v>3122</v>
      </c>
      <c r="B144" s="1903">
        <v>6121</v>
      </c>
      <c r="C144" s="1906">
        <v>53500871</v>
      </c>
      <c r="D144" s="1836" t="s">
        <v>603</v>
      </c>
      <c r="E144" s="1845">
        <v>0</v>
      </c>
      <c r="F144" s="1845"/>
      <c r="G144" s="1845"/>
      <c r="H144" s="1827">
        <v>0</v>
      </c>
    </row>
    <row r="145" spans="1:9" s="1828" customFormat="1" ht="16.5" thickTop="1" thickBot="1" x14ac:dyDescent="0.3">
      <c r="A145" s="2751" t="s">
        <v>763</v>
      </c>
      <c r="B145" s="2752"/>
      <c r="C145" s="2752"/>
      <c r="D145" s="2752"/>
      <c r="E145" s="1818">
        <f>SUM(E135:E144)</f>
        <v>0</v>
      </c>
      <c r="F145" s="1818">
        <f t="shared" ref="F145:G145" si="16">SUM(F135:F144)</f>
        <v>7909</v>
      </c>
      <c r="G145" s="1818">
        <f t="shared" si="16"/>
        <v>7559</v>
      </c>
      <c r="H145" s="1822">
        <f>G145/F145*100</f>
        <v>95.574661777721587</v>
      </c>
      <c r="I145" s="1910"/>
    </row>
    <row r="146" spans="1:9" s="1828" customFormat="1" ht="15.75" thickTop="1" x14ac:dyDescent="0.25">
      <c r="A146" s="1823"/>
      <c r="B146" s="1823"/>
      <c r="C146" s="1823"/>
      <c r="D146" s="1823"/>
      <c r="E146" s="1824"/>
      <c r="F146" s="1824"/>
      <c r="G146" s="1824"/>
      <c r="H146" s="1849"/>
      <c r="I146" s="1910"/>
    </row>
    <row r="147" spans="1:9" ht="18" x14ac:dyDescent="0.25">
      <c r="A147" s="1808" t="s">
        <v>1612</v>
      </c>
      <c r="B147" s="1831"/>
      <c r="C147" s="1831"/>
      <c r="D147" s="1831"/>
      <c r="E147" s="1831"/>
      <c r="F147" s="1831"/>
      <c r="G147" s="1831"/>
      <c r="H147" s="1876"/>
    </row>
    <row r="148" spans="1:9" ht="16.5" thickBot="1" x14ac:dyDescent="0.3">
      <c r="A148" s="1807" t="s">
        <v>98</v>
      </c>
      <c r="H148" s="1825" t="s">
        <v>161</v>
      </c>
    </row>
    <row r="149" spans="1:9" s="1638" customFormat="1" ht="25.5" thickTop="1" thickBot="1" x14ac:dyDescent="0.25">
      <c r="A149" s="1809" t="s">
        <v>162</v>
      </c>
      <c r="B149" s="1810" t="s">
        <v>761</v>
      </c>
      <c r="C149" s="1810" t="s">
        <v>377</v>
      </c>
      <c r="D149" s="1811" t="s">
        <v>164</v>
      </c>
      <c r="E149" s="1833" t="s">
        <v>632</v>
      </c>
      <c r="F149" s="1833" t="s">
        <v>633</v>
      </c>
      <c r="G149" s="1834" t="s">
        <v>882</v>
      </c>
      <c r="H149" s="1835" t="s">
        <v>883</v>
      </c>
    </row>
    <row r="150" spans="1:9" s="1638" customFormat="1" ht="13.5" thickTop="1" thickBot="1" x14ac:dyDescent="0.25">
      <c r="A150" s="1643">
        <v>1</v>
      </c>
      <c r="B150" s="1642">
        <v>2</v>
      </c>
      <c r="C150" s="1642">
        <v>3</v>
      </c>
      <c r="D150" s="1642">
        <v>4</v>
      </c>
      <c r="E150" s="1641">
        <v>5</v>
      </c>
      <c r="F150" s="1641">
        <v>6</v>
      </c>
      <c r="G150" s="1877">
        <v>7</v>
      </c>
      <c r="H150" s="1901" t="s">
        <v>61</v>
      </c>
    </row>
    <row r="151" spans="1:9" ht="15.75" thickTop="1" x14ac:dyDescent="0.2">
      <c r="A151" s="1896">
        <v>3122</v>
      </c>
      <c r="B151" s="1903">
        <v>6121</v>
      </c>
      <c r="C151" s="1906">
        <v>54100870</v>
      </c>
      <c r="D151" s="1836" t="s">
        <v>603</v>
      </c>
      <c r="E151" s="1832">
        <v>0</v>
      </c>
      <c r="F151" s="1832">
        <v>172</v>
      </c>
      <c r="G151" s="1832">
        <v>172</v>
      </c>
      <c r="H151" s="1819">
        <f>G151/F151*100</f>
        <v>100</v>
      </c>
    </row>
    <row r="152" spans="1:9" ht="15" x14ac:dyDescent="0.2">
      <c r="A152" s="1896">
        <v>3122</v>
      </c>
      <c r="B152" s="1903">
        <v>6121</v>
      </c>
      <c r="C152" s="1906">
        <v>54100874</v>
      </c>
      <c r="D152" s="1836" t="s">
        <v>603</v>
      </c>
      <c r="E152" s="1845">
        <v>0</v>
      </c>
      <c r="F152" s="1845">
        <v>671</v>
      </c>
      <c r="G152" s="1845">
        <v>650</v>
      </c>
      <c r="H152" s="1821">
        <f>G152/F152*100</f>
        <v>96.870342771982124</v>
      </c>
    </row>
    <row r="153" spans="1:9" ht="15" x14ac:dyDescent="0.2">
      <c r="A153" s="1896">
        <v>3122</v>
      </c>
      <c r="B153" s="1903">
        <v>6121</v>
      </c>
      <c r="C153" s="1906">
        <v>54100880</v>
      </c>
      <c r="D153" s="1836" t="s">
        <v>603</v>
      </c>
      <c r="E153" s="1845">
        <v>0</v>
      </c>
      <c r="F153" s="1845">
        <v>168</v>
      </c>
      <c r="G153" s="1845">
        <v>62</v>
      </c>
      <c r="H153" s="1821">
        <f t="shared" ref="H153:H156" si="17">G153/F153*100</f>
        <v>36.904761904761905</v>
      </c>
    </row>
    <row r="154" spans="1:9" ht="15" x14ac:dyDescent="0.2">
      <c r="A154" s="1896">
        <v>3122</v>
      </c>
      <c r="B154" s="1903">
        <v>6121</v>
      </c>
      <c r="C154" s="1906">
        <v>54100884</v>
      </c>
      <c r="D154" s="1836" t="s">
        <v>603</v>
      </c>
      <c r="E154" s="1845">
        <v>0</v>
      </c>
      <c r="F154" s="1845">
        <v>2249</v>
      </c>
      <c r="G154" s="1845">
        <v>2249</v>
      </c>
      <c r="H154" s="1821">
        <f t="shared" si="17"/>
        <v>100</v>
      </c>
    </row>
    <row r="155" spans="1:9" ht="15" x14ac:dyDescent="0.2">
      <c r="A155" s="1896">
        <v>3122</v>
      </c>
      <c r="B155" s="1903">
        <v>6121</v>
      </c>
      <c r="C155" s="1906">
        <v>54190877</v>
      </c>
      <c r="D155" s="1836" t="s">
        <v>603</v>
      </c>
      <c r="E155" s="1845">
        <v>0</v>
      </c>
      <c r="F155" s="1845">
        <v>130</v>
      </c>
      <c r="G155" s="1845">
        <v>117</v>
      </c>
      <c r="H155" s="1821">
        <f t="shared" si="17"/>
        <v>90</v>
      </c>
    </row>
    <row r="156" spans="1:9" ht="15.75" thickBot="1" x14ac:dyDescent="0.25">
      <c r="A156" s="1896">
        <v>3122</v>
      </c>
      <c r="B156" s="1903">
        <v>6121</v>
      </c>
      <c r="C156" s="1906">
        <v>54515835</v>
      </c>
      <c r="D156" s="1836" t="s">
        <v>603</v>
      </c>
      <c r="E156" s="1845">
        <v>0</v>
      </c>
      <c r="F156" s="1845">
        <v>2214</v>
      </c>
      <c r="G156" s="1845">
        <v>1987</v>
      </c>
      <c r="H156" s="1821">
        <f t="shared" si="17"/>
        <v>89.747064137308044</v>
      </c>
    </row>
    <row r="157" spans="1:9" s="1828" customFormat="1" ht="16.5" thickTop="1" thickBot="1" x14ac:dyDescent="0.3">
      <c r="A157" s="2751" t="s">
        <v>763</v>
      </c>
      <c r="B157" s="2752"/>
      <c r="C157" s="2752"/>
      <c r="D157" s="2752"/>
      <c r="E157" s="1818">
        <f>SUM(E151:E156)</f>
        <v>0</v>
      </c>
      <c r="F157" s="1818">
        <f>SUM(F151:F156)</f>
        <v>5604</v>
      </c>
      <c r="G157" s="1818">
        <f>SUM(G151:G156)</f>
        <v>5237</v>
      </c>
      <c r="H157" s="1822">
        <f>G157/F157*100</f>
        <v>93.451106352605279</v>
      </c>
      <c r="I157" s="1910"/>
    </row>
    <row r="158" spans="1:9" s="1828" customFormat="1" ht="15.75" thickTop="1" x14ac:dyDescent="0.25">
      <c r="A158" s="1823"/>
      <c r="B158" s="1823"/>
      <c r="C158" s="1823"/>
      <c r="D158" s="1823"/>
      <c r="E158" s="1824"/>
      <c r="F158" s="1824"/>
      <c r="G158" s="1824"/>
      <c r="H158" s="1849"/>
      <c r="I158" s="1910"/>
    </row>
    <row r="159" spans="1:9" ht="18" x14ac:dyDescent="0.25">
      <c r="A159" s="1808" t="s">
        <v>99</v>
      </c>
      <c r="B159" s="1831"/>
      <c r="C159" s="1831"/>
      <c r="D159" s="1831"/>
      <c r="E159" s="1831"/>
      <c r="F159" s="1831"/>
      <c r="G159" s="1831"/>
      <c r="H159" s="1876"/>
    </row>
    <row r="160" spans="1:9" ht="16.5" thickBot="1" x14ac:dyDescent="0.3">
      <c r="A160" s="1807" t="s">
        <v>100</v>
      </c>
      <c r="H160" s="1825" t="s">
        <v>161</v>
      </c>
    </row>
    <row r="161" spans="1:9" s="1638" customFormat="1" ht="25.5" thickTop="1" thickBot="1" x14ac:dyDescent="0.25">
      <c r="A161" s="1809" t="s">
        <v>162</v>
      </c>
      <c r="B161" s="1810" t="s">
        <v>761</v>
      </c>
      <c r="C161" s="1810" t="s">
        <v>377</v>
      </c>
      <c r="D161" s="1811" t="s">
        <v>164</v>
      </c>
      <c r="E161" s="1833" t="s">
        <v>632</v>
      </c>
      <c r="F161" s="1833" t="s">
        <v>633</v>
      </c>
      <c r="G161" s="1834" t="s">
        <v>882</v>
      </c>
      <c r="H161" s="1835" t="s">
        <v>883</v>
      </c>
    </row>
    <row r="162" spans="1:9" s="1638" customFormat="1" ht="13.5" thickTop="1" thickBot="1" x14ac:dyDescent="0.25">
      <c r="A162" s="1643">
        <v>1</v>
      </c>
      <c r="B162" s="1642">
        <v>2</v>
      </c>
      <c r="C162" s="1642">
        <v>3</v>
      </c>
      <c r="D162" s="1642">
        <v>4</v>
      </c>
      <c r="E162" s="1641">
        <v>5</v>
      </c>
      <c r="F162" s="1641">
        <v>6</v>
      </c>
      <c r="G162" s="1877">
        <v>7</v>
      </c>
      <c r="H162" s="1901" t="s">
        <v>61</v>
      </c>
    </row>
    <row r="163" spans="1:9" ht="15.75" thickTop="1" x14ac:dyDescent="0.2">
      <c r="A163" s="1896">
        <v>3122</v>
      </c>
      <c r="B163" s="1903">
        <v>6121</v>
      </c>
      <c r="C163" s="1906">
        <v>53100870</v>
      </c>
      <c r="D163" s="1836" t="s">
        <v>603</v>
      </c>
      <c r="E163" s="1845">
        <v>0</v>
      </c>
      <c r="F163" s="1845">
        <v>1</v>
      </c>
      <c r="G163" s="1845">
        <v>1</v>
      </c>
      <c r="H163" s="1821">
        <f t="shared" ref="H163:H168" si="18">G163/F163*100</f>
        <v>100</v>
      </c>
    </row>
    <row r="164" spans="1:9" ht="15" x14ac:dyDescent="0.2">
      <c r="A164" s="1896">
        <v>3122</v>
      </c>
      <c r="B164" s="1903">
        <v>6121</v>
      </c>
      <c r="C164" s="1906">
        <v>53100872</v>
      </c>
      <c r="D164" s="1836" t="s">
        <v>603</v>
      </c>
      <c r="E164" s="1845">
        <v>0</v>
      </c>
      <c r="F164" s="1845">
        <v>1</v>
      </c>
      <c r="G164" s="1845">
        <v>1</v>
      </c>
      <c r="H164" s="1821">
        <f t="shared" si="18"/>
        <v>100</v>
      </c>
    </row>
    <row r="165" spans="1:9" ht="15" x14ac:dyDescent="0.2">
      <c r="A165" s="1896">
        <v>3122</v>
      </c>
      <c r="B165" s="1903">
        <v>6121</v>
      </c>
      <c r="C165" s="1906">
        <v>5310874</v>
      </c>
      <c r="D165" s="1836" t="s">
        <v>603</v>
      </c>
      <c r="E165" s="1845">
        <v>0</v>
      </c>
      <c r="F165" s="1845">
        <v>714</v>
      </c>
      <c r="G165" s="1845">
        <v>713</v>
      </c>
      <c r="H165" s="1821">
        <f t="shared" si="18"/>
        <v>99.85994397759103</v>
      </c>
    </row>
    <row r="166" spans="1:9" ht="15" x14ac:dyDescent="0.2">
      <c r="A166" s="1896">
        <v>3122</v>
      </c>
      <c r="B166" s="1903">
        <v>6121</v>
      </c>
      <c r="C166" s="1906">
        <v>53500871</v>
      </c>
      <c r="D166" s="1836" t="s">
        <v>603</v>
      </c>
      <c r="E166" s="1845">
        <v>0</v>
      </c>
      <c r="F166" s="1845">
        <v>12</v>
      </c>
      <c r="G166" s="1845">
        <v>12</v>
      </c>
      <c r="H166" s="1821">
        <f t="shared" si="18"/>
        <v>100</v>
      </c>
    </row>
    <row r="167" spans="1:9" ht="15" x14ac:dyDescent="0.2">
      <c r="A167" s="1896">
        <v>3122</v>
      </c>
      <c r="B167" s="1903">
        <v>6121</v>
      </c>
      <c r="C167" s="1906">
        <v>54100870</v>
      </c>
      <c r="D167" s="1836" t="s">
        <v>603</v>
      </c>
      <c r="E167" s="1845">
        <v>0</v>
      </c>
      <c r="F167" s="1845">
        <v>1584</v>
      </c>
      <c r="G167" s="1845">
        <v>830</v>
      </c>
      <c r="H167" s="1821">
        <f t="shared" si="18"/>
        <v>52.398989898989903</v>
      </c>
    </row>
    <row r="168" spans="1:9" ht="15" x14ac:dyDescent="0.2">
      <c r="A168" s="1896">
        <v>3122</v>
      </c>
      <c r="B168" s="1903">
        <v>6121</v>
      </c>
      <c r="C168" s="1906">
        <v>54100874</v>
      </c>
      <c r="D168" s="1836" t="s">
        <v>603</v>
      </c>
      <c r="E168" s="1845">
        <v>0</v>
      </c>
      <c r="F168" s="1845">
        <v>10329</v>
      </c>
      <c r="G168" s="1845">
        <v>8196</v>
      </c>
      <c r="H168" s="1821">
        <f t="shared" si="18"/>
        <v>79.349404589021205</v>
      </c>
    </row>
    <row r="169" spans="1:9" ht="15" x14ac:dyDescent="0.2">
      <c r="A169" s="1896">
        <v>3122</v>
      </c>
      <c r="B169" s="1903">
        <v>6121</v>
      </c>
      <c r="C169" s="1906">
        <v>54100880</v>
      </c>
      <c r="D169" s="1836" t="s">
        <v>603</v>
      </c>
      <c r="E169" s="1845">
        <v>0</v>
      </c>
      <c r="F169" s="1845">
        <v>450</v>
      </c>
      <c r="G169" s="1845">
        <v>450</v>
      </c>
      <c r="H169" s="1821">
        <f>G169/F169*100</f>
        <v>100</v>
      </c>
    </row>
    <row r="170" spans="1:9" ht="15" x14ac:dyDescent="0.2">
      <c r="A170" s="1896">
        <v>3122</v>
      </c>
      <c r="B170" s="1903">
        <v>6121</v>
      </c>
      <c r="C170" s="1906">
        <v>54100884</v>
      </c>
      <c r="D170" s="1836" t="s">
        <v>603</v>
      </c>
      <c r="E170" s="1845">
        <v>0</v>
      </c>
      <c r="F170" s="1845">
        <v>4048</v>
      </c>
      <c r="G170" s="1845">
        <v>1724</v>
      </c>
      <c r="H170" s="1821">
        <f>G170/F170*100</f>
        <v>42.588932806324109</v>
      </c>
    </row>
    <row r="171" spans="1:9" ht="15" x14ac:dyDescent="0.2">
      <c r="A171" s="1896">
        <v>3122</v>
      </c>
      <c r="B171" s="1903">
        <v>6121</v>
      </c>
      <c r="C171" s="1906">
        <v>54190877</v>
      </c>
      <c r="D171" s="1836" t="s">
        <v>603</v>
      </c>
      <c r="E171" s="1845">
        <v>0</v>
      </c>
      <c r="F171" s="1845">
        <v>640</v>
      </c>
      <c r="G171" s="1845">
        <v>640</v>
      </c>
      <c r="H171" s="1821">
        <f>G171/F171*100</f>
        <v>100</v>
      </c>
    </row>
    <row r="172" spans="1:9" ht="15.75" thickBot="1" x14ac:dyDescent="0.25">
      <c r="A172" s="1896">
        <v>3122</v>
      </c>
      <c r="B172" s="1903">
        <v>6121</v>
      </c>
      <c r="C172" s="1906">
        <v>54515835</v>
      </c>
      <c r="D172" s="1836" t="s">
        <v>603</v>
      </c>
      <c r="E172" s="1845">
        <v>0</v>
      </c>
      <c r="F172" s="1845">
        <v>10878</v>
      </c>
      <c r="G172" s="1845">
        <v>10878</v>
      </c>
      <c r="H172" s="1827">
        <v>0</v>
      </c>
    </row>
    <row r="173" spans="1:9" s="1828" customFormat="1" ht="16.5" thickTop="1" thickBot="1" x14ac:dyDescent="0.3">
      <c r="A173" s="2751" t="s">
        <v>763</v>
      </c>
      <c r="B173" s="2752"/>
      <c r="C173" s="2752"/>
      <c r="D173" s="2752"/>
      <c r="E173" s="1818">
        <f>SUM(E163:E172)</f>
        <v>0</v>
      </c>
      <c r="F173" s="1818">
        <f t="shared" ref="F173:G173" si="19">SUM(F163:F172)</f>
        <v>28657</v>
      </c>
      <c r="G173" s="1818">
        <f t="shared" si="19"/>
        <v>23445</v>
      </c>
      <c r="H173" s="1822">
        <f>G173/F173*100</f>
        <v>81.81247164741599</v>
      </c>
      <c r="I173" s="1910"/>
    </row>
    <row r="174" spans="1:9" s="1828" customFormat="1" ht="15.75" thickTop="1" x14ac:dyDescent="0.25">
      <c r="A174" s="1823"/>
      <c r="B174" s="1823"/>
      <c r="C174" s="1823"/>
      <c r="D174" s="1823"/>
      <c r="E174" s="1824"/>
      <c r="F174" s="1824"/>
      <c r="G174" s="1824"/>
      <c r="H174" s="1849"/>
      <c r="I174" s="1910"/>
    </row>
    <row r="175" spans="1:9" ht="18" x14ac:dyDescent="0.25">
      <c r="A175" s="1808" t="s">
        <v>101</v>
      </c>
      <c r="B175" s="1831"/>
      <c r="C175" s="1831"/>
      <c r="D175" s="1831"/>
      <c r="E175" s="1831"/>
      <c r="F175" s="1831"/>
      <c r="G175" s="1831"/>
      <c r="H175" s="1876"/>
    </row>
    <row r="176" spans="1:9" ht="16.5" thickBot="1" x14ac:dyDescent="0.3">
      <c r="A176" s="1807" t="s">
        <v>102</v>
      </c>
      <c r="H176" s="1825" t="s">
        <v>161</v>
      </c>
    </row>
    <row r="177" spans="1:9" s="1638" customFormat="1" ht="25.5" thickTop="1" thickBot="1" x14ac:dyDescent="0.25">
      <c r="A177" s="1809" t="s">
        <v>162</v>
      </c>
      <c r="B177" s="1810" t="s">
        <v>761</v>
      </c>
      <c r="C177" s="1810" t="s">
        <v>377</v>
      </c>
      <c r="D177" s="1811" t="s">
        <v>164</v>
      </c>
      <c r="E177" s="1833" t="s">
        <v>632</v>
      </c>
      <c r="F177" s="1833" t="s">
        <v>633</v>
      </c>
      <c r="G177" s="1834" t="s">
        <v>882</v>
      </c>
      <c r="H177" s="1835" t="s">
        <v>883</v>
      </c>
    </row>
    <row r="178" spans="1:9" s="1638" customFormat="1" ht="13.5" thickTop="1" thickBot="1" x14ac:dyDescent="0.25">
      <c r="A178" s="1643">
        <v>1</v>
      </c>
      <c r="B178" s="1642">
        <v>2</v>
      </c>
      <c r="C178" s="1642">
        <v>3</v>
      </c>
      <c r="D178" s="1642">
        <v>4</v>
      </c>
      <c r="E178" s="1641">
        <v>5</v>
      </c>
      <c r="F178" s="1641">
        <v>6</v>
      </c>
      <c r="G178" s="1877">
        <v>7</v>
      </c>
      <c r="H178" s="1901" t="s">
        <v>61</v>
      </c>
    </row>
    <row r="179" spans="1:9" ht="15.75" thickTop="1" x14ac:dyDescent="0.2">
      <c r="A179" s="1896">
        <v>3122</v>
      </c>
      <c r="B179" s="1903">
        <v>6121</v>
      </c>
      <c r="C179" s="1906">
        <v>53100870</v>
      </c>
      <c r="D179" s="1836" t="s">
        <v>603</v>
      </c>
      <c r="E179" s="1845">
        <v>0</v>
      </c>
      <c r="F179" s="1845">
        <v>1</v>
      </c>
      <c r="G179" s="1845">
        <v>1</v>
      </c>
      <c r="H179" s="1821">
        <f t="shared" ref="H179:H183" si="20">G179/F179*100</f>
        <v>100</v>
      </c>
    </row>
    <row r="180" spans="1:9" ht="15" x14ac:dyDescent="0.2">
      <c r="A180" s="1896">
        <v>3122</v>
      </c>
      <c r="B180" s="1903">
        <v>6121</v>
      </c>
      <c r="C180" s="1906">
        <v>53100872</v>
      </c>
      <c r="D180" s="1836" t="s">
        <v>603</v>
      </c>
      <c r="E180" s="1845">
        <v>0</v>
      </c>
      <c r="F180" s="1845">
        <v>1</v>
      </c>
      <c r="G180" s="1845">
        <v>1</v>
      </c>
      <c r="H180" s="1821">
        <f t="shared" si="20"/>
        <v>100</v>
      </c>
    </row>
    <row r="181" spans="1:9" ht="15" x14ac:dyDescent="0.2">
      <c r="A181" s="1896">
        <v>3122</v>
      </c>
      <c r="B181" s="1903">
        <v>6121</v>
      </c>
      <c r="C181" s="1906">
        <v>53500871</v>
      </c>
      <c r="D181" s="1836" t="s">
        <v>603</v>
      </c>
      <c r="E181" s="1845">
        <v>0</v>
      </c>
      <c r="F181" s="1845">
        <v>12</v>
      </c>
      <c r="G181" s="1845">
        <v>12</v>
      </c>
      <c r="H181" s="1821">
        <f t="shared" si="20"/>
        <v>100</v>
      </c>
    </row>
    <row r="182" spans="1:9" ht="15" x14ac:dyDescent="0.2">
      <c r="A182" s="1896">
        <v>3122</v>
      </c>
      <c r="B182" s="1903">
        <v>6121</v>
      </c>
      <c r="C182" s="1906">
        <v>54100870</v>
      </c>
      <c r="D182" s="1836" t="s">
        <v>603</v>
      </c>
      <c r="E182" s="1845">
        <v>0</v>
      </c>
      <c r="F182" s="1845">
        <v>848</v>
      </c>
      <c r="G182" s="1845">
        <v>373</v>
      </c>
      <c r="H182" s="1821">
        <f t="shared" si="20"/>
        <v>43.985849056603776</v>
      </c>
    </row>
    <row r="183" spans="1:9" ht="15" x14ac:dyDescent="0.2">
      <c r="A183" s="1896">
        <v>3122</v>
      </c>
      <c r="B183" s="1903">
        <v>6121</v>
      </c>
      <c r="C183" s="1906">
        <v>54100874</v>
      </c>
      <c r="D183" s="1836" t="s">
        <v>603</v>
      </c>
      <c r="E183" s="1845">
        <v>0</v>
      </c>
      <c r="F183" s="1845">
        <v>3816</v>
      </c>
      <c r="G183" s="1845">
        <v>2797</v>
      </c>
      <c r="H183" s="1821">
        <f t="shared" si="20"/>
        <v>73.29664570230608</v>
      </c>
    </row>
    <row r="184" spans="1:9" ht="15" x14ac:dyDescent="0.2">
      <c r="A184" s="1896">
        <v>3122</v>
      </c>
      <c r="B184" s="1903">
        <v>6121</v>
      </c>
      <c r="C184" s="1906">
        <v>54100880</v>
      </c>
      <c r="D184" s="1836" t="s">
        <v>603</v>
      </c>
      <c r="E184" s="1845">
        <v>0</v>
      </c>
      <c r="F184" s="1845">
        <v>163</v>
      </c>
      <c r="G184" s="1845">
        <v>162</v>
      </c>
      <c r="H184" s="1821">
        <f>G184/F184*100</f>
        <v>99.386503067484668</v>
      </c>
    </row>
    <row r="185" spans="1:9" ht="15" x14ac:dyDescent="0.2">
      <c r="A185" s="1896">
        <v>3122</v>
      </c>
      <c r="B185" s="1903">
        <v>6121</v>
      </c>
      <c r="C185" s="1906">
        <v>54100884</v>
      </c>
      <c r="D185" s="1836" t="s">
        <v>603</v>
      </c>
      <c r="E185" s="1845">
        <v>0</v>
      </c>
      <c r="F185" s="1845">
        <v>1627</v>
      </c>
      <c r="G185" s="1845">
        <v>0</v>
      </c>
      <c r="H185" s="1821">
        <f>G185/F185*100</f>
        <v>0</v>
      </c>
    </row>
    <row r="186" spans="1:9" ht="15" x14ac:dyDescent="0.2">
      <c r="A186" s="1896">
        <v>3122</v>
      </c>
      <c r="B186" s="1903">
        <v>6121</v>
      </c>
      <c r="C186" s="1906">
        <v>54190877</v>
      </c>
      <c r="D186" s="1836" t="s">
        <v>603</v>
      </c>
      <c r="E186" s="1845">
        <v>0</v>
      </c>
      <c r="F186" s="1845">
        <v>369</v>
      </c>
      <c r="G186" s="1845">
        <v>268</v>
      </c>
      <c r="H186" s="1821">
        <f>G186/F186*100</f>
        <v>72.628726287262865</v>
      </c>
    </row>
    <row r="187" spans="1:9" ht="15.75" thickBot="1" x14ac:dyDescent="0.25">
      <c r="A187" s="1896">
        <v>3122</v>
      </c>
      <c r="B187" s="1903">
        <v>6121</v>
      </c>
      <c r="C187" s="1906">
        <v>54515835</v>
      </c>
      <c r="D187" s="1836" t="s">
        <v>603</v>
      </c>
      <c r="E187" s="1845">
        <v>0</v>
      </c>
      <c r="F187" s="1845">
        <v>6277</v>
      </c>
      <c r="G187" s="1845">
        <v>4552</v>
      </c>
      <c r="H187" s="1827">
        <v>0</v>
      </c>
    </row>
    <row r="188" spans="1:9" s="1828" customFormat="1" ht="16.5" thickTop="1" thickBot="1" x14ac:dyDescent="0.3">
      <c r="A188" s="2751" t="s">
        <v>763</v>
      </c>
      <c r="B188" s="2752"/>
      <c r="C188" s="2752"/>
      <c r="D188" s="2752"/>
      <c r="E188" s="1818">
        <f>SUM(E179:E187)</f>
        <v>0</v>
      </c>
      <c r="F188" s="1818">
        <f t="shared" ref="F188:G188" si="21">SUM(F179:F187)</f>
        <v>13114</v>
      </c>
      <c r="G188" s="1818">
        <f t="shared" si="21"/>
        <v>8166</v>
      </c>
      <c r="H188" s="1822">
        <f>G188/F188*100</f>
        <v>62.269330486502973</v>
      </c>
      <c r="I188" s="1910"/>
    </row>
    <row r="189" spans="1:9" s="1828" customFormat="1" ht="15.75" thickTop="1" x14ac:dyDescent="0.25">
      <c r="A189" s="1823"/>
      <c r="B189" s="1823"/>
      <c r="C189" s="1823"/>
      <c r="D189" s="1823"/>
      <c r="E189" s="1824"/>
      <c r="F189" s="1824"/>
      <c r="G189" s="1824"/>
      <c r="H189" s="1849"/>
      <c r="I189" s="1910"/>
    </row>
    <row r="190" spans="1:9" ht="18" x14ac:dyDescent="0.25">
      <c r="A190" s="1808" t="s">
        <v>103</v>
      </c>
      <c r="B190" s="1831"/>
      <c r="C190" s="1831"/>
      <c r="D190" s="1831"/>
      <c r="E190" s="1831"/>
      <c r="F190" s="1831"/>
      <c r="G190" s="1831"/>
      <c r="H190" s="1876"/>
    </row>
    <row r="191" spans="1:9" ht="16.5" thickBot="1" x14ac:dyDescent="0.3">
      <c r="A191" s="1807" t="s">
        <v>104</v>
      </c>
      <c r="H191" s="1825" t="s">
        <v>161</v>
      </c>
    </row>
    <row r="192" spans="1:9" s="1638" customFormat="1" ht="25.5" thickTop="1" thickBot="1" x14ac:dyDescent="0.25">
      <c r="A192" s="1809" t="s">
        <v>162</v>
      </c>
      <c r="B192" s="1810" t="s">
        <v>761</v>
      </c>
      <c r="C192" s="1810" t="s">
        <v>377</v>
      </c>
      <c r="D192" s="1811" t="s">
        <v>164</v>
      </c>
      <c r="E192" s="1833" t="s">
        <v>632</v>
      </c>
      <c r="F192" s="1833" t="s">
        <v>633</v>
      </c>
      <c r="G192" s="1834" t="s">
        <v>882</v>
      </c>
      <c r="H192" s="1835" t="s">
        <v>883</v>
      </c>
    </row>
    <row r="193" spans="1:9" s="1638" customFormat="1" ht="13.5" thickTop="1" thickBot="1" x14ac:dyDescent="0.25">
      <c r="A193" s="1643">
        <v>1</v>
      </c>
      <c r="B193" s="1642">
        <v>2</v>
      </c>
      <c r="C193" s="1642">
        <v>3</v>
      </c>
      <c r="D193" s="1642">
        <v>4</v>
      </c>
      <c r="E193" s="1641">
        <v>5</v>
      </c>
      <c r="F193" s="1641">
        <v>6</v>
      </c>
      <c r="G193" s="1877">
        <v>7</v>
      </c>
      <c r="H193" s="1901" t="s">
        <v>61</v>
      </c>
    </row>
    <row r="194" spans="1:9" ht="15.75" thickTop="1" x14ac:dyDescent="0.2">
      <c r="A194" s="1896">
        <v>3122</v>
      </c>
      <c r="B194" s="1903">
        <v>6121</v>
      </c>
      <c r="C194" s="1906">
        <v>53100870</v>
      </c>
      <c r="D194" s="1836" t="s">
        <v>603</v>
      </c>
      <c r="E194" s="1832">
        <v>0</v>
      </c>
      <c r="F194" s="1832">
        <v>1</v>
      </c>
      <c r="G194" s="1832">
        <v>1</v>
      </c>
      <c r="H194" s="1821">
        <f>G194/F194*100</f>
        <v>100</v>
      </c>
    </row>
    <row r="195" spans="1:9" ht="15" x14ac:dyDescent="0.2">
      <c r="A195" s="1896">
        <v>3122</v>
      </c>
      <c r="B195" s="1903">
        <v>6121</v>
      </c>
      <c r="C195" s="1906">
        <v>53100872</v>
      </c>
      <c r="D195" s="1836" t="s">
        <v>603</v>
      </c>
      <c r="E195" s="1845">
        <v>0</v>
      </c>
      <c r="F195" s="1845">
        <v>1</v>
      </c>
      <c r="G195" s="1845">
        <v>1</v>
      </c>
      <c r="H195" s="1821">
        <f t="shared" ref="H195:H199" si="22">G195/F195*100</f>
        <v>100</v>
      </c>
    </row>
    <row r="196" spans="1:9" ht="15" x14ac:dyDescent="0.2">
      <c r="A196" s="1896">
        <v>3122</v>
      </c>
      <c r="B196" s="1903">
        <v>6121</v>
      </c>
      <c r="C196" s="1906">
        <v>53100874</v>
      </c>
      <c r="D196" s="1836" t="s">
        <v>603</v>
      </c>
      <c r="E196" s="1845">
        <v>0</v>
      </c>
      <c r="F196" s="1845">
        <v>2900</v>
      </c>
      <c r="G196" s="1845">
        <v>2873</v>
      </c>
      <c r="H196" s="1821">
        <f t="shared" si="22"/>
        <v>99.068965517241381</v>
      </c>
    </row>
    <row r="197" spans="1:9" ht="15" x14ac:dyDescent="0.2">
      <c r="A197" s="1896">
        <v>3122</v>
      </c>
      <c r="B197" s="1903">
        <v>6121</v>
      </c>
      <c r="C197" s="1906">
        <v>53500871</v>
      </c>
      <c r="D197" s="1836" t="s">
        <v>603</v>
      </c>
      <c r="E197" s="1845">
        <v>0</v>
      </c>
      <c r="F197" s="1845">
        <v>10</v>
      </c>
      <c r="G197" s="1845">
        <v>10</v>
      </c>
      <c r="H197" s="1821">
        <f t="shared" si="22"/>
        <v>100</v>
      </c>
    </row>
    <row r="198" spans="1:9" ht="15" x14ac:dyDescent="0.2">
      <c r="A198" s="1896">
        <v>3122</v>
      </c>
      <c r="B198" s="1903">
        <v>6121</v>
      </c>
      <c r="C198" s="1906">
        <v>54100870</v>
      </c>
      <c r="D198" s="1836" t="s">
        <v>603</v>
      </c>
      <c r="E198" s="1845">
        <v>0</v>
      </c>
      <c r="F198" s="1845">
        <v>76</v>
      </c>
      <c r="G198" s="1845">
        <v>76</v>
      </c>
      <c r="H198" s="1821">
        <f t="shared" si="22"/>
        <v>100</v>
      </c>
    </row>
    <row r="199" spans="1:9" ht="15" x14ac:dyDescent="0.2">
      <c r="A199" s="1896">
        <v>3122</v>
      </c>
      <c r="B199" s="1903">
        <v>6121</v>
      </c>
      <c r="C199" s="1906">
        <v>54190877</v>
      </c>
      <c r="D199" s="1836" t="s">
        <v>603</v>
      </c>
      <c r="E199" s="1845">
        <v>0</v>
      </c>
      <c r="F199" s="1845">
        <v>39</v>
      </c>
      <c r="G199" s="1845">
        <v>38</v>
      </c>
      <c r="H199" s="1821">
        <f t="shared" si="22"/>
        <v>97.435897435897431</v>
      </c>
    </row>
    <row r="200" spans="1:9" ht="15.75" thickBot="1" x14ac:dyDescent="0.25">
      <c r="A200" s="1896">
        <v>3122</v>
      </c>
      <c r="B200" s="1903">
        <v>6121</v>
      </c>
      <c r="C200" s="1906">
        <v>54515835</v>
      </c>
      <c r="D200" s="1836" t="s">
        <v>603</v>
      </c>
      <c r="E200" s="1845">
        <v>0</v>
      </c>
      <c r="F200" s="1845">
        <v>661</v>
      </c>
      <c r="G200" s="1845">
        <v>651</v>
      </c>
      <c r="H200" s="1827">
        <v>0</v>
      </c>
    </row>
    <row r="201" spans="1:9" s="1828" customFormat="1" ht="16.5" thickTop="1" thickBot="1" x14ac:dyDescent="0.3">
      <c r="A201" s="2751" t="s">
        <v>763</v>
      </c>
      <c r="B201" s="2752"/>
      <c r="C201" s="2752"/>
      <c r="D201" s="2752"/>
      <c r="E201" s="1818">
        <f>SUM(E194:E200)</f>
        <v>0</v>
      </c>
      <c r="F201" s="1818">
        <f>SUM(F194:F200)</f>
        <v>3688</v>
      </c>
      <c r="G201" s="1818">
        <f>SUM(G194:G200)</f>
        <v>3650</v>
      </c>
      <c r="H201" s="1822">
        <f>G201/F201*100</f>
        <v>98.96963123644251</v>
      </c>
      <c r="I201" s="1910"/>
    </row>
    <row r="202" spans="1:9" s="1828" customFormat="1" ht="15.75" thickTop="1" x14ac:dyDescent="0.25">
      <c r="A202" s="1823"/>
      <c r="B202" s="1823"/>
      <c r="C202" s="1823"/>
      <c r="D202" s="1823"/>
      <c r="E202" s="1824"/>
      <c r="F202" s="1824"/>
      <c r="G202" s="1824"/>
      <c r="H202" s="1849"/>
      <c r="I202" s="1910"/>
    </row>
    <row r="203" spans="1:9" ht="18" x14ac:dyDescent="0.25">
      <c r="A203" s="1808" t="s">
        <v>105</v>
      </c>
      <c r="B203" s="1831"/>
      <c r="C203" s="1831"/>
      <c r="D203" s="1831"/>
      <c r="E203" s="1831"/>
      <c r="F203" s="1831"/>
      <c r="G203" s="1831"/>
      <c r="H203" s="1876"/>
    </row>
    <row r="204" spans="1:9" ht="16.5" thickBot="1" x14ac:dyDescent="0.3">
      <c r="A204" s="1807" t="s">
        <v>106</v>
      </c>
      <c r="H204" s="1825" t="s">
        <v>161</v>
      </c>
    </row>
    <row r="205" spans="1:9" s="1638" customFormat="1" ht="25.5" thickTop="1" thickBot="1" x14ac:dyDescent="0.25">
      <c r="A205" s="1809" t="s">
        <v>162</v>
      </c>
      <c r="B205" s="1810" t="s">
        <v>761</v>
      </c>
      <c r="C205" s="1810" t="s">
        <v>377</v>
      </c>
      <c r="D205" s="1811" t="s">
        <v>164</v>
      </c>
      <c r="E205" s="1833" t="s">
        <v>632</v>
      </c>
      <c r="F205" s="1833" t="s">
        <v>633</v>
      </c>
      <c r="G205" s="1834" t="s">
        <v>882</v>
      </c>
      <c r="H205" s="1835" t="s">
        <v>883</v>
      </c>
    </row>
    <row r="206" spans="1:9" s="1638" customFormat="1" ht="13.5" thickTop="1" thickBot="1" x14ac:dyDescent="0.25">
      <c r="A206" s="1643">
        <v>1</v>
      </c>
      <c r="B206" s="1642">
        <v>2</v>
      </c>
      <c r="C206" s="1642">
        <v>3</v>
      </c>
      <c r="D206" s="1642">
        <v>4</v>
      </c>
      <c r="E206" s="1641">
        <v>5</v>
      </c>
      <c r="F206" s="1641">
        <v>6</v>
      </c>
      <c r="G206" s="1877">
        <v>7</v>
      </c>
      <c r="H206" s="1901" t="s">
        <v>61</v>
      </c>
    </row>
    <row r="207" spans="1:9" ht="15.75" thickTop="1" x14ac:dyDescent="0.2">
      <c r="A207" s="1896">
        <v>3113</v>
      </c>
      <c r="B207" s="1903">
        <v>6121</v>
      </c>
      <c r="C207" s="1906">
        <v>54100870</v>
      </c>
      <c r="D207" s="1836" t="s">
        <v>603</v>
      </c>
      <c r="E207" s="1832">
        <v>0</v>
      </c>
      <c r="F207" s="1832">
        <v>7</v>
      </c>
      <c r="G207" s="1832">
        <v>0</v>
      </c>
      <c r="H207" s="1821">
        <f>G207/F207*100</f>
        <v>0</v>
      </c>
    </row>
    <row r="208" spans="1:9" ht="15" x14ac:dyDescent="0.2">
      <c r="A208" s="1896">
        <v>3113</v>
      </c>
      <c r="B208" s="1903">
        <v>6121</v>
      </c>
      <c r="C208" s="1906">
        <v>54100874</v>
      </c>
      <c r="D208" s="1836" t="s">
        <v>603</v>
      </c>
      <c r="E208" s="1845">
        <v>0</v>
      </c>
      <c r="F208" s="1845">
        <v>248</v>
      </c>
      <c r="G208" s="1845">
        <v>248</v>
      </c>
      <c r="H208" s="1821">
        <f t="shared" ref="H208:H211" si="23">G208/F208*100</f>
        <v>100</v>
      </c>
    </row>
    <row r="209" spans="1:9" ht="15" x14ac:dyDescent="0.2">
      <c r="A209" s="1896">
        <v>3113</v>
      </c>
      <c r="B209" s="1903">
        <v>6121</v>
      </c>
      <c r="C209" s="1906">
        <v>54100880</v>
      </c>
      <c r="D209" s="1836" t="s">
        <v>603</v>
      </c>
      <c r="E209" s="1845">
        <v>0</v>
      </c>
      <c r="F209" s="1845">
        <v>664</v>
      </c>
      <c r="G209" s="1845">
        <v>664</v>
      </c>
      <c r="H209" s="1821">
        <f t="shared" si="23"/>
        <v>100</v>
      </c>
    </row>
    <row r="210" spans="1:9" ht="15" x14ac:dyDescent="0.2">
      <c r="A210" s="1896">
        <v>3113</v>
      </c>
      <c r="B210" s="1903">
        <v>6121</v>
      </c>
      <c r="C210" s="1906">
        <v>54100884</v>
      </c>
      <c r="D210" s="1836" t="s">
        <v>603</v>
      </c>
      <c r="E210" s="1845">
        <v>0</v>
      </c>
      <c r="F210" s="1845">
        <v>7960</v>
      </c>
      <c r="G210" s="1845">
        <v>7836</v>
      </c>
      <c r="H210" s="1821">
        <f t="shared" si="23"/>
        <v>98.442211055276388</v>
      </c>
    </row>
    <row r="211" spans="1:9" ht="15" x14ac:dyDescent="0.2">
      <c r="A211" s="1896">
        <v>3113</v>
      </c>
      <c r="B211" s="1903">
        <v>6121</v>
      </c>
      <c r="C211" s="1906">
        <v>54190877</v>
      </c>
      <c r="D211" s="1836" t="s">
        <v>603</v>
      </c>
      <c r="E211" s="1845">
        <v>0</v>
      </c>
      <c r="F211" s="1845">
        <v>357</v>
      </c>
      <c r="G211" s="1845">
        <v>332</v>
      </c>
      <c r="H211" s="1821">
        <f t="shared" si="23"/>
        <v>92.997198879551817</v>
      </c>
    </row>
    <row r="212" spans="1:9" ht="15.75" thickBot="1" x14ac:dyDescent="0.25">
      <c r="A212" s="1896">
        <v>3113</v>
      </c>
      <c r="B212" s="1903">
        <v>6121</v>
      </c>
      <c r="C212" s="1906">
        <v>54515835</v>
      </c>
      <c r="D212" s="1836" t="s">
        <v>603</v>
      </c>
      <c r="E212" s="1845">
        <v>0</v>
      </c>
      <c r="F212" s="1845">
        <v>6070</v>
      </c>
      <c r="G212" s="1845">
        <v>5646</v>
      </c>
      <c r="H212" s="1827">
        <v>0</v>
      </c>
    </row>
    <row r="213" spans="1:9" s="1828" customFormat="1" ht="16.5" thickTop="1" thickBot="1" x14ac:dyDescent="0.3">
      <c r="A213" s="2751" t="s">
        <v>763</v>
      </c>
      <c r="B213" s="2752"/>
      <c r="C213" s="2752"/>
      <c r="D213" s="2752"/>
      <c r="E213" s="1818">
        <f>SUM(E207:E212)</f>
        <v>0</v>
      </c>
      <c r="F213" s="1818">
        <f>SUM(F207:F212)</f>
        <v>15306</v>
      </c>
      <c r="G213" s="1818">
        <f>SUM(G207:G212)</f>
        <v>14726</v>
      </c>
      <c r="H213" s="1822">
        <f>G213/F213*100</f>
        <v>96.210636351757486</v>
      </c>
      <c r="I213" s="1910"/>
    </row>
    <row r="214" spans="1:9" s="1828" customFormat="1" ht="15.75" thickTop="1" x14ac:dyDescent="0.25">
      <c r="A214" s="1823"/>
      <c r="B214" s="1823"/>
      <c r="C214" s="1823"/>
      <c r="D214" s="1823"/>
      <c r="E214" s="1824"/>
      <c r="F214" s="1824"/>
      <c r="G214" s="1824"/>
      <c r="H214" s="1849"/>
      <c r="I214" s="1910"/>
    </row>
    <row r="215" spans="1:9" ht="18" x14ac:dyDescent="0.25">
      <c r="A215" s="1808" t="s">
        <v>1278</v>
      </c>
      <c r="B215" s="1831"/>
      <c r="C215" s="1831"/>
      <c r="D215" s="1831"/>
      <c r="E215" s="1831"/>
      <c r="F215" s="1831"/>
      <c r="G215" s="1831"/>
      <c r="H215" s="1876"/>
    </row>
    <row r="216" spans="1:9" ht="16.5" thickBot="1" x14ac:dyDescent="0.3">
      <c r="A216" s="1807" t="s">
        <v>1279</v>
      </c>
      <c r="H216" s="1825" t="s">
        <v>161</v>
      </c>
    </row>
    <row r="217" spans="1:9" s="1638" customFormat="1" ht="25.5" thickTop="1" thickBot="1" x14ac:dyDescent="0.25">
      <c r="A217" s="1809" t="s">
        <v>162</v>
      </c>
      <c r="B217" s="1810" t="s">
        <v>761</v>
      </c>
      <c r="C217" s="1810" t="s">
        <v>377</v>
      </c>
      <c r="D217" s="1811" t="s">
        <v>164</v>
      </c>
      <c r="E217" s="1833" t="s">
        <v>632</v>
      </c>
      <c r="F217" s="1833" t="s">
        <v>633</v>
      </c>
      <c r="G217" s="1834" t="s">
        <v>882</v>
      </c>
      <c r="H217" s="1835" t="s">
        <v>883</v>
      </c>
    </row>
    <row r="218" spans="1:9" s="1638" customFormat="1" ht="13.5" thickTop="1" thickBot="1" x14ac:dyDescent="0.25">
      <c r="A218" s="1643">
        <v>1</v>
      </c>
      <c r="B218" s="1642">
        <v>2</v>
      </c>
      <c r="C218" s="1642">
        <v>3</v>
      </c>
      <c r="D218" s="1642">
        <v>4</v>
      </c>
      <c r="E218" s="1641">
        <v>5</v>
      </c>
      <c r="F218" s="1641">
        <v>6</v>
      </c>
      <c r="G218" s="1877">
        <v>7</v>
      </c>
      <c r="H218" s="1901" t="s">
        <v>61</v>
      </c>
    </row>
    <row r="219" spans="1:9" ht="15.75" thickTop="1" x14ac:dyDescent="0.2">
      <c r="A219" s="1896">
        <v>3122</v>
      </c>
      <c r="B219" s="1903">
        <v>6121</v>
      </c>
      <c r="C219" s="1906">
        <v>53100874</v>
      </c>
      <c r="D219" s="1836" t="s">
        <v>603</v>
      </c>
      <c r="E219" s="1832">
        <v>0</v>
      </c>
      <c r="F219" s="1832">
        <v>2050</v>
      </c>
      <c r="G219" s="1832">
        <v>2044</v>
      </c>
      <c r="H219" s="1821">
        <f>G219/F219*100</f>
        <v>99.707317073170728</v>
      </c>
    </row>
    <row r="220" spans="1:9" ht="15" x14ac:dyDescent="0.2">
      <c r="A220" s="1896">
        <v>3122</v>
      </c>
      <c r="B220" s="1903">
        <v>6121</v>
      </c>
      <c r="C220" s="1906">
        <v>54100870</v>
      </c>
      <c r="D220" s="1836" t="s">
        <v>603</v>
      </c>
      <c r="E220" s="1845">
        <v>0</v>
      </c>
      <c r="F220" s="1845">
        <v>783</v>
      </c>
      <c r="G220" s="1845">
        <v>783</v>
      </c>
      <c r="H220" s="1821">
        <f t="shared" ref="H220:H223" si="24">G220/F220*100</f>
        <v>100</v>
      </c>
    </row>
    <row r="221" spans="1:9" ht="15" x14ac:dyDescent="0.2">
      <c r="A221" s="1896">
        <v>3122</v>
      </c>
      <c r="B221" s="1903">
        <v>6121</v>
      </c>
      <c r="C221" s="1906">
        <v>54100874</v>
      </c>
      <c r="D221" s="1836" t="s">
        <v>603</v>
      </c>
      <c r="E221" s="1845">
        <v>0</v>
      </c>
      <c r="F221" s="1845">
        <v>2962</v>
      </c>
      <c r="G221" s="1845">
        <v>2938</v>
      </c>
      <c r="H221" s="1821">
        <f t="shared" si="24"/>
        <v>99.189736664415946</v>
      </c>
    </row>
    <row r="222" spans="1:9" ht="15" x14ac:dyDescent="0.2">
      <c r="A222" s="1896">
        <v>3122</v>
      </c>
      <c r="B222" s="1903">
        <v>6121</v>
      </c>
      <c r="C222" s="1906">
        <v>54100880</v>
      </c>
      <c r="D222" s="1836" t="s">
        <v>603</v>
      </c>
      <c r="E222" s="1845">
        <v>0</v>
      </c>
      <c r="F222" s="1845">
        <v>634</v>
      </c>
      <c r="G222" s="1845">
        <v>308</v>
      </c>
      <c r="H222" s="1821">
        <f t="shared" si="24"/>
        <v>48.580441640378545</v>
      </c>
    </row>
    <row r="223" spans="1:9" ht="15" x14ac:dyDescent="0.2">
      <c r="A223" s="1896">
        <v>3122</v>
      </c>
      <c r="B223" s="1903">
        <v>6121</v>
      </c>
      <c r="C223" s="1906">
        <v>54100884</v>
      </c>
      <c r="D223" s="1836" t="s">
        <v>603</v>
      </c>
      <c r="E223" s="1845">
        <v>0</v>
      </c>
      <c r="F223" s="1845">
        <v>5724</v>
      </c>
      <c r="G223" s="1845">
        <v>5724</v>
      </c>
      <c r="H223" s="1821">
        <f t="shared" si="24"/>
        <v>100</v>
      </c>
    </row>
    <row r="224" spans="1:9" ht="15" x14ac:dyDescent="0.2">
      <c r="A224" s="1896">
        <v>3122</v>
      </c>
      <c r="B224" s="1903">
        <v>6121</v>
      </c>
      <c r="C224" s="1906">
        <v>54190877</v>
      </c>
      <c r="D224" s="1836" t="s">
        <v>603</v>
      </c>
      <c r="E224" s="1845">
        <v>0</v>
      </c>
      <c r="F224" s="1845">
        <v>550</v>
      </c>
      <c r="G224" s="1845">
        <v>546</v>
      </c>
      <c r="H224" s="1821">
        <f>G224/F224*100</f>
        <v>99.272727272727266</v>
      </c>
    </row>
    <row r="225" spans="1:9" ht="15.75" thickBot="1" x14ac:dyDescent="0.25">
      <c r="A225" s="1896">
        <v>3122</v>
      </c>
      <c r="B225" s="1903">
        <v>6121</v>
      </c>
      <c r="C225" s="1906">
        <v>54515835</v>
      </c>
      <c r="D225" s="1836" t="s">
        <v>603</v>
      </c>
      <c r="E225" s="1845">
        <v>0</v>
      </c>
      <c r="F225" s="1845">
        <v>9341</v>
      </c>
      <c r="G225" s="1845">
        <v>9279</v>
      </c>
      <c r="H225" s="1827">
        <v>0</v>
      </c>
    </row>
    <row r="226" spans="1:9" s="1828" customFormat="1" ht="16.5" thickTop="1" thickBot="1" x14ac:dyDescent="0.3">
      <c r="A226" s="2751" t="s">
        <v>763</v>
      </c>
      <c r="B226" s="2752"/>
      <c r="C226" s="2752"/>
      <c r="D226" s="2752"/>
      <c r="E226" s="1818">
        <f>SUM(E219:E225)</f>
        <v>0</v>
      </c>
      <c r="F226" s="1818">
        <f>SUM(F219:F225)</f>
        <v>22044</v>
      </c>
      <c r="G226" s="1818">
        <f>SUM(G219:G225)</f>
        <v>21622</v>
      </c>
      <c r="H226" s="1822">
        <f>G226/F226*100</f>
        <v>98.085646888042106</v>
      </c>
      <c r="I226" s="1910"/>
    </row>
    <row r="227" spans="1:9" s="1828" customFormat="1" ht="15.75" thickTop="1" x14ac:dyDescent="0.25">
      <c r="A227" s="1823"/>
      <c r="B227" s="1823"/>
      <c r="C227" s="1823"/>
      <c r="D227" s="1823"/>
      <c r="E227" s="1824"/>
      <c r="F227" s="1824"/>
      <c r="G227" s="1824"/>
      <c r="H227" s="1849"/>
      <c r="I227" s="1910"/>
    </row>
    <row r="228" spans="1:9" ht="18" x14ac:dyDescent="0.25">
      <c r="A228" s="1808" t="s">
        <v>1280</v>
      </c>
      <c r="B228" s="1831"/>
      <c r="C228" s="1831"/>
      <c r="D228" s="1831"/>
      <c r="E228" s="1831"/>
      <c r="F228" s="1831"/>
      <c r="G228" s="1831"/>
      <c r="H228" s="1876"/>
    </row>
    <row r="229" spans="1:9" ht="16.5" thickBot="1" x14ac:dyDescent="0.3">
      <c r="A229" s="1807" t="s">
        <v>1281</v>
      </c>
      <c r="H229" s="1825" t="s">
        <v>161</v>
      </c>
    </row>
    <row r="230" spans="1:9" s="1638" customFormat="1" ht="25.5" thickTop="1" thickBot="1" x14ac:dyDescent="0.25">
      <c r="A230" s="1809" t="s">
        <v>162</v>
      </c>
      <c r="B230" s="1810" t="s">
        <v>761</v>
      </c>
      <c r="C230" s="1810" t="s">
        <v>377</v>
      </c>
      <c r="D230" s="1811" t="s">
        <v>164</v>
      </c>
      <c r="E230" s="1833" t="s">
        <v>632</v>
      </c>
      <c r="F230" s="1833" t="s">
        <v>633</v>
      </c>
      <c r="G230" s="1834" t="s">
        <v>882</v>
      </c>
      <c r="H230" s="1835" t="s">
        <v>883</v>
      </c>
    </row>
    <row r="231" spans="1:9" s="1638" customFormat="1" ht="13.5" thickTop="1" thickBot="1" x14ac:dyDescent="0.25">
      <c r="A231" s="1643">
        <v>1</v>
      </c>
      <c r="B231" s="1642">
        <v>2</v>
      </c>
      <c r="C231" s="1642">
        <v>3</v>
      </c>
      <c r="D231" s="1642">
        <v>4</v>
      </c>
      <c r="E231" s="1641">
        <v>5</v>
      </c>
      <c r="F231" s="1641">
        <v>6</v>
      </c>
      <c r="G231" s="1877">
        <v>7</v>
      </c>
      <c r="H231" s="1901" t="s">
        <v>61</v>
      </c>
    </row>
    <row r="232" spans="1:9" ht="15.75" thickTop="1" x14ac:dyDescent="0.2">
      <c r="A232" s="1896">
        <v>3122</v>
      </c>
      <c r="B232" s="1903">
        <v>6121</v>
      </c>
      <c r="C232" s="1906">
        <v>53100870</v>
      </c>
      <c r="D232" s="1836" t="s">
        <v>603</v>
      </c>
      <c r="E232" s="1832">
        <v>0</v>
      </c>
      <c r="F232" s="1832">
        <v>1</v>
      </c>
      <c r="G232" s="1832">
        <v>0</v>
      </c>
      <c r="H232" s="1821">
        <f>G232/F232*100</f>
        <v>0</v>
      </c>
    </row>
    <row r="233" spans="1:9" ht="15" x14ac:dyDescent="0.2">
      <c r="A233" s="1896">
        <v>3122</v>
      </c>
      <c r="B233" s="1903">
        <v>6121</v>
      </c>
      <c r="C233" s="1906">
        <v>53100872</v>
      </c>
      <c r="D233" s="1836" t="s">
        <v>603</v>
      </c>
      <c r="E233" s="1845">
        <v>0</v>
      </c>
      <c r="F233" s="1845">
        <v>0</v>
      </c>
      <c r="G233" s="1845">
        <v>0</v>
      </c>
      <c r="H233" s="1821">
        <v>0</v>
      </c>
    </row>
    <row r="234" spans="1:9" ht="15" x14ac:dyDescent="0.2">
      <c r="A234" s="1896">
        <v>3122</v>
      </c>
      <c r="B234" s="1903">
        <v>6121</v>
      </c>
      <c r="C234" s="1906">
        <v>53100874</v>
      </c>
      <c r="D234" s="1836" t="s">
        <v>603</v>
      </c>
      <c r="E234" s="1845">
        <v>0</v>
      </c>
      <c r="F234" s="1845">
        <v>2050</v>
      </c>
      <c r="G234" s="1845">
        <v>2043</v>
      </c>
      <c r="H234" s="1821">
        <f t="shared" ref="H234:H237" si="25">G234/F234*100</f>
        <v>99.658536585365852</v>
      </c>
    </row>
    <row r="235" spans="1:9" ht="15" x14ac:dyDescent="0.2">
      <c r="A235" s="1896">
        <v>3122</v>
      </c>
      <c r="B235" s="1903">
        <v>6121</v>
      </c>
      <c r="C235" s="1906">
        <v>53500871</v>
      </c>
      <c r="D235" s="1836" t="s">
        <v>603</v>
      </c>
      <c r="E235" s="1845">
        <v>0</v>
      </c>
      <c r="F235" s="1845">
        <v>8</v>
      </c>
      <c r="G235" s="1845">
        <v>0</v>
      </c>
      <c r="H235" s="1821">
        <f t="shared" si="25"/>
        <v>0</v>
      </c>
    </row>
    <row r="236" spans="1:9" ht="15" x14ac:dyDescent="0.2">
      <c r="A236" s="1896">
        <v>3122</v>
      </c>
      <c r="B236" s="1903">
        <v>6121</v>
      </c>
      <c r="C236" s="1906">
        <v>54100870</v>
      </c>
      <c r="D236" s="1836" t="s">
        <v>603</v>
      </c>
      <c r="E236" s="1845">
        <v>0</v>
      </c>
      <c r="F236" s="1845">
        <v>183</v>
      </c>
      <c r="G236" s="1845">
        <v>174</v>
      </c>
      <c r="H236" s="1821">
        <f t="shared" si="25"/>
        <v>95.081967213114751</v>
      </c>
    </row>
    <row r="237" spans="1:9" ht="15" x14ac:dyDescent="0.2">
      <c r="A237" s="1896">
        <v>3122</v>
      </c>
      <c r="B237" s="1903">
        <v>6121</v>
      </c>
      <c r="C237" s="1906">
        <v>54100874</v>
      </c>
      <c r="D237" s="1836" t="s">
        <v>603</v>
      </c>
      <c r="E237" s="1845">
        <v>0</v>
      </c>
      <c r="F237" s="1845">
        <v>1031</v>
      </c>
      <c r="G237" s="1845">
        <v>1031</v>
      </c>
      <c r="H237" s="1821">
        <f t="shared" si="25"/>
        <v>100</v>
      </c>
    </row>
    <row r="238" spans="1:9" ht="15" x14ac:dyDescent="0.2">
      <c r="A238" s="1896">
        <v>3122</v>
      </c>
      <c r="B238" s="1903">
        <v>6121</v>
      </c>
      <c r="C238" s="1906">
        <v>54190877</v>
      </c>
      <c r="D238" s="1836" t="s">
        <v>603</v>
      </c>
      <c r="E238" s="1845">
        <v>0</v>
      </c>
      <c r="F238" s="1845">
        <v>87</v>
      </c>
      <c r="G238" s="1845">
        <v>87</v>
      </c>
      <c r="H238" s="1821">
        <f>G238/F238*100</f>
        <v>100</v>
      </c>
    </row>
    <row r="239" spans="1:9" ht="15.75" thickBot="1" x14ac:dyDescent="0.25">
      <c r="A239" s="1896">
        <v>3122</v>
      </c>
      <c r="B239" s="1903">
        <v>6121</v>
      </c>
      <c r="C239" s="1906">
        <v>54515835</v>
      </c>
      <c r="D239" s="1836" t="s">
        <v>603</v>
      </c>
      <c r="E239" s="1845">
        <v>0</v>
      </c>
      <c r="F239" s="1845">
        <v>1482</v>
      </c>
      <c r="G239" s="1845">
        <v>1482</v>
      </c>
      <c r="H239" s="1827">
        <v>0</v>
      </c>
    </row>
    <row r="240" spans="1:9" s="1828" customFormat="1" ht="16.5" thickTop="1" thickBot="1" x14ac:dyDescent="0.3">
      <c r="A240" s="2751" t="s">
        <v>763</v>
      </c>
      <c r="B240" s="2752"/>
      <c r="C240" s="2752"/>
      <c r="D240" s="2752"/>
      <c r="E240" s="1818">
        <f>SUM(E232:E239)</f>
        <v>0</v>
      </c>
      <c r="F240" s="1818">
        <f>SUM(F232:F239)</f>
        <v>4842</v>
      </c>
      <c r="G240" s="1818">
        <f>SUM(G232:G239)</f>
        <v>4817</v>
      </c>
      <c r="H240" s="1822">
        <f>G240/F240*100</f>
        <v>99.483684427922341</v>
      </c>
      <c r="I240" s="1910"/>
    </row>
    <row r="241" spans="1:9" s="1828" customFormat="1" ht="15.75" thickTop="1" x14ac:dyDescent="0.25">
      <c r="A241" s="1823"/>
      <c r="B241" s="1823"/>
      <c r="C241" s="1823"/>
      <c r="D241" s="1823"/>
      <c r="E241" s="1824"/>
      <c r="F241" s="1824"/>
      <c r="G241" s="1824"/>
      <c r="H241" s="1849"/>
      <c r="I241" s="1910"/>
    </row>
    <row r="242" spans="1:9" ht="18" x14ac:dyDescent="0.25">
      <c r="A242" s="1808" t="s">
        <v>1282</v>
      </c>
      <c r="B242" s="1831"/>
      <c r="C242" s="1831"/>
      <c r="D242" s="1831"/>
      <c r="E242" s="1831"/>
      <c r="F242" s="1831"/>
      <c r="G242" s="1831"/>
      <c r="H242" s="1876"/>
    </row>
    <row r="243" spans="1:9" ht="16.5" thickBot="1" x14ac:dyDescent="0.3">
      <c r="A243" s="1807" t="s">
        <v>1283</v>
      </c>
      <c r="H243" s="1825" t="s">
        <v>161</v>
      </c>
    </row>
    <row r="244" spans="1:9" s="1638" customFormat="1" ht="25.5" thickTop="1" thickBot="1" x14ac:dyDescent="0.25">
      <c r="A244" s="1809" t="s">
        <v>162</v>
      </c>
      <c r="B244" s="1810" t="s">
        <v>761</v>
      </c>
      <c r="C244" s="1810" t="s">
        <v>377</v>
      </c>
      <c r="D244" s="1811" t="s">
        <v>164</v>
      </c>
      <c r="E244" s="1833" t="s">
        <v>632</v>
      </c>
      <c r="F244" s="1833" t="s">
        <v>633</v>
      </c>
      <c r="G244" s="1834" t="s">
        <v>882</v>
      </c>
      <c r="H244" s="1835" t="s">
        <v>883</v>
      </c>
    </row>
    <row r="245" spans="1:9" s="1638" customFormat="1" ht="13.5" thickTop="1" thickBot="1" x14ac:dyDescent="0.25">
      <c r="A245" s="1643">
        <v>1</v>
      </c>
      <c r="B245" s="1642">
        <v>2</v>
      </c>
      <c r="C245" s="1642">
        <v>3</v>
      </c>
      <c r="D245" s="1642">
        <v>4</v>
      </c>
      <c r="E245" s="1641">
        <v>5</v>
      </c>
      <c r="F245" s="1641">
        <v>6</v>
      </c>
      <c r="G245" s="1877">
        <v>7</v>
      </c>
      <c r="H245" s="1901" t="s">
        <v>61</v>
      </c>
    </row>
    <row r="246" spans="1:9" ht="15.75" thickTop="1" x14ac:dyDescent="0.2">
      <c r="A246" s="1896">
        <v>3121</v>
      </c>
      <c r="B246" s="1903">
        <v>6121</v>
      </c>
      <c r="C246" s="1906">
        <v>53100874</v>
      </c>
      <c r="D246" s="1836" t="s">
        <v>603</v>
      </c>
      <c r="E246" s="1845">
        <v>0</v>
      </c>
      <c r="F246" s="1845">
        <v>1000</v>
      </c>
      <c r="G246" s="1845">
        <v>1000</v>
      </c>
      <c r="H246" s="1821">
        <f t="shared" ref="H246:H249" si="26">G246/F246*100</f>
        <v>100</v>
      </c>
    </row>
    <row r="247" spans="1:9" ht="15" x14ac:dyDescent="0.2">
      <c r="A247" s="1896">
        <v>3121</v>
      </c>
      <c r="B247" s="1903">
        <v>6121</v>
      </c>
      <c r="C247" s="1906">
        <v>54100870</v>
      </c>
      <c r="D247" s="1836" t="s">
        <v>603</v>
      </c>
      <c r="E247" s="1845">
        <v>0</v>
      </c>
      <c r="F247" s="1845">
        <v>671</v>
      </c>
      <c r="G247" s="1845">
        <v>671</v>
      </c>
      <c r="H247" s="1821">
        <f t="shared" si="26"/>
        <v>100</v>
      </c>
    </row>
    <row r="248" spans="1:9" ht="15" x14ac:dyDescent="0.2">
      <c r="A248" s="1896">
        <v>3121</v>
      </c>
      <c r="B248" s="1903">
        <v>6121</v>
      </c>
      <c r="C248" s="1906">
        <v>54100874</v>
      </c>
      <c r="D248" s="1836" t="s">
        <v>603</v>
      </c>
      <c r="E248" s="1845">
        <v>0</v>
      </c>
      <c r="F248" s="1845">
        <v>2089</v>
      </c>
      <c r="G248" s="1845">
        <v>1748</v>
      </c>
      <c r="H248" s="1821">
        <f t="shared" si="26"/>
        <v>83.676400191479175</v>
      </c>
    </row>
    <row r="249" spans="1:9" ht="15" x14ac:dyDescent="0.2">
      <c r="A249" s="1896">
        <v>3121</v>
      </c>
      <c r="B249" s="1903">
        <v>6121</v>
      </c>
      <c r="C249" s="1906">
        <v>54100880</v>
      </c>
      <c r="D249" s="1836" t="s">
        <v>603</v>
      </c>
      <c r="E249" s="1845">
        <v>0</v>
      </c>
      <c r="F249" s="1845">
        <v>317</v>
      </c>
      <c r="G249" s="1845">
        <v>262</v>
      </c>
      <c r="H249" s="1821">
        <f t="shared" si="26"/>
        <v>82.649842271293366</v>
      </c>
    </row>
    <row r="250" spans="1:9" ht="15" x14ac:dyDescent="0.2">
      <c r="A250" s="1896">
        <v>3121</v>
      </c>
      <c r="B250" s="1903">
        <v>6121</v>
      </c>
      <c r="C250" s="1906">
        <v>54100884</v>
      </c>
      <c r="D250" s="1836" t="s">
        <v>603</v>
      </c>
      <c r="E250" s="1845">
        <v>0</v>
      </c>
      <c r="F250" s="1845">
        <v>746</v>
      </c>
      <c r="G250" s="1845">
        <v>652</v>
      </c>
      <c r="H250" s="1821">
        <f>G250/F250*100</f>
        <v>87.399463806970516</v>
      </c>
    </row>
    <row r="251" spans="1:9" ht="15" x14ac:dyDescent="0.2">
      <c r="A251" s="1896">
        <v>3121</v>
      </c>
      <c r="B251" s="1903">
        <v>6121</v>
      </c>
      <c r="C251" s="1906">
        <v>54190877</v>
      </c>
      <c r="D251" s="1836" t="s">
        <v>603</v>
      </c>
      <c r="E251" s="1845">
        <v>0</v>
      </c>
      <c r="F251" s="1845">
        <v>471</v>
      </c>
      <c r="G251" s="1845">
        <v>467</v>
      </c>
      <c r="H251" s="1821">
        <f>G251/F251*100</f>
        <v>99.15074309978769</v>
      </c>
    </row>
    <row r="252" spans="1:9" ht="15.75" thickBot="1" x14ac:dyDescent="0.25">
      <c r="A252" s="1896">
        <v>3121</v>
      </c>
      <c r="B252" s="1903">
        <v>6121</v>
      </c>
      <c r="C252" s="1906">
        <v>54515835</v>
      </c>
      <c r="D252" s="1836" t="s">
        <v>603</v>
      </c>
      <c r="E252" s="1845">
        <v>0</v>
      </c>
      <c r="F252" s="1845">
        <v>8007</v>
      </c>
      <c r="G252" s="1845">
        <v>7933</v>
      </c>
      <c r="H252" s="1821">
        <f>G252/F252*100</f>
        <v>99.075808667416013</v>
      </c>
    </row>
    <row r="253" spans="1:9" s="1828" customFormat="1" ht="16.5" thickTop="1" thickBot="1" x14ac:dyDescent="0.3">
      <c r="A253" s="2751" t="s">
        <v>763</v>
      </c>
      <c r="B253" s="2752"/>
      <c r="C253" s="2752"/>
      <c r="D253" s="2752"/>
      <c r="E253" s="1818">
        <f>SUM(E246:E252)</f>
        <v>0</v>
      </c>
      <c r="F253" s="1818">
        <f t="shared" ref="F253:G253" si="27">SUM(F246:F252)</f>
        <v>13301</v>
      </c>
      <c r="G253" s="1818">
        <f t="shared" si="27"/>
        <v>12733</v>
      </c>
      <c r="H253" s="1822">
        <f>G253/F253*100</f>
        <v>95.729644387640022</v>
      </c>
      <c r="I253" s="1910"/>
    </row>
    <row r="254" spans="1:9" s="1828" customFormat="1" ht="15.75" thickTop="1" x14ac:dyDescent="0.25">
      <c r="A254" s="1823"/>
      <c r="B254" s="1823"/>
      <c r="C254" s="1823"/>
      <c r="D254" s="1823"/>
      <c r="E254" s="1824"/>
      <c r="F254" s="1824"/>
      <c r="G254" s="1824"/>
      <c r="H254" s="1849"/>
      <c r="I254" s="1910"/>
    </row>
    <row r="255" spans="1:9" ht="18" x14ac:dyDescent="0.25">
      <c r="A255" s="1808" t="s">
        <v>1284</v>
      </c>
      <c r="B255" s="1831"/>
      <c r="C255" s="1831"/>
      <c r="D255" s="1831"/>
      <c r="E255" s="1831"/>
      <c r="F255" s="1831"/>
      <c r="G255" s="1831"/>
      <c r="H255" s="1876"/>
    </row>
    <row r="256" spans="1:9" ht="16.5" thickBot="1" x14ac:dyDescent="0.3">
      <c r="A256" s="1807" t="s">
        <v>1285</v>
      </c>
      <c r="H256" s="1825" t="s">
        <v>161</v>
      </c>
    </row>
    <row r="257" spans="1:9" s="1638" customFormat="1" ht="25.5" thickTop="1" thickBot="1" x14ac:dyDescent="0.25">
      <c r="A257" s="1809" t="s">
        <v>162</v>
      </c>
      <c r="B257" s="1810" t="s">
        <v>761</v>
      </c>
      <c r="C257" s="1810" t="s">
        <v>377</v>
      </c>
      <c r="D257" s="1811" t="s">
        <v>164</v>
      </c>
      <c r="E257" s="1833" t="s">
        <v>632</v>
      </c>
      <c r="F257" s="1833" t="s">
        <v>633</v>
      </c>
      <c r="G257" s="1834" t="s">
        <v>882</v>
      </c>
      <c r="H257" s="1835" t="s">
        <v>883</v>
      </c>
    </row>
    <row r="258" spans="1:9" s="1638" customFormat="1" ht="13.5" thickTop="1" thickBot="1" x14ac:dyDescent="0.25">
      <c r="A258" s="1643">
        <v>1</v>
      </c>
      <c r="B258" s="1642">
        <v>2</v>
      </c>
      <c r="C258" s="1642">
        <v>3</v>
      </c>
      <c r="D258" s="1642">
        <v>4</v>
      </c>
      <c r="E258" s="1641">
        <v>5</v>
      </c>
      <c r="F258" s="1641">
        <v>6</v>
      </c>
      <c r="G258" s="1877">
        <v>7</v>
      </c>
      <c r="H258" s="1901" t="s">
        <v>61</v>
      </c>
    </row>
    <row r="259" spans="1:9" ht="15.75" thickTop="1" x14ac:dyDescent="0.2">
      <c r="A259" s="1896">
        <v>3122</v>
      </c>
      <c r="B259" s="1903">
        <v>6121</v>
      </c>
      <c r="C259" s="1906">
        <v>53100870</v>
      </c>
      <c r="D259" s="1836" t="s">
        <v>603</v>
      </c>
      <c r="E259" s="1832">
        <v>0</v>
      </c>
      <c r="F259" s="1832">
        <v>5</v>
      </c>
      <c r="G259" s="1832">
        <v>5</v>
      </c>
      <c r="H259" s="1821">
        <f>G259/F259*100</f>
        <v>100</v>
      </c>
    </row>
    <row r="260" spans="1:9" ht="15" x14ac:dyDescent="0.2">
      <c r="A260" s="1896">
        <v>3122</v>
      </c>
      <c r="B260" s="1903">
        <v>6121</v>
      </c>
      <c r="C260" s="1906">
        <v>53100872</v>
      </c>
      <c r="D260" s="1836" t="s">
        <v>603</v>
      </c>
      <c r="E260" s="1845">
        <v>0</v>
      </c>
      <c r="F260" s="1845">
        <v>3</v>
      </c>
      <c r="G260" s="1845">
        <v>3</v>
      </c>
      <c r="H260" s="1821">
        <f t="shared" ref="H260:H266" si="28">G260/F260*100</f>
        <v>100</v>
      </c>
    </row>
    <row r="261" spans="1:9" ht="15" x14ac:dyDescent="0.2">
      <c r="A261" s="1896">
        <v>3122</v>
      </c>
      <c r="B261" s="1903">
        <v>6121</v>
      </c>
      <c r="C261" s="1906">
        <v>53100874</v>
      </c>
      <c r="D261" s="1836" t="s">
        <v>603</v>
      </c>
      <c r="E261" s="1845">
        <v>0</v>
      </c>
      <c r="F261" s="1845">
        <v>648</v>
      </c>
      <c r="G261" s="1845">
        <v>648</v>
      </c>
      <c r="H261" s="1821">
        <f t="shared" si="28"/>
        <v>100</v>
      </c>
    </row>
    <row r="262" spans="1:9" ht="15" x14ac:dyDescent="0.2">
      <c r="A262" s="1896">
        <v>3122</v>
      </c>
      <c r="B262" s="1903">
        <v>6121</v>
      </c>
      <c r="C262" s="1906">
        <v>53500871</v>
      </c>
      <c r="D262" s="1836" t="s">
        <v>603</v>
      </c>
      <c r="E262" s="1845">
        <v>0</v>
      </c>
      <c r="F262" s="1845">
        <v>46</v>
      </c>
      <c r="G262" s="1845">
        <v>46</v>
      </c>
      <c r="H262" s="1821">
        <f t="shared" si="28"/>
        <v>100</v>
      </c>
    </row>
    <row r="263" spans="1:9" ht="15" x14ac:dyDescent="0.2">
      <c r="A263" s="1896">
        <v>3122</v>
      </c>
      <c r="B263" s="1903">
        <v>6121</v>
      </c>
      <c r="C263" s="1906">
        <v>54100870</v>
      </c>
      <c r="D263" s="1836" t="s">
        <v>603</v>
      </c>
      <c r="E263" s="1845">
        <v>0</v>
      </c>
      <c r="F263" s="1845">
        <v>96</v>
      </c>
      <c r="G263" s="1845">
        <v>96</v>
      </c>
      <c r="H263" s="1821">
        <f t="shared" si="28"/>
        <v>100</v>
      </c>
    </row>
    <row r="264" spans="1:9" ht="15" x14ac:dyDescent="0.2">
      <c r="A264" s="1896">
        <v>3122</v>
      </c>
      <c r="B264" s="1903">
        <v>6121</v>
      </c>
      <c r="C264" s="1906">
        <v>54100874</v>
      </c>
      <c r="D264" s="1836" t="s">
        <v>603</v>
      </c>
      <c r="E264" s="1845">
        <v>0</v>
      </c>
      <c r="F264" s="1845">
        <v>976</v>
      </c>
      <c r="G264" s="1845">
        <v>631</v>
      </c>
      <c r="H264" s="1821">
        <f t="shared" si="28"/>
        <v>64.651639344262293</v>
      </c>
    </row>
    <row r="265" spans="1:9" ht="15" x14ac:dyDescent="0.2">
      <c r="A265" s="1896">
        <v>3122</v>
      </c>
      <c r="B265" s="1903">
        <v>6121</v>
      </c>
      <c r="C265" s="1906">
        <v>54100880</v>
      </c>
      <c r="D265" s="1836" t="s">
        <v>603</v>
      </c>
      <c r="E265" s="1845">
        <v>0</v>
      </c>
      <c r="F265" s="1845">
        <v>1192</v>
      </c>
      <c r="G265" s="1845">
        <v>883</v>
      </c>
      <c r="H265" s="1821">
        <f t="shared" si="28"/>
        <v>74.077181208053688</v>
      </c>
    </row>
    <row r="266" spans="1:9" ht="15" x14ac:dyDescent="0.2">
      <c r="A266" s="1896">
        <v>3122</v>
      </c>
      <c r="B266" s="1903">
        <v>6121</v>
      </c>
      <c r="C266" s="1906">
        <v>54100884</v>
      </c>
      <c r="D266" s="1836" t="s">
        <v>603</v>
      </c>
      <c r="E266" s="1845">
        <v>0</v>
      </c>
      <c r="F266" s="1845">
        <v>187</v>
      </c>
      <c r="G266" s="1845">
        <v>184</v>
      </c>
      <c r="H266" s="1821">
        <f t="shared" si="28"/>
        <v>98.395721925133699</v>
      </c>
    </row>
    <row r="267" spans="1:9" ht="15" x14ac:dyDescent="0.2">
      <c r="A267" s="1896">
        <v>3122</v>
      </c>
      <c r="B267" s="1903">
        <v>6121</v>
      </c>
      <c r="C267" s="1906">
        <v>54190877</v>
      </c>
      <c r="D267" s="1836" t="s">
        <v>603</v>
      </c>
      <c r="E267" s="1845">
        <v>0</v>
      </c>
      <c r="F267" s="1845">
        <v>570</v>
      </c>
      <c r="G267" s="1845">
        <v>490</v>
      </c>
      <c r="H267" s="1821">
        <f>G267/F267*100</f>
        <v>85.964912280701753</v>
      </c>
    </row>
    <row r="268" spans="1:9" ht="15.75" thickBot="1" x14ac:dyDescent="0.25">
      <c r="A268" s="1896">
        <v>3122</v>
      </c>
      <c r="B268" s="1903">
        <v>6121</v>
      </c>
      <c r="C268" s="1906">
        <v>54515835</v>
      </c>
      <c r="D268" s="1836" t="s">
        <v>603</v>
      </c>
      <c r="E268" s="1845">
        <v>0</v>
      </c>
      <c r="F268" s="1845">
        <v>9694</v>
      </c>
      <c r="G268" s="1845">
        <v>8321</v>
      </c>
      <c r="H268" s="1821">
        <f>G268/F268*100</f>
        <v>85.836599958737352</v>
      </c>
    </row>
    <row r="269" spans="1:9" ht="15.75" hidden="1" thickBot="1" x14ac:dyDescent="0.25">
      <c r="A269" s="1896">
        <v>3122</v>
      </c>
      <c r="B269" s="1903">
        <v>6121</v>
      </c>
      <c r="C269" s="1906">
        <v>53500871</v>
      </c>
      <c r="D269" s="1836" t="s">
        <v>603</v>
      </c>
      <c r="E269" s="1845">
        <v>0</v>
      </c>
      <c r="F269" s="1845"/>
      <c r="G269" s="1845"/>
      <c r="H269" s="1827">
        <v>0</v>
      </c>
    </row>
    <row r="270" spans="1:9" s="1828" customFormat="1" ht="16.5" thickTop="1" thickBot="1" x14ac:dyDescent="0.3">
      <c r="A270" s="2751" t="s">
        <v>763</v>
      </c>
      <c r="B270" s="2752"/>
      <c r="C270" s="2752"/>
      <c r="D270" s="2752"/>
      <c r="E270" s="1818">
        <f>SUM(E259:E269)</f>
        <v>0</v>
      </c>
      <c r="F270" s="1818">
        <f>SUM(F259:F269)</f>
        <v>13417</v>
      </c>
      <c r="G270" s="1818">
        <f>SUM(G259:G269)</f>
        <v>11307</v>
      </c>
      <c r="H270" s="1822">
        <f>G270/F270*100</f>
        <v>84.273682641425069</v>
      </c>
      <c r="I270" s="1910"/>
    </row>
    <row r="271" spans="1:9" s="1828" customFormat="1" ht="15.75" thickTop="1" x14ac:dyDescent="0.25">
      <c r="A271" s="1823"/>
      <c r="B271" s="1823"/>
      <c r="C271" s="1823"/>
      <c r="D271" s="1823"/>
      <c r="E271" s="1824"/>
      <c r="F271" s="1824"/>
      <c r="G271" s="1824"/>
      <c r="H271" s="1849"/>
      <c r="I271" s="1910"/>
    </row>
    <row r="272" spans="1:9" ht="18" x14ac:dyDescent="0.25">
      <c r="A272" s="1808" t="s">
        <v>1286</v>
      </c>
      <c r="B272" s="1831"/>
      <c r="C272" s="1831"/>
      <c r="D272" s="1831"/>
      <c r="E272" s="1831"/>
      <c r="F272" s="1831"/>
      <c r="G272" s="1831"/>
      <c r="H272" s="1876"/>
    </row>
    <row r="273" spans="1:9" ht="16.5" thickBot="1" x14ac:dyDescent="0.3">
      <c r="A273" s="1807" t="s">
        <v>1287</v>
      </c>
      <c r="H273" s="1825" t="s">
        <v>161</v>
      </c>
    </row>
    <row r="274" spans="1:9" s="1638" customFormat="1" ht="25.5" thickTop="1" thickBot="1" x14ac:dyDescent="0.25">
      <c r="A274" s="1809" t="s">
        <v>162</v>
      </c>
      <c r="B274" s="1810" t="s">
        <v>761</v>
      </c>
      <c r="C274" s="1810" t="s">
        <v>377</v>
      </c>
      <c r="D274" s="1811" t="s">
        <v>164</v>
      </c>
      <c r="E274" s="1833" t="s">
        <v>632</v>
      </c>
      <c r="F274" s="1833" t="s">
        <v>633</v>
      </c>
      <c r="G274" s="1834" t="s">
        <v>882</v>
      </c>
      <c r="H274" s="1835" t="s">
        <v>883</v>
      </c>
    </row>
    <row r="275" spans="1:9" s="1638" customFormat="1" ht="13.5" thickTop="1" thickBot="1" x14ac:dyDescent="0.25">
      <c r="A275" s="1643">
        <v>1</v>
      </c>
      <c r="B275" s="1642">
        <v>2</v>
      </c>
      <c r="C275" s="1642">
        <v>3</v>
      </c>
      <c r="D275" s="1642">
        <v>4</v>
      </c>
      <c r="E275" s="1641">
        <v>5</v>
      </c>
      <c r="F275" s="1641">
        <v>6</v>
      </c>
      <c r="G275" s="1877">
        <v>7</v>
      </c>
      <c r="H275" s="1901" t="s">
        <v>61</v>
      </c>
    </row>
    <row r="276" spans="1:9" ht="15.75" thickTop="1" x14ac:dyDescent="0.2">
      <c r="A276" s="1896">
        <v>3122</v>
      </c>
      <c r="B276" s="1903">
        <v>6121</v>
      </c>
      <c r="C276" s="1906">
        <v>53100874</v>
      </c>
      <c r="D276" s="1836" t="s">
        <v>603</v>
      </c>
      <c r="E276" s="1832">
        <v>0</v>
      </c>
      <c r="F276" s="1832">
        <v>7159</v>
      </c>
      <c r="G276" s="1832">
        <v>7159</v>
      </c>
      <c r="H276" s="1821">
        <f>G276/F276*100</f>
        <v>100</v>
      </c>
    </row>
    <row r="277" spans="1:9" ht="15" x14ac:dyDescent="0.2">
      <c r="A277" s="1896">
        <v>3122</v>
      </c>
      <c r="B277" s="1903">
        <v>6121</v>
      </c>
      <c r="C277" s="1906">
        <v>54100870</v>
      </c>
      <c r="D277" s="1836" t="s">
        <v>603</v>
      </c>
      <c r="E277" s="1845">
        <v>0</v>
      </c>
      <c r="F277" s="1845">
        <v>838</v>
      </c>
      <c r="G277" s="1845">
        <v>838</v>
      </c>
      <c r="H277" s="1821">
        <f t="shared" ref="H277:H282" si="29">G277/F277*100</f>
        <v>100</v>
      </c>
    </row>
    <row r="278" spans="1:9" ht="15" x14ac:dyDescent="0.2">
      <c r="A278" s="1896">
        <v>3122</v>
      </c>
      <c r="B278" s="1903">
        <v>6121</v>
      </c>
      <c r="C278" s="1906">
        <v>54100874</v>
      </c>
      <c r="D278" s="1836" t="s">
        <v>603</v>
      </c>
      <c r="E278" s="1845">
        <v>0</v>
      </c>
      <c r="F278" s="1845">
        <v>271</v>
      </c>
      <c r="G278" s="1845">
        <v>271</v>
      </c>
      <c r="H278" s="1821">
        <f t="shared" si="29"/>
        <v>100</v>
      </c>
    </row>
    <row r="279" spans="1:9" ht="15" x14ac:dyDescent="0.2">
      <c r="A279" s="1896">
        <v>3122</v>
      </c>
      <c r="B279" s="1903">
        <v>6121</v>
      </c>
      <c r="C279" s="1906">
        <v>54100880</v>
      </c>
      <c r="D279" s="1836" t="s">
        <v>603</v>
      </c>
      <c r="E279" s="1845">
        <v>0</v>
      </c>
      <c r="F279" s="1845">
        <v>64</v>
      </c>
      <c r="G279" s="1845">
        <v>22</v>
      </c>
      <c r="H279" s="1821">
        <f t="shared" si="29"/>
        <v>34.375</v>
      </c>
    </row>
    <row r="280" spans="1:9" ht="15" x14ac:dyDescent="0.2">
      <c r="A280" s="1896">
        <v>3122</v>
      </c>
      <c r="B280" s="1903">
        <v>6121</v>
      </c>
      <c r="C280" s="1906">
        <v>54100884</v>
      </c>
      <c r="D280" s="1836" t="s">
        <v>603</v>
      </c>
      <c r="E280" s="1845">
        <v>0</v>
      </c>
      <c r="F280" s="1845">
        <v>2336</v>
      </c>
      <c r="G280" s="1845">
        <v>2293</v>
      </c>
      <c r="H280" s="1821">
        <f t="shared" si="29"/>
        <v>98.159246575342465</v>
      </c>
    </row>
    <row r="281" spans="1:9" ht="15" x14ac:dyDescent="0.2">
      <c r="A281" s="1896">
        <v>3122</v>
      </c>
      <c r="B281" s="1903">
        <v>6121</v>
      </c>
      <c r="C281" s="1906">
        <v>54190877</v>
      </c>
      <c r="D281" s="1836" t="s">
        <v>603</v>
      </c>
      <c r="E281" s="1845">
        <v>0</v>
      </c>
      <c r="F281" s="1845">
        <v>451</v>
      </c>
      <c r="G281" s="1845">
        <v>430</v>
      </c>
      <c r="H281" s="1821">
        <f t="shared" si="29"/>
        <v>95.343680709534368</v>
      </c>
    </row>
    <row r="282" spans="1:9" ht="15.75" thickBot="1" x14ac:dyDescent="0.25">
      <c r="A282" s="1896">
        <v>3122</v>
      </c>
      <c r="B282" s="1903">
        <v>6121</v>
      </c>
      <c r="C282" s="1906">
        <v>54515835</v>
      </c>
      <c r="D282" s="1836" t="s">
        <v>603</v>
      </c>
      <c r="E282" s="1845">
        <v>0</v>
      </c>
      <c r="F282" s="1845">
        <v>7668</v>
      </c>
      <c r="G282" s="1845">
        <v>7309</v>
      </c>
      <c r="H282" s="1821">
        <f t="shared" si="29"/>
        <v>95.318205529473133</v>
      </c>
    </row>
    <row r="283" spans="1:9" ht="15.75" hidden="1" thickBot="1" x14ac:dyDescent="0.25">
      <c r="A283" s="1896">
        <v>3122</v>
      </c>
      <c r="B283" s="1903">
        <v>6121</v>
      </c>
      <c r="C283" s="1906">
        <v>53500871</v>
      </c>
      <c r="D283" s="1836" t="s">
        <v>603</v>
      </c>
      <c r="E283" s="1845">
        <v>0</v>
      </c>
      <c r="F283" s="1845"/>
      <c r="G283" s="1845"/>
      <c r="H283" s="1827">
        <v>0</v>
      </c>
    </row>
    <row r="284" spans="1:9" s="1828" customFormat="1" ht="16.5" thickTop="1" thickBot="1" x14ac:dyDescent="0.3">
      <c r="A284" s="2751" t="s">
        <v>763</v>
      </c>
      <c r="B284" s="2752"/>
      <c r="C284" s="2752"/>
      <c r="D284" s="2752"/>
      <c r="E284" s="1818">
        <f>SUM(E276:E283)</f>
        <v>0</v>
      </c>
      <c r="F284" s="1818">
        <f>SUM(F276:F283)</f>
        <v>18787</v>
      </c>
      <c r="G284" s="1818">
        <f>SUM(G276:G283)</f>
        <v>18322</v>
      </c>
      <c r="H284" s="1822">
        <f>G284/F284*100</f>
        <v>97.524884228455846</v>
      </c>
      <c r="I284" s="1910"/>
    </row>
    <row r="285" spans="1:9" s="1828" customFormat="1" ht="15.75" thickTop="1" x14ac:dyDescent="0.25">
      <c r="A285" s="1823"/>
      <c r="B285" s="1823"/>
      <c r="C285" s="1823"/>
      <c r="D285" s="1823"/>
      <c r="E285" s="1824"/>
      <c r="F285" s="1824"/>
      <c r="G285" s="1824"/>
      <c r="H285" s="1849"/>
      <c r="I285" s="1910"/>
    </row>
    <row r="286" spans="1:9" s="1828" customFormat="1" ht="15" x14ac:dyDescent="0.25">
      <c r="A286" s="1823"/>
      <c r="B286" s="1823"/>
      <c r="C286" s="1823"/>
      <c r="D286" s="1823"/>
      <c r="E286" s="1824"/>
      <c r="F286" s="1824"/>
      <c r="G286" s="1824"/>
      <c r="H286" s="1849"/>
      <c r="I286" s="1910"/>
    </row>
    <row r="287" spans="1:9" ht="18" x14ac:dyDescent="0.25">
      <c r="A287" s="1808" t="s">
        <v>1288</v>
      </c>
      <c r="B287" s="1831"/>
      <c r="C287" s="1831"/>
      <c r="D287" s="1831"/>
      <c r="E287" s="1831"/>
      <c r="F287" s="1831"/>
      <c r="G287" s="1831"/>
      <c r="H287" s="1876"/>
    </row>
    <row r="288" spans="1:9" ht="16.5" thickBot="1" x14ac:dyDescent="0.3">
      <c r="A288" s="1807" t="s">
        <v>1289</v>
      </c>
      <c r="H288" s="1825" t="s">
        <v>161</v>
      </c>
    </row>
    <row r="289" spans="1:9" s="1638" customFormat="1" ht="25.5" thickTop="1" thickBot="1" x14ac:dyDescent="0.25">
      <c r="A289" s="1809" t="s">
        <v>162</v>
      </c>
      <c r="B289" s="1810" t="s">
        <v>761</v>
      </c>
      <c r="C289" s="1810" t="s">
        <v>377</v>
      </c>
      <c r="D289" s="1811" t="s">
        <v>164</v>
      </c>
      <c r="E289" s="1833" t="s">
        <v>632</v>
      </c>
      <c r="F289" s="1833" t="s">
        <v>633</v>
      </c>
      <c r="G289" s="1834" t="s">
        <v>882</v>
      </c>
      <c r="H289" s="1835" t="s">
        <v>883</v>
      </c>
    </row>
    <row r="290" spans="1:9" s="1638" customFormat="1" ht="13.5" thickTop="1" thickBot="1" x14ac:dyDescent="0.25">
      <c r="A290" s="1643">
        <v>1</v>
      </c>
      <c r="B290" s="1642">
        <v>2</v>
      </c>
      <c r="C290" s="1642">
        <v>3</v>
      </c>
      <c r="D290" s="1642">
        <v>4</v>
      </c>
      <c r="E290" s="1641">
        <v>5</v>
      </c>
      <c r="F290" s="1641">
        <v>6</v>
      </c>
      <c r="G290" s="1877">
        <v>7</v>
      </c>
      <c r="H290" s="1901" t="s">
        <v>61</v>
      </c>
    </row>
    <row r="291" spans="1:9" ht="15.75" thickTop="1" x14ac:dyDescent="0.2">
      <c r="A291" s="1896">
        <v>3122</v>
      </c>
      <c r="B291" s="1903">
        <v>6121</v>
      </c>
      <c r="C291" s="1906">
        <v>53100874</v>
      </c>
      <c r="D291" s="1836" t="s">
        <v>603</v>
      </c>
      <c r="E291" s="1845">
        <v>0</v>
      </c>
      <c r="F291" s="1845">
        <v>352</v>
      </c>
      <c r="G291" s="1845">
        <v>352</v>
      </c>
      <c r="H291" s="1821">
        <f t="shared" ref="H291:H294" si="30">G291/F291*100</f>
        <v>100</v>
      </c>
    </row>
    <row r="292" spans="1:9" ht="15" x14ac:dyDescent="0.2">
      <c r="A292" s="1896">
        <v>3122</v>
      </c>
      <c r="B292" s="1903">
        <v>6121</v>
      </c>
      <c r="C292" s="1906">
        <v>54100870</v>
      </c>
      <c r="D292" s="1836" t="s">
        <v>603</v>
      </c>
      <c r="E292" s="1845">
        <v>0</v>
      </c>
      <c r="F292" s="1845">
        <v>233</v>
      </c>
      <c r="G292" s="1845">
        <v>233</v>
      </c>
      <c r="H292" s="1821">
        <f t="shared" si="30"/>
        <v>100</v>
      </c>
    </row>
    <row r="293" spans="1:9" ht="15" x14ac:dyDescent="0.2">
      <c r="A293" s="1896">
        <v>3122</v>
      </c>
      <c r="B293" s="1903">
        <v>6121</v>
      </c>
      <c r="C293" s="1906">
        <v>54100874</v>
      </c>
      <c r="D293" s="1836" t="s">
        <v>603</v>
      </c>
      <c r="E293" s="1845">
        <v>0</v>
      </c>
      <c r="F293" s="1845">
        <v>829</v>
      </c>
      <c r="G293" s="1845">
        <v>829</v>
      </c>
      <c r="H293" s="1821">
        <f t="shared" si="30"/>
        <v>100</v>
      </c>
    </row>
    <row r="294" spans="1:9" ht="15" x14ac:dyDescent="0.2">
      <c r="A294" s="1896">
        <v>3122</v>
      </c>
      <c r="B294" s="1903">
        <v>6121</v>
      </c>
      <c r="C294" s="1906">
        <v>54100880</v>
      </c>
      <c r="D294" s="1836" t="s">
        <v>603</v>
      </c>
      <c r="E294" s="1845">
        <v>0</v>
      </c>
      <c r="F294" s="1845">
        <v>100</v>
      </c>
      <c r="G294" s="1845">
        <v>100</v>
      </c>
      <c r="H294" s="1821">
        <f t="shared" si="30"/>
        <v>100</v>
      </c>
    </row>
    <row r="295" spans="1:9" ht="15" x14ac:dyDescent="0.2">
      <c r="A295" s="1896">
        <v>3122</v>
      </c>
      <c r="B295" s="1903">
        <v>6121</v>
      </c>
      <c r="C295" s="1906">
        <v>54190877</v>
      </c>
      <c r="D295" s="1836" t="s">
        <v>603</v>
      </c>
      <c r="E295" s="1845">
        <v>0</v>
      </c>
      <c r="F295" s="1845">
        <v>167</v>
      </c>
      <c r="G295" s="1845">
        <v>167</v>
      </c>
      <c r="H295" s="1821">
        <f>G295/F295*100</f>
        <v>100</v>
      </c>
    </row>
    <row r="296" spans="1:9" ht="15.75" thickBot="1" x14ac:dyDescent="0.25">
      <c r="A296" s="1896">
        <v>3122</v>
      </c>
      <c r="B296" s="1903">
        <v>6121</v>
      </c>
      <c r="C296" s="1906">
        <v>54515835</v>
      </c>
      <c r="D296" s="1836" t="s">
        <v>603</v>
      </c>
      <c r="E296" s="1845">
        <v>0</v>
      </c>
      <c r="F296" s="1845">
        <v>2836</v>
      </c>
      <c r="G296" s="1845">
        <v>2836</v>
      </c>
      <c r="H296" s="1827">
        <v>0</v>
      </c>
    </row>
    <row r="297" spans="1:9" s="1828" customFormat="1" ht="16.5" thickTop="1" thickBot="1" x14ac:dyDescent="0.3">
      <c r="A297" s="2751" t="s">
        <v>763</v>
      </c>
      <c r="B297" s="2752"/>
      <c r="C297" s="2752"/>
      <c r="D297" s="2752"/>
      <c r="E297" s="1818">
        <f>SUM(E291:E296)</f>
        <v>0</v>
      </c>
      <c r="F297" s="1818">
        <f>SUM(F291:F296)</f>
        <v>4517</v>
      </c>
      <c r="G297" s="1818">
        <f>SUM(G291:G296)</f>
        <v>4517</v>
      </c>
      <c r="H297" s="1822">
        <f>G297/F297*100</f>
        <v>100</v>
      </c>
      <c r="I297" s="1910"/>
    </row>
    <row r="298" spans="1:9" s="1828" customFormat="1" ht="15.75" thickTop="1" x14ac:dyDescent="0.25">
      <c r="A298" s="1823"/>
      <c r="B298" s="1823"/>
      <c r="C298" s="1823"/>
      <c r="D298" s="1823"/>
      <c r="E298" s="1824"/>
      <c r="F298" s="1824"/>
      <c r="G298" s="1824"/>
      <c r="H298" s="1849"/>
      <c r="I298" s="1910"/>
    </row>
    <row r="299" spans="1:9" ht="18" x14ac:dyDescent="0.25">
      <c r="A299" s="1808" t="s">
        <v>1963</v>
      </c>
      <c r="B299" s="1831"/>
      <c r="C299" s="1831"/>
      <c r="D299" s="1831"/>
      <c r="E299" s="1831"/>
      <c r="F299" s="1831"/>
      <c r="G299" s="1831"/>
      <c r="H299" s="1876"/>
    </row>
    <row r="300" spans="1:9" ht="16.5" thickBot="1" x14ac:dyDescent="0.3">
      <c r="A300" s="1807" t="s">
        <v>1964</v>
      </c>
      <c r="H300" s="1825" t="s">
        <v>161</v>
      </c>
    </row>
    <row r="301" spans="1:9" s="1638" customFormat="1" ht="25.5" thickTop="1" thickBot="1" x14ac:dyDescent="0.25">
      <c r="A301" s="1809" t="s">
        <v>162</v>
      </c>
      <c r="B301" s="1810" t="s">
        <v>761</v>
      </c>
      <c r="C301" s="1810" t="s">
        <v>377</v>
      </c>
      <c r="D301" s="1811" t="s">
        <v>164</v>
      </c>
      <c r="E301" s="1833" t="s">
        <v>632</v>
      </c>
      <c r="F301" s="1833" t="s">
        <v>633</v>
      </c>
      <c r="G301" s="1834" t="s">
        <v>882</v>
      </c>
      <c r="H301" s="1835" t="s">
        <v>883</v>
      </c>
    </row>
    <row r="302" spans="1:9" s="1638" customFormat="1" ht="13.5" thickTop="1" thickBot="1" x14ac:dyDescent="0.25">
      <c r="A302" s="1643">
        <v>1</v>
      </c>
      <c r="B302" s="1642">
        <v>2</v>
      </c>
      <c r="C302" s="1642">
        <v>3</v>
      </c>
      <c r="D302" s="1642">
        <v>4</v>
      </c>
      <c r="E302" s="1641">
        <v>5</v>
      </c>
      <c r="F302" s="1641">
        <v>6</v>
      </c>
      <c r="G302" s="1877">
        <v>7</v>
      </c>
      <c r="H302" s="1901" t="s">
        <v>61</v>
      </c>
    </row>
    <row r="303" spans="1:9" ht="15.75" hidden="1" thickTop="1" x14ac:dyDescent="0.2">
      <c r="A303" s="1896">
        <v>3122</v>
      </c>
      <c r="B303" s="1903">
        <v>6121</v>
      </c>
      <c r="C303" s="1906">
        <v>53100870</v>
      </c>
      <c r="D303" s="1836" t="s">
        <v>603</v>
      </c>
      <c r="E303" s="1832">
        <v>0</v>
      </c>
      <c r="F303" s="1832">
        <v>0</v>
      </c>
      <c r="G303" s="1832">
        <v>0</v>
      </c>
      <c r="H303" s="1819" t="e">
        <f>G303/F303*100</f>
        <v>#DIV/0!</v>
      </c>
    </row>
    <row r="304" spans="1:9" ht="15.75" hidden="1" thickTop="1" x14ac:dyDescent="0.2">
      <c r="A304" s="1896">
        <v>3122</v>
      </c>
      <c r="B304" s="1903">
        <v>6121</v>
      </c>
      <c r="C304" s="1906">
        <v>53100872</v>
      </c>
      <c r="D304" s="1836" t="s">
        <v>603</v>
      </c>
      <c r="E304" s="1845">
        <v>0</v>
      </c>
      <c r="F304" s="1845"/>
      <c r="G304" s="1845"/>
      <c r="H304" s="1821" t="e">
        <f>G304/F304*100</f>
        <v>#DIV/0!</v>
      </c>
    </row>
    <row r="305" spans="1:9" ht="16.5" thickTop="1" thickBot="1" x14ac:dyDescent="0.25">
      <c r="A305" s="1896">
        <v>3122</v>
      </c>
      <c r="B305" s="1903">
        <v>6121</v>
      </c>
      <c r="C305" s="1906">
        <v>54100884</v>
      </c>
      <c r="D305" s="1836" t="s">
        <v>603</v>
      </c>
      <c r="E305" s="1845">
        <v>0</v>
      </c>
      <c r="F305" s="1845">
        <v>236</v>
      </c>
      <c r="G305" s="1845">
        <v>236</v>
      </c>
      <c r="H305" s="1821">
        <f>G305/F305*100</f>
        <v>100</v>
      </c>
    </row>
    <row r="306" spans="1:9" ht="15.75" hidden="1" thickBot="1" x14ac:dyDescent="0.25">
      <c r="A306" s="1896">
        <v>3122</v>
      </c>
      <c r="B306" s="1903">
        <v>6121</v>
      </c>
      <c r="C306" s="1906">
        <v>53500871</v>
      </c>
      <c r="D306" s="1836" t="s">
        <v>603</v>
      </c>
      <c r="E306" s="1845">
        <v>0</v>
      </c>
      <c r="F306" s="1845"/>
      <c r="G306" s="1845"/>
      <c r="H306" s="1827">
        <v>0</v>
      </c>
    </row>
    <row r="307" spans="1:9" s="1828" customFormat="1" ht="16.5" thickTop="1" thickBot="1" x14ac:dyDescent="0.3">
      <c r="A307" s="2751" t="s">
        <v>763</v>
      </c>
      <c r="B307" s="2752"/>
      <c r="C307" s="2752"/>
      <c r="D307" s="2752"/>
      <c r="E307" s="1818">
        <f>SUM(E303:E306)</f>
        <v>0</v>
      </c>
      <c r="F307" s="1818">
        <f>SUM(F303:F306)</f>
        <v>236</v>
      </c>
      <c r="G307" s="1818">
        <f>SUM(G303:G306)</f>
        <v>236</v>
      </c>
      <c r="H307" s="1822">
        <f>G307/F307*100</f>
        <v>100</v>
      </c>
      <c r="I307" s="1910"/>
    </row>
    <row r="308" spans="1:9" s="1828" customFormat="1" ht="15.75" thickTop="1" x14ac:dyDescent="0.25">
      <c r="A308" s="1823"/>
      <c r="B308" s="1823"/>
      <c r="C308" s="1823"/>
      <c r="D308" s="1823"/>
      <c r="E308" s="1824"/>
      <c r="F308" s="1824"/>
      <c r="G308" s="1824"/>
      <c r="H308" s="1849"/>
      <c r="I308" s="1910"/>
    </row>
    <row r="309" spans="1:9" ht="18" x14ac:dyDescent="0.25">
      <c r="A309" s="1808" t="s">
        <v>1507</v>
      </c>
      <c r="B309" s="1831"/>
      <c r="C309" s="1831"/>
      <c r="D309" s="1831"/>
      <c r="E309" s="1831"/>
      <c r="F309" s="1831"/>
      <c r="G309" s="1831"/>
      <c r="H309" s="1876"/>
    </row>
    <row r="310" spans="1:9" ht="16.5" thickBot="1" x14ac:dyDescent="0.3">
      <c r="A310" s="1807" t="s">
        <v>1508</v>
      </c>
      <c r="H310" s="1825" t="s">
        <v>161</v>
      </c>
    </row>
    <row r="311" spans="1:9" s="1638" customFormat="1" ht="25.5" thickTop="1" thickBot="1" x14ac:dyDescent="0.25">
      <c r="A311" s="1809" t="s">
        <v>162</v>
      </c>
      <c r="B311" s="1810" t="s">
        <v>761</v>
      </c>
      <c r="C311" s="1810" t="s">
        <v>377</v>
      </c>
      <c r="D311" s="1811" t="s">
        <v>164</v>
      </c>
      <c r="E311" s="1833" t="s">
        <v>632</v>
      </c>
      <c r="F311" s="1833" t="s">
        <v>633</v>
      </c>
      <c r="G311" s="1834" t="s">
        <v>882</v>
      </c>
      <c r="H311" s="1835" t="s">
        <v>883</v>
      </c>
    </row>
    <row r="312" spans="1:9" s="1638" customFormat="1" ht="13.5" thickTop="1" thickBot="1" x14ac:dyDescent="0.25">
      <c r="A312" s="1643">
        <v>1</v>
      </c>
      <c r="B312" s="1642">
        <v>2</v>
      </c>
      <c r="C312" s="1642">
        <v>3</v>
      </c>
      <c r="D312" s="1642">
        <v>4</v>
      </c>
      <c r="E312" s="1641">
        <v>5</v>
      </c>
      <c r="F312" s="1641">
        <v>6</v>
      </c>
      <c r="G312" s="1877">
        <v>7</v>
      </c>
      <c r="H312" s="1901" t="s">
        <v>61</v>
      </c>
    </row>
    <row r="313" spans="1:9" ht="15.75" thickTop="1" x14ac:dyDescent="0.2">
      <c r="A313" s="1896">
        <v>3122</v>
      </c>
      <c r="B313" s="1903">
        <v>6121</v>
      </c>
      <c r="C313" s="1906">
        <v>53100870</v>
      </c>
      <c r="D313" s="1836" t="s">
        <v>603</v>
      </c>
      <c r="E313" s="1832">
        <v>0</v>
      </c>
      <c r="F313" s="1832">
        <v>0</v>
      </c>
      <c r="G313" s="1832">
        <v>0</v>
      </c>
      <c r="H313" s="1819">
        <v>0</v>
      </c>
    </row>
    <row r="314" spans="1:9" ht="15" x14ac:dyDescent="0.2">
      <c r="A314" s="1896">
        <v>3122</v>
      </c>
      <c r="B314" s="1903">
        <v>6121</v>
      </c>
      <c r="C314" s="1906">
        <v>53100872</v>
      </c>
      <c r="D314" s="1836" t="s">
        <v>603</v>
      </c>
      <c r="E314" s="1845">
        <v>0</v>
      </c>
      <c r="F314" s="1845">
        <v>0</v>
      </c>
      <c r="G314" s="1845">
        <v>0</v>
      </c>
      <c r="H314" s="1821">
        <v>0</v>
      </c>
    </row>
    <row r="315" spans="1:9" ht="15" x14ac:dyDescent="0.2">
      <c r="A315" s="1896">
        <v>3122</v>
      </c>
      <c r="B315" s="1903">
        <v>6121</v>
      </c>
      <c r="C315" s="1906">
        <v>53100874</v>
      </c>
      <c r="D315" s="1836" t="s">
        <v>603</v>
      </c>
      <c r="E315" s="1845">
        <v>0</v>
      </c>
      <c r="F315" s="1845">
        <v>1108</v>
      </c>
      <c r="G315" s="1845">
        <v>1108</v>
      </c>
      <c r="H315" s="1821">
        <v>0</v>
      </c>
    </row>
    <row r="316" spans="1:9" ht="15" x14ac:dyDescent="0.2">
      <c r="A316" s="1896">
        <v>3122</v>
      </c>
      <c r="B316" s="1903">
        <v>6121</v>
      </c>
      <c r="C316" s="1906">
        <v>53500871</v>
      </c>
      <c r="D316" s="1836" t="s">
        <v>603</v>
      </c>
      <c r="E316" s="1845">
        <v>0</v>
      </c>
      <c r="F316" s="1845">
        <v>3</v>
      </c>
      <c r="G316" s="1845">
        <v>0</v>
      </c>
      <c r="H316" s="1821">
        <v>0</v>
      </c>
    </row>
    <row r="317" spans="1:9" ht="15" x14ac:dyDescent="0.2">
      <c r="A317" s="1896">
        <v>3122</v>
      </c>
      <c r="B317" s="1903">
        <v>6121</v>
      </c>
      <c r="C317" s="1906">
        <v>54100870</v>
      </c>
      <c r="D317" s="1836" t="s">
        <v>603</v>
      </c>
      <c r="E317" s="1845">
        <v>0</v>
      </c>
      <c r="F317" s="1845">
        <v>311</v>
      </c>
      <c r="G317" s="1845">
        <v>311</v>
      </c>
      <c r="H317" s="1821">
        <v>0</v>
      </c>
    </row>
    <row r="318" spans="1:9" ht="15" x14ac:dyDescent="0.2">
      <c r="A318" s="1896">
        <v>3122</v>
      </c>
      <c r="B318" s="1903">
        <v>6121</v>
      </c>
      <c r="C318" s="1906">
        <v>54100872</v>
      </c>
      <c r="D318" s="1836" t="s">
        <v>603</v>
      </c>
      <c r="E318" s="1845">
        <v>0</v>
      </c>
      <c r="F318" s="1845">
        <v>3</v>
      </c>
      <c r="G318" s="1845">
        <v>2</v>
      </c>
      <c r="H318" s="1821">
        <v>0</v>
      </c>
    </row>
    <row r="319" spans="1:9" ht="15" x14ac:dyDescent="0.2">
      <c r="A319" s="1896">
        <v>3122</v>
      </c>
      <c r="B319" s="1903">
        <v>6121</v>
      </c>
      <c r="C319" s="1906">
        <v>54100874</v>
      </c>
      <c r="D319" s="1836" t="s">
        <v>603</v>
      </c>
      <c r="E319" s="1845">
        <v>0</v>
      </c>
      <c r="F319" s="1845">
        <v>1950</v>
      </c>
      <c r="G319" s="1845">
        <v>1950</v>
      </c>
      <c r="H319" s="1821">
        <v>0</v>
      </c>
    </row>
    <row r="320" spans="1:9" ht="15" x14ac:dyDescent="0.2">
      <c r="A320" s="1896">
        <v>3122</v>
      </c>
      <c r="B320" s="1903">
        <v>6121</v>
      </c>
      <c r="C320" s="1906">
        <v>54100880</v>
      </c>
      <c r="D320" s="1836" t="s">
        <v>603</v>
      </c>
      <c r="E320" s="1845">
        <v>0</v>
      </c>
      <c r="F320" s="1845">
        <v>300</v>
      </c>
      <c r="G320" s="1845">
        <v>273</v>
      </c>
      <c r="H320" s="1821">
        <v>0</v>
      </c>
    </row>
    <row r="321" spans="1:9" ht="15" x14ac:dyDescent="0.2">
      <c r="A321" s="1896">
        <v>3122</v>
      </c>
      <c r="B321" s="1903">
        <v>6121</v>
      </c>
      <c r="C321" s="1906">
        <v>54100884</v>
      </c>
      <c r="D321" s="1836" t="s">
        <v>603</v>
      </c>
      <c r="E321" s="1845">
        <v>0</v>
      </c>
      <c r="F321" s="1845">
        <v>4341</v>
      </c>
      <c r="G321" s="1845">
        <v>4115</v>
      </c>
      <c r="H321" s="1821">
        <v>0</v>
      </c>
    </row>
    <row r="322" spans="1:9" ht="15" x14ac:dyDescent="0.2">
      <c r="A322" s="1896">
        <v>3122</v>
      </c>
      <c r="B322" s="1903">
        <v>6121</v>
      </c>
      <c r="C322" s="1906">
        <v>54190877</v>
      </c>
      <c r="D322" s="1836" t="s">
        <v>603</v>
      </c>
      <c r="E322" s="1845">
        <v>0</v>
      </c>
      <c r="F322" s="1845">
        <v>316</v>
      </c>
      <c r="G322" s="1845">
        <v>290</v>
      </c>
      <c r="H322" s="1821">
        <v>0</v>
      </c>
    </row>
    <row r="323" spans="1:9" ht="15" x14ac:dyDescent="0.2">
      <c r="A323" s="1896">
        <v>3122</v>
      </c>
      <c r="B323" s="1903">
        <v>6121</v>
      </c>
      <c r="C323" s="1906">
        <v>54500870</v>
      </c>
      <c r="D323" s="1836" t="s">
        <v>603</v>
      </c>
      <c r="E323" s="1845">
        <v>0</v>
      </c>
      <c r="F323" s="1845">
        <v>1</v>
      </c>
      <c r="G323" s="1845">
        <v>1</v>
      </c>
      <c r="H323" s="1821">
        <v>0</v>
      </c>
    </row>
    <row r="324" spans="1:9" ht="15" x14ac:dyDescent="0.2">
      <c r="A324" s="1896">
        <v>3122</v>
      </c>
      <c r="B324" s="1903">
        <v>6121</v>
      </c>
      <c r="C324" s="1906">
        <v>54500871</v>
      </c>
      <c r="D324" s="1836" t="s">
        <v>603</v>
      </c>
      <c r="E324" s="1845">
        <v>0</v>
      </c>
      <c r="F324" s="1845">
        <v>61</v>
      </c>
      <c r="G324" s="1845">
        <v>44</v>
      </c>
      <c r="H324" s="1821">
        <v>0</v>
      </c>
    </row>
    <row r="325" spans="1:9" ht="15" x14ac:dyDescent="0.2">
      <c r="A325" s="1896">
        <v>3122</v>
      </c>
      <c r="B325" s="1903">
        <v>6121</v>
      </c>
      <c r="C325" s="1906">
        <v>54500872</v>
      </c>
      <c r="D325" s="1836" t="s">
        <v>603</v>
      </c>
      <c r="E325" s="1845">
        <v>0</v>
      </c>
      <c r="F325" s="1845">
        <v>1</v>
      </c>
      <c r="G325" s="1845">
        <v>0</v>
      </c>
      <c r="H325" s="1821">
        <f>G325/F325*100</f>
        <v>0</v>
      </c>
    </row>
    <row r="326" spans="1:9" ht="15.75" thickBot="1" x14ac:dyDescent="0.25">
      <c r="A326" s="1896">
        <v>3122</v>
      </c>
      <c r="B326" s="1903">
        <v>6121</v>
      </c>
      <c r="C326" s="1906">
        <v>54515835</v>
      </c>
      <c r="D326" s="1836" t="s">
        <v>603</v>
      </c>
      <c r="E326" s="1845">
        <v>0</v>
      </c>
      <c r="F326" s="1845">
        <v>5368</v>
      </c>
      <c r="G326" s="1845">
        <v>4927</v>
      </c>
      <c r="H326" s="1821">
        <f>G326/F326*100</f>
        <v>91.784649776453051</v>
      </c>
    </row>
    <row r="327" spans="1:9" s="1828" customFormat="1" ht="16.5" thickTop="1" thickBot="1" x14ac:dyDescent="0.3">
      <c r="A327" s="2751" t="s">
        <v>763</v>
      </c>
      <c r="B327" s="2752"/>
      <c r="C327" s="2752"/>
      <c r="D327" s="2752"/>
      <c r="E327" s="1818">
        <f>SUM(E313:E326)</f>
        <v>0</v>
      </c>
      <c r="F327" s="1818">
        <f>SUM(F313:F326)</f>
        <v>13763</v>
      </c>
      <c r="G327" s="1818">
        <f>SUM(G313:G326)</f>
        <v>13021</v>
      </c>
      <c r="H327" s="1822">
        <f>G327/F327*100</f>
        <v>94.608733560996868</v>
      </c>
      <c r="I327" s="1910"/>
    </row>
    <row r="328" spans="1:9" s="1828" customFormat="1" ht="15.75" thickTop="1" x14ac:dyDescent="0.25">
      <c r="A328" s="1823"/>
      <c r="B328" s="1823"/>
      <c r="C328" s="1823"/>
      <c r="D328" s="1823"/>
      <c r="E328" s="1824"/>
      <c r="F328" s="1824"/>
      <c r="G328" s="1824"/>
      <c r="H328" s="1849"/>
      <c r="I328" s="1910"/>
    </row>
    <row r="329" spans="1:9" ht="18" x14ac:dyDescent="0.25">
      <c r="A329" s="1808" t="s">
        <v>1677</v>
      </c>
      <c r="B329" s="1831"/>
      <c r="C329" s="1831"/>
      <c r="D329" s="1831"/>
      <c r="E329" s="1831"/>
      <c r="F329" s="1831"/>
      <c r="G329" s="1831"/>
      <c r="H329" s="1876"/>
    </row>
    <row r="330" spans="1:9" ht="16.5" thickBot="1" x14ac:dyDescent="0.3">
      <c r="A330" s="1807" t="s">
        <v>1678</v>
      </c>
      <c r="H330" s="1825" t="s">
        <v>161</v>
      </c>
    </row>
    <row r="331" spans="1:9" s="1638" customFormat="1" ht="25.5" thickTop="1" thickBot="1" x14ac:dyDescent="0.25">
      <c r="A331" s="1809" t="s">
        <v>162</v>
      </c>
      <c r="B331" s="1810" t="s">
        <v>761</v>
      </c>
      <c r="C331" s="1810" t="s">
        <v>377</v>
      </c>
      <c r="D331" s="1811" t="s">
        <v>164</v>
      </c>
      <c r="E331" s="1833" t="s">
        <v>632</v>
      </c>
      <c r="F331" s="1833" t="s">
        <v>633</v>
      </c>
      <c r="G331" s="1834" t="s">
        <v>882</v>
      </c>
      <c r="H331" s="1835" t="s">
        <v>883</v>
      </c>
    </row>
    <row r="332" spans="1:9" s="1638" customFormat="1" ht="13.5" thickTop="1" thickBot="1" x14ac:dyDescent="0.25">
      <c r="A332" s="1643">
        <v>1</v>
      </c>
      <c r="B332" s="1642">
        <v>2</v>
      </c>
      <c r="C332" s="1642">
        <v>3</v>
      </c>
      <c r="D332" s="1642">
        <v>4</v>
      </c>
      <c r="E332" s="1641">
        <v>5</v>
      </c>
      <c r="F332" s="1641">
        <v>6</v>
      </c>
      <c r="G332" s="1877">
        <v>7</v>
      </c>
      <c r="H332" s="1901" t="s">
        <v>61</v>
      </c>
    </row>
    <row r="333" spans="1:9" ht="15.75" thickTop="1" x14ac:dyDescent="0.2">
      <c r="A333" s="1896">
        <v>3122</v>
      </c>
      <c r="B333" s="1903">
        <v>6121</v>
      </c>
      <c r="C333" s="1906">
        <v>53100870</v>
      </c>
      <c r="D333" s="1836" t="s">
        <v>603</v>
      </c>
      <c r="E333" s="1832">
        <v>0</v>
      </c>
      <c r="F333" s="1832">
        <v>4</v>
      </c>
      <c r="G333" s="1832">
        <v>4</v>
      </c>
      <c r="H333" s="1819">
        <f>G333/F333*100</f>
        <v>100</v>
      </c>
    </row>
    <row r="334" spans="1:9" ht="15" x14ac:dyDescent="0.2">
      <c r="A334" s="1896">
        <v>3122</v>
      </c>
      <c r="B334" s="1903">
        <v>6121</v>
      </c>
      <c r="C334" s="1906">
        <v>53100872</v>
      </c>
      <c r="D334" s="1836" t="s">
        <v>603</v>
      </c>
      <c r="E334" s="1845">
        <v>0</v>
      </c>
      <c r="F334" s="1845">
        <v>2</v>
      </c>
      <c r="G334" s="1845">
        <v>2</v>
      </c>
      <c r="H334" s="1821">
        <f t="shared" ref="H334:H338" si="31">G334/F334*100</f>
        <v>100</v>
      </c>
    </row>
    <row r="335" spans="1:9" ht="15" x14ac:dyDescent="0.2">
      <c r="A335" s="1896">
        <v>3122</v>
      </c>
      <c r="B335" s="1903">
        <v>6121</v>
      </c>
      <c r="C335" s="1906">
        <v>53100874</v>
      </c>
      <c r="D335" s="1836" t="s">
        <v>603</v>
      </c>
      <c r="E335" s="1845">
        <v>0</v>
      </c>
      <c r="F335" s="1845">
        <v>1624</v>
      </c>
      <c r="G335" s="1845">
        <v>1624</v>
      </c>
      <c r="H335" s="1821">
        <f t="shared" si="31"/>
        <v>100</v>
      </c>
    </row>
    <row r="336" spans="1:9" ht="15" x14ac:dyDescent="0.2">
      <c r="A336" s="1896">
        <v>3122</v>
      </c>
      <c r="B336" s="1903">
        <v>6121</v>
      </c>
      <c r="C336" s="1906">
        <v>53500871</v>
      </c>
      <c r="D336" s="1836" t="s">
        <v>603</v>
      </c>
      <c r="E336" s="1845">
        <v>0</v>
      </c>
      <c r="F336" s="1845">
        <v>32</v>
      </c>
      <c r="G336" s="1845">
        <v>32</v>
      </c>
      <c r="H336" s="1821">
        <f t="shared" si="31"/>
        <v>100</v>
      </c>
    </row>
    <row r="337" spans="1:9" ht="15" x14ac:dyDescent="0.2">
      <c r="A337" s="1896">
        <v>3122</v>
      </c>
      <c r="B337" s="1903">
        <v>6121</v>
      </c>
      <c r="C337" s="1906">
        <v>54100870</v>
      </c>
      <c r="D337" s="1836" t="s">
        <v>603</v>
      </c>
      <c r="E337" s="1845">
        <v>0</v>
      </c>
      <c r="F337" s="1845">
        <v>422</v>
      </c>
      <c r="G337" s="1845">
        <v>418</v>
      </c>
      <c r="H337" s="1821">
        <f t="shared" si="31"/>
        <v>99.052132701421797</v>
      </c>
    </row>
    <row r="338" spans="1:9" ht="15" x14ac:dyDescent="0.2">
      <c r="A338" s="1896">
        <v>3122</v>
      </c>
      <c r="B338" s="1903">
        <v>6121</v>
      </c>
      <c r="C338" s="1906">
        <v>54100874</v>
      </c>
      <c r="D338" s="1836" t="s">
        <v>603</v>
      </c>
      <c r="E338" s="1845">
        <v>0</v>
      </c>
      <c r="F338" s="1845">
        <v>6097</v>
      </c>
      <c r="G338" s="1845">
        <v>6096</v>
      </c>
      <c r="H338" s="1821">
        <f t="shared" si="31"/>
        <v>99.983598491061173</v>
      </c>
    </row>
    <row r="339" spans="1:9" ht="15" x14ac:dyDescent="0.2">
      <c r="A339" s="1896">
        <v>3122</v>
      </c>
      <c r="B339" s="1903">
        <v>6121</v>
      </c>
      <c r="C339" s="1906">
        <v>54100884</v>
      </c>
      <c r="D339" s="1836" t="s">
        <v>603</v>
      </c>
      <c r="E339" s="1845">
        <v>0</v>
      </c>
      <c r="F339" s="1845">
        <v>10985</v>
      </c>
      <c r="G339" s="1845">
        <v>10985</v>
      </c>
      <c r="H339" s="1821">
        <f>G339/F339*100</f>
        <v>100</v>
      </c>
    </row>
    <row r="340" spans="1:9" ht="15" x14ac:dyDescent="0.2">
      <c r="A340" s="1896">
        <v>3122</v>
      </c>
      <c r="B340" s="1903">
        <v>6121</v>
      </c>
      <c r="C340" s="1906">
        <v>54190877</v>
      </c>
      <c r="D340" s="1836" t="s">
        <v>603</v>
      </c>
      <c r="E340" s="1845">
        <v>0</v>
      </c>
      <c r="F340" s="1845">
        <v>234</v>
      </c>
      <c r="G340" s="1845">
        <v>209</v>
      </c>
      <c r="H340" s="1821">
        <f>G340/F340*100</f>
        <v>89.316239316239319</v>
      </c>
    </row>
    <row r="341" spans="1:9" ht="15.75" thickBot="1" x14ac:dyDescent="0.25">
      <c r="A341" s="1896">
        <v>3122</v>
      </c>
      <c r="B341" s="1903">
        <v>6121</v>
      </c>
      <c r="C341" s="1906">
        <v>54515835</v>
      </c>
      <c r="D341" s="1836" t="s">
        <v>603</v>
      </c>
      <c r="E341" s="1845">
        <v>0</v>
      </c>
      <c r="F341" s="1845">
        <v>3980</v>
      </c>
      <c r="G341" s="1845">
        <v>3551</v>
      </c>
      <c r="H341" s="1821">
        <f>G341/F341*100</f>
        <v>89.221105527638187</v>
      </c>
    </row>
    <row r="342" spans="1:9" s="1828" customFormat="1" ht="16.5" thickTop="1" thickBot="1" x14ac:dyDescent="0.3">
      <c r="A342" s="2751" t="s">
        <v>763</v>
      </c>
      <c r="B342" s="2752"/>
      <c r="C342" s="2752"/>
      <c r="D342" s="2752"/>
      <c r="E342" s="1818">
        <f>SUM(E333:E341)</f>
        <v>0</v>
      </c>
      <c r="F342" s="1818">
        <f>SUM(F333:F341)</f>
        <v>23380</v>
      </c>
      <c r="G342" s="1818">
        <f>SUM(G333:G341)</f>
        <v>22921</v>
      </c>
      <c r="H342" s="1822">
        <f>G342/F342*100</f>
        <v>98.036783575705726</v>
      </c>
      <c r="I342" s="1910"/>
    </row>
    <row r="343" spans="1:9" s="1828" customFormat="1" ht="15.75" thickTop="1" x14ac:dyDescent="0.25">
      <c r="A343" s="1823"/>
      <c r="B343" s="1823"/>
      <c r="C343" s="1823"/>
      <c r="D343" s="1823"/>
      <c r="E343" s="1824"/>
      <c r="F343" s="1824"/>
      <c r="G343" s="1824"/>
      <c r="H343" s="1849"/>
      <c r="I343" s="1910"/>
    </row>
    <row r="344" spans="1:9" ht="18" x14ac:dyDescent="0.25">
      <c r="A344" s="1808" t="s">
        <v>1679</v>
      </c>
      <c r="B344" s="1831"/>
      <c r="C344" s="1831"/>
      <c r="D344" s="1831"/>
      <c r="E344" s="1831"/>
      <c r="F344" s="1831"/>
      <c r="G344" s="1831"/>
      <c r="H344" s="1876"/>
    </row>
    <row r="345" spans="1:9" ht="16.5" thickBot="1" x14ac:dyDescent="0.3">
      <c r="A345" s="1807" t="s">
        <v>1680</v>
      </c>
      <c r="H345" s="1825" t="s">
        <v>161</v>
      </c>
    </row>
    <row r="346" spans="1:9" s="1638" customFormat="1" ht="25.5" thickTop="1" thickBot="1" x14ac:dyDescent="0.25">
      <c r="A346" s="1809" t="s">
        <v>162</v>
      </c>
      <c r="B346" s="1810" t="s">
        <v>761</v>
      </c>
      <c r="C346" s="1810" t="s">
        <v>377</v>
      </c>
      <c r="D346" s="1811" t="s">
        <v>164</v>
      </c>
      <c r="E346" s="1833" t="s">
        <v>632</v>
      </c>
      <c r="F346" s="1833" t="s">
        <v>633</v>
      </c>
      <c r="G346" s="1834" t="s">
        <v>882</v>
      </c>
      <c r="H346" s="1835" t="s">
        <v>883</v>
      </c>
    </row>
    <row r="347" spans="1:9" s="1638" customFormat="1" ht="13.5" thickTop="1" thickBot="1" x14ac:dyDescent="0.25">
      <c r="A347" s="1643">
        <v>1</v>
      </c>
      <c r="B347" s="1642">
        <v>2</v>
      </c>
      <c r="C347" s="1642">
        <v>3</v>
      </c>
      <c r="D347" s="1642">
        <v>4</v>
      </c>
      <c r="E347" s="1641">
        <v>5</v>
      </c>
      <c r="F347" s="1641">
        <v>6</v>
      </c>
      <c r="G347" s="1877">
        <v>7</v>
      </c>
      <c r="H347" s="1901" t="s">
        <v>61</v>
      </c>
    </row>
    <row r="348" spans="1:9" ht="15.75" hidden="1" thickTop="1" x14ac:dyDescent="0.2">
      <c r="A348" s="1896">
        <v>3122</v>
      </c>
      <c r="B348" s="1903">
        <v>6121</v>
      </c>
      <c r="C348" s="1906">
        <v>53100870</v>
      </c>
      <c r="D348" s="1836" t="s">
        <v>603</v>
      </c>
      <c r="E348" s="1832">
        <v>0</v>
      </c>
      <c r="F348" s="1832">
        <v>0</v>
      </c>
      <c r="G348" s="1832">
        <v>0</v>
      </c>
      <c r="H348" s="1819" t="e">
        <f>G348/F348*100</f>
        <v>#DIV/0!</v>
      </c>
    </row>
    <row r="349" spans="1:9" ht="15.75" hidden="1" thickTop="1" x14ac:dyDescent="0.2">
      <c r="A349" s="1896">
        <v>3122</v>
      </c>
      <c r="B349" s="1903">
        <v>6121</v>
      </c>
      <c r="C349" s="1906">
        <v>53100872</v>
      </c>
      <c r="D349" s="1836" t="s">
        <v>603</v>
      </c>
      <c r="E349" s="1845">
        <v>0</v>
      </c>
      <c r="F349" s="1845"/>
      <c r="G349" s="1845"/>
      <c r="H349" s="1821" t="e">
        <f>G349/F349*100</f>
        <v>#DIV/0!</v>
      </c>
    </row>
    <row r="350" spans="1:9" ht="16.5" thickTop="1" thickBot="1" x14ac:dyDescent="0.25">
      <c r="A350" s="1896">
        <v>3121</v>
      </c>
      <c r="B350" s="1903">
        <v>6121</v>
      </c>
      <c r="C350" s="1906">
        <v>53100874</v>
      </c>
      <c r="D350" s="1836" t="s">
        <v>603</v>
      </c>
      <c r="E350" s="1845">
        <v>0</v>
      </c>
      <c r="F350" s="1845">
        <v>73</v>
      </c>
      <c r="G350" s="2015">
        <v>60</v>
      </c>
      <c r="H350" s="1821">
        <f>G350/F350*100</f>
        <v>82.191780821917803</v>
      </c>
    </row>
    <row r="351" spans="1:9" ht="15.75" hidden="1" thickBot="1" x14ac:dyDescent="0.25">
      <c r="A351" s="1896">
        <v>3122</v>
      </c>
      <c r="B351" s="1903">
        <v>6121</v>
      </c>
      <c r="C351" s="1906">
        <v>53500871</v>
      </c>
      <c r="D351" s="1836" t="s">
        <v>603</v>
      </c>
      <c r="E351" s="1845">
        <v>0</v>
      </c>
      <c r="F351" s="1845"/>
      <c r="G351" s="1845"/>
      <c r="H351" s="1827">
        <v>0</v>
      </c>
    </row>
    <row r="352" spans="1:9" s="1828" customFormat="1" ht="16.5" thickTop="1" thickBot="1" x14ac:dyDescent="0.3">
      <c r="A352" s="2751" t="s">
        <v>763</v>
      </c>
      <c r="B352" s="2752"/>
      <c r="C352" s="2752"/>
      <c r="D352" s="2752"/>
      <c r="E352" s="1818">
        <f>SUM(E348:E351)</f>
        <v>0</v>
      </c>
      <c r="F352" s="1818">
        <f>SUM(F348:F351)</f>
        <v>73</v>
      </c>
      <c r="G352" s="1818">
        <f>SUM(G348:G351)</f>
        <v>60</v>
      </c>
      <c r="H352" s="1822">
        <f>G352/F352*100</f>
        <v>82.191780821917803</v>
      </c>
      <c r="I352" s="1910"/>
    </row>
    <row r="353" spans="1:9" s="1828" customFormat="1" ht="15.75" thickTop="1" x14ac:dyDescent="0.25">
      <c r="A353" s="1823"/>
      <c r="B353" s="1823"/>
      <c r="C353" s="1823"/>
      <c r="D353" s="1823"/>
      <c r="E353" s="1824"/>
      <c r="F353" s="1824"/>
      <c r="G353" s="1824"/>
      <c r="H353" s="1849"/>
      <c r="I353" s="1910"/>
    </row>
    <row r="354" spans="1:9" ht="18" x14ac:dyDescent="0.25">
      <c r="A354" s="1808" t="s">
        <v>1965</v>
      </c>
      <c r="B354" s="1831"/>
      <c r="C354" s="1831"/>
      <c r="D354" s="1831"/>
      <c r="E354" s="1831"/>
      <c r="F354" s="1831"/>
      <c r="G354" s="1831"/>
      <c r="H354" s="1876"/>
    </row>
    <row r="355" spans="1:9" ht="16.5" thickBot="1" x14ac:dyDescent="0.3">
      <c r="A355" s="1807" t="s">
        <v>1966</v>
      </c>
      <c r="H355" s="1825" t="s">
        <v>161</v>
      </c>
    </row>
    <row r="356" spans="1:9" s="1638" customFormat="1" ht="25.5" thickTop="1" thickBot="1" x14ac:dyDescent="0.25">
      <c r="A356" s="1809" t="s">
        <v>162</v>
      </c>
      <c r="B356" s="1810" t="s">
        <v>761</v>
      </c>
      <c r="C356" s="1810" t="s">
        <v>377</v>
      </c>
      <c r="D356" s="1811" t="s">
        <v>164</v>
      </c>
      <c r="E356" s="1833" t="s">
        <v>632</v>
      </c>
      <c r="F356" s="1833" t="s">
        <v>633</v>
      </c>
      <c r="G356" s="1834" t="s">
        <v>882</v>
      </c>
      <c r="H356" s="1835" t="s">
        <v>883</v>
      </c>
    </row>
    <row r="357" spans="1:9" s="1638" customFormat="1" ht="13.5" thickTop="1" thickBot="1" x14ac:dyDescent="0.25">
      <c r="A357" s="1643">
        <v>1</v>
      </c>
      <c r="B357" s="1642">
        <v>2</v>
      </c>
      <c r="C357" s="1642">
        <v>3</v>
      </c>
      <c r="D357" s="1642">
        <v>4</v>
      </c>
      <c r="E357" s="1641">
        <v>5</v>
      </c>
      <c r="F357" s="1641">
        <v>6</v>
      </c>
      <c r="G357" s="1877">
        <v>7</v>
      </c>
      <c r="H357" s="1901" t="s">
        <v>61</v>
      </c>
    </row>
    <row r="358" spans="1:9" ht="15.75" hidden="1" thickTop="1" x14ac:dyDescent="0.2">
      <c r="A358" s="1896">
        <v>3122</v>
      </c>
      <c r="B358" s="1903">
        <v>6121</v>
      </c>
      <c r="C358" s="1906">
        <v>53100870</v>
      </c>
      <c r="D358" s="1836" t="s">
        <v>603</v>
      </c>
      <c r="E358" s="1832">
        <v>0</v>
      </c>
      <c r="F358" s="1832">
        <v>0</v>
      </c>
      <c r="G358" s="1832">
        <v>0</v>
      </c>
      <c r="H358" s="1819" t="e">
        <f>G358/F358*100</f>
        <v>#DIV/0!</v>
      </c>
    </row>
    <row r="359" spans="1:9" ht="15.75" thickTop="1" x14ac:dyDescent="0.2">
      <c r="A359" s="1896">
        <v>3122</v>
      </c>
      <c r="B359" s="1903">
        <v>6121</v>
      </c>
      <c r="C359" s="1906">
        <v>54100880</v>
      </c>
      <c r="D359" s="1836" t="s">
        <v>603</v>
      </c>
      <c r="E359" s="1845">
        <v>0</v>
      </c>
      <c r="F359" s="1845">
        <v>70</v>
      </c>
      <c r="G359" s="1845">
        <v>9</v>
      </c>
      <c r="H359" s="1821">
        <f>G359/F359*100</f>
        <v>12.857142857142856</v>
      </c>
    </row>
    <row r="360" spans="1:9" ht="15.75" thickBot="1" x14ac:dyDescent="0.25">
      <c r="A360" s="1896">
        <v>3122</v>
      </c>
      <c r="B360" s="1903">
        <v>6121</v>
      </c>
      <c r="C360" s="1906">
        <v>54100884</v>
      </c>
      <c r="D360" s="1836" t="s">
        <v>603</v>
      </c>
      <c r="E360" s="1845">
        <v>0</v>
      </c>
      <c r="F360" s="1845">
        <v>412</v>
      </c>
      <c r="G360" s="1845">
        <v>312</v>
      </c>
      <c r="H360" s="1821">
        <f>G360/F360*100</f>
        <v>75.728155339805824</v>
      </c>
    </row>
    <row r="361" spans="1:9" ht="15.75" hidden="1" thickBot="1" x14ac:dyDescent="0.25">
      <c r="A361" s="1896">
        <v>3122</v>
      </c>
      <c r="B361" s="1903">
        <v>6121</v>
      </c>
      <c r="C361" s="1906">
        <v>53500871</v>
      </c>
      <c r="D361" s="1836" t="s">
        <v>603</v>
      </c>
      <c r="E361" s="1845">
        <v>0</v>
      </c>
      <c r="F361" s="1845"/>
      <c r="G361" s="1845"/>
      <c r="H361" s="1827">
        <v>0</v>
      </c>
    </row>
    <row r="362" spans="1:9" s="1828" customFormat="1" ht="16.5" thickTop="1" thickBot="1" x14ac:dyDescent="0.3">
      <c r="A362" s="2751" t="s">
        <v>763</v>
      </c>
      <c r="B362" s="2752"/>
      <c r="C362" s="2752"/>
      <c r="D362" s="2752"/>
      <c r="E362" s="1818">
        <f>SUM(E358:E361)</f>
        <v>0</v>
      </c>
      <c r="F362" s="1818">
        <f>SUM(F358:F361)</f>
        <v>482</v>
      </c>
      <c r="G362" s="1818">
        <f>SUM(G358:G361)</f>
        <v>321</v>
      </c>
      <c r="H362" s="1822">
        <f>G362/F362*100</f>
        <v>66.597510373443981</v>
      </c>
      <c r="I362" s="1910"/>
    </row>
    <row r="363" spans="1:9" s="1828" customFormat="1" ht="15.75" thickTop="1" x14ac:dyDescent="0.25">
      <c r="A363" s="1823"/>
      <c r="B363" s="1823"/>
      <c r="C363" s="1823"/>
      <c r="D363" s="1823"/>
      <c r="E363" s="1824"/>
      <c r="F363" s="1824"/>
      <c r="G363" s="1824"/>
      <c r="H363" s="1849"/>
      <c r="I363" s="1910"/>
    </row>
    <row r="364" spans="1:9" ht="18" x14ac:dyDescent="0.25">
      <c r="A364" s="1808" t="s">
        <v>1967</v>
      </c>
      <c r="B364" s="1831"/>
      <c r="C364" s="1831"/>
      <c r="D364" s="1831"/>
      <c r="E364" s="1831"/>
      <c r="F364" s="1831"/>
      <c r="G364" s="1831"/>
      <c r="H364" s="1876"/>
    </row>
    <row r="365" spans="1:9" ht="16.5" thickBot="1" x14ac:dyDescent="0.3">
      <c r="A365" s="1807" t="s">
        <v>1968</v>
      </c>
      <c r="H365" s="1825" t="s">
        <v>161</v>
      </c>
    </row>
    <row r="366" spans="1:9" s="1638" customFormat="1" ht="25.5" thickTop="1" thickBot="1" x14ac:dyDescent="0.25">
      <c r="A366" s="1809" t="s">
        <v>162</v>
      </c>
      <c r="B366" s="1810" t="s">
        <v>761</v>
      </c>
      <c r="C366" s="1810" t="s">
        <v>377</v>
      </c>
      <c r="D366" s="1811" t="s">
        <v>164</v>
      </c>
      <c r="E366" s="1833" t="s">
        <v>632</v>
      </c>
      <c r="F366" s="1833" t="s">
        <v>633</v>
      </c>
      <c r="G366" s="1834" t="s">
        <v>882</v>
      </c>
      <c r="H366" s="1835" t="s">
        <v>883</v>
      </c>
    </row>
    <row r="367" spans="1:9" s="1638" customFormat="1" ht="13.5" thickTop="1" thickBot="1" x14ac:dyDescent="0.25">
      <c r="A367" s="1643">
        <v>1</v>
      </c>
      <c r="B367" s="1642">
        <v>2</v>
      </c>
      <c r="C367" s="1642">
        <v>3</v>
      </c>
      <c r="D367" s="1642">
        <v>4</v>
      </c>
      <c r="E367" s="1641">
        <v>5</v>
      </c>
      <c r="F367" s="1641">
        <v>6</v>
      </c>
      <c r="G367" s="1877">
        <v>7</v>
      </c>
      <c r="H367" s="1901" t="s">
        <v>61</v>
      </c>
    </row>
    <row r="368" spans="1:9" ht="15.75" hidden="1" thickTop="1" x14ac:dyDescent="0.2">
      <c r="A368" s="1896">
        <v>3122</v>
      </c>
      <c r="B368" s="1903">
        <v>6121</v>
      </c>
      <c r="C368" s="1906">
        <v>53100870</v>
      </c>
      <c r="D368" s="1836" t="s">
        <v>603</v>
      </c>
      <c r="E368" s="1832">
        <v>0</v>
      </c>
      <c r="F368" s="1832">
        <v>0</v>
      </c>
      <c r="G368" s="1832">
        <v>0</v>
      </c>
      <c r="H368" s="1819" t="e">
        <f>G368/F368*100</f>
        <v>#DIV/0!</v>
      </c>
    </row>
    <row r="369" spans="1:9" ht="15.75" thickTop="1" x14ac:dyDescent="0.2">
      <c r="A369" s="1896">
        <v>3113</v>
      </c>
      <c r="B369" s="1903">
        <v>6121</v>
      </c>
      <c r="C369" s="1906">
        <v>54100880</v>
      </c>
      <c r="D369" s="1836" t="s">
        <v>603</v>
      </c>
      <c r="E369" s="1845">
        <v>0</v>
      </c>
      <c r="F369" s="1845">
        <v>304</v>
      </c>
      <c r="G369" s="1845">
        <v>176</v>
      </c>
      <c r="H369" s="1821">
        <f>G369/F369*100</f>
        <v>57.894736842105267</v>
      </c>
    </row>
    <row r="370" spans="1:9" ht="15.75" thickBot="1" x14ac:dyDescent="0.25">
      <c r="A370" s="1896">
        <v>3113</v>
      </c>
      <c r="B370" s="1903">
        <v>6121</v>
      </c>
      <c r="C370" s="1906">
        <v>54100884</v>
      </c>
      <c r="D370" s="1836" t="s">
        <v>603</v>
      </c>
      <c r="E370" s="1845">
        <v>0</v>
      </c>
      <c r="F370" s="1845">
        <v>50</v>
      </c>
      <c r="G370" s="1845">
        <v>49</v>
      </c>
      <c r="H370" s="1821">
        <f>G370/F370*100</f>
        <v>98</v>
      </c>
    </row>
    <row r="371" spans="1:9" ht="15.75" hidden="1" thickBot="1" x14ac:dyDescent="0.25">
      <c r="A371" s="1896">
        <v>3122</v>
      </c>
      <c r="B371" s="1903">
        <v>6121</v>
      </c>
      <c r="C371" s="1906">
        <v>53500871</v>
      </c>
      <c r="D371" s="1836" t="s">
        <v>603</v>
      </c>
      <c r="E371" s="1845">
        <v>0</v>
      </c>
      <c r="F371" s="1845"/>
      <c r="G371" s="1845"/>
      <c r="H371" s="1827">
        <v>0</v>
      </c>
    </row>
    <row r="372" spans="1:9" s="1828" customFormat="1" ht="16.5" thickTop="1" thickBot="1" x14ac:dyDescent="0.3">
      <c r="A372" s="2751" t="s">
        <v>763</v>
      </c>
      <c r="B372" s="2752"/>
      <c r="C372" s="2752"/>
      <c r="D372" s="2752"/>
      <c r="E372" s="1818">
        <f>SUM(E368:E371)</f>
        <v>0</v>
      </c>
      <c r="F372" s="1818">
        <f>SUM(F368:F371)</f>
        <v>354</v>
      </c>
      <c r="G372" s="1818">
        <f>SUM(G368:G371)</f>
        <v>225</v>
      </c>
      <c r="H372" s="1822">
        <f>G372/F372*100</f>
        <v>63.559322033898304</v>
      </c>
      <c r="I372" s="1910"/>
    </row>
    <row r="373" spans="1:9" s="1828" customFormat="1" ht="15.75" thickTop="1" x14ac:dyDescent="0.25">
      <c r="A373" s="1823"/>
      <c r="B373" s="1823"/>
      <c r="C373" s="1823"/>
      <c r="D373" s="1823"/>
      <c r="E373" s="1824"/>
      <c r="F373" s="1824"/>
      <c r="G373" s="1824"/>
      <c r="H373" s="1849"/>
      <c r="I373" s="1910"/>
    </row>
    <row r="374" spans="1:9" ht="18" x14ac:dyDescent="0.25">
      <c r="A374" s="1808" t="s">
        <v>1969</v>
      </c>
      <c r="B374" s="1831"/>
      <c r="C374" s="1831"/>
      <c r="D374" s="1831"/>
      <c r="E374" s="1831"/>
      <c r="F374" s="1831"/>
      <c r="G374" s="1831"/>
      <c r="H374" s="1876"/>
    </row>
    <row r="375" spans="1:9" ht="16.5" thickBot="1" x14ac:dyDescent="0.3">
      <c r="A375" s="1807" t="s">
        <v>1970</v>
      </c>
      <c r="H375" s="1825" t="s">
        <v>161</v>
      </c>
    </row>
    <row r="376" spans="1:9" s="1638" customFormat="1" ht="25.5" thickTop="1" thickBot="1" x14ac:dyDescent="0.25">
      <c r="A376" s="1809" t="s">
        <v>162</v>
      </c>
      <c r="B376" s="1810" t="s">
        <v>761</v>
      </c>
      <c r="C376" s="1810" t="s">
        <v>377</v>
      </c>
      <c r="D376" s="1811" t="s">
        <v>164</v>
      </c>
      <c r="E376" s="1833" t="s">
        <v>632</v>
      </c>
      <c r="F376" s="1833" t="s">
        <v>633</v>
      </c>
      <c r="G376" s="1834" t="s">
        <v>882</v>
      </c>
      <c r="H376" s="1835" t="s">
        <v>883</v>
      </c>
    </row>
    <row r="377" spans="1:9" s="1638" customFormat="1" ht="13.5" thickTop="1" thickBot="1" x14ac:dyDescent="0.25">
      <c r="A377" s="1643">
        <v>1</v>
      </c>
      <c r="B377" s="1642">
        <v>2</v>
      </c>
      <c r="C377" s="1642">
        <v>3</v>
      </c>
      <c r="D377" s="1642">
        <v>4</v>
      </c>
      <c r="E377" s="1641">
        <v>5</v>
      </c>
      <c r="F377" s="1641">
        <v>6</v>
      </c>
      <c r="G377" s="1877">
        <v>7</v>
      </c>
      <c r="H377" s="1901" t="s">
        <v>61</v>
      </c>
    </row>
    <row r="378" spans="1:9" ht="15.75" hidden="1" thickTop="1" x14ac:dyDescent="0.2">
      <c r="A378" s="1896">
        <v>3122</v>
      </c>
      <c r="B378" s="1903">
        <v>6121</v>
      </c>
      <c r="C378" s="1906">
        <v>53100870</v>
      </c>
      <c r="D378" s="1836" t="s">
        <v>603</v>
      </c>
      <c r="E378" s="1832">
        <v>0</v>
      </c>
      <c r="F378" s="1832">
        <v>0</v>
      </c>
      <c r="G378" s="1832">
        <v>0</v>
      </c>
      <c r="H378" s="1819" t="e">
        <f>G378/F378*100</f>
        <v>#DIV/0!</v>
      </c>
    </row>
    <row r="379" spans="1:9" ht="15.75" hidden="1" thickTop="1" x14ac:dyDescent="0.2">
      <c r="A379" s="1896">
        <v>3123</v>
      </c>
      <c r="B379" s="1903">
        <v>6121</v>
      </c>
      <c r="C379" s="1906">
        <v>54100880</v>
      </c>
      <c r="D379" s="1836" t="s">
        <v>603</v>
      </c>
      <c r="E379" s="1845">
        <v>0</v>
      </c>
      <c r="F379" s="1845">
        <v>0</v>
      </c>
      <c r="G379" s="1845">
        <v>0</v>
      </c>
      <c r="H379" s="1821" t="e">
        <f>G379/F379*100</f>
        <v>#DIV/0!</v>
      </c>
    </row>
    <row r="380" spans="1:9" ht="16.5" thickTop="1" thickBot="1" x14ac:dyDescent="0.25">
      <c r="A380" s="1896">
        <v>3123</v>
      </c>
      <c r="B380" s="1903">
        <v>6121</v>
      </c>
      <c r="C380" s="1906">
        <v>54100884</v>
      </c>
      <c r="D380" s="1836" t="s">
        <v>603</v>
      </c>
      <c r="E380" s="1845">
        <v>0</v>
      </c>
      <c r="F380" s="1845">
        <v>151</v>
      </c>
      <c r="G380" s="1845">
        <v>151</v>
      </c>
      <c r="H380" s="1821">
        <f>G380/F380*100</f>
        <v>100</v>
      </c>
    </row>
    <row r="381" spans="1:9" ht="15.75" hidden="1" thickBot="1" x14ac:dyDescent="0.25">
      <c r="A381" s="1896">
        <v>3122</v>
      </c>
      <c r="B381" s="1903">
        <v>6121</v>
      </c>
      <c r="C381" s="1906">
        <v>53500871</v>
      </c>
      <c r="D381" s="1836" t="s">
        <v>603</v>
      </c>
      <c r="E381" s="1845">
        <v>0</v>
      </c>
      <c r="F381" s="1845"/>
      <c r="G381" s="1845"/>
      <c r="H381" s="1827">
        <v>0</v>
      </c>
    </row>
    <row r="382" spans="1:9" s="1828" customFormat="1" ht="16.5" thickTop="1" thickBot="1" x14ac:dyDescent="0.3">
      <c r="A382" s="2751" t="s">
        <v>763</v>
      </c>
      <c r="B382" s="2752"/>
      <c r="C382" s="2752"/>
      <c r="D382" s="2752"/>
      <c r="E382" s="1818">
        <f>SUM(E378:E381)</f>
        <v>0</v>
      </c>
      <c r="F382" s="1818">
        <f>SUM(F378:F381)</f>
        <v>151</v>
      </c>
      <c r="G382" s="1818">
        <f>SUM(G378:G381)</f>
        <v>151</v>
      </c>
      <c r="H382" s="1822">
        <f>G382/F382*100</f>
        <v>100</v>
      </c>
      <c r="I382" s="1910"/>
    </row>
    <row r="383" spans="1:9" s="1828" customFormat="1" ht="15.75" thickTop="1" x14ac:dyDescent="0.25">
      <c r="A383" s="1823"/>
      <c r="B383" s="1823"/>
      <c r="C383" s="1823"/>
      <c r="D383" s="1823"/>
      <c r="E383" s="1824"/>
      <c r="F383" s="1824"/>
      <c r="G383" s="1824"/>
      <c r="H383" s="1849"/>
      <c r="I383" s="1910"/>
    </row>
    <row r="384" spans="1:9" ht="18" x14ac:dyDescent="0.25">
      <c r="A384" s="1808" t="s">
        <v>1971</v>
      </c>
      <c r="B384" s="1831"/>
      <c r="C384" s="1831"/>
      <c r="D384" s="1831"/>
      <c r="E384" s="1831"/>
      <c r="F384" s="1831"/>
      <c r="G384" s="1831"/>
      <c r="H384" s="1876"/>
    </row>
    <row r="385" spans="1:9" ht="16.5" thickBot="1" x14ac:dyDescent="0.3">
      <c r="A385" s="1807" t="s">
        <v>1972</v>
      </c>
      <c r="H385" s="1825" t="s">
        <v>161</v>
      </c>
    </row>
    <row r="386" spans="1:9" s="1638" customFormat="1" ht="25.5" thickTop="1" thickBot="1" x14ac:dyDescent="0.25">
      <c r="A386" s="1809" t="s">
        <v>162</v>
      </c>
      <c r="B386" s="1810" t="s">
        <v>761</v>
      </c>
      <c r="C386" s="1810" t="s">
        <v>377</v>
      </c>
      <c r="D386" s="1811" t="s">
        <v>164</v>
      </c>
      <c r="E386" s="1833" t="s">
        <v>632</v>
      </c>
      <c r="F386" s="1833" t="s">
        <v>633</v>
      </c>
      <c r="G386" s="1834" t="s">
        <v>882</v>
      </c>
      <c r="H386" s="1835" t="s">
        <v>883</v>
      </c>
    </row>
    <row r="387" spans="1:9" s="1638" customFormat="1" ht="13.5" thickTop="1" thickBot="1" x14ac:dyDescent="0.25">
      <c r="A387" s="1643">
        <v>1</v>
      </c>
      <c r="B387" s="1642">
        <v>2</v>
      </c>
      <c r="C387" s="1642">
        <v>3</v>
      </c>
      <c r="D387" s="1642">
        <v>4</v>
      </c>
      <c r="E387" s="1641">
        <v>5</v>
      </c>
      <c r="F387" s="1641">
        <v>6</v>
      </c>
      <c r="G387" s="1877">
        <v>7</v>
      </c>
      <c r="H387" s="1901" t="s">
        <v>61</v>
      </c>
    </row>
    <row r="388" spans="1:9" ht="15.75" hidden="1" thickTop="1" x14ac:dyDescent="0.2">
      <c r="A388" s="1896">
        <v>3122</v>
      </c>
      <c r="B388" s="1903">
        <v>6121</v>
      </c>
      <c r="C388" s="1906">
        <v>53100870</v>
      </c>
      <c r="D388" s="1836" t="s">
        <v>603</v>
      </c>
      <c r="E388" s="1832">
        <v>0</v>
      </c>
      <c r="F388" s="1832">
        <v>0</v>
      </c>
      <c r="G388" s="1832">
        <v>0</v>
      </c>
      <c r="H388" s="1819" t="e">
        <f>G388/F388*100</f>
        <v>#DIV/0!</v>
      </c>
    </row>
    <row r="389" spans="1:9" ht="15.75" hidden="1" thickTop="1" x14ac:dyDescent="0.2">
      <c r="A389" s="1896">
        <v>3123</v>
      </c>
      <c r="B389" s="1903">
        <v>6121</v>
      </c>
      <c r="C389" s="1906">
        <v>54100880</v>
      </c>
      <c r="D389" s="1836" t="s">
        <v>603</v>
      </c>
      <c r="E389" s="1845">
        <v>0</v>
      </c>
      <c r="F389" s="1845">
        <v>0</v>
      </c>
      <c r="G389" s="1845">
        <v>0</v>
      </c>
      <c r="H389" s="1821" t="e">
        <f>G389/F389*100</f>
        <v>#DIV/0!</v>
      </c>
    </row>
    <row r="390" spans="1:9" ht="16.5" thickTop="1" thickBot="1" x14ac:dyDescent="0.25">
      <c r="A390" s="1896">
        <v>3122</v>
      </c>
      <c r="B390" s="1903">
        <v>6121</v>
      </c>
      <c r="C390" s="1906">
        <v>54100884</v>
      </c>
      <c r="D390" s="1836" t="s">
        <v>603</v>
      </c>
      <c r="E390" s="1845">
        <v>0</v>
      </c>
      <c r="F390" s="1845">
        <v>283</v>
      </c>
      <c r="G390" s="1845">
        <v>145</v>
      </c>
      <c r="H390" s="1821">
        <f>G390/F390*100</f>
        <v>51.236749116607768</v>
      </c>
    </row>
    <row r="391" spans="1:9" ht="15.75" hidden="1" thickBot="1" x14ac:dyDescent="0.25">
      <c r="A391" s="1896">
        <v>3122</v>
      </c>
      <c r="B391" s="1903">
        <v>6121</v>
      </c>
      <c r="C391" s="1906">
        <v>53500871</v>
      </c>
      <c r="D391" s="1836" t="s">
        <v>603</v>
      </c>
      <c r="E391" s="1845">
        <v>0</v>
      </c>
      <c r="F391" s="1845"/>
      <c r="G391" s="1845"/>
      <c r="H391" s="1827">
        <v>0</v>
      </c>
    </row>
    <row r="392" spans="1:9" s="1828" customFormat="1" ht="16.5" thickTop="1" thickBot="1" x14ac:dyDescent="0.3">
      <c r="A392" s="2751" t="s">
        <v>763</v>
      </c>
      <c r="B392" s="2752"/>
      <c r="C392" s="2752"/>
      <c r="D392" s="2752"/>
      <c r="E392" s="1818">
        <f>SUM(E388:E391)</f>
        <v>0</v>
      </c>
      <c r="F392" s="1818">
        <f>SUM(F388:F391)</f>
        <v>283</v>
      </c>
      <c r="G392" s="1818">
        <f>SUM(G388:G391)</f>
        <v>145</v>
      </c>
      <c r="H392" s="1822">
        <f>G392/F392*100</f>
        <v>51.236749116607768</v>
      </c>
      <c r="I392" s="1910"/>
    </row>
    <row r="393" spans="1:9" s="1828" customFormat="1" ht="15.75" thickTop="1" x14ac:dyDescent="0.25">
      <c r="A393" s="1823"/>
      <c r="B393" s="1823"/>
      <c r="C393" s="1823"/>
      <c r="D393" s="1823"/>
      <c r="E393" s="1824"/>
      <c r="F393" s="1824"/>
      <c r="G393" s="1824"/>
      <c r="H393" s="1849"/>
      <c r="I393" s="1910"/>
    </row>
    <row r="394" spans="1:9" ht="18" x14ac:dyDescent="0.25">
      <c r="A394" s="1808" t="s">
        <v>1973</v>
      </c>
      <c r="B394" s="1831"/>
      <c r="C394" s="1831"/>
      <c r="D394" s="1831"/>
      <c r="E394" s="1831"/>
      <c r="F394" s="1831"/>
      <c r="G394" s="1831"/>
      <c r="H394" s="1876"/>
    </row>
    <row r="395" spans="1:9" ht="16.5" thickBot="1" x14ac:dyDescent="0.3">
      <c r="A395" s="1807" t="s">
        <v>1974</v>
      </c>
      <c r="H395" s="1825" t="s">
        <v>161</v>
      </c>
    </row>
    <row r="396" spans="1:9" s="1638" customFormat="1" ht="25.5" thickTop="1" thickBot="1" x14ac:dyDescent="0.25">
      <c r="A396" s="1809" t="s">
        <v>162</v>
      </c>
      <c r="B396" s="1810" t="s">
        <v>761</v>
      </c>
      <c r="C396" s="1810" t="s">
        <v>377</v>
      </c>
      <c r="D396" s="1811" t="s">
        <v>164</v>
      </c>
      <c r="E396" s="1833" t="s">
        <v>632</v>
      </c>
      <c r="F396" s="1833" t="s">
        <v>633</v>
      </c>
      <c r="G396" s="1834" t="s">
        <v>882</v>
      </c>
      <c r="H396" s="1835" t="s">
        <v>883</v>
      </c>
    </row>
    <row r="397" spans="1:9" s="1638" customFormat="1" ht="13.5" thickTop="1" thickBot="1" x14ac:dyDescent="0.25">
      <c r="A397" s="1643">
        <v>1</v>
      </c>
      <c r="B397" s="1642">
        <v>2</v>
      </c>
      <c r="C397" s="1642">
        <v>3</v>
      </c>
      <c r="D397" s="1642">
        <v>4</v>
      </c>
      <c r="E397" s="1641">
        <v>5</v>
      </c>
      <c r="F397" s="1641">
        <v>6</v>
      </c>
      <c r="G397" s="1877">
        <v>7</v>
      </c>
      <c r="H397" s="1901" t="s">
        <v>61</v>
      </c>
    </row>
    <row r="398" spans="1:9" ht="15.75" hidden="1" thickTop="1" x14ac:dyDescent="0.2">
      <c r="A398" s="1896">
        <v>3122</v>
      </c>
      <c r="B398" s="1903">
        <v>6121</v>
      </c>
      <c r="C398" s="1906">
        <v>53100870</v>
      </c>
      <c r="D398" s="1836" t="s">
        <v>603</v>
      </c>
      <c r="E398" s="1832">
        <v>0</v>
      </c>
      <c r="F398" s="1832">
        <v>0</v>
      </c>
      <c r="G398" s="1832">
        <v>0</v>
      </c>
      <c r="H398" s="1819" t="e">
        <f>G398/F398*100</f>
        <v>#DIV/0!</v>
      </c>
    </row>
    <row r="399" spans="1:9" ht="15.75" hidden="1" thickTop="1" x14ac:dyDescent="0.2">
      <c r="A399" s="1896">
        <v>3123</v>
      </c>
      <c r="B399" s="1903">
        <v>6121</v>
      </c>
      <c r="C399" s="1906">
        <v>54100880</v>
      </c>
      <c r="D399" s="1836" t="s">
        <v>603</v>
      </c>
      <c r="E399" s="1845">
        <v>0</v>
      </c>
      <c r="F399" s="1845">
        <v>0</v>
      </c>
      <c r="G399" s="1845">
        <v>0</v>
      </c>
      <c r="H399" s="1821" t="e">
        <f>G399/F399*100</f>
        <v>#DIV/0!</v>
      </c>
    </row>
    <row r="400" spans="1:9" ht="16.5" thickTop="1" thickBot="1" x14ac:dyDescent="0.25">
      <c r="A400" s="1896">
        <v>3122</v>
      </c>
      <c r="B400" s="1903">
        <v>6121</v>
      </c>
      <c r="C400" s="1906">
        <v>54100884</v>
      </c>
      <c r="D400" s="1836" t="s">
        <v>603</v>
      </c>
      <c r="E400" s="1845">
        <v>0</v>
      </c>
      <c r="F400" s="1845">
        <v>260</v>
      </c>
      <c r="G400" s="1845">
        <v>139</v>
      </c>
      <c r="H400" s="1821">
        <f>G400/F400*100</f>
        <v>53.46153846153846</v>
      </c>
    </row>
    <row r="401" spans="1:9" ht="15.75" hidden="1" thickBot="1" x14ac:dyDescent="0.25">
      <c r="A401" s="1896">
        <v>3122</v>
      </c>
      <c r="B401" s="1903">
        <v>6121</v>
      </c>
      <c r="C401" s="1906">
        <v>53500871</v>
      </c>
      <c r="D401" s="1836" t="s">
        <v>603</v>
      </c>
      <c r="E401" s="1845">
        <v>0</v>
      </c>
      <c r="F401" s="1845"/>
      <c r="G401" s="1845"/>
      <c r="H401" s="1827">
        <v>0</v>
      </c>
    </row>
    <row r="402" spans="1:9" s="1828" customFormat="1" ht="16.5" thickTop="1" thickBot="1" x14ac:dyDescent="0.3">
      <c r="A402" s="2751" t="s">
        <v>763</v>
      </c>
      <c r="B402" s="2752"/>
      <c r="C402" s="2752"/>
      <c r="D402" s="2752"/>
      <c r="E402" s="1818">
        <f>SUM(E398:E401)</f>
        <v>0</v>
      </c>
      <c r="F402" s="1818">
        <f>SUM(F398:F401)</f>
        <v>260</v>
      </c>
      <c r="G402" s="1818">
        <f>SUM(G398:G401)</f>
        <v>139</v>
      </c>
      <c r="H402" s="1822">
        <f>G402/F402*100</f>
        <v>53.46153846153846</v>
      </c>
      <c r="I402" s="1910"/>
    </row>
    <row r="403" spans="1:9" s="1828" customFormat="1" ht="15.75" thickTop="1" x14ac:dyDescent="0.25">
      <c r="A403" s="1823"/>
      <c r="B403" s="1823"/>
      <c r="C403" s="1823"/>
      <c r="D403" s="1823"/>
      <c r="E403" s="1824"/>
      <c r="F403" s="1824"/>
      <c r="G403" s="1824"/>
      <c r="H403" s="1849"/>
      <c r="I403" s="1910"/>
    </row>
    <row r="404" spans="1:9" ht="18" x14ac:dyDescent="0.25">
      <c r="A404" s="1808" t="s">
        <v>1975</v>
      </c>
      <c r="B404" s="1831"/>
      <c r="C404" s="1831"/>
      <c r="D404" s="1831"/>
      <c r="E404" s="1831"/>
      <c r="F404" s="1831"/>
      <c r="G404" s="1831"/>
      <c r="H404" s="1876"/>
    </row>
    <row r="405" spans="1:9" ht="16.5" thickBot="1" x14ac:dyDescent="0.3">
      <c r="A405" s="1807" t="s">
        <v>1976</v>
      </c>
      <c r="H405" s="1825" t="s">
        <v>161</v>
      </c>
    </row>
    <row r="406" spans="1:9" s="1638" customFormat="1" ht="25.5" thickTop="1" thickBot="1" x14ac:dyDescent="0.25">
      <c r="A406" s="1809" t="s">
        <v>162</v>
      </c>
      <c r="B406" s="1810" t="s">
        <v>761</v>
      </c>
      <c r="C406" s="1810" t="s">
        <v>377</v>
      </c>
      <c r="D406" s="1811" t="s">
        <v>164</v>
      </c>
      <c r="E406" s="1833" t="s">
        <v>632</v>
      </c>
      <c r="F406" s="1833" t="s">
        <v>633</v>
      </c>
      <c r="G406" s="1834" t="s">
        <v>882</v>
      </c>
      <c r="H406" s="1835" t="s">
        <v>883</v>
      </c>
    </row>
    <row r="407" spans="1:9" s="1638" customFormat="1" ht="13.5" thickTop="1" thickBot="1" x14ac:dyDescent="0.25">
      <c r="A407" s="1643">
        <v>1</v>
      </c>
      <c r="B407" s="1642">
        <v>2</v>
      </c>
      <c r="C407" s="1642">
        <v>3</v>
      </c>
      <c r="D407" s="1642">
        <v>4</v>
      </c>
      <c r="E407" s="1641">
        <v>5</v>
      </c>
      <c r="F407" s="1641">
        <v>6</v>
      </c>
      <c r="G407" s="1877">
        <v>7</v>
      </c>
      <c r="H407" s="1901" t="s">
        <v>61</v>
      </c>
    </row>
    <row r="408" spans="1:9" ht="15.75" hidden="1" thickTop="1" x14ac:dyDescent="0.2">
      <c r="A408" s="1896">
        <v>3122</v>
      </c>
      <c r="B408" s="1903">
        <v>6121</v>
      </c>
      <c r="C408" s="1906">
        <v>53100870</v>
      </c>
      <c r="D408" s="1836" t="s">
        <v>603</v>
      </c>
      <c r="E408" s="1832">
        <v>0</v>
      </c>
      <c r="F408" s="1832">
        <v>0</v>
      </c>
      <c r="G408" s="1832">
        <v>0</v>
      </c>
      <c r="H408" s="1819" t="e">
        <f>G408/F408*100</f>
        <v>#DIV/0!</v>
      </c>
    </row>
    <row r="409" spans="1:9" ht="15.75" thickTop="1" x14ac:dyDescent="0.2">
      <c r="A409" s="1896">
        <v>3123</v>
      </c>
      <c r="B409" s="1903">
        <v>6121</v>
      </c>
      <c r="C409" s="1906">
        <v>54100880</v>
      </c>
      <c r="D409" s="1836" t="s">
        <v>603</v>
      </c>
      <c r="E409" s="1845">
        <v>0</v>
      </c>
      <c r="F409" s="1845">
        <v>166</v>
      </c>
      <c r="G409" s="1845">
        <v>111</v>
      </c>
      <c r="H409" s="1821">
        <f>G409/F409*100</f>
        <v>66.867469879518069</v>
      </c>
    </row>
    <row r="410" spans="1:9" ht="15.75" thickBot="1" x14ac:dyDescent="0.25">
      <c r="A410" s="1896">
        <v>3123</v>
      </c>
      <c r="B410" s="1903">
        <v>6121</v>
      </c>
      <c r="C410" s="1906">
        <v>54100884</v>
      </c>
      <c r="D410" s="1836" t="s">
        <v>603</v>
      </c>
      <c r="E410" s="1845">
        <v>0</v>
      </c>
      <c r="F410" s="1845">
        <v>210</v>
      </c>
      <c r="G410" s="1845">
        <v>68</v>
      </c>
      <c r="H410" s="1821">
        <f>G410/F410*100</f>
        <v>32.38095238095238</v>
      </c>
    </row>
    <row r="411" spans="1:9" ht="15.75" hidden="1" thickBot="1" x14ac:dyDescent="0.25">
      <c r="A411" s="1896">
        <v>3122</v>
      </c>
      <c r="B411" s="1903">
        <v>6121</v>
      </c>
      <c r="C411" s="1906">
        <v>53500871</v>
      </c>
      <c r="D411" s="1836" t="s">
        <v>603</v>
      </c>
      <c r="E411" s="1845">
        <v>0</v>
      </c>
      <c r="F411" s="1845"/>
      <c r="G411" s="1845"/>
      <c r="H411" s="1827">
        <v>0</v>
      </c>
    </row>
    <row r="412" spans="1:9" s="1828" customFormat="1" ht="16.5" thickTop="1" thickBot="1" x14ac:dyDescent="0.3">
      <c r="A412" s="2751" t="s">
        <v>763</v>
      </c>
      <c r="B412" s="2752"/>
      <c r="C412" s="2752"/>
      <c r="D412" s="2752"/>
      <c r="E412" s="1818">
        <f>SUM(E408:E411)</f>
        <v>0</v>
      </c>
      <c r="F412" s="1818">
        <f>SUM(F408:F411)</f>
        <v>376</v>
      </c>
      <c r="G412" s="1818">
        <f>SUM(G408:G411)</f>
        <v>179</v>
      </c>
      <c r="H412" s="1822">
        <f>G412/F412*100</f>
        <v>47.606382978723403</v>
      </c>
      <c r="I412" s="1910"/>
    </row>
    <row r="413" spans="1:9" s="1828" customFormat="1" ht="15.75" thickTop="1" x14ac:dyDescent="0.25">
      <c r="A413" s="1823"/>
      <c r="B413" s="1823"/>
      <c r="C413" s="1823"/>
      <c r="D413" s="1823"/>
      <c r="E413" s="1824"/>
      <c r="F413" s="1824"/>
      <c r="G413" s="1824"/>
      <c r="H413" s="1849"/>
      <c r="I413" s="1910"/>
    </row>
    <row r="414" spans="1:9" ht="18" x14ac:dyDescent="0.25">
      <c r="A414" s="1808" t="s">
        <v>1977</v>
      </c>
      <c r="B414" s="1831"/>
      <c r="C414" s="1831"/>
      <c r="D414" s="1831"/>
      <c r="E414" s="1831"/>
      <c r="F414" s="1831"/>
      <c r="G414" s="1831"/>
      <c r="H414" s="1876"/>
    </row>
    <row r="415" spans="1:9" ht="16.5" thickBot="1" x14ac:dyDescent="0.3">
      <c r="A415" s="1807" t="s">
        <v>1978</v>
      </c>
      <c r="H415" s="1825" t="s">
        <v>161</v>
      </c>
    </row>
    <row r="416" spans="1:9" s="1638" customFormat="1" ht="25.5" thickTop="1" thickBot="1" x14ac:dyDescent="0.25">
      <c r="A416" s="1809" t="s">
        <v>162</v>
      </c>
      <c r="B416" s="1810" t="s">
        <v>761</v>
      </c>
      <c r="C416" s="1810" t="s">
        <v>377</v>
      </c>
      <c r="D416" s="1811" t="s">
        <v>164</v>
      </c>
      <c r="E416" s="1833" t="s">
        <v>632</v>
      </c>
      <c r="F416" s="1833" t="s">
        <v>633</v>
      </c>
      <c r="G416" s="1834" t="s">
        <v>882</v>
      </c>
      <c r="H416" s="1835" t="s">
        <v>883</v>
      </c>
    </row>
    <row r="417" spans="1:9" s="1638" customFormat="1" ht="13.5" thickTop="1" thickBot="1" x14ac:dyDescent="0.25">
      <c r="A417" s="1643">
        <v>1</v>
      </c>
      <c r="B417" s="1642">
        <v>2</v>
      </c>
      <c r="C417" s="1642">
        <v>3</v>
      </c>
      <c r="D417" s="1642">
        <v>4</v>
      </c>
      <c r="E417" s="1641">
        <v>5</v>
      </c>
      <c r="F417" s="1641">
        <v>6</v>
      </c>
      <c r="G417" s="1877">
        <v>7</v>
      </c>
      <c r="H417" s="1901" t="s">
        <v>61</v>
      </c>
    </row>
    <row r="418" spans="1:9" ht="15.75" hidden="1" thickTop="1" x14ac:dyDescent="0.2">
      <c r="A418" s="1896">
        <v>3122</v>
      </c>
      <c r="B418" s="1903">
        <v>6121</v>
      </c>
      <c r="C418" s="1906">
        <v>53100870</v>
      </c>
      <c r="D418" s="1836" t="s">
        <v>603</v>
      </c>
      <c r="E418" s="1832">
        <v>0</v>
      </c>
      <c r="F418" s="1832">
        <v>0</v>
      </c>
      <c r="G418" s="1832">
        <v>0</v>
      </c>
      <c r="H418" s="1819" t="e">
        <f>G418/F418*100</f>
        <v>#DIV/0!</v>
      </c>
    </row>
    <row r="419" spans="1:9" ht="15.75" thickTop="1" x14ac:dyDescent="0.2">
      <c r="A419" s="1896">
        <v>3121</v>
      </c>
      <c r="B419" s="1903">
        <v>6121</v>
      </c>
      <c r="C419" s="1906">
        <v>54100880</v>
      </c>
      <c r="D419" s="1836" t="s">
        <v>603</v>
      </c>
      <c r="E419" s="1845">
        <v>0</v>
      </c>
      <c r="F419" s="1845">
        <v>205</v>
      </c>
      <c r="G419" s="1845">
        <v>75</v>
      </c>
      <c r="H419" s="1821">
        <f>G419/F419*100</f>
        <v>36.585365853658537</v>
      </c>
    </row>
    <row r="420" spans="1:9" ht="15.75" thickBot="1" x14ac:dyDescent="0.25">
      <c r="A420" s="1896">
        <v>3121</v>
      </c>
      <c r="B420" s="1903">
        <v>6121</v>
      </c>
      <c r="C420" s="1906">
        <v>54100884</v>
      </c>
      <c r="D420" s="1836" t="s">
        <v>603</v>
      </c>
      <c r="E420" s="1845">
        <v>0</v>
      </c>
      <c r="F420" s="1845">
        <v>84</v>
      </c>
      <c r="G420" s="1845">
        <v>84</v>
      </c>
      <c r="H420" s="1821">
        <f>G420/F420*100</f>
        <v>100</v>
      </c>
    </row>
    <row r="421" spans="1:9" ht="15.75" hidden="1" thickBot="1" x14ac:dyDescent="0.25">
      <c r="A421" s="1896">
        <v>3122</v>
      </c>
      <c r="B421" s="1903">
        <v>6121</v>
      </c>
      <c r="C421" s="1906">
        <v>53500871</v>
      </c>
      <c r="D421" s="1836" t="s">
        <v>603</v>
      </c>
      <c r="E421" s="1845">
        <v>0</v>
      </c>
      <c r="F421" s="1845"/>
      <c r="G421" s="1845"/>
      <c r="H421" s="1827">
        <v>0</v>
      </c>
    </row>
    <row r="422" spans="1:9" s="1828" customFormat="1" ht="16.5" thickTop="1" thickBot="1" x14ac:dyDescent="0.3">
      <c r="A422" s="2751" t="s">
        <v>763</v>
      </c>
      <c r="B422" s="2752"/>
      <c r="C422" s="2752"/>
      <c r="D422" s="2752"/>
      <c r="E422" s="1818">
        <f>SUM(E418:E421)</f>
        <v>0</v>
      </c>
      <c r="F422" s="1818">
        <f>SUM(F418:F421)</f>
        <v>289</v>
      </c>
      <c r="G422" s="1818">
        <f>SUM(G418:G421)</f>
        <v>159</v>
      </c>
      <c r="H422" s="1822">
        <f>G422/F422*100</f>
        <v>55.017301038062286</v>
      </c>
      <c r="I422" s="1910"/>
    </row>
    <row r="423" spans="1:9" s="1828" customFormat="1" ht="15.75" thickTop="1" x14ac:dyDescent="0.25">
      <c r="A423" s="1823"/>
      <c r="B423" s="1823"/>
      <c r="C423" s="1823"/>
      <c r="D423" s="1823"/>
      <c r="E423" s="1824"/>
      <c r="F423" s="1824"/>
      <c r="G423" s="1824"/>
      <c r="H423" s="1849"/>
      <c r="I423" s="1910"/>
    </row>
    <row r="424" spans="1:9" ht="18" x14ac:dyDescent="0.25">
      <c r="A424" s="1808" t="s">
        <v>1979</v>
      </c>
      <c r="B424" s="1831"/>
      <c r="C424" s="1831"/>
      <c r="D424" s="1831"/>
      <c r="E424" s="1831"/>
      <c r="F424" s="1831"/>
      <c r="G424" s="1831"/>
      <c r="H424" s="1876"/>
    </row>
    <row r="425" spans="1:9" ht="16.5" thickBot="1" x14ac:dyDescent="0.3">
      <c r="A425" s="1807" t="s">
        <v>1980</v>
      </c>
      <c r="H425" s="1825" t="s">
        <v>161</v>
      </c>
    </row>
    <row r="426" spans="1:9" s="1638" customFormat="1" ht="25.5" thickTop="1" thickBot="1" x14ac:dyDescent="0.25">
      <c r="A426" s="1809" t="s">
        <v>162</v>
      </c>
      <c r="B426" s="1810" t="s">
        <v>761</v>
      </c>
      <c r="C426" s="1810" t="s">
        <v>377</v>
      </c>
      <c r="D426" s="1811" t="s">
        <v>164</v>
      </c>
      <c r="E426" s="1833" t="s">
        <v>632</v>
      </c>
      <c r="F426" s="1833" t="s">
        <v>633</v>
      </c>
      <c r="G426" s="1834" t="s">
        <v>882</v>
      </c>
      <c r="H426" s="1835" t="s">
        <v>883</v>
      </c>
    </row>
    <row r="427" spans="1:9" s="1638" customFormat="1" ht="13.5" thickTop="1" thickBot="1" x14ac:dyDescent="0.25">
      <c r="A427" s="1643">
        <v>1</v>
      </c>
      <c r="B427" s="1642">
        <v>2</v>
      </c>
      <c r="C427" s="1642">
        <v>3</v>
      </c>
      <c r="D427" s="1642">
        <v>4</v>
      </c>
      <c r="E427" s="1641">
        <v>5</v>
      </c>
      <c r="F427" s="1641">
        <v>6</v>
      </c>
      <c r="G427" s="1877">
        <v>7</v>
      </c>
      <c r="H427" s="1901" t="s">
        <v>61</v>
      </c>
    </row>
    <row r="428" spans="1:9" ht="15.75" hidden="1" thickTop="1" x14ac:dyDescent="0.2">
      <c r="A428" s="1896">
        <v>3122</v>
      </c>
      <c r="B428" s="1903">
        <v>6121</v>
      </c>
      <c r="C428" s="1906">
        <v>53100870</v>
      </c>
      <c r="D428" s="1836" t="s">
        <v>603</v>
      </c>
      <c r="E428" s="1832">
        <v>0</v>
      </c>
      <c r="F428" s="1832">
        <v>0</v>
      </c>
      <c r="G428" s="1832">
        <v>0</v>
      </c>
      <c r="H428" s="1819" t="e">
        <f>G428/F428*100</f>
        <v>#DIV/0!</v>
      </c>
    </row>
    <row r="429" spans="1:9" ht="15.75" thickTop="1" x14ac:dyDescent="0.2">
      <c r="A429" s="1896">
        <v>3122</v>
      </c>
      <c r="B429" s="1903">
        <v>6121</v>
      </c>
      <c r="C429" s="1906">
        <v>54100880</v>
      </c>
      <c r="D429" s="1836" t="s">
        <v>603</v>
      </c>
      <c r="E429" s="1845">
        <v>0</v>
      </c>
      <c r="F429" s="1845">
        <v>118</v>
      </c>
      <c r="G429" s="1845">
        <v>5</v>
      </c>
      <c r="H429" s="1821">
        <f>G429/F429*100</f>
        <v>4.2372881355932197</v>
      </c>
    </row>
    <row r="430" spans="1:9" ht="15.75" thickBot="1" x14ac:dyDescent="0.25">
      <c r="A430" s="1896">
        <v>3122</v>
      </c>
      <c r="B430" s="1903">
        <v>6121</v>
      </c>
      <c r="C430" s="1906">
        <v>54100884</v>
      </c>
      <c r="D430" s="1836" t="s">
        <v>603</v>
      </c>
      <c r="E430" s="1845">
        <v>0</v>
      </c>
      <c r="F430" s="1845">
        <v>131</v>
      </c>
      <c r="G430" s="1845">
        <v>39</v>
      </c>
      <c r="H430" s="1821">
        <f>G430/F430*100</f>
        <v>29.770992366412212</v>
      </c>
    </row>
    <row r="431" spans="1:9" ht="15.75" hidden="1" thickBot="1" x14ac:dyDescent="0.25">
      <c r="A431" s="1896">
        <v>3122</v>
      </c>
      <c r="B431" s="1903">
        <v>6121</v>
      </c>
      <c r="C431" s="1906">
        <v>53500871</v>
      </c>
      <c r="D431" s="1836" t="s">
        <v>603</v>
      </c>
      <c r="E431" s="1845">
        <v>0</v>
      </c>
      <c r="F431" s="1845"/>
      <c r="G431" s="1845"/>
      <c r="H431" s="1827">
        <v>0</v>
      </c>
    </row>
    <row r="432" spans="1:9" s="1828" customFormat="1" ht="16.5" thickTop="1" thickBot="1" x14ac:dyDescent="0.3">
      <c r="A432" s="2751" t="s">
        <v>763</v>
      </c>
      <c r="B432" s="2752"/>
      <c r="C432" s="2752"/>
      <c r="D432" s="2752"/>
      <c r="E432" s="1818">
        <f>SUM(E428:E431)</f>
        <v>0</v>
      </c>
      <c r="F432" s="1818">
        <f>SUM(F428:F431)</f>
        <v>249</v>
      </c>
      <c r="G432" s="1818">
        <f>SUM(G428:G431)</f>
        <v>44</v>
      </c>
      <c r="H432" s="1822">
        <f>G432/F432*100</f>
        <v>17.670682730923694</v>
      </c>
      <c r="I432" s="1910"/>
    </row>
    <row r="433" spans="1:9" s="1828" customFormat="1" ht="15.75" thickTop="1" x14ac:dyDescent="0.25">
      <c r="A433" s="1823"/>
      <c r="B433" s="1823"/>
      <c r="C433" s="1823"/>
      <c r="D433" s="1823"/>
      <c r="E433" s="1824"/>
      <c r="F433" s="1824"/>
      <c r="G433" s="1824"/>
      <c r="H433" s="1849"/>
      <c r="I433" s="1910"/>
    </row>
    <row r="434" spans="1:9" ht="18" x14ac:dyDescent="0.25">
      <c r="A434" s="1808" t="s">
        <v>1981</v>
      </c>
      <c r="B434" s="1831"/>
      <c r="C434" s="1831"/>
      <c r="D434" s="1831"/>
      <c r="E434" s="1831"/>
      <c r="F434" s="1831"/>
      <c r="G434" s="1831"/>
      <c r="H434" s="1876"/>
    </row>
    <row r="435" spans="1:9" ht="16.5" thickBot="1" x14ac:dyDescent="0.3">
      <c r="A435" s="1807" t="s">
        <v>1982</v>
      </c>
      <c r="H435" s="1825" t="s">
        <v>161</v>
      </c>
    </row>
    <row r="436" spans="1:9" s="1638" customFormat="1" ht="25.5" thickTop="1" thickBot="1" x14ac:dyDescent="0.25">
      <c r="A436" s="1809" t="s">
        <v>162</v>
      </c>
      <c r="B436" s="1810" t="s">
        <v>761</v>
      </c>
      <c r="C436" s="1810" t="s">
        <v>377</v>
      </c>
      <c r="D436" s="1811" t="s">
        <v>164</v>
      </c>
      <c r="E436" s="1833" t="s">
        <v>632</v>
      </c>
      <c r="F436" s="1833" t="s">
        <v>633</v>
      </c>
      <c r="G436" s="1834" t="s">
        <v>882</v>
      </c>
      <c r="H436" s="1835" t="s">
        <v>883</v>
      </c>
    </row>
    <row r="437" spans="1:9" s="1638" customFormat="1" ht="13.5" thickTop="1" thickBot="1" x14ac:dyDescent="0.25">
      <c r="A437" s="1643">
        <v>1</v>
      </c>
      <c r="B437" s="1642">
        <v>2</v>
      </c>
      <c r="C437" s="1642">
        <v>3</v>
      </c>
      <c r="D437" s="1642">
        <v>4</v>
      </c>
      <c r="E437" s="1641">
        <v>5</v>
      </c>
      <c r="F437" s="1641">
        <v>6</v>
      </c>
      <c r="G437" s="1877">
        <v>7</v>
      </c>
      <c r="H437" s="1901" t="s">
        <v>61</v>
      </c>
    </row>
    <row r="438" spans="1:9" ht="15.75" hidden="1" thickTop="1" x14ac:dyDescent="0.2">
      <c r="A438" s="1896">
        <v>3122</v>
      </c>
      <c r="B438" s="1903">
        <v>6121</v>
      </c>
      <c r="C438" s="1906">
        <v>53100870</v>
      </c>
      <c r="D438" s="1836" t="s">
        <v>603</v>
      </c>
      <c r="E438" s="1832">
        <v>0</v>
      </c>
      <c r="F438" s="1832">
        <v>0</v>
      </c>
      <c r="G438" s="1832">
        <v>0</v>
      </c>
      <c r="H438" s="1819" t="e">
        <f>G438/F438*100</f>
        <v>#DIV/0!</v>
      </c>
    </row>
    <row r="439" spans="1:9" ht="15.75" thickTop="1" x14ac:dyDescent="0.2">
      <c r="A439" s="1896">
        <v>3123</v>
      </c>
      <c r="B439" s="1903">
        <v>6121</v>
      </c>
      <c r="C439" s="1906">
        <v>54100880</v>
      </c>
      <c r="D439" s="1836" t="s">
        <v>603</v>
      </c>
      <c r="E439" s="1845">
        <v>0</v>
      </c>
      <c r="F439" s="1845">
        <v>241</v>
      </c>
      <c r="G439" s="1845">
        <v>125</v>
      </c>
      <c r="H439" s="1821">
        <f>G439/F439*100</f>
        <v>51.867219917012456</v>
      </c>
    </row>
    <row r="440" spans="1:9" ht="15.75" thickBot="1" x14ac:dyDescent="0.25">
      <c r="A440" s="1896">
        <v>3123</v>
      </c>
      <c r="B440" s="1903">
        <v>6121</v>
      </c>
      <c r="C440" s="1906">
        <v>54100884</v>
      </c>
      <c r="D440" s="1836" t="s">
        <v>603</v>
      </c>
      <c r="E440" s="1845">
        <v>0</v>
      </c>
      <c r="F440" s="1845">
        <v>75</v>
      </c>
      <c r="G440" s="1845">
        <v>75</v>
      </c>
      <c r="H440" s="1821">
        <f>G440/F440*100</f>
        <v>100</v>
      </c>
    </row>
    <row r="441" spans="1:9" ht="15.75" hidden="1" thickBot="1" x14ac:dyDescent="0.25">
      <c r="A441" s="1896">
        <v>3122</v>
      </c>
      <c r="B441" s="1903">
        <v>6121</v>
      </c>
      <c r="C441" s="1906">
        <v>53500871</v>
      </c>
      <c r="D441" s="1836" t="s">
        <v>603</v>
      </c>
      <c r="E441" s="1845">
        <v>0</v>
      </c>
      <c r="F441" s="1845"/>
      <c r="G441" s="1845"/>
      <c r="H441" s="1827">
        <v>0</v>
      </c>
    </row>
    <row r="442" spans="1:9" s="1828" customFormat="1" ht="16.5" thickTop="1" thickBot="1" x14ac:dyDescent="0.3">
      <c r="A442" s="2751" t="s">
        <v>763</v>
      </c>
      <c r="B442" s="2752"/>
      <c r="C442" s="2752"/>
      <c r="D442" s="2752"/>
      <c r="E442" s="1818">
        <f>SUM(E438:E441)</f>
        <v>0</v>
      </c>
      <c r="F442" s="1818">
        <f>SUM(F438:F441)</f>
        <v>316</v>
      </c>
      <c r="G442" s="1818">
        <f>SUM(G438:G441)</f>
        <v>200</v>
      </c>
      <c r="H442" s="1822">
        <f>G442/F442*100</f>
        <v>63.291139240506332</v>
      </c>
      <c r="I442" s="1910"/>
    </row>
    <row r="443" spans="1:9" s="1828" customFormat="1" ht="15.75" thickTop="1" x14ac:dyDescent="0.25">
      <c r="A443" s="1823"/>
      <c r="B443" s="1823"/>
      <c r="C443" s="1823"/>
      <c r="D443" s="1823"/>
      <c r="E443" s="1824"/>
      <c r="F443" s="1824"/>
      <c r="G443" s="1824"/>
      <c r="H443" s="1849"/>
      <c r="I443" s="1910"/>
    </row>
    <row r="444" spans="1:9" ht="18" x14ac:dyDescent="0.25">
      <c r="A444" s="1808" t="s">
        <v>503</v>
      </c>
      <c r="B444" s="1831"/>
      <c r="C444" s="1831"/>
      <c r="D444" s="1831"/>
      <c r="E444" s="1831"/>
      <c r="F444" s="1831"/>
      <c r="G444" s="1831"/>
      <c r="H444" s="1876"/>
    </row>
    <row r="445" spans="1:9" ht="16.5" thickBot="1" x14ac:dyDescent="0.3">
      <c r="A445" s="1807" t="s">
        <v>504</v>
      </c>
      <c r="H445" s="1825" t="s">
        <v>161</v>
      </c>
    </row>
    <row r="446" spans="1:9" s="1638" customFormat="1" ht="25.5" thickTop="1" thickBot="1" x14ac:dyDescent="0.25">
      <c r="A446" s="1809" t="s">
        <v>162</v>
      </c>
      <c r="B446" s="1810" t="s">
        <v>761</v>
      </c>
      <c r="C446" s="1810" t="s">
        <v>377</v>
      </c>
      <c r="D446" s="1811" t="s">
        <v>164</v>
      </c>
      <c r="E446" s="1833" t="s">
        <v>632</v>
      </c>
      <c r="F446" s="1833" t="s">
        <v>633</v>
      </c>
      <c r="G446" s="1834" t="s">
        <v>882</v>
      </c>
      <c r="H446" s="1835" t="s">
        <v>883</v>
      </c>
    </row>
    <row r="447" spans="1:9" s="1638" customFormat="1" ht="13.5" thickTop="1" thickBot="1" x14ac:dyDescent="0.25">
      <c r="A447" s="1643">
        <v>1</v>
      </c>
      <c r="B447" s="1642">
        <v>2</v>
      </c>
      <c r="C447" s="1642">
        <v>3</v>
      </c>
      <c r="D447" s="1642">
        <v>4</v>
      </c>
      <c r="E447" s="1641">
        <v>5</v>
      </c>
      <c r="F447" s="1641">
        <v>6</v>
      </c>
      <c r="G447" s="1877">
        <v>7</v>
      </c>
      <c r="H447" s="1901" t="s">
        <v>61</v>
      </c>
    </row>
    <row r="448" spans="1:9" ht="15.75" thickTop="1" x14ac:dyDescent="0.2">
      <c r="A448" s="1896">
        <v>4357</v>
      </c>
      <c r="B448" s="1903">
        <v>6121</v>
      </c>
      <c r="C448" s="1906">
        <v>53100874</v>
      </c>
      <c r="D448" s="1836" t="s">
        <v>603</v>
      </c>
      <c r="E448" s="1832">
        <v>0</v>
      </c>
      <c r="F448" s="1832">
        <v>233</v>
      </c>
      <c r="G448" s="1832">
        <v>233</v>
      </c>
      <c r="H448" s="1821">
        <f>G448/F448*100</f>
        <v>100</v>
      </c>
    </row>
    <row r="449" spans="1:10" ht="15" x14ac:dyDescent="0.2">
      <c r="A449" s="1896">
        <v>4357</v>
      </c>
      <c r="B449" s="1903">
        <v>6121</v>
      </c>
      <c r="C449" s="1906">
        <v>54100870</v>
      </c>
      <c r="D449" s="1836" t="s">
        <v>603</v>
      </c>
      <c r="E449" s="1845">
        <v>0</v>
      </c>
      <c r="F449" s="1845">
        <v>287</v>
      </c>
      <c r="G449" s="1845">
        <v>285</v>
      </c>
      <c r="H449" s="1821">
        <f t="shared" ref="H449:H453" si="32">G449/F449*100</f>
        <v>99.303135888501743</v>
      </c>
    </row>
    <row r="450" spans="1:10" ht="15" x14ac:dyDescent="0.2">
      <c r="A450" s="1896">
        <v>4357</v>
      </c>
      <c r="B450" s="1903">
        <v>6121</v>
      </c>
      <c r="C450" s="1906">
        <v>54100872</v>
      </c>
      <c r="D450" s="1836" t="s">
        <v>603</v>
      </c>
      <c r="E450" s="1845">
        <v>0</v>
      </c>
      <c r="F450" s="1845">
        <v>2</v>
      </c>
      <c r="G450" s="1845">
        <v>1</v>
      </c>
      <c r="H450" s="1821">
        <f t="shared" si="32"/>
        <v>50</v>
      </c>
    </row>
    <row r="451" spans="1:10" ht="15" x14ac:dyDescent="0.2">
      <c r="A451" s="1896">
        <v>4357</v>
      </c>
      <c r="B451" s="1903">
        <v>6121</v>
      </c>
      <c r="C451" s="1906">
        <v>54100874</v>
      </c>
      <c r="D451" s="1836" t="s">
        <v>603</v>
      </c>
      <c r="E451" s="1845">
        <v>0</v>
      </c>
      <c r="F451" s="1845">
        <v>4399</v>
      </c>
      <c r="G451" s="1845">
        <v>4399</v>
      </c>
      <c r="H451" s="1821">
        <f t="shared" si="32"/>
        <v>100</v>
      </c>
    </row>
    <row r="452" spans="1:10" ht="15" x14ac:dyDescent="0.2">
      <c r="A452" s="1896">
        <v>4357</v>
      </c>
      <c r="B452" s="1903">
        <v>6121</v>
      </c>
      <c r="C452" s="1906">
        <v>54100884</v>
      </c>
      <c r="D452" s="1836" t="s">
        <v>603</v>
      </c>
      <c r="E452" s="1845">
        <v>0</v>
      </c>
      <c r="F452" s="1845">
        <v>790</v>
      </c>
      <c r="G452" s="1845">
        <v>790</v>
      </c>
      <c r="H452" s="1821">
        <f t="shared" si="32"/>
        <v>100</v>
      </c>
    </row>
    <row r="453" spans="1:10" ht="15" x14ac:dyDescent="0.2">
      <c r="A453" s="1896">
        <v>4357</v>
      </c>
      <c r="B453" s="1903">
        <v>6121</v>
      </c>
      <c r="C453" s="1906">
        <v>54190877</v>
      </c>
      <c r="D453" s="1836" t="s">
        <v>603</v>
      </c>
      <c r="E453" s="1845">
        <v>0</v>
      </c>
      <c r="F453" s="1845">
        <v>156</v>
      </c>
      <c r="G453" s="1845">
        <v>142</v>
      </c>
      <c r="H453" s="1821">
        <f t="shared" si="32"/>
        <v>91.025641025641022</v>
      </c>
    </row>
    <row r="454" spans="1:10" ht="15" x14ac:dyDescent="0.2">
      <c r="A454" s="1896">
        <v>4357</v>
      </c>
      <c r="B454" s="1903">
        <v>6121</v>
      </c>
      <c r="C454" s="1906">
        <v>54500871</v>
      </c>
      <c r="D454" s="1836" t="s">
        <v>603</v>
      </c>
      <c r="E454" s="1845">
        <v>0</v>
      </c>
      <c r="F454" s="1845">
        <v>25</v>
      </c>
      <c r="G454" s="1845">
        <v>16</v>
      </c>
      <c r="H454" s="1821">
        <f>G454/F454*100</f>
        <v>64</v>
      </c>
    </row>
    <row r="455" spans="1:10" ht="15.75" thickBot="1" x14ac:dyDescent="0.25">
      <c r="A455" s="1896">
        <v>4357</v>
      </c>
      <c r="B455" s="1903">
        <v>6121</v>
      </c>
      <c r="C455" s="1906">
        <v>54515835</v>
      </c>
      <c r="D455" s="1836" t="s">
        <v>603</v>
      </c>
      <c r="E455" s="1845">
        <v>0</v>
      </c>
      <c r="F455" s="1845">
        <v>2652</v>
      </c>
      <c r="G455" s="1845">
        <v>2410</v>
      </c>
      <c r="H455" s="1827">
        <v>0</v>
      </c>
    </row>
    <row r="456" spans="1:10" s="1828" customFormat="1" ht="16.5" thickTop="1" thickBot="1" x14ac:dyDescent="0.3">
      <c r="A456" s="2751" t="s">
        <v>763</v>
      </c>
      <c r="B456" s="2752"/>
      <c r="C456" s="2752"/>
      <c r="D456" s="2752"/>
      <c r="E456" s="1818">
        <f>SUM(E448:E455)</f>
        <v>0</v>
      </c>
      <c r="F456" s="1818">
        <f>SUM(F448:F455)</f>
        <v>8544</v>
      </c>
      <c r="G456" s="1818">
        <f>SUM(G448:G455)</f>
        <v>8276</v>
      </c>
      <c r="H456" s="1822">
        <f>G456/F456*100</f>
        <v>96.863295880149821</v>
      </c>
      <c r="I456" s="1910"/>
    </row>
    <row r="457" spans="1:10" s="1828" customFormat="1" ht="15.75" thickTop="1" x14ac:dyDescent="0.25">
      <c r="A457" s="1823"/>
      <c r="B457" s="1823"/>
      <c r="C457" s="1823"/>
      <c r="D457" s="1823"/>
      <c r="E457" s="1824"/>
      <c r="F457" s="1824"/>
      <c r="G457" s="1824"/>
      <c r="H457" s="1849"/>
      <c r="I457" s="1910"/>
    </row>
    <row r="458" spans="1:10" ht="18" x14ac:dyDescent="0.25">
      <c r="A458" s="1808" t="s">
        <v>505</v>
      </c>
      <c r="B458" s="1831"/>
      <c r="C458" s="1831"/>
      <c r="D458" s="1831"/>
      <c r="E458" s="1831"/>
      <c r="F458" s="1831"/>
      <c r="G458" s="1831"/>
      <c r="H458" s="1876"/>
    </row>
    <row r="459" spans="1:10" ht="16.5" thickBot="1" x14ac:dyDescent="0.3">
      <c r="A459" s="1807" t="s">
        <v>506</v>
      </c>
      <c r="H459" s="1825" t="s">
        <v>161</v>
      </c>
    </row>
    <row r="460" spans="1:10" s="1638" customFormat="1" ht="25.5" thickTop="1" thickBot="1" x14ac:dyDescent="0.25">
      <c r="A460" s="1809" t="s">
        <v>162</v>
      </c>
      <c r="B460" s="1810" t="s">
        <v>761</v>
      </c>
      <c r="C460" s="1810" t="s">
        <v>377</v>
      </c>
      <c r="D460" s="1811" t="s">
        <v>164</v>
      </c>
      <c r="E460" s="1833" t="s">
        <v>632</v>
      </c>
      <c r="F460" s="1833" t="s">
        <v>633</v>
      </c>
      <c r="G460" s="1834" t="s">
        <v>882</v>
      </c>
      <c r="H460" s="1835" t="s">
        <v>883</v>
      </c>
    </row>
    <row r="461" spans="1:10" s="1638" customFormat="1" ht="13.5" thickTop="1" thickBot="1" x14ac:dyDescent="0.25">
      <c r="A461" s="1643">
        <v>1</v>
      </c>
      <c r="B461" s="1642">
        <v>2</v>
      </c>
      <c r="C461" s="1642">
        <v>3</v>
      </c>
      <c r="D461" s="1642">
        <v>4</v>
      </c>
      <c r="E461" s="1641">
        <v>5</v>
      </c>
      <c r="F461" s="1641">
        <v>6</v>
      </c>
      <c r="G461" s="1877">
        <v>7</v>
      </c>
      <c r="H461" s="1901" t="s">
        <v>61</v>
      </c>
    </row>
    <row r="462" spans="1:10" ht="15.75" thickTop="1" x14ac:dyDescent="0.2">
      <c r="A462" s="1896">
        <v>4357</v>
      </c>
      <c r="B462" s="1903">
        <v>6121</v>
      </c>
      <c r="C462" s="1906">
        <v>53100870</v>
      </c>
      <c r="D462" s="1836" t="s">
        <v>603</v>
      </c>
      <c r="E462" s="1832">
        <v>0</v>
      </c>
      <c r="F462" s="1832">
        <v>2</v>
      </c>
      <c r="G462" s="1832">
        <v>2</v>
      </c>
      <c r="H462" s="1819">
        <f>G462/F462*100</f>
        <v>100</v>
      </c>
    </row>
    <row r="463" spans="1:10" ht="15" x14ac:dyDescent="0.2">
      <c r="A463" s="1896">
        <v>4357</v>
      </c>
      <c r="B463" s="1903">
        <v>6121</v>
      </c>
      <c r="C463" s="1906">
        <v>53100872</v>
      </c>
      <c r="D463" s="1836" t="s">
        <v>603</v>
      </c>
      <c r="E463" s="1845">
        <v>0</v>
      </c>
      <c r="F463" s="1845">
        <v>1</v>
      </c>
      <c r="G463" s="1845">
        <v>1</v>
      </c>
      <c r="H463" s="1821">
        <f t="shared" ref="H463:H471" si="33">G463/F463*100</f>
        <v>100</v>
      </c>
      <c r="J463" s="1850"/>
    </row>
    <row r="464" spans="1:10" ht="15" x14ac:dyDescent="0.2">
      <c r="A464" s="1896">
        <v>4357</v>
      </c>
      <c r="B464" s="1903">
        <v>6121</v>
      </c>
      <c r="C464" s="1906">
        <v>53100874</v>
      </c>
      <c r="D464" s="1836" t="s">
        <v>603</v>
      </c>
      <c r="E464" s="1845">
        <v>0</v>
      </c>
      <c r="F464" s="1845">
        <v>1687</v>
      </c>
      <c r="G464" s="1845">
        <v>1687</v>
      </c>
      <c r="H464" s="1821">
        <f t="shared" si="33"/>
        <v>100</v>
      </c>
    </row>
    <row r="465" spans="1:9" ht="15" x14ac:dyDescent="0.2">
      <c r="A465" s="1896">
        <v>4357</v>
      </c>
      <c r="B465" s="1903">
        <v>6121</v>
      </c>
      <c r="C465" s="1906">
        <v>53500871</v>
      </c>
      <c r="D465" s="1836" t="s">
        <v>603</v>
      </c>
      <c r="E465" s="1845">
        <v>0</v>
      </c>
      <c r="F465" s="1845">
        <v>15</v>
      </c>
      <c r="G465" s="1845">
        <v>15</v>
      </c>
      <c r="H465" s="1821">
        <f t="shared" si="33"/>
        <v>100</v>
      </c>
    </row>
    <row r="466" spans="1:9" ht="15" x14ac:dyDescent="0.2">
      <c r="A466" s="1896">
        <v>4357</v>
      </c>
      <c r="B466" s="1903">
        <v>6121</v>
      </c>
      <c r="C466" s="1906">
        <v>54100870</v>
      </c>
      <c r="D466" s="1836" t="s">
        <v>603</v>
      </c>
      <c r="E466" s="1845">
        <v>0</v>
      </c>
      <c r="F466" s="1845">
        <v>294</v>
      </c>
      <c r="G466" s="1845">
        <v>294</v>
      </c>
      <c r="H466" s="1821">
        <f t="shared" si="33"/>
        <v>100</v>
      </c>
    </row>
    <row r="467" spans="1:9" ht="15" x14ac:dyDescent="0.2">
      <c r="A467" s="1896">
        <v>4357</v>
      </c>
      <c r="B467" s="1903">
        <v>6121</v>
      </c>
      <c r="C467" s="1906">
        <v>54100874</v>
      </c>
      <c r="D467" s="1836" t="s">
        <v>603</v>
      </c>
      <c r="E467" s="1845">
        <v>0</v>
      </c>
      <c r="F467" s="1845">
        <v>1612</v>
      </c>
      <c r="G467" s="1845">
        <v>1609</v>
      </c>
      <c r="H467" s="1821">
        <f t="shared" si="33"/>
        <v>99.813895781637711</v>
      </c>
    </row>
    <row r="468" spans="1:9" ht="15" x14ac:dyDescent="0.2">
      <c r="A468" s="1896">
        <v>4357</v>
      </c>
      <c r="B468" s="1903">
        <v>6121</v>
      </c>
      <c r="C468" s="1906">
        <v>54100880</v>
      </c>
      <c r="D468" s="1836" t="s">
        <v>603</v>
      </c>
      <c r="E468" s="1845">
        <v>0</v>
      </c>
      <c r="F468" s="1845">
        <v>891</v>
      </c>
      <c r="G468" s="1845">
        <v>759</v>
      </c>
      <c r="H468" s="1821">
        <f t="shared" si="33"/>
        <v>85.18518518518519</v>
      </c>
    </row>
    <row r="469" spans="1:9" ht="15" x14ac:dyDescent="0.2">
      <c r="A469" s="1896">
        <v>4357</v>
      </c>
      <c r="B469" s="1903">
        <v>6121</v>
      </c>
      <c r="C469" s="1906">
        <v>54100884</v>
      </c>
      <c r="D469" s="1836" t="s">
        <v>603</v>
      </c>
      <c r="E469" s="1845">
        <v>0</v>
      </c>
      <c r="F469" s="1845">
        <v>8508</v>
      </c>
      <c r="G469" s="1845">
        <v>3471</v>
      </c>
      <c r="H469" s="1821">
        <f t="shared" si="33"/>
        <v>40.796897038081802</v>
      </c>
    </row>
    <row r="470" spans="1:9" ht="15" x14ac:dyDescent="0.2">
      <c r="A470" s="1896">
        <v>4357</v>
      </c>
      <c r="B470" s="1903">
        <v>6121</v>
      </c>
      <c r="C470" s="1906">
        <v>54190877</v>
      </c>
      <c r="D470" s="1836" t="s">
        <v>603</v>
      </c>
      <c r="E470" s="1845">
        <v>0</v>
      </c>
      <c r="F470" s="1845">
        <v>566</v>
      </c>
      <c r="G470" s="1845">
        <v>526</v>
      </c>
      <c r="H470" s="1821">
        <f t="shared" si="33"/>
        <v>92.932862190812727</v>
      </c>
    </row>
    <row r="471" spans="1:9" ht="15.75" thickBot="1" x14ac:dyDescent="0.25">
      <c r="A471" s="1896">
        <v>4357</v>
      </c>
      <c r="B471" s="1903">
        <v>6121</v>
      </c>
      <c r="C471" s="1906">
        <v>54515835</v>
      </c>
      <c r="D471" s="1836" t="s">
        <v>603</v>
      </c>
      <c r="E471" s="1845">
        <v>0</v>
      </c>
      <c r="F471" s="1845">
        <v>9624</v>
      </c>
      <c r="G471" s="1845">
        <v>8947</v>
      </c>
      <c r="H471" s="1827">
        <f t="shared" si="33"/>
        <v>92.96550290939318</v>
      </c>
    </row>
    <row r="472" spans="1:9" s="1828" customFormat="1" ht="16.5" thickTop="1" thickBot="1" x14ac:dyDescent="0.3">
      <c r="A472" s="2751" t="s">
        <v>763</v>
      </c>
      <c r="B472" s="2752"/>
      <c r="C472" s="2752"/>
      <c r="D472" s="2752"/>
      <c r="E472" s="1818">
        <f>SUM(E462:E471)</f>
        <v>0</v>
      </c>
      <c r="F472" s="1818">
        <f>SUM(F462:F471)</f>
        <v>23200</v>
      </c>
      <c r="G472" s="1818">
        <f>SUM(G462:G471)</f>
        <v>17311</v>
      </c>
      <c r="H472" s="1822">
        <f>G472/F472*100</f>
        <v>74.616379310344826</v>
      </c>
      <c r="I472" s="1910"/>
    </row>
    <row r="473" spans="1:9" s="1828" customFormat="1" ht="15.75" thickTop="1" x14ac:dyDescent="0.25">
      <c r="A473" s="1823"/>
      <c r="B473" s="1823"/>
      <c r="C473" s="1823"/>
      <c r="D473" s="1823"/>
      <c r="E473" s="1824"/>
      <c r="F473" s="1824"/>
      <c r="G473" s="1824"/>
      <c r="H473" s="1849"/>
      <c r="I473" s="1910"/>
    </row>
    <row r="474" spans="1:9" ht="18" hidden="1" x14ac:dyDescent="0.25">
      <c r="A474" s="1808" t="s">
        <v>507</v>
      </c>
      <c r="B474" s="1831"/>
      <c r="C474" s="1831"/>
      <c r="D474" s="1831"/>
      <c r="E474" s="1831"/>
      <c r="F474" s="1831"/>
      <c r="G474" s="1831"/>
      <c r="H474" s="1876"/>
    </row>
    <row r="475" spans="1:9" ht="15.75" hidden="1" x14ac:dyDescent="0.25">
      <c r="A475" s="1807" t="s">
        <v>508</v>
      </c>
      <c r="H475" s="1825" t="s">
        <v>161</v>
      </c>
    </row>
    <row r="476" spans="1:9" s="1638" customFormat="1" ht="25.5" hidden="1" thickTop="1" thickBot="1" x14ac:dyDescent="0.25">
      <c r="A476" s="1809" t="s">
        <v>162</v>
      </c>
      <c r="B476" s="1810" t="s">
        <v>761</v>
      </c>
      <c r="C476" s="1810" t="s">
        <v>377</v>
      </c>
      <c r="D476" s="1811" t="s">
        <v>164</v>
      </c>
      <c r="E476" s="1833" t="s">
        <v>632</v>
      </c>
      <c r="F476" s="1833" t="s">
        <v>633</v>
      </c>
      <c r="G476" s="1834" t="s">
        <v>882</v>
      </c>
      <c r="H476" s="1835" t="s">
        <v>883</v>
      </c>
    </row>
    <row r="477" spans="1:9" s="1638" customFormat="1" ht="13.5" hidden="1" thickTop="1" thickBot="1" x14ac:dyDescent="0.25">
      <c r="A477" s="1643">
        <v>1</v>
      </c>
      <c r="B477" s="1642">
        <v>2</v>
      </c>
      <c r="C477" s="1642">
        <v>3</v>
      </c>
      <c r="D477" s="1642">
        <v>4</v>
      </c>
      <c r="E477" s="1641">
        <v>5</v>
      </c>
      <c r="F477" s="1641">
        <v>6</v>
      </c>
      <c r="G477" s="1877">
        <v>7</v>
      </c>
      <c r="H477" s="1901" t="s">
        <v>61</v>
      </c>
    </row>
    <row r="478" spans="1:9" ht="15.75" hidden="1" thickTop="1" x14ac:dyDescent="0.2">
      <c r="A478" s="1896">
        <v>4357</v>
      </c>
      <c r="B478" s="1903">
        <v>6121</v>
      </c>
      <c r="C478" s="1906">
        <v>53100870</v>
      </c>
      <c r="D478" s="1836" t="s">
        <v>603</v>
      </c>
      <c r="E478" s="1832">
        <v>0</v>
      </c>
      <c r="F478" s="1832">
        <v>0</v>
      </c>
      <c r="G478" s="1832">
        <v>0</v>
      </c>
      <c r="H478" s="1819" t="e">
        <f t="shared" ref="H478:H484" si="34">G478/F478*100</f>
        <v>#DIV/0!</v>
      </c>
    </row>
    <row r="479" spans="1:9" ht="15" hidden="1" x14ac:dyDescent="0.2">
      <c r="A479" s="1896">
        <v>4357</v>
      </c>
      <c r="B479" s="1903">
        <v>6121</v>
      </c>
      <c r="C479" s="1906">
        <v>53100872</v>
      </c>
      <c r="D479" s="1836" t="s">
        <v>603</v>
      </c>
      <c r="E479" s="1845">
        <v>0</v>
      </c>
      <c r="F479" s="1845">
        <v>0</v>
      </c>
      <c r="G479" s="1845">
        <v>0</v>
      </c>
      <c r="H479" s="1821" t="e">
        <f t="shared" si="34"/>
        <v>#DIV/0!</v>
      </c>
    </row>
    <row r="480" spans="1:9" ht="15" hidden="1" x14ac:dyDescent="0.2">
      <c r="A480" s="1896">
        <v>4357</v>
      </c>
      <c r="B480" s="1903">
        <v>6121</v>
      </c>
      <c r="C480" s="1906">
        <v>53100874</v>
      </c>
      <c r="D480" s="1836" t="s">
        <v>603</v>
      </c>
      <c r="E480" s="1845">
        <v>0</v>
      </c>
      <c r="F480" s="1845">
        <v>0</v>
      </c>
      <c r="G480" s="1845">
        <v>0</v>
      </c>
      <c r="H480" s="1821" t="e">
        <f t="shared" si="34"/>
        <v>#DIV/0!</v>
      </c>
    </row>
    <row r="481" spans="1:9" ht="15" hidden="1" x14ac:dyDescent="0.2">
      <c r="A481" s="1896">
        <v>4357</v>
      </c>
      <c r="B481" s="1903">
        <v>6121</v>
      </c>
      <c r="C481" s="1906">
        <v>53190877</v>
      </c>
      <c r="D481" s="1836" t="s">
        <v>603</v>
      </c>
      <c r="E481" s="1845">
        <v>0</v>
      </c>
      <c r="F481" s="1845">
        <v>0</v>
      </c>
      <c r="G481" s="1845">
        <v>0</v>
      </c>
      <c r="H481" s="1821" t="e">
        <f t="shared" si="34"/>
        <v>#DIV/0!</v>
      </c>
    </row>
    <row r="482" spans="1:9" ht="15" hidden="1" x14ac:dyDescent="0.2">
      <c r="A482" s="1896">
        <v>4357</v>
      </c>
      <c r="B482" s="1903">
        <v>6121</v>
      </c>
      <c r="C482" s="1906">
        <v>53500871</v>
      </c>
      <c r="D482" s="1836" t="s">
        <v>603</v>
      </c>
      <c r="E482" s="1845">
        <v>0</v>
      </c>
      <c r="F482" s="1845">
        <v>0</v>
      </c>
      <c r="G482" s="1845">
        <v>0</v>
      </c>
      <c r="H482" s="1821" t="e">
        <f t="shared" si="34"/>
        <v>#DIV/0!</v>
      </c>
    </row>
    <row r="483" spans="1:9" ht="15" hidden="1" x14ac:dyDescent="0.2">
      <c r="A483" s="1896">
        <v>4357</v>
      </c>
      <c r="B483" s="1903">
        <v>6121</v>
      </c>
      <c r="C483" s="1906">
        <v>53515835</v>
      </c>
      <c r="D483" s="1836" t="s">
        <v>603</v>
      </c>
      <c r="E483" s="1845">
        <v>0</v>
      </c>
      <c r="F483" s="1845">
        <v>0</v>
      </c>
      <c r="G483" s="1845">
        <v>0</v>
      </c>
      <c r="H483" s="1821" t="e">
        <f t="shared" si="34"/>
        <v>#DIV/0!</v>
      </c>
    </row>
    <row r="484" spans="1:9" s="1828" customFormat="1" ht="16.5" hidden="1" thickTop="1" thickBot="1" x14ac:dyDescent="0.3">
      <c r="A484" s="2751" t="s">
        <v>763</v>
      </c>
      <c r="B484" s="2752"/>
      <c r="C484" s="2752"/>
      <c r="D484" s="2752"/>
      <c r="E484" s="1818">
        <f>SUM(E478:E482)</f>
        <v>0</v>
      </c>
      <c r="F484" s="1818">
        <f>SUM(F478:F483)</f>
        <v>0</v>
      </c>
      <c r="G484" s="1818">
        <f>SUM(G478:G483)</f>
        <v>0</v>
      </c>
      <c r="H484" s="1822" t="e">
        <f t="shared" si="34"/>
        <v>#DIV/0!</v>
      </c>
      <c r="I484" s="1910"/>
    </row>
    <row r="485" spans="1:9" s="1828" customFormat="1" ht="15" x14ac:dyDescent="0.25">
      <c r="A485" s="1823"/>
      <c r="B485" s="1823"/>
      <c r="C485" s="1823"/>
      <c r="D485" s="1823"/>
      <c r="E485" s="1824"/>
      <c r="F485" s="1824"/>
      <c r="G485" s="1824"/>
      <c r="H485" s="1849"/>
      <c r="I485" s="1910"/>
    </row>
    <row r="486" spans="1:9" ht="18" x14ac:dyDescent="0.25">
      <c r="A486" s="1808" t="s">
        <v>509</v>
      </c>
      <c r="B486" s="1831"/>
      <c r="C486" s="1831"/>
      <c r="D486" s="1831"/>
      <c r="E486" s="1831"/>
      <c r="F486" s="1831"/>
      <c r="G486" s="1831"/>
      <c r="H486" s="1876"/>
    </row>
    <row r="487" spans="1:9" ht="16.5" thickBot="1" x14ac:dyDescent="0.3">
      <c r="A487" s="1807" t="s">
        <v>510</v>
      </c>
      <c r="H487" s="1825" t="s">
        <v>161</v>
      </c>
    </row>
    <row r="488" spans="1:9" s="1638" customFormat="1" ht="25.5" thickTop="1" thickBot="1" x14ac:dyDescent="0.25">
      <c r="A488" s="1809" t="s">
        <v>162</v>
      </c>
      <c r="B488" s="1810" t="s">
        <v>761</v>
      </c>
      <c r="C488" s="1810" t="s">
        <v>377</v>
      </c>
      <c r="D488" s="1811" t="s">
        <v>164</v>
      </c>
      <c r="E488" s="1833" t="s">
        <v>632</v>
      </c>
      <c r="F488" s="1833" t="s">
        <v>633</v>
      </c>
      <c r="G488" s="1834" t="s">
        <v>882</v>
      </c>
      <c r="H488" s="1835" t="s">
        <v>883</v>
      </c>
    </row>
    <row r="489" spans="1:9" s="1638" customFormat="1" ht="13.5" thickTop="1" thickBot="1" x14ac:dyDescent="0.25">
      <c r="A489" s="1643">
        <v>1</v>
      </c>
      <c r="B489" s="1642">
        <v>2</v>
      </c>
      <c r="C489" s="1642">
        <v>3</v>
      </c>
      <c r="D489" s="1642">
        <v>4</v>
      </c>
      <c r="E489" s="1641">
        <v>5</v>
      </c>
      <c r="F489" s="1641">
        <v>6</v>
      </c>
      <c r="G489" s="1877">
        <v>7</v>
      </c>
      <c r="H489" s="1901" t="s">
        <v>61</v>
      </c>
    </row>
    <row r="490" spans="1:9" ht="15.75" thickTop="1" x14ac:dyDescent="0.2">
      <c r="A490" s="1896">
        <v>4357</v>
      </c>
      <c r="B490" s="1903">
        <v>6121</v>
      </c>
      <c r="C490" s="1906">
        <v>53100874</v>
      </c>
      <c r="D490" s="1836" t="s">
        <v>603</v>
      </c>
      <c r="E490" s="1832">
        <v>0</v>
      </c>
      <c r="F490" s="1832">
        <v>114</v>
      </c>
      <c r="G490" s="1832">
        <v>114</v>
      </c>
      <c r="H490" s="1819">
        <f>G490/F490*100</f>
        <v>100</v>
      </c>
    </row>
    <row r="491" spans="1:9" ht="15" x14ac:dyDescent="0.2">
      <c r="A491" s="1896">
        <v>4357</v>
      </c>
      <c r="B491" s="1903">
        <v>6121</v>
      </c>
      <c r="C491" s="1906">
        <v>54100870</v>
      </c>
      <c r="D491" s="1836" t="s">
        <v>603</v>
      </c>
      <c r="E491" s="1845">
        <v>0</v>
      </c>
      <c r="F491" s="1845">
        <v>211</v>
      </c>
      <c r="G491" s="1845">
        <v>211</v>
      </c>
      <c r="H491" s="1821">
        <f t="shared" ref="H491:H497" si="35">G491/F491*100</f>
        <v>100</v>
      </c>
    </row>
    <row r="492" spans="1:9" ht="15" x14ac:dyDescent="0.2">
      <c r="A492" s="1896">
        <v>4357</v>
      </c>
      <c r="B492" s="1903">
        <v>6121</v>
      </c>
      <c r="C492" s="1906">
        <v>54100872</v>
      </c>
      <c r="D492" s="1836" t="s">
        <v>603</v>
      </c>
      <c r="E492" s="1845">
        <v>0</v>
      </c>
      <c r="F492" s="1845">
        <v>0</v>
      </c>
      <c r="G492" s="1845">
        <v>0</v>
      </c>
      <c r="H492" s="1821">
        <v>0</v>
      </c>
    </row>
    <row r="493" spans="1:9" ht="15" x14ac:dyDescent="0.2">
      <c r="A493" s="1896">
        <v>4357</v>
      </c>
      <c r="B493" s="1903">
        <v>6121</v>
      </c>
      <c r="C493" s="1906">
        <v>54100874</v>
      </c>
      <c r="D493" s="1836" t="s">
        <v>603</v>
      </c>
      <c r="E493" s="1845">
        <v>0</v>
      </c>
      <c r="F493" s="1845">
        <v>762</v>
      </c>
      <c r="G493" s="1845">
        <v>762</v>
      </c>
      <c r="H493" s="1821">
        <f t="shared" si="35"/>
        <v>100</v>
      </c>
    </row>
    <row r="494" spans="1:9" ht="15" x14ac:dyDescent="0.2">
      <c r="A494" s="1896">
        <v>4357</v>
      </c>
      <c r="B494" s="1903">
        <v>6121</v>
      </c>
      <c r="C494" s="1906">
        <v>54100880</v>
      </c>
      <c r="D494" s="1836" t="s">
        <v>603</v>
      </c>
      <c r="E494" s="1845">
        <v>0</v>
      </c>
      <c r="F494" s="1845">
        <v>111</v>
      </c>
      <c r="G494" s="1845">
        <v>86</v>
      </c>
      <c r="H494" s="1821">
        <f t="shared" si="35"/>
        <v>77.477477477477478</v>
      </c>
    </row>
    <row r="495" spans="1:9" ht="15" x14ac:dyDescent="0.2">
      <c r="A495" s="1896">
        <v>4357</v>
      </c>
      <c r="B495" s="1903">
        <v>6121</v>
      </c>
      <c r="C495" s="1906">
        <v>54100884</v>
      </c>
      <c r="D495" s="1836" t="s">
        <v>603</v>
      </c>
      <c r="E495" s="1845">
        <v>0</v>
      </c>
      <c r="F495" s="1845">
        <v>3456</v>
      </c>
      <c r="G495" s="1845">
        <v>3456</v>
      </c>
      <c r="H495" s="1821">
        <f t="shared" si="35"/>
        <v>100</v>
      </c>
    </row>
    <row r="496" spans="1:9" ht="15" x14ac:dyDescent="0.2">
      <c r="A496" s="1896">
        <v>4357</v>
      </c>
      <c r="B496" s="1903">
        <v>6121</v>
      </c>
      <c r="C496" s="1906">
        <v>54190877</v>
      </c>
      <c r="D496" s="1836" t="s">
        <v>603</v>
      </c>
      <c r="E496" s="1845">
        <v>0</v>
      </c>
      <c r="F496" s="1845">
        <v>161</v>
      </c>
      <c r="G496" s="1845">
        <v>148</v>
      </c>
      <c r="H496" s="1821">
        <f t="shared" si="35"/>
        <v>91.925465838509311</v>
      </c>
    </row>
    <row r="497" spans="1:10" ht="15" x14ac:dyDescent="0.2">
      <c r="A497" s="1896">
        <v>4357</v>
      </c>
      <c r="B497" s="1903">
        <v>6121</v>
      </c>
      <c r="C497" s="1906">
        <v>54500871</v>
      </c>
      <c r="D497" s="1836" t="s">
        <v>603</v>
      </c>
      <c r="E497" s="1845">
        <v>0</v>
      </c>
      <c r="F497" s="1845">
        <v>6</v>
      </c>
      <c r="G497" s="1845">
        <v>0</v>
      </c>
      <c r="H497" s="1821">
        <f t="shared" si="35"/>
        <v>0</v>
      </c>
    </row>
    <row r="498" spans="1:10" ht="15.75" thickBot="1" x14ac:dyDescent="0.25">
      <c r="A498" s="1896">
        <v>4357</v>
      </c>
      <c r="B498" s="1903">
        <v>6121</v>
      </c>
      <c r="C498" s="1906">
        <v>54515835</v>
      </c>
      <c r="D498" s="1836" t="s">
        <v>603</v>
      </c>
      <c r="E498" s="1845">
        <v>0</v>
      </c>
      <c r="F498" s="1845">
        <v>2741</v>
      </c>
      <c r="G498" s="1845">
        <v>2524</v>
      </c>
      <c r="H498" s="1821">
        <f>G498/F498*100</f>
        <v>92.083181320685881</v>
      </c>
    </row>
    <row r="499" spans="1:10" s="1828" customFormat="1" ht="16.5" thickTop="1" thickBot="1" x14ac:dyDescent="0.3">
      <c r="A499" s="2751" t="s">
        <v>763</v>
      </c>
      <c r="B499" s="2752"/>
      <c r="C499" s="2752"/>
      <c r="D499" s="2752"/>
      <c r="E499" s="1818">
        <f>SUM(E490:E498)</f>
        <v>0</v>
      </c>
      <c r="F499" s="1818">
        <f>SUM(F490:F498)</f>
        <v>7562</v>
      </c>
      <c r="G499" s="1818">
        <f>SUM(G490:G498)</f>
        <v>7301</v>
      </c>
      <c r="H499" s="1822">
        <f>G499/F499*100</f>
        <v>96.548532134355995</v>
      </c>
      <c r="I499" s="1910"/>
    </row>
    <row r="500" spans="1:10" s="1828" customFormat="1" ht="15.75" thickTop="1" x14ac:dyDescent="0.25">
      <c r="A500" s="1823"/>
      <c r="B500" s="1823"/>
      <c r="C500" s="1823"/>
      <c r="D500" s="1823"/>
      <c r="E500" s="1824"/>
      <c r="F500" s="1824"/>
      <c r="G500" s="1824"/>
      <c r="H500" s="1849"/>
      <c r="I500" s="1910"/>
    </row>
    <row r="501" spans="1:10" ht="18" x14ac:dyDescent="0.25">
      <c r="A501" s="1808" t="s">
        <v>1525</v>
      </c>
      <c r="B501" s="1831"/>
      <c r="C501" s="1831"/>
      <c r="D501" s="1831"/>
      <c r="E501" s="1831"/>
      <c r="F501" s="1831"/>
      <c r="G501" s="1831"/>
      <c r="H501" s="1876"/>
    </row>
    <row r="502" spans="1:10" ht="16.5" thickBot="1" x14ac:dyDescent="0.3">
      <c r="A502" s="1807" t="s">
        <v>1526</v>
      </c>
      <c r="H502" s="1825" t="s">
        <v>161</v>
      </c>
    </row>
    <row r="503" spans="1:10" s="1638" customFormat="1" ht="25.5" thickTop="1" thickBot="1" x14ac:dyDescent="0.25">
      <c r="A503" s="1809" t="s">
        <v>162</v>
      </c>
      <c r="B503" s="1810" t="s">
        <v>761</v>
      </c>
      <c r="C503" s="1810" t="s">
        <v>377</v>
      </c>
      <c r="D503" s="1811" t="s">
        <v>164</v>
      </c>
      <c r="E503" s="1833" t="s">
        <v>632</v>
      </c>
      <c r="F503" s="1833" t="s">
        <v>633</v>
      </c>
      <c r="G503" s="1834" t="s">
        <v>882</v>
      </c>
      <c r="H503" s="1835" t="s">
        <v>883</v>
      </c>
    </row>
    <row r="504" spans="1:10" s="1638" customFormat="1" ht="13.5" thickTop="1" thickBot="1" x14ac:dyDescent="0.25">
      <c r="A504" s="1643">
        <v>1</v>
      </c>
      <c r="B504" s="1642">
        <v>2</v>
      </c>
      <c r="C504" s="1642">
        <v>3</v>
      </c>
      <c r="D504" s="1642">
        <v>4</v>
      </c>
      <c r="E504" s="1641">
        <v>5</v>
      </c>
      <c r="F504" s="1641">
        <v>6</v>
      </c>
      <c r="G504" s="1877">
        <v>7</v>
      </c>
      <c r="H504" s="1901" t="s">
        <v>61</v>
      </c>
    </row>
    <row r="505" spans="1:10" ht="15.75" thickTop="1" x14ac:dyDescent="0.2">
      <c r="A505" s="1896">
        <v>3122</v>
      </c>
      <c r="B505" s="1903">
        <v>6121</v>
      </c>
      <c r="C505" s="1906">
        <v>54190877</v>
      </c>
      <c r="D505" s="1836" t="s">
        <v>603</v>
      </c>
      <c r="E505" s="1832">
        <v>0</v>
      </c>
      <c r="F505" s="1832">
        <v>107</v>
      </c>
      <c r="G505" s="1832">
        <v>78</v>
      </c>
      <c r="H505" s="1821">
        <f>G505/F505*100</f>
        <v>72.89719626168224</v>
      </c>
    </row>
    <row r="506" spans="1:10" ht="15" x14ac:dyDescent="0.2">
      <c r="A506" s="1896">
        <v>3122</v>
      </c>
      <c r="B506" s="1903">
        <v>6121</v>
      </c>
      <c r="C506" s="1906">
        <v>54515835</v>
      </c>
      <c r="D506" s="1836" t="s">
        <v>603</v>
      </c>
      <c r="E506" s="1845">
        <v>0</v>
      </c>
      <c r="F506" s="1845">
        <v>1814</v>
      </c>
      <c r="G506" s="1845">
        <v>1299</v>
      </c>
      <c r="H506" s="1821">
        <f t="shared" ref="H506:H513" si="36">G506/F506*100</f>
        <v>71.609702315325251</v>
      </c>
    </row>
    <row r="507" spans="1:10" ht="15" x14ac:dyDescent="0.2">
      <c r="A507" s="1896">
        <v>4357</v>
      </c>
      <c r="B507" s="1903">
        <v>6121</v>
      </c>
      <c r="C507" s="1906">
        <v>53100870</v>
      </c>
      <c r="D507" s="1836" t="s">
        <v>603</v>
      </c>
      <c r="E507" s="1845">
        <v>0</v>
      </c>
      <c r="F507" s="1845">
        <v>0</v>
      </c>
      <c r="G507" s="1845">
        <v>0</v>
      </c>
      <c r="H507" s="1821">
        <v>0</v>
      </c>
    </row>
    <row r="508" spans="1:10" ht="15" x14ac:dyDescent="0.2">
      <c r="A508" s="1896">
        <v>4357</v>
      </c>
      <c r="B508" s="1903">
        <v>6121</v>
      </c>
      <c r="C508" s="1906">
        <v>53100872</v>
      </c>
      <c r="D508" s="1836" t="s">
        <v>603</v>
      </c>
      <c r="E508" s="1845">
        <v>0</v>
      </c>
      <c r="F508" s="1845">
        <v>0</v>
      </c>
      <c r="G508" s="1845">
        <v>0</v>
      </c>
      <c r="H508" s="1821">
        <v>0</v>
      </c>
      <c r="J508" s="1850"/>
    </row>
    <row r="509" spans="1:10" ht="15" x14ac:dyDescent="0.2">
      <c r="A509" s="1896">
        <v>4357</v>
      </c>
      <c r="B509" s="1903">
        <v>6121</v>
      </c>
      <c r="C509" s="1906">
        <v>54100870</v>
      </c>
      <c r="D509" s="1836" t="s">
        <v>603</v>
      </c>
      <c r="E509" s="1845">
        <v>0</v>
      </c>
      <c r="F509" s="1845">
        <v>415</v>
      </c>
      <c r="G509" s="1845">
        <v>415</v>
      </c>
      <c r="H509" s="1821">
        <f t="shared" si="36"/>
        <v>100</v>
      </c>
    </row>
    <row r="510" spans="1:10" ht="15" x14ac:dyDescent="0.2">
      <c r="A510" s="1896">
        <v>4357</v>
      </c>
      <c r="B510" s="1903">
        <v>6121</v>
      </c>
      <c r="C510" s="1906">
        <v>54100874</v>
      </c>
      <c r="D510" s="1836" t="s">
        <v>603</v>
      </c>
      <c r="E510" s="1845">
        <v>0</v>
      </c>
      <c r="F510" s="1845">
        <v>2624</v>
      </c>
      <c r="G510" s="1845">
        <v>2624</v>
      </c>
      <c r="H510" s="1821">
        <f t="shared" si="36"/>
        <v>100</v>
      </c>
    </row>
    <row r="511" spans="1:10" ht="15" x14ac:dyDescent="0.2">
      <c r="A511" s="1896">
        <v>4357</v>
      </c>
      <c r="B511" s="1903">
        <v>6121</v>
      </c>
      <c r="C511" s="1906">
        <v>54100880</v>
      </c>
      <c r="D511" s="1836" t="s">
        <v>603</v>
      </c>
      <c r="E511" s="1845">
        <v>0</v>
      </c>
      <c r="F511" s="1845">
        <v>111</v>
      </c>
      <c r="G511" s="1845">
        <v>111</v>
      </c>
      <c r="H511" s="1821">
        <f t="shared" si="36"/>
        <v>100</v>
      </c>
    </row>
    <row r="512" spans="1:10" ht="15" x14ac:dyDescent="0.2">
      <c r="A512" s="1896">
        <v>4357</v>
      </c>
      <c r="B512" s="1903">
        <v>6121</v>
      </c>
      <c r="C512" s="1906">
        <v>54100884</v>
      </c>
      <c r="D512" s="1836" t="s">
        <v>603</v>
      </c>
      <c r="E512" s="1845">
        <v>0</v>
      </c>
      <c r="F512" s="1845">
        <v>7534</v>
      </c>
      <c r="G512" s="1845">
        <v>7528</v>
      </c>
      <c r="H512" s="1821">
        <f t="shared" si="36"/>
        <v>99.920361029997338</v>
      </c>
    </row>
    <row r="513" spans="1:9" ht="15" x14ac:dyDescent="0.2">
      <c r="A513" s="1896">
        <v>4357</v>
      </c>
      <c r="B513" s="1903">
        <v>6121</v>
      </c>
      <c r="C513" s="1906">
        <v>54190877</v>
      </c>
      <c r="D513" s="1836" t="s">
        <v>603</v>
      </c>
      <c r="E513" s="1845">
        <v>0</v>
      </c>
      <c r="F513" s="1845">
        <v>242</v>
      </c>
      <c r="G513" s="1845">
        <v>185</v>
      </c>
      <c r="H513" s="1821">
        <f t="shared" si="36"/>
        <v>76.446280991735534</v>
      </c>
    </row>
    <row r="514" spans="1:9" ht="15.75" thickBot="1" x14ac:dyDescent="0.25">
      <c r="A514" s="1896">
        <v>4357</v>
      </c>
      <c r="B514" s="1903">
        <v>6121</v>
      </c>
      <c r="C514" s="1906">
        <v>54515835</v>
      </c>
      <c r="D514" s="1836" t="s">
        <v>603</v>
      </c>
      <c r="E514" s="1845">
        <v>0</v>
      </c>
      <c r="F514" s="1845">
        <v>4116</v>
      </c>
      <c r="G514" s="1845">
        <v>3177</v>
      </c>
      <c r="H514" s="1827">
        <v>0</v>
      </c>
    </row>
    <row r="515" spans="1:9" s="1828" customFormat="1" ht="16.5" thickTop="1" thickBot="1" x14ac:dyDescent="0.3">
      <c r="A515" s="2751" t="s">
        <v>763</v>
      </c>
      <c r="B515" s="2752"/>
      <c r="C515" s="2752"/>
      <c r="D515" s="2752"/>
      <c r="E515" s="1818">
        <f>SUM(E505:E514)</f>
        <v>0</v>
      </c>
      <c r="F515" s="1818">
        <f>SUM(F505:F514)</f>
        <v>16963</v>
      </c>
      <c r="G515" s="1818">
        <f>SUM(G505:G514)</f>
        <v>15417</v>
      </c>
      <c r="H515" s="1822">
        <f>G515/F515*100</f>
        <v>90.886046100336031</v>
      </c>
      <c r="I515" s="1910"/>
    </row>
    <row r="516" spans="1:9" s="1828" customFormat="1" ht="15.75" thickTop="1" x14ac:dyDescent="0.25">
      <c r="A516" s="1823"/>
      <c r="B516" s="1823"/>
      <c r="C516" s="1823"/>
      <c r="D516" s="1823"/>
      <c r="E516" s="1824"/>
      <c r="F516" s="1824"/>
      <c r="G516" s="1824"/>
      <c r="H516" s="1849"/>
      <c r="I516" s="1910"/>
    </row>
    <row r="517" spans="1:9" ht="18" x14ac:dyDescent="0.25">
      <c r="A517" s="1808" t="s">
        <v>1983</v>
      </c>
      <c r="B517" s="1831"/>
      <c r="C517" s="1831"/>
      <c r="D517" s="1831"/>
      <c r="E517" s="1831"/>
      <c r="F517" s="1831"/>
      <c r="G517" s="1831"/>
      <c r="H517" s="1876"/>
    </row>
    <row r="518" spans="1:9" ht="16.5" thickBot="1" x14ac:dyDescent="0.3">
      <c r="A518" s="1807" t="s">
        <v>1984</v>
      </c>
      <c r="H518" s="1825" t="s">
        <v>161</v>
      </c>
    </row>
    <row r="519" spans="1:9" s="1638" customFormat="1" ht="25.5" thickTop="1" thickBot="1" x14ac:dyDescent="0.25">
      <c r="A519" s="1809" t="s">
        <v>162</v>
      </c>
      <c r="B519" s="1810" t="s">
        <v>761</v>
      </c>
      <c r="C519" s="1810" t="s">
        <v>377</v>
      </c>
      <c r="D519" s="1811" t="s">
        <v>164</v>
      </c>
      <c r="E519" s="1833" t="s">
        <v>632</v>
      </c>
      <c r="F519" s="1833" t="s">
        <v>633</v>
      </c>
      <c r="G519" s="1834" t="s">
        <v>882</v>
      </c>
      <c r="H519" s="1835" t="s">
        <v>883</v>
      </c>
    </row>
    <row r="520" spans="1:9" s="1638" customFormat="1" ht="13.5" thickTop="1" thickBot="1" x14ac:dyDescent="0.25">
      <c r="A520" s="1643">
        <v>1</v>
      </c>
      <c r="B520" s="1642">
        <v>2</v>
      </c>
      <c r="C520" s="1642">
        <v>3</v>
      </c>
      <c r="D520" s="1642">
        <v>4</v>
      </c>
      <c r="E520" s="1641">
        <v>5</v>
      </c>
      <c r="F520" s="1641">
        <v>6</v>
      </c>
      <c r="G520" s="1877">
        <v>7</v>
      </c>
      <c r="H520" s="1901" t="s">
        <v>61</v>
      </c>
    </row>
    <row r="521" spans="1:9" ht="15.75" thickTop="1" x14ac:dyDescent="0.2">
      <c r="A521" s="1896">
        <v>4357</v>
      </c>
      <c r="B521" s="1903">
        <v>6121</v>
      </c>
      <c r="C521" s="1906">
        <v>54100880</v>
      </c>
      <c r="D521" s="1836" t="s">
        <v>603</v>
      </c>
      <c r="E521" s="1832">
        <v>0</v>
      </c>
      <c r="F521" s="1832">
        <v>120</v>
      </c>
      <c r="G521" s="1832">
        <v>94</v>
      </c>
      <c r="H521" s="1821">
        <f>G521/F521*100</f>
        <v>78.333333333333329</v>
      </c>
    </row>
    <row r="522" spans="1:9" ht="15" hidden="1" x14ac:dyDescent="0.2">
      <c r="A522" s="1896">
        <v>3122</v>
      </c>
      <c r="B522" s="1903">
        <v>6121</v>
      </c>
      <c r="C522" s="1906">
        <v>53100872</v>
      </c>
      <c r="D522" s="1836" t="s">
        <v>603</v>
      </c>
      <c r="E522" s="1845">
        <v>0</v>
      </c>
      <c r="F522" s="1845"/>
      <c r="G522" s="1845"/>
      <c r="H522" s="1821" t="e">
        <f>G522/F522*100</f>
        <v>#DIV/0!</v>
      </c>
    </row>
    <row r="523" spans="1:9" ht="15.75" thickBot="1" x14ac:dyDescent="0.25">
      <c r="A523" s="1896">
        <v>4357</v>
      </c>
      <c r="B523" s="1903">
        <v>6121</v>
      </c>
      <c r="C523" s="1906">
        <v>54100884</v>
      </c>
      <c r="D523" s="1836" t="s">
        <v>603</v>
      </c>
      <c r="E523" s="1845">
        <v>0</v>
      </c>
      <c r="F523" s="1845">
        <v>90</v>
      </c>
      <c r="G523" s="1845">
        <v>90</v>
      </c>
      <c r="H523" s="1821">
        <f>G523/F523*100</f>
        <v>100</v>
      </c>
    </row>
    <row r="524" spans="1:9" ht="15.75" hidden="1" thickBot="1" x14ac:dyDescent="0.25">
      <c r="A524" s="1896">
        <v>3122</v>
      </c>
      <c r="B524" s="1903">
        <v>6121</v>
      </c>
      <c r="C524" s="1906">
        <v>53500871</v>
      </c>
      <c r="D524" s="1836" t="s">
        <v>603</v>
      </c>
      <c r="E524" s="1845">
        <v>0</v>
      </c>
      <c r="F524" s="1845"/>
      <c r="G524" s="1845"/>
      <c r="H524" s="1827">
        <v>0</v>
      </c>
    </row>
    <row r="525" spans="1:9" s="1828" customFormat="1" ht="16.5" thickTop="1" thickBot="1" x14ac:dyDescent="0.3">
      <c r="A525" s="2751" t="s">
        <v>763</v>
      </c>
      <c r="B525" s="2752"/>
      <c r="C525" s="2752"/>
      <c r="D525" s="2752"/>
      <c r="E525" s="1818">
        <f>SUM(E521:E524)</f>
        <v>0</v>
      </c>
      <c r="F525" s="1818">
        <f>SUM(F521:F524)</f>
        <v>210</v>
      </c>
      <c r="G525" s="1818">
        <f>SUM(G521:G524)</f>
        <v>184</v>
      </c>
      <c r="H525" s="1822">
        <f>G525/F525*100</f>
        <v>87.61904761904762</v>
      </c>
      <c r="I525" s="1910"/>
    </row>
    <row r="526" spans="1:9" s="1828" customFormat="1" ht="15.75" thickTop="1" x14ac:dyDescent="0.25">
      <c r="A526" s="1823"/>
      <c r="B526" s="1823"/>
      <c r="C526" s="1823"/>
      <c r="D526" s="1823"/>
      <c r="E526" s="1824"/>
      <c r="F526" s="1824"/>
      <c r="G526" s="1824"/>
      <c r="H526" s="1849"/>
      <c r="I526" s="1910"/>
    </row>
    <row r="527" spans="1:9" ht="18" x14ac:dyDescent="0.25">
      <c r="A527" s="1808" t="s">
        <v>1985</v>
      </c>
      <c r="B527" s="1831"/>
      <c r="C527" s="1831"/>
      <c r="D527" s="1831"/>
      <c r="E527" s="1831"/>
      <c r="F527" s="1831"/>
      <c r="G527" s="1831"/>
      <c r="H527" s="1876"/>
    </row>
    <row r="528" spans="1:9" ht="16.5" thickBot="1" x14ac:dyDescent="0.3">
      <c r="A528" s="1807" t="s">
        <v>1986</v>
      </c>
      <c r="H528" s="1825" t="s">
        <v>161</v>
      </c>
    </row>
    <row r="529" spans="1:9" s="1638" customFormat="1" ht="25.5" thickTop="1" thickBot="1" x14ac:dyDescent="0.25">
      <c r="A529" s="1809" t="s">
        <v>162</v>
      </c>
      <c r="B529" s="1810" t="s">
        <v>761</v>
      </c>
      <c r="C529" s="1810" t="s">
        <v>377</v>
      </c>
      <c r="D529" s="1811" t="s">
        <v>164</v>
      </c>
      <c r="E529" s="1833" t="s">
        <v>632</v>
      </c>
      <c r="F529" s="1833" t="s">
        <v>633</v>
      </c>
      <c r="G529" s="1834" t="s">
        <v>882</v>
      </c>
      <c r="H529" s="1835" t="s">
        <v>883</v>
      </c>
    </row>
    <row r="530" spans="1:9" s="1638" customFormat="1" ht="13.5" thickTop="1" thickBot="1" x14ac:dyDescent="0.25">
      <c r="A530" s="1643">
        <v>1</v>
      </c>
      <c r="B530" s="1642">
        <v>2</v>
      </c>
      <c r="C530" s="1642">
        <v>3</v>
      </c>
      <c r="D530" s="1642">
        <v>4</v>
      </c>
      <c r="E530" s="1641">
        <v>5</v>
      </c>
      <c r="F530" s="1641">
        <v>6</v>
      </c>
      <c r="G530" s="1877">
        <v>7</v>
      </c>
      <c r="H530" s="1901" t="s">
        <v>61</v>
      </c>
    </row>
    <row r="531" spans="1:9" ht="15.75" thickTop="1" x14ac:dyDescent="0.2">
      <c r="A531" s="1896">
        <v>4354</v>
      </c>
      <c r="B531" s="1903">
        <v>6121</v>
      </c>
      <c r="C531" s="1906">
        <v>54100880</v>
      </c>
      <c r="D531" s="1836" t="s">
        <v>603</v>
      </c>
      <c r="E531" s="1832">
        <v>0</v>
      </c>
      <c r="F531" s="1832">
        <v>148</v>
      </c>
      <c r="G531" s="1832">
        <v>39</v>
      </c>
      <c r="H531" s="1821">
        <f>G531/F531*100</f>
        <v>26.351351351351347</v>
      </c>
    </row>
    <row r="532" spans="1:9" ht="15" hidden="1" x14ac:dyDescent="0.2">
      <c r="A532" s="1896">
        <v>3122</v>
      </c>
      <c r="B532" s="1903">
        <v>6121</v>
      </c>
      <c r="C532" s="1906">
        <v>53100872</v>
      </c>
      <c r="D532" s="1836" t="s">
        <v>603</v>
      </c>
      <c r="E532" s="1845">
        <v>0</v>
      </c>
      <c r="F532" s="1845"/>
      <c r="G532" s="1845"/>
      <c r="H532" s="1821" t="e">
        <f>G532/F532*100</f>
        <v>#DIV/0!</v>
      </c>
    </row>
    <row r="533" spans="1:9" ht="15.75" thickBot="1" x14ac:dyDescent="0.25">
      <c r="A533" s="1896">
        <v>4354</v>
      </c>
      <c r="B533" s="1903">
        <v>6121</v>
      </c>
      <c r="C533" s="1906">
        <v>54100884</v>
      </c>
      <c r="D533" s="1836" t="s">
        <v>603</v>
      </c>
      <c r="E533" s="1845">
        <v>0</v>
      </c>
      <c r="F533" s="1845">
        <v>41</v>
      </c>
      <c r="G533" s="1845">
        <v>37</v>
      </c>
      <c r="H533" s="1821">
        <f>G533/F533*100</f>
        <v>90.243902439024396</v>
      </c>
    </row>
    <row r="534" spans="1:9" ht="15.75" hidden="1" thickBot="1" x14ac:dyDescent="0.25">
      <c r="A534" s="1896">
        <v>3122</v>
      </c>
      <c r="B534" s="1903">
        <v>6121</v>
      </c>
      <c r="C534" s="1906">
        <v>53500871</v>
      </c>
      <c r="D534" s="1836" t="s">
        <v>603</v>
      </c>
      <c r="E534" s="1845">
        <v>0</v>
      </c>
      <c r="F534" s="1845"/>
      <c r="G534" s="1845"/>
      <c r="H534" s="1827">
        <v>0</v>
      </c>
    </row>
    <row r="535" spans="1:9" s="1828" customFormat="1" ht="16.5" thickTop="1" thickBot="1" x14ac:dyDescent="0.3">
      <c r="A535" s="2751" t="s">
        <v>763</v>
      </c>
      <c r="B535" s="2752"/>
      <c r="C535" s="2752"/>
      <c r="D535" s="2752"/>
      <c r="E535" s="1818">
        <f>SUM(E531:E534)</f>
        <v>0</v>
      </c>
      <c r="F535" s="1818">
        <f>SUM(F531:F534)</f>
        <v>189</v>
      </c>
      <c r="G535" s="1818">
        <f>SUM(G531:G534)</f>
        <v>76</v>
      </c>
      <c r="H535" s="1822">
        <f>G535/F535*100</f>
        <v>40.211640211640209</v>
      </c>
      <c r="I535" s="1910"/>
    </row>
    <row r="536" spans="1:9" s="1828" customFormat="1" ht="15.75" thickTop="1" x14ac:dyDescent="0.25">
      <c r="A536" s="1823"/>
      <c r="B536" s="1823"/>
      <c r="C536" s="1823"/>
      <c r="D536" s="1823"/>
      <c r="E536" s="1824"/>
      <c r="F536" s="1824"/>
      <c r="G536" s="1824"/>
      <c r="H536" s="1849"/>
      <c r="I536" s="1910"/>
    </row>
    <row r="537" spans="1:9" s="1828" customFormat="1" ht="15" x14ac:dyDescent="0.25">
      <c r="A537" s="1823"/>
      <c r="B537" s="1823"/>
      <c r="C537" s="1823"/>
      <c r="D537" s="1823"/>
      <c r="E537" s="1824"/>
      <c r="F537" s="1824"/>
      <c r="G537" s="1824"/>
      <c r="H537" s="1849"/>
      <c r="I537" s="1910"/>
    </row>
    <row r="538" spans="1:9" ht="18" x14ac:dyDescent="0.25">
      <c r="A538" s="1808" t="s">
        <v>1370</v>
      </c>
      <c r="B538" s="1831"/>
      <c r="C538" s="1831"/>
      <c r="D538" s="1831"/>
      <c r="E538" s="1831"/>
      <c r="F538" s="1831"/>
      <c r="G538" s="1831"/>
      <c r="H538" s="1876"/>
    </row>
    <row r="539" spans="1:9" ht="16.5" thickBot="1" x14ac:dyDescent="0.3">
      <c r="A539" s="1807" t="s">
        <v>1369</v>
      </c>
      <c r="H539" s="1825" t="s">
        <v>161</v>
      </c>
    </row>
    <row r="540" spans="1:9" s="1638" customFormat="1" ht="25.5" thickTop="1" thickBot="1" x14ac:dyDescent="0.25">
      <c r="A540" s="1809" t="s">
        <v>162</v>
      </c>
      <c r="B540" s="1810" t="s">
        <v>761</v>
      </c>
      <c r="C540" s="1810" t="s">
        <v>377</v>
      </c>
      <c r="D540" s="1811" t="s">
        <v>164</v>
      </c>
      <c r="E540" s="1833" t="s">
        <v>632</v>
      </c>
      <c r="F540" s="1833" t="s">
        <v>633</v>
      </c>
      <c r="G540" s="1834" t="s">
        <v>882</v>
      </c>
      <c r="H540" s="1835" t="s">
        <v>883</v>
      </c>
    </row>
    <row r="541" spans="1:9" s="1638" customFormat="1" ht="13.5" thickTop="1" thickBot="1" x14ac:dyDescent="0.25">
      <c r="A541" s="1643">
        <v>1</v>
      </c>
      <c r="B541" s="1642">
        <v>2</v>
      </c>
      <c r="C541" s="1642">
        <v>3</v>
      </c>
      <c r="D541" s="1642">
        <v>4</v>
      </c>
      <c r="E541" s="1641">
        <v>5</v>
      </c>
      <c r="F541" s="1641">
        <v>6</v>
      </c>
      <c r="G541" s="1877">
        <v>7</v>
      </c>
      <c r="H541" s="1901" t="s">
        <v>61</v>
      </c>
    </row>
    <row r="542" spans="1:9" ht="15.75" thickTop="1" x14ac:dyDescent="0.2">
      <c r="A542" s="1896">
        <v>3522</v>
      </c>
      <c r="B542" s="1903">
        <v>6121</v>
      </c>
      <c r="C542" s="1906">
        <v>36</v>
      </c>
      <c r="D542" s="1836" t="s">
        <v>603</v>
      </c>
      <c r="E542" s="1832">
        <v>0</v>
      </c>
      <c r="F542" s="1832">
        <v>30</v>
      </c>
      <c r="G542" s="1832">
        <v>24</v>
      </c>
      <c r="H542" s="1821">
        <f t="shared" ref="H542:H548" si="37">G542/F542*100</f>
        <v>80</v>
      </c>
    </row>
    <row r="543" spans="1:9" ht="15" x14ac:dyDescent="0.2">
      <c r="A543" s="1896">
        <v>3522</v>
      </c>
      <c r="B543" s="1903">
        <v>6121</v>
      </c>
      <c r="C543" s="1906">
        <v>53100874</v>
      </c>
      <c r="D543" s="1836" t="s">
        <v>603</v>
      </c>
      <c r="E543" s="1845">
        <v>0</v>
      </c>
      <c r="F543" s="1845">
        <v>300</v>
      </c>
      <c r="G543" s="1845">
        <v>0</v>
      </c>
      <c r="H543" s="1821">
        <f t="shared" si="37"/>
        <v>0</v>
      </c>
    </row>
    <row r="544" spans="1:9" ht="15" x14ac:dyDescent="0.2">
      <c r="A544" s="1896">
        <v>3522</v>
      </c>
      <c r="B544" s="1903">
        <v>6121</v>
      </c>
      <c r="C544" s="1906">
        <v>54100870</v>
      </c>
      <c r="D544" s="1836" t="s">
        <v>603</v>
      </c>
      <c r="E544" s="1845">
        <v>0</v>
      </c>
      <c r="F544" s="1845">
        <v>218</v>
      </c>
      <c r="G544" s="1845">
        <v>218</v>
      </c>
      <c r="H544" s="1821">
        <f t="shared" si="37"/>
        <v>100</v>
      </c>
    </row>
    <row r="545" spans="1:9" ht="15" x14ac:dyDescent="0.2">
      <c r="A545" s="1896">
        <v>3522</v>
      </c>
      <c r="B545" s="1903">
        <v>6121</v>
      </c>
      <c r="C545" s="1906">
        <v>54100874</v>
      </c>
      <c r="D545" s="1836" t="s">
        <v>603</v>
      </c>
      <c r="E545" s="1845">
        <v>0</v>
      </c>
      <c r="F545" s="1845">
        <v>1389</v>
      </c>
      <c r="G545" s="1845">
        <v>1389</v>
      </c>
      <c r="H545" s="1821">
        <f t="shared" si="37"/>
        <v>100</v>
      </c>
    </row>
    <row r="546" spans="1:9" ht="15" x14ac:dyDescent="0.2">
      <c r="A546" s="1896">
        <v>3522</v>
      </c>
      <c r="B546" s="1903">
        <v>6121</v>
      </c>
      <c r="C546" s="1906">
        <v>54100880</v>
      </c>
      <c r="D546" s="1836" t="s">
        <v>603</v>
      </c>
      <c r="E546" s="1845">
        <v>0</v>
      </c>
      <c r="F546" s="1845">
        <v>463</v>
      </c>
      <c r="G546" s="1845">
        <v>463</v>
      </c>
      <c r="H546" s="1821">
        <f t="shared" si="37"/>
        <v>100</v>
      </c>
    </row>
    <row r="547" spans="1:9" ht="15" x14ac:dyDescent="0.2">
      <c r="A547" s="1896">
        <v>3522</v>
      </c>
      <c r="B547" s="1903">
        <v>6121</v>
      </c>
      <c r="C547" s="1906">
        <v>54100884</v>
      </c>
      <c r="D547" s="1836" t="s">
        <v>603</v>
      </c>
      <c r="E547" s="1845">
        <v>0</v>
      </c>
      <c r="F547" s="1845">
        <v>6955</v>
      </c>
      <c r="G547" s="1845">
        <v>6489</v>
      </c>
      <c r="H547" s="1821">
        <f t="shared" si="37"/>
        <v>93.299784327821712</v>
      </c>
    </row>
    <row r="548" spans="1:9" ht="15" x14ac:dyDescent="0.2">
      <c r="A548" s="1896">
        <v>3522</v>
      </c>
      <c r="B548" s="1903">
        <v>6121</v>
      </c>
      <c r="C548" s="1906">
        <v>54190877</v>
      </c>
      <c r="D548" s="1836" t="s">
        <v>603</v>
      </c>
      <c r="E548" s="1845">
        <v>0</v>
      </c>
      <c r="F548" s="1845">
        <v>353</v>
      </c>
      <c r="G548" s="1845">
        <v>340</v>
      </c>
      <c r="H548" s="1821">
        <f t="shared" si="37"/>
        <v>96.317280453257794</v>
      </c>
    </row>
    <row r="549" spans="1:9" ht="15.75" thickBot="1" x14ac:dyDescent="0.25">
      <c r="A549" s="1896">
        <v>3522</v>
      </c>
      <c r="B549" s="1903">
        <v>6121</v>
      </c>
      <c r="C549" s="1906">
        <v>54515835</v>
      </c>
      <c r="D549" s="1836" t="s">
        <v>603</v>
      </c>
      <c r="E549" s="1845">
        <v>0</v>
      </c>
      <c r="F549" s="1845">
        <v>6002</v>
      </c>
      <c r="G549" s="1845">
        <v>5781</v>
      </c>
      <c r="H549" s="1821">
        <f>G549/F549*100</f>
        <v>96.317894035321558</v>
      </c>
    </row>
    <row r="550" spans="1:9" s="1828" customFormat="1" ht="16.5" thickTop="1" thickBot="1" x14ac:dyDescent="0.3">
      <c r="A550" s="2751" t="s">
        <v>763</v>
      </c>
      <c r="B550" s="2752"/>
      <c r="C550" s="2752"/>
      <c r="D550" s="2752"/>
      <c r="E550" s="1818">
        <f>SUM(E542:E549)</f>
        <v>0</v>
      </c>
      <c r="F550" s="1818">
        <f>SUM(F542:F549)</f>
        <v>15710</v>
      </c>
      <c r="G550" s="1818">
        <f>SUM(G542:G549)</f>
        <v>14704</v>
      </c>
      <c r="H550" s="1822">
        <f>G550/F550*100</f>
        <v>93.596435391470408</v>
      </c>
      <c r="I550" s="1910"/>
    </row>
    <row r="551" spans="1:9" s="1828" customFormat="1" ht="15.75" thickTop="1" x14ac:dyDescent="0.25">
      <c r="A551" s="1823"/>
      <c r="B551" s="1823"/>
      <c r="C551" s="1823"/>
      <c r="D551" s="1823"/>
      <c r="E551" s="1824"/>
      <c r="F551" s="1824"/>
      <c r="G551" s="1824"/>
      <c r="H551" s="1849"/>
      <c r="I551" s="1910"/>
    </row>
    <row r="552" spans="1:9" ht="18" x14ac:dyDescent="0.25">
      <c r="A552" s="1808" t="s">
        <v>1368</v>
      </c>
      <c r="B552" s="1831"/>
      <c r="C552" s="1831"/>
      <c r="D552" s="1831"/>
      <c r="E552" s="1831"/>
      <c r="F552" s="1831"/>
      <c r="G552" s="1831"/>
      <c r="H552" s="1876"/>
    </row>
    <row r="553" spans="1:9" ht="16.5" thickBot="1" x14ac:dyDescent="0.3">
      <c r="A553" s="1807" t="s">
        <v>1367</v>
      </c>
      <c r="H553" s="1825" t="s">
        <v>161</v>
      </c>
    </row>
    <row r="554" spans="1:9" s="1638" customFormat="1" ht="25.5" thickTop="1" thickBot="1" x14ac:dyDescent="0.25">
      <c r="A554" s="1809" t="s">
        <v>162</v>
      </c>
      <c r="B554" s="1810" t="s">
        <v>761</v>
      </c>
      <c r="C554" s="1810" t="s">
        <v>377</v>
      </c>
      <c r="D554" s="1811" t="s">
        <v>164</v>
      </c>
      <c r="E554" s="1833" t="s">
        <v>632</v>
      </c>
      <c r="F554" s="1833" t="s">
        <v>633</v>
      </c>
      <c r="G554" s="1834" t="s">
        <v>882</v>
      </c>
      <c r="H554" s="1835" t="s">
        <v>883</v>
      </c>
    </row>
    <row r="555" spans="1:9" s="1638" customFormat="1" ht="13.5" thickTop="1" thickBot="1" x14ac:dyDescent="0.25">
      <c r="A555" s="1643">
        <v>1</v>
      </c>
      <c r="B555" s="1642">
        <v>2</v>
      </c>
      <c r="C555" s="1642">
        <v>3</v>
      </c>
      <c r="D555" s="1642">
        <v>4</v>
      </c>
      <c r="E555" s="1641">
        <v>5</v>
      </c>
      <c r="F555" s="1641">
        <v>6</v>
      </c>
      <c r="G555" s="1877">
        <v>7</v>
      </c>
      <c r="H555" s="1901" t="s">
        <v>61</v>
      </c>
    </row>
    <row r="556" spans="1:9" ht="15.75" thickTop="1" x14ac:dyDescent="0.2">
      <c r="A556" s="1896">
        <v>3522</v>
      </c>
      <c r="B556" s="1903">
        <v>6121</v>
      </c>
      <c r="C556" s="1906">
        <v>14</v>
      </c>
      <c r="D556" s="1836" t="s">
        <v>603</v>
      </c>
      <c r="E556" s="1832">
        <v>16644</v>
      </c>
      <c r="F556" s="1832">
        <v>0</v>
      </c>
      <c r="G556" s="1832">
        <v>0</v>
      </c>
      <c r="H556" s="1821">
        <v>0</v>
      </c>
    </row>
    <row r="557" spans="1:9" ht="15" x14ac:dyDescent="0.2">
      <c r="A557" s="1896">
        <v>3522</v>
      </c>
      <c r="B557" s="1903">
        <v>6121</v>
      </c>
      <c r="C557" s="1906">
        <v>53100884</v>
      </c>
      <c r="D557" s="1836" t="s">
        <v>603</v>
      </c>
      <c r="E557" s="1845">
        <v>0</v>
      </c>
      <c r="F557" s="1845">
        <v>0</v>
      </c>
      <c r="G557" s="1845">
        <v>0</v>
      </c>
      <c r="H557" s="1821">
        <v>0</v>
      </c>
    </row>
    <row r="558" spans="1:9" ht="15" x14ac:dyDescent="0.2">
      <c r="A558" s="1896">
        <v>3522</v>
      </c>
      <c r="B558" s="1903">
        <v>6121</v>
      </c>
      <c r="C558" s="1906">
        <v>54100880</v>
      </c>
      <c r="D558" s="1836" t="s">
        <v>603</v>
      </c>
      <c r="E558" s="1845">
        <v>0</v>
      </c>
      <c r="F558" s="1845">
        <v>962</v>
      </c>
      <c r="G558" s="1845">
        <v>924</v>
      </c>
      <c r="H558" s="1821">
        <f>G558/F558*100</f>
        <v>96.049896049896049</v>
      </c>
    </row>
    <row r="559" spans="1:9" ht="15" x14ac:dyDescent="0.2">
      <c r="A559" s="1896">
        <v>3522</v>
      </c>
      <c r="B559" s="1903">
        <v>6121</v>
      </c>
      <c r="C559" s="1906">
        <v>54100884</v>
      </c>
      <c r="D559" s="1836" t="s">
        <v>603</v>
      </c>
      <c r="E559" s="1845">
        <v>0</v>
      </c>
      <c r="F559" s="1845">
        <v>13982</v>
      </c>
      <c r="G559" s="1845">
        <v>13961</v>
      </c>
      <c r="H559" s="1821">
        <f>G559/F559*100</f>
        <v>99.849806894578734</v>
      </c>
    </row>
    <row r="560" spans="1:9" ht="15" x14ac:dyDescent="0.2">
      <c r="A560" s="1896">
        <v>4357</v>
      </c>
      <c r="B560" s="1903">
        <v>6121</v>
      </c>
      <c r="C560" s="1906">
        <v>54190877</v>
      </c>
      <c r="D560" s="1836" t="s">
        <v>603</v>
      </c>
      <c r="E560" s="1845">
        <v>0</v>
      </c>
      <c r="F560" s="1845">
        <v>478</v>
      </c>
      <c r="G560" s="1845">
        <v>462</v>
      </c>
      <c r="H560" s="1821">
        <f>G560/F560*100</f>
        <v>96.652719665271974</v>
      </c>
    </row>
    <row r="561" spans="1:9" ht="15.75" thickBot="1" x14ac:dyDescent="0.25">
      <c r="A561" s="1896">
        <v>4357</v>
      </c>
      <c r="B561" s="1903">
        <v>6121</v>
      </c>
      <c r="C561" s="1906">
        <v>54515835</v>
      </c>
      <c r="D561" s="1836" t="s">
        <v>603</v>
      </c>
      <c r="E561" s="1845">
        <v>0</v>
      </c>
      <c r="F561" s="1845">
        <v>8130</v>
      </c>
      <c r="G561" s="1845">
        <v>7855</v>
      </c>
      <c r="H561" s="1827">
        <v>0</v>
      </c>
    </row>
    <row r="562" spans="1:9" s="1828" customFormat="1" ht="16.5" thickTop="1" thickBot="1" x14ac:dyDescent="0.3">
      <c r="A562" s="2751" t="s">
        <v>763</v>
      </c>
      <c r="B562" s="2752"/>
      <c r="C562" s="2752"/>
      <c r="D562" s="2752"/>
      <c r="E562" s="1818">
        <f>SUM(E556:E561)</f>
        <v>16644</v>
      </c>
      <c r="F562" s="1818">
        <f t="shared" ref="F562:G562" si="38">SUM(F556:F561)</f>
        <v>23552</v>
      </c>
      <c r="G562" s="1818">
        <f t="shared" si="38"/>
        <v>23202</v>
      </c>
      <c r="H562" s="1822">
        <f>G562/F562*100</f>
        <v>98.513926630434781</v>
      </c>
      <c r="I562" s="1910"/>
    </row>
    <row r="563" spans="1:9" s="1828" customFormat="1" ht="15.75" thickTop="1" x14ac:dyDescent="0.25">
      <c r="A563" s="1823"/>
      <c r="B563" s="1823"/>
      <c r="C563" s="1823"/>
      <c r="D563" s="1823"/>
      <c r="E563" s="1824"/>
      <c r="F563" s="1824"/>
      <c r="G563" s="1824"/>
      <c r="H563" s="1849"/>
      <c r="I563" s="1910"/>
    </row>
    <row r="564" spans="1:9" ht="18" x14ac:dyDescent="0.25">
      <c r="A564" s="1808" t="s">
        <v>1366</v>
      </c>
      <c r="B564" s="1831"/>
      <c r="C564" s="1831"/>
      <c r="D564" s="1831"/>
      <c r="E564" s="1831"/>
      <c r="F564" s="1831"/>
      <c r="G564" s="1831"/>
      <c r="H564" s="1876"/>
    </row>
    <row r="565" spans="1:9" ht="16.5" thickBot="1" x14ac:dyDescent="0.3">
      <c r="A565" s="1807" t="s">
        <v>1365</v>
      </c>
      <c r="H565" s="1825" t="s">
        <v>161</v>
      </c>
    </row>
    <row r="566" spans="1:9" s="1638" customFormat="1" ht="25.5" thickTop="1" thickBot="1" x14ac:dyDescent="0.25">
      <c r="A566" s="1809" t="s">
        <v>162</v>
      </c>
      <c r="B566" s="1810" t="s">
        <v>761</v>
      </c>
      <c r="C566" s="1810" t="s">
        <v>377</v>
      </c>
      <c r="D566" s="1811" t="s">
        <v>164</v>
      </c>
      <c r="E566" s="1833" t="s">
        <v>632</v>
      </c>
      <c r="F566" s="1833" t="s">
        <v>633</v>
      </c>
      <c r="G566" s="1834" t="s">
        <v>882</v>
      </c>
      <c r="H566" s="1835" t="s">
        <v>883</v>
      </c>
    </row>
    <row r="567" spans="1:9" s="1638" customFormat="1" ht="13.5" thickTop="1" thickBot="1" x14ac:dyDescent="0.25">
      <c r="A567" s="1643">
        <v>1</v>
      </c>
      <c r="B567" s="1642">
        <v>2</v>
      </c>
      <c r="C567" s="1642">
        <v>3</v>
      </c>
      <c r="D567" s="1642">
        <v>4</v>
      </c>
      <c r="E567" s="1641">
        <v>5</v>
      </c>
      <c r="F567" s="1641">
        <v>6</v>
      </c>
      <c r="G567" s="1877">
        <v>7</v>
      </c>
      <c r="H567" s="1901" t="s">
        <v>61</v>
      </c>
    </row>
    <row r="568" spans="1:9" ht="15.75" thickTop="1" x14ac:dyDescent="0.2">
      <c r="A568" s="1896">
        <v>3522</v>
      </c>
      <c r="B568" s="1903">
        <v>6121</v>
      </c>
      <c r="C568" s="1906">
        <v>36</v>
      </c>
      <c r="D568" s="1836" t="s">
        <v>603</v>
      </c>
      <c r="E568" s="1832">
        <v>0</v>
      </c>
      <c r="F568" s="1832">
        <v>6</v>
      </c>
      <c r="G568" s="1832">
        <v>0</v>
      </c>
      <c r="H568" s="1821">
        <f>G568/F568*100</f>
        <v>0</v>
      </c>
    </row>
    <row r="569" spans="1:9" ht="15" x14ac:dyDescent="0.2">
      <c r="A569" s="1896">
        <v>3522</v>
      </c>
      <c r="B569" s="1903">
        <v>6121</v>
      </c>
      <c r="C569" s="1906">
        <v>53100874</v>
      </c>
      <c r="D569" s="1836" t="s">
        <v>603</v>
      </c>
      <c r="E569" s="1845">
        <v>0</v>
      </c>
      <c r="F569" s="1845">
        <v>849</v>
      </c>
      <c r="G569" s="1845">
        <v>849</v>
      </c>
      <c r="H569" s="1821">
        <f t="shared" ref="H569:H572" si="39">G569/F569*100</f>
        <v>100</v>
      </c>
    </row>
    <row r="570" spans="1:9" ht="15" x14ac:dyDescent="0.2">
      <c r="A570" s="1896">
        <v>3522</v>
      </c>
      <c r="B570" s="1903">
        <v>6121</v>
      </c>
      <c r="C570" s="1906">
        <v>54100870</v>
      </c>
      <c r="D570" s="1836" t="s">
        <v>603</v>
      </c>
      <c r="E570" s="1845">
        <v>0</v>
      </c>
      <c r="F570" s="1845">
        <v>330</v>
      </c>
      <c r="G570" s="1845">
        <v>307</v>
      </c>
      <c r="H570" s="1821">
        <f t="shared" si="39"/>
        <v>93.030303030303031</v>
      </c>
    </row>
    <row r="571" spans="1:9" ht="15" x14ac:dyDescent="0.2">
      <c r="A571" s="1896">
        <v>3522</v>
      </c>
      <c r="B571" s="1903">
        <v>6121</v>
      </c>
      <c r="C571" s="1906">
        <v>54100874</v>
      </c>
      <c r="D571" s="1836" t="s">
        <v>603</v>
      </c>
      <c r="E571" s="1845">
        <v>0</v>
      </c>
      <c r="F571" s="1845">
        <v>3533</v>
      </c>
      <c r="G571" s="1845">
        <v>3311</v>
      </c>
      <c r="H571" s="1821">
        <f t="shared" si="39"/>
        <v>93.716388338522506</v>
      </c>
    </row>
    <row r="572" spans="1:9" ht="15" x14ac:dyDescent="0.2">
      <c r="A572" s="1896">
        <v>3522</v>
      </c>
      <c r="B572" s="1903">
        <v>6121</v>
      </c>
      <c r="C572" s="1906">
        <v>54100880</v>
      </c>
      <c r="D572" s="1836" t="s">
        <v>603</v>
      </c>
      <c r="E572" s="1845">
        <v>0</v>
      </c>
      <c r="F572" s="1845">
        <v>22</v>
      </c>
      <c r="G572" s="1845">
        <v>0</v>
      </c>
      <c r="H572" s="1821">
        <f t="shared" si="39"/>
        <v>0</v>
      </c>
    </row>
    <row r="573" spans="1:9" ht="15" x14ac:dyDescent="0.2">
      <c r="A573" s="1896">
        <v>3522</v>
      </c>
      <c r="B573" s="1903">
        <v>6121</v>
      </c>
      <c r="C573" s="1906">
        <v>54100884</v>
      </c>
      <c r="D573" s="1836" t="s">
        <v>603</v>
      </c>
      <c r="E573" s="1845">
        <v>0</v>
      </c>
      <c r="F573" s="1845">
        <v>292</v>
      </c>
      <c r="G573" s="1845">
        <v>292</v>
      </c>
      <c r="H573" s="1821">
        <f>G573/F573*100</f>
        <v>100</v>
      </c>
    </row>
    <row r="574" spans="1:9" ht="15" x14ac:dyDescent="0.2">
      <c r="A574" s="1896">
        <v>3522</v>
      </c>
      <c r="B574" s="1903">
        <v>6121</v>
      </c>
      <c r="C574" s="1906">
        <v>54190877</v>
      </c>
      <c r="D574" s="1836" t="s">
        <v>603</v>
      </c>
      <c r="E574" s="1845">
        <v>0</v>
      </c>
      <c r="F574" s="1845">
        <v>167</v>
      </c>
      <c r="G574" s="1845">
        <v>154</v>
      </c>
      <c r="H574" s="1821">
        <f>G574/F574*100</f>
        <v>92.215568862275461</v>
      </c>
    </row>
    <row r="575" spans="1:9" ht="15.75" thickBot="1" x14ac:dyDescent="0.25">
      <c r="A575" s="1896">
        <v>3522</v>
      </c>
      <c r="B575" s="1903">
        <v>6121</v>
      </c>
      <c r="C575" s="1906">
        <v>54515835</v>
      </c>
      <c r="D575" s="1836" t="s">
        <v>603</v>
      </c>
      <c r="E575" s="1845">
        <v>0</v>
      </c>
      <c r="F575" s="1845">
        <v>2832</v>
      </c>
      <c r="G575" s="1845">
        <v>2614</v>
      </c>
      <c r="H575" s="1827">
        <v>0</v>
      </c>
    </row>
    <row r="576" spans="1:9" s="1828" customFormat="1" ht="16.5" thickTop="1" thickBot="1" x14ac:dyDescent="0.3">
      <c r="A576" s="2751" t="s">
        <v>763</v>
      </c>
      <c r="B576" s="2752"/>
      <c r="C576" s="2752"/>
      <c r="D576" s="2752"/>
      <c r="E576" s="1818">
        <f>SUM(E568:E575)</f>
        <v>0</v>
      </c>
      <c r="F576" s="1818">
        <f>SUM(F568:F575)</f>
        <v>8031</v>
      </c>
      <c r="G576" s="1818">
        <f>SUM(G568:G575)</f>
        <v>7527</v>
      </c>
      <c r="H576" s="1822">
        <f>G576/F576*100</f>
        <v>93.72431826671648</v>
      </c>
      <c r="I576" s="1910"/>
    </row>
    <row r="577" spans="1:9" ht="13.5" thickTop="1" x14ac:dyDescent="0.2">
      <c r="I577" s="1829"/>
    </row>
    <row r="578" spans="1:9" ht="18" x14ac:dyDescent="0.25">
      <c r="A578" s="1808" t="s">
        <v>1987</v>
      </c>
      <c r="B578" s="1831"/>
      <c r="C578" s="1831"/>
      <c r="D578" s="1831"/>
      <c r="E578" s="1831"/>
      <c r="F578" s="1831"/>
      <c r="G578" s="1831"/>
      <c r="H578" s="1876"/>
    </row>
    <row r="579" spans="1:9" ht="16.5" thickBot="1" x14ac:dyDescent="0.3">
      <c r="A579" s="1807" t="s">
        <v>1988</v>
      </c>
      <c r="H579" s="1825" t="s">
        <v>161</v>
      </c>
    </row>
    <row r="580" spans="1:9" s="1638" customFormat="1" ht="25.5" thickTop="1" thickBot="1" x14ac:dyDescent="0.25">
      <c r="A580" s="1809" t="s">
        <v>162</v>
      </c>
      <c r="B580" s="1810" t="s">
        <v>761</v>
      </c>
      <c r="C580" s="1810" t="s">
        <v>377</v>
      </c>
      <c r="D580" s="1811" t="s">
        <v>164</v>
      </c>
      <c r="E580" s="1833" t="s">
        <v>632</v>
      </c>
      <c r="F580" s="1833" t="s">
        <v>633</v>
      </c>
      <c r="G580" s="1834" t="s">
        <v>882</v>
      </c>
      <c r="H580" s="1835" t="s">
        <v>883</v>
      </c>
    </row>
    <row r="581" spans="1:9" s="1638" customFormat="1" ht="13.5" thickTop="1" thickBot="1" x14ac:dyDescent="0.25">
      <c r="A581" s="1643">
        <v>1</v>
      </c>
      <c r="B581" s="1642">
        <v>2</v>
      </c>
      <c r="C581" s="1642">
        <v>3</v>
      </c>
      <c r="D581" s="1642">
        <v>4</v>
      </c>
      <c r="E581" s="1641">
        <v>5</v>
      </c>
      <c r="F581" s="1641">
        <v>6</v>
      </c>
      <c r="G581" s="1877">
        <v>7</v>
      </c>
      <c r="H581" s="1901" t="s">
        <v>61</v>
      </c>
    </row>
    <row r="582" spans="1:9" ht="15.75" hidden="1" thickTop="1" x14ac:dyDescent="0.2">
      <c r="A582" s="1896">
        <v>3522</v>
      </c>
      <c r="B582" s="1903">
        <v>6121</v>
      </c>
      <c r="C582" s="1906">
        <v>54100880</v>
      </c>
      <c r="D582" s="1836" t="s">
        <v>603</v>
      </c>
      <c r="E582" s="1832">
        <v>0</v>
      </c>
      <c r="F582" s="1832">
        <v>0</v>
      </c>
      <c r="G582" s="1832">
        <v>0</v>
      </c>
      <c r="H582" s="1821" t="e">
        <f>G582/F582*100</f>
        <v>#DIV/0!</v>
      </c>
    </row>
    <row r="583" spans="1:9" ht="15.75" hidden="1" thickTop="1" x14ac:dyDescent="0.2">
      <c r="A583" s="1896">
        <v>3122</v>
      </c>
      <c r="B583" s="1903">
        <v>6121</v>
      </c>
      <c r="C583" s="1906">
        <v>53100872</v>
      </c>
      <c r="D583" s="1836" t="s">
        <v>603</v>
      </c>
      <c r="E583" s="1845">
        <v>0</v>
      </c>
      <c r="F583" s="1845"/>
      <c r="G583" s="1845"/>
      <c r="H583" s="1821" t="e">
        <f>G583/F583*100</f>
        <v>#DIV/0!</v>
      </c>
    </row>
    <row r="584" spans="1:9" ht="16.5" thickTop="1" thickBot="1" x14ac:dyDescent="0.25">
      <c r="A584" s="1896">
        <v>3522</v>
      </c>
      <c r="B584" s="1903">
        <v>6121</v>
      </c>
      <c r="C584" s="1906">
        <v>54100884</v>
      </c>
      <c r="D584" s="1836" t="s">
        <v>603</v>
      </c>
      <c r="E584" s="1845">
        <v>0</v>
      </c>
      <c r="F584" s="1845">
        <v>130</v>
      </c>
      <c r="G584" s="1845">
        <v>44</v>
      </c>
      <c r="H584" s="1821">
        <f>G584/F584*100</f>
        <v>33.846153846153847</v>
      </c>
    </row>
    <row r="585" spans="1:9" ht="15.75" hidden="1" thickBot="1" x14ac:dyDescent="0.25">
      <c r="A585" s="1896">
        <v>3122</v>
      </c>
      <c r="B585" s="1903">
        <v>6121</v>
      </c>
      <c r="C585" s="1906">
        <v>53500871</v>
      </c>
      <c r="D585" s="1836" t="s">
        <v>603</v>
      </c>
      <c r="E585" s="1845">
        <v>0</v>
      </c>
      <c r="F585" s="1845"/>
      <c r="G585" s="1845"/>
      <c r="H585" s="1827">
        <v>0</v>
      </c>
    </row>
    <row r="586" spans="1:9" s="1828" customFormat="1" ht="16.5" thickTop="1" thickBot="1" x14ac:dyDescent="0.3">
      <c r="A586" s="2751" t="s">
        <v>763</v>
      </c>
      <c r="B586" s="2752"/>
      <c r="C586" s="2752"/>
      <c r="D586" s="2752"/>
      <c r="E586" s="1818">
        <f>SUM(E582:E585)</f>
        <v>0</v>
      </c>
      <c r="F586" s="1818">
        <f>SUM(F582:F585)</f>
        <v>130</v>
      </c>
      <c r="G586" s="1818">
        <f>SUM(G582:G585)</f>
        <v>44</v>
      </c>
      <c r="H586" s="1822">
        <f>G586/F586*100</f>
        <v>33.846153846153847</v>
      </c>
      <c r="I586" s="1910"/>
    </row>
    <row r="587" spans="1:9" ht="13.5" thickTop="1" x14ac:dyDescent="0.2">
      <c r="I587" s="1829"/>
    </row>
    <row r="588" spans="1:9" ht="18" x14ac:dyDescent="0.25">
      <c r="A588" s="1808" t="s">
        <v>1989</v>
      </c>
      <c r="B588" s="1831"/>
      <c r="C588" s="1831"/>
      <c r="D588" s="1831"/>
      <c r="E588" s="1831"/>
      <c r="F588" s="1831"/>
      <c r="G588" s="1831"/>
      <c r="H588" s="1876"/>
    </row>
    <row r="589" spans="1:9" ht="16.5" thickBot="1" x14ac:dyDescent="0.3">
      <c r="A589" s="1807" t="s">
        <v>1990</v>
      </c>
      <c r="H589" s="1825" t="s">
        <v>161</v>
      </c>
    </row>
    <row r="590" spans="1:9" s="1638" customFormat="1" ht="25.5" thickTop="1" thickBot="1" x14ac:dyDescent="0.25">
      <c r="A590" s="1809" t="s">
        <v>162</v>
      </c>
      <c r="B590" s="1810" t="s">
        <v>761</v>
      </c>
      <c r="C590" s="1810" t="s">
        <v>377</v>
      </c>
      <c r="D590" s="1811" t="s">
        <v>164</v>
      </c>
      <c r="E590" s="1833" t="s">
        <v>632</v>
      </c>
      <c r="F590" s="1833" t="s">
        <v>633</v>
      </c>
      <c r="G590" s="1834" t="s">
        <v>882</v>
      </c>
      <c r="H590" s="1835" t="s">
        <v>883</v>
      </c>
    </row>
    <row r="591" spans="1:9" s="1638" customFormat="1" ht="13.5" thickTop="1" thickBot="1" x14ac:dyDescent="0.25">
      <c r="A591" s="1643">
        <v>1</v>
      </c>
      <c r="B591" s="1642">
        <v>2</v>
      </c>
      <c r="C591" s="1642">
        <v>3</v>
      </c>
      <c r="D591" s="1642">
        <v>4</v>
      </c>
      <c r="E591" s="1641">
        <v>5</v>
      </c>
      <c r="F591" s="1641">
        <v>6</v>
      </c>
      <c r="G591" s="1877">
        <v>7</v>
      </c>
      <c r="H591" s="1901" t="s">
        <v>61</v>
      </c>
    </row>
    <row r="592" spans="1:9" ht="15.75" hidden="1" thickTop="1" x14ac:dyDescent="0.2">
      <c r="A592" s="1896">
        <v>3522</v>
      </c>
      <c r="B592" s="1903">
        <v>6121</v>
      </c>
      <c r="C592" s="1906">
        <v>54100880</v>
      </c>
      <c r="D592" s="1836" t="s">
        <v>603</v>
      </c>
      <c r="E592" s="1832">
        <v>0</v>
      </c>
      <c r="F592" s="1832">
        <v>0</v>
      </c>
      <c r="G592" s="1832">
        <v>0</v>
      </c>
      <c r="H592" s="1821" t="e">
        <f>G592/F592*100</f>
        <v>#DIV/0!</v>
      </c>
    </row>
    <row r="593" spans="1:9" ht="15.75" hidden="1" thickTop="1" x14ac:dyDescent="0.2">
      <c r="A593" s="1896">
        <v>3122</v>
      </c>
      <c r="B593" s="1903">
        <v>6121</v>
      </c>
      <c r="C593" s="1906">
        <v>53100872</v>
      </c>
      <c r="D593" s="1836" t="s">
        <v>603</v>
      </c>
      <c r="E593" s="1845">
        <v>0</v>
      </c>
      <c r="F593" s="1845"/>
      <c r="G593" s="1845"/>
      <c r="H593" s="1821" t="e">
        <f>G593/F593*100</f>
        <v>#DIV/0!</v>
      </c>
    </row>
    <row r="594" spans="1:9" ht="16.5" thickTop="1" thickBot="1" x14ac:dyDescent="0.25">
      <c r="A594" s="1896">
        <v>3522</v>
      </c>
      <c r="B594" s="1903">
        <v>6121</v>
      </c>
      <c r="C594" s="1906">
        <v>54100884</v>
      </c>
      <c r="D594" s="1836" t="s">
        <v>603</v>
      </c>
      <c r="E594" s="1845">
        <v>0</v>
      </c>
      <c r="F594" s="1845">
        <v>201</v>
      </c>
      <c r="G594" s="1845">
        <v>170</v>
      </c>
      <c r="H594" s="1821">
        <f>G594/F594*100</f>
        <v>84.577114427860707</v>
      </c>
    </row>
    <row r="595" spans="1:9" ht="15.75" hidden="1" thickBot="1" x14ac:dyDescent="0.25">
      <c r="A595" s="1896">
        <v>3122</v>
      </c>
      <c r="B595" s="1903">
        <v>6121</v>
      </c>
      <c r="C595" s="1906">
        <v>53500871</v>
      </c>
      <c r="D595" s="1836" t="s">
        <v>603</v>
      </c>
      <c r="E595" s="1845">
        <v>0</v>
      </c>
      <c r="F595" s="1845"/>
      <c r="G595" s="1845"/>
      <c r="H595" s="1827">
        <v>0</v>
      </c>
    </row>
    <row r="596" spans="1:9" s="1828" customFormat="1" ht="16.5" thickTop="1" thickBot="1" x14ac:dyDescent="0.3">
      <c r="A596" s="2751" t="s">
        <v>763</v>
      </c>
      <c r="B596" s="2752"/>
      <c r="C596" s="2752"/>
      <c r="D596" s="2752"/>
      <c r="E596" s="1818">
        <f>SUM(E592:E595)</f>
        <v>0</v>
      </c>
      <c r="F596" s="1818">
        <f>SUM(F592:F595)</f>
        <v>201</v>
      </c>
      <c r="G596" s="1818">
        <f>SUM(G592:G595)</f>
        <v>170</v>
      </c>
      <c r="H596" s="1822">
        <f>G596/F596*100</f>
        <v>84.577114427860707</v>
      </c>
      <c r="I596" s="1910"/>
    </row>
    <row r="597" spans="1:9" ht="13.5" thickTop="1" x14ac:dyDescent="0.2">
      <c r="I597" s="1829"/>
    </row>
    <row r="598" spans="1:9" ht="18" x14ac:dyDescent="0.25">
      <c r="A598" s="1808" t="s">
        <v>1991</v>
      </c>
      <c r="B598" s="1831"/>
      <c r="C598" s="1831"/>
      <c r="D598" s="1831"/>
      <c r="E598" s="1831"/>
      <c r="F598" s="1831"/>
      <c r="G598" s="1831"/>
      <c r="H598" s="1876"/>
    </row>
    <row r="599" spans="1:9" ht="16.5" thickBot="1" x14ac:dyDescent="0.3">
      <c r="A599" s="1807" t="s">
        <v>1992</v>
      </c>
      <c r="H599" s="1825" t="s">
        <v>161</v>
      </c>
    </row>
    <row r="600" spans="1:9" s="1638" customFormat="1" ht="25.5" thickTop="1" thickBot="1" x14ac:dyDescent="0.25">
      <c r="A600" s="1809" t="s">
        <v>162</v>
      </c>
      <c r="B600" s="1810" t="s">
        <v>761</v>
      </c>
      <c r="C600" s="1810" t="s">
        <v>377</v>
      </c>
      <c r="D600" s="1811" t="s">
        <v>164</v>
      </c>
      <c r="E600" s="1833" t="s">
        <v>632</v>
      </c>
      <c r="F600" s="1833" t="s">
        <v>633</v>
      </c>
      <c r="G600" s="1834" t="s">
        <v>882</v>
      </c>
      <c r="H600" s="1835" t="s">
        <v>883</v>
      </c>
    </row>
    <row r="601" spans="1:9" s="1638" customFormat="1" ht="13.5" thickTop="1" thickBot="1" x14ac:dyDescent="0.25">
      <c r="A601" s="1643">
        <v>1</v>
      </c>
      <c r="B601" s="1642">
        <v>2</v>
      </c>
      <c r="C601" s="1642">
        <v>3</v>
      </c>
      <c r="D601" s="1642">
        <v>4</v>
      </c>
      <c r="E601" s="1641">
        <v>5</v>
      </c>
      <c r="F601" s="1641">
        <v>6</v>
      </c>
      <c r="G601" s="1877">
        <v>7</v>
      </c>
      <c r="H601" s="1901" t="s">
        <v>61</v>
      </c>
    </row>
    <row r="602" spans="1:9" ht="15.75" hidden="1" thickTop="1" x14ac:dyDescent="0.2">
      <c r="A602" s="1896">
        <v>3522</v>
      </c>
      <c r="B602" s="1903">
        <v>6121</v>
      </c>
      <c r="C602" s="1906">
        <v>54100880</v>
      </c>
      <c r="D602" s="1836" t="s">
        <v>603</v>
      </c>
      <c r="E602" s="1832">
        <v>0</v>
      </c>
      <c r="F602" s="1832">
        <v>0</v>
      </c>
      <c r="G602" s="1832">
        <v>0</v>
      </c>
      <c r="H602" s="1821" t="e">
        <f>G602/F602*100</f>
        <v>#DIV/0!</v>
      </c>
    </row>
    <row r="603" spans="1:9" ht="15.75" hidden="1" thickTop="1" x14ac:dyDescent="0.2">
      <c r="A603" s="1896">
        <v>3122</v>
      </c>
      <c r="B603" s="1903">
        <v>6121</v>
      </c>
      <c r="C603" s="1906">
        <v>53100872</v>
      </c>
      <c r="D603" s="1836" t="s">
        <v>603</v>
      </c>
      <c r="E603" s="1845">
        <v>0</v>
      </c>
      <c r="F603" s="1845"/>
      <c r="G603" s="1845"/>
      <c r="H603" s="1821" t="e">
        <f>G603/F603*100</f>
        <v>#DIV/0!</v>
      </c>
    </row>
    <row r="604" spans="1:9" ht="16.5" thickTop="1" thickBot="1" x14ac:dyDescent="0.25">
      <c r="A604" s="1896">
        <v>3522</v>
      </c>
      <c r="B604" s="1903">
        <v>6121</v>
      </c>
      <c r="C604" s="1906">
        <v>54100884</v>
      </c>
      <c r="D604" s="1836" t="s">
        <v>603</v>
      </c>
      <c r="E604" s="1845">
        <v>0</v>
      </c>
      <c r="F604" s="1845">
        <v>117</v>
      </c>
      <c r="G604" s="1845">
        <v>117</v>
      </c>
      <c r="H604" s="1821">
        <f>G604/F604*100</f>
        <v>100</v>
      </c>
    </row>
    <row r="605" spans="1:9" ht="15.75" hidden="1" thickBot="1" x14ac:dyDescent="0.25">
      <c r="A605" s="1896">
        <v>3122</v>
      </c>
      <c r="B605" s="1903">
        <v>6121</v>
      </c>
      <c r="C605" s="1906">
        <v>53500871</v>
      </c>
      <c r="D605" s="1836" t="s">
        <v>603</v>
      </c>
      <c r="E605" s="1845">
        <v>0</v>
      </c>
      <c r="F605" s="1845"/>
      <c r="G605" s="1845"/>
      <c r="H605" s="1827">
        <v>0</v>
      </c>
    </row>
    <row r="606" spans="1:9" s="1828" customFormat="1" ht="16.5" thickTop="1" thickBot="1" x14ac:dyDescent="0.3">
      <c r="A606" s="2751" t="s">
        <v>763</v>
      </c>
      <c r="B606" s="2752"/>
      <c r="C606" s="2752"/>
      <c r="D606" s="2752"/>
      <c r="E606" s="1818">
        <f>SUM(E602:E605)</f>
        <v>0</v>
      </c>
      <c r="F606" s="1818">
        <f>SUM(F602:F605)</f>
        <v>117</v>
      </c>
      <c r="G606" s="1818">
        <f>SUM(G602:G605)</f>
        <v>117</v>
      </c>
      <c r="H606" s="1822">
        <f>G606/F606*100</f>
        <v>100</v>
      </c>
      <c r="I606" s="1910"/>
    </row>
    <row r="607" spans="1:9" ht="13.5" thickTop="1" x14ac:dyDescent="0.2">
      <c r="I607" s="1829"/>
    </row>
    <row r="608" spans="1:9" ht="18" x14ac:dyDescent="0.25">
      <c r="A608" s="1808" t="s">
        <v>1993</v>
      </c>
      <c r="B608" s="1831"/>
      <c r="C608" s="1831"/>
      <c r="D608" s="1831"/>
      <c r="E608" s="1831"/>
      <c r="F608" s="1831"/>
      <c r="G608" s="1831"/>
      <c r="H608" s="1876"/>
    </row>
    <row r="609" spans="1:9" ht="16.5" thickBot="1" x14ac:dyDescent="0.3">
      <c r="A609" s="1807" t="s">
        <v>1994</v>
      </c>
      <c r="H609" s="1825" t="s">
        <v>161</v>
      </c>
    </row>
    <row r="610" spans="1:9" s="1638" customFormat="1" ht="25.5" thickTop="1" thickBot="1" x14ac:dyDescent="0.25">
      <c r="A610" s="1809" t="s">
        <v>162</v>
      </c>
      <c r="B610" s="1810" t="s">
        <v>761</v>
      </c>
      <c r="C610" s="1810" t="s">
        <v>377</v>
      </c>
      <c r="D610" s="1811" t="s">
        <v>164</v>
      </c>
      <c r="E610" s="1833" t="s">
        <v>632</v>
      </c>
      <c r="F610" s="1833" t="s">
        <v>633</v>
      </c>
      <c r="G610" s="1834" t="s">
        <v>882</v>
      </c>
      <c r="H610" s="1835" t="s">
        <v>883</v>
      </c>
    </row>
    <row r="611" spans="1:9" s="1638" customFormat="1" ht="13.5" thickTop="1" thickBot="1" x14ac:dyDescent="0.25">
      <c r="A611" s="1643">
        <v>1</v>
      </c>
      <c r="B611" s="1642">
        <v>2</v>
      </c>
      <c r="C611" s="1642">
        <v>3</v>
      </c>
      <c r="D611" s="1642">
        <v>4</v>
      </c>
      <c r="E611" s="1641">
        <v>5</v>
      </c>
      <c r="F611" s="1641">
        <v>6</v>
      </c>
      <c r="G611" s="1877">
        <v>7</v>
      </c>
      <c r="H611" s="1901" t="s">
        <v>61</v>
      </c>
    </row>
    <row r="612" spans="1:9" ht="15.75" hidden="1" thickTop="1" x14ac:dyDescent="0.2">
      <c r="A612" s="1896">
        <v>3522</v>
      </c>
      <c r="B612" s="1903">
        <v>6121</v>
      </c>
      <c r="C612" s="1906">
        <v>54100880</v>
      </c>
      <c r="D612" s="1836" t="s">
        <v>603</v>
      </c>
      <c r="E612" s="1832">
        <v>0</v>
      </c>
      <c r="F612" s="1832">
        <v>0</v>
      </c>
      <c r="G612" s="1832">
        <v>0</v>
      </c>
      <c r="H612" s="1821" t="e">
        <f>G612/F612*100</f>
        <v>#DIV/0!</v>
      </c>
    </row>
    <row r="613" spans="1:9" ht="15.75" hidden="1" thickTop="1" x14ac:dyDescent="0.2">
      <c r="A613" s="1896">
        <v>3122</v>
      </c>
      <c r="B613" s="1903">
        <v>6121</v>
      </c>
      <c r="C613" s="1906">
        <v>53100872</v>
      </c>
      <c r="D613" s="1836" t="s">
        <v>603</v>
      </c>
      <c r="E613" s="1845">
        <v>0</v>
      </c>
      <c r="F613" s="1845"/>
      <c r="G613" s="1845"/>
      <c r="H613" s="1821" t="e">
        <f>G613/F613*100</f>
        <v>#DIV/0!</v>
      </c>
    </row>
    <row r="614" spans="1:9" ht="15.75" thickTop="1" x14ac:dyDescent="0.2">
      <c r="A614" s="1896">
        <v>3742</v>
      </c>
      <c r="B614" s="1903">
        <v>6121</v>
      </c>
      <c r="C614" s="1906">
        <v>53100882</v>
      </c>
      <c r="D614" s="1836" t="s">
        <v>603</v>
      </c>
      <c r="E614" s="1845">
        <v>0</v>
      </c>
      <c r="F614" s="1845">
        <v>4</v>
      </c>
      <c r="G614" s="1845">
        <v>4</v>
      </c>
      <c r="H614" s="1821">
        <f>G614/F614*100</f>
        <v>100</v>
      </c>
    </row>
    <row r="615" spans="1:9" ht="15.75" thickBot="1" x14ac:dyDescent="0.25">
      <c r="A615" s="1896">
        <v>3742</v>
      </c>
      <c r="B615" s="1903">
        <v>6121</v>
      </c>
      <c r="C615" s="1906">
        <v>53500881</v>
      </c>
      <c r="D615" s="1836" t="s">
        <v>603</v>
      </c>
      <c r="E615" s="1845">
        <v>0</v>
      </c>
      <c r="F615" s="1845">
        <v>78</v>
      </c>
      <c r="G615" s="1845">
        <v>78</v>
      </c>
      <c r="H615" s="1827">
        <v>0</v>
      </c>
    </row>
    <row r="616" spans="1:9" s="1828" customFormat="1" ht="16.5" thickTop="1" thickBot="1" x14ac:dyDescent="0.3">
      <c r="A616" s="2751" t="s">
        <v>763</v>
      </c>
      <c r="B616" s="2752"/>
      <c r="C616" s="2752"/>
      <c r="D616" s="2752"/>
      <c r="E616" s="1818">
        <f>SUM(E612:E615)</f>
        <v>0</v>
      </c>
      <c r="F616" s="1818">
        <f>SUM(F612:F615)</f>
        <v>82</v>
      </c>
      <c r="G616" s="1818">
        <f>SUM(G612:G615)</f>
        <v>82</v>
      </c>
      <c r="H616" s="1822">
        <f>G616/F616*100</f>
        <v>100</v>
      </c>
      <c r="I616" s="1910"/>
    </row>
    <row r="617" spans="1:9" ht="13.5" thickTop="1" x14ac:dyDescent="0.2">
      <c r="I617" s="1829"/>
    </row>
    <row r="618" spans="1:9" x14ac:dyDescent="0.2">
      <c r="I618" s="1829"/>
    </row>
    <row r="619" spans="1:9" x14ac:dyDescent="0.2">
      <c r="I619" s="1829"/>
    </row>
    <row r="620" spans="1:9" x14ac:dyDescent="0.2">
      <c r="I620" s="1829"/>
    </row>
    <row r="621" spans="1:9" x14ac:dyDescent="0.2">
      <c r="I621" s="1829"/>
    </row>
    <row r="622" spans="1:9" x14ac:dyDescent="0.2">
      <c r="I622" s="1829"/>
    </row>
    <row r="623" spans="1:9" x14ac:dyDescent="0.2">
      <c r="I623" s="1829"/>
    </row>
    <row r="624" spans="1:9" x14ac:dyDescent="0.2">
      <c r="I624" s="1829"/>
    </row>
    <row r="625" spans="1:12" ht="15.75" thickBot="1" x14ac:dyDescent="0.3">
      <c r="A625" s="1808" t="s">
        <v>250</v>
      </c>
      <c r="D625" s="1802"/>
      <c r="E625" s="1803"/>
      <c r="H625" s="1892" t="s">
        <v>161</v>
      </c>
      <c r="I625" s="1891"/>
    </row>
    <row r="626" spans="1:12" ht="25.5" thickTop="1" thickBot="1" x14ac:dyDescent="0.25">
      <c r="A626" s="1809" t="s">
        <v>162</v>
      </c>
      <c r="B626" s="1810" t="s">
        <v>761</v>
      </c>
      <c r="C626" s="1810" t="s">
        <v>377</v>
      </c>
      <c r="D626" s="1811" t="s">
        <v>164</v>
      </c>
      <c r="E626" s="1833" t="s">
        <v>632</v>
      </c>
      <c r="F626" s="1833" t="s">
        <v>633</v>
      </c>
      <c r="G626" s="1834" t="s">
        <v>882</v>
      </c>
      <c r="H626" s="1835" t="s">
        <v>883</v>
      </c>
    </row>
    <row r="627" spans="1:12" ht="14.25" thickTop="1" thickBot="1" x14ac:dyDescent="0.25">
      <c r="A627" s="1643">
        <v>1</v>
      </c>
      <c r="B627" s="1642">
        <v>2</v>
      </c>
      <c r="C627" s="1642">
        <v>3</v>
      </c>
      <c r="D627" s="1642">
        <v>5</v>
      </c>
      <c r="E627" s="1641">
        <v>6</v>
      </c>
      <c r="F627" s="1641">
        <v>7</v>
      </c>
      <c r="G627" s="1877">
        <v>8</v>
      </c>
      <c r="H627" s="1814" t="s">
        <v>762</v>
      </c>
    </row>
    <row r="628" spans="1:12" s="1831" customFormat="1" ht="16.5" thickTop="1" thickBot="1" x14ac:dyDescent="0.3">
      <c r="A628" s="1890">
        <v>6330</v>
      </c>
      <c r="B628" s="1816">
        <v>5345</v>
      </c>
      <c r="C628" s="1889"/>
      <c r="D628" s="1886" t="s">
        <v>767</v>
      </c>
      <c r="E628" s="1832">
        <v>0</v>
      </c>
      <c r="F628" s="1832">
        <v>0</v>
      </c>
      <c r="G628" s="1888">
        <v>220607</v>
      </c>
      <c r="H628" s="1819">
        <v>0</v>
      </c>
    </row>
    <row r="629" spans="1:12" s="1831" customFormat="1" ht="15.75" hidden="1" thickBot="1" x14ac:dyDescent="0.3">
      <c r="A629" s="1815">
        <v>6409</v>
      </c>
      <c r="B629" s="1816">
        <v>5909</v>
      </c>
      <c r="C629" s="1887"/>
      <c r="D629" s="1886" t="s">
        <v>781</v>
      </c>
      <c r="E629" s="1845">
        <v>0</v>
      </c>
      <c r="F629" s="1845">
        <v>0</v>
      </c>
      <c r="G629" s="1885">
        <v>0</v>
      </c>
      <c r="H629" s="1821">
        <v>0</v>
      </c>
    </row>
    <row r="630" spans="1:12" ht="16.5" thickTop="1" thickBot="1" x14ac:dyDescent="0.3">
      <c r="A630" s="1837" t="s">
        <v>763</v>
      </c>
      <c r="B630" s="1838"/>
      <c r="C630" s="1838"/>
      <c r="D630" s="1839"/>
      <c r="E630" s="1818">
        <f>SUM(E628:E629)</f>
        <v>0</v>
      </c>
      <c r="F630" s="1818">
        <f>SUM(F628:F629)</f>
        <v>0</v>
      </c>
      <c r="G630" s="1818">
        <f>SUM(G628:G629)</f>
        <v>220607</v>
      </c>
      <c r="H630" s="1822">
        <v>0</v>
      </c>
    </row>
    <row r="631" spans="1:12" ht="87" customHeight="1" thickTop="1" x14ac:dyDescent="0.2"/>
    <row r="632" spans="1:12" hidden="1" x14ac:dyDescent="0.2"/>
    <row r="633" spans="1:12" hidden="1" x14ac:dyDescent="0.2"/>
    <row r="634" spans="1:12" ht="16.5" x14ac:dyDescent="0.25">
      <c r="A634" s="1860" t="s">
        <v>465</v>
      </c>
      <c r="B634" s="1861"/>
      <c r="C634" s="1862"/>
      <c r="D634" s="1863"/>
      <c r="E634" s="1864">
        <f>SUM(E635:E637)</f>
        <v>78401</v>
      </c>
      <c r="F634" s="1864">
        <f>F635+F636+F637+F638</f>
        <v>466717</v>
      </c>
      <c r="G634" s="1864">
        <f>G635+G636+G637+G638</f>
        <v>650035</v>
      </c>
      <c r="H634" s="1884">
        <f>G634/F634*100</f>
        <v>139.27819213784801</v>
      </c>
      <c r="J634" s="1866">
        <f>J635+J636+J637</f>
        <v>78401000</v>
      </c>
      <c r="K634" s="1866">
        <f>K635+K636+K637</f>
        <v>466716989.14999998</v>
      </c>
      <c r="L634" s="1866">
        <f>L635+L636+L637</f>
        <v>650035637.57000005</v>
      </c>
    </row>
    <row r="635" spans="1:12" ht="15" x14ac:dyDescent="0.2">
      <c r="A635" s="1600" t="s">
        <v>263</v>
      </c>
      <c r="B635" s="1603"/>
      <c r="C635" s="1598"/>
      <c r="D635" s="1867"/>
      <c r="E635" s="1601">
        <f>E614+E615</f>
        <v>0</v>
      </c>
      <c r="F635" s="1601">
        <f t="shared" ref="F635:G635" si="40">F614+F615</f>
        <v>82</v>
      </c>
      <c r="G635" s="1601">
        <f t="shared" si="40"/>
        <v>82</v>
      </c>
      <c r="H635" s="1883">
        <v>0</v>
      </c>
      <c r="J635" s="1868">
        <v>0</v>
      </c>
      <c r="K635" s="1868">
        <v>81645</v>
      </c>
      <c r="L635" s="1868">
        <v>81645</v>
      </c>
    </row>
    <row r="636" spans="1:12" ht="15.75" x14ac:dyDescent="0.25">
      <c r="A636" s="1600" t="s">
        <v>264</v>
      </c>
      <c r="B636" s="1599"/>
      <c r="C636" s="1598"/>
      <c r="D636" s="1869"/>
      <c r="E636" s="1601">
        <f t="shared" ref="E636:F636" si="41">E11+E21+E22+E23+E24+E25+E26+E33+E34+E35+E36+E37+E38+E39+E40+E41+E48+E49+E50+E51+E52+E53+E60+E61+E68+E69+E70+E71+E72+E79+E80+E81+E82+E83+E84+E92+E93+E94+E95+E96+E97+E98+E99+E100+E101+E102+E103+E111+E112+E113+E114+E115+E116+E123+E124+E125+E126+E127+E128+E135+E136+E137+E138+E139+E140+E141+E142+E143+E151+E152+E153+E154+E155+E156+E163+E164+E165+E166+E167+E168+E169+E170+E171+E172+E179+E180+E181+E182+E183+E184+E185+E186+E187+E194+E195+E196+E198+E197+E199+E200+E207+E208+E209+E210+E211+E212+E219+E220+E221+E222+E223+E224+E225+E232+E233+E234+E235+E236+E237+E238+E239+E246+E247+E248+E249+E250+E251+E252+E259+E260+E261+E262+E263+E264+E265+E266+E267+E268+E276+E277+E278+E279+E280+E281+E282+E291+E292+E293+E294+E295+E296+E305+E313+E314+E315+E316+E317+E319+E318+E320+E321+E322+E323+E324+E325+E326+E333+E334+E335+E336+E337+E338+E339+E340+E350+E341+E359+E360+E369+E370+E380+E390+E400+E409+E410+E419+E420+E429+E430+E439+E440+E448+E449+E450+E451+E452+E453+E454+E455+E462+E463+E464+E465+E466+E468+E467+E469+E470+E471+E490+E491+E492+E493+E494+E495+E496+E497+E498+E505+E506+E507+E508+E509+E510+E511+E512+E513+E514+E521+E523+E531+E533+E542+E543+E544+E545+E546+E547+E548+E549+E556+E557+E558+E559+E560+E561+E568+E569+E570+E571+E572+E573+E574+E575+E584+E594+E604</f>
        <v>78401</v>
      </c>
      <c r="F636" s="1601">
        <f t="shared" si="41"/>
        <v>466635</v>
      </c>
      <c r="G636" s="1601">
        <f>G11+G21+G22+G23+G24+G25+G26+G33+G34+G35+G36+G37+G38+G39+G40+G41+G48+G49+G50+G51+G52+G53+G60+G61+G68+G69+G70+G71+G72+G79+G80+G81+G82+G83+G84+G92+G93+G94+G95+G96+G97+G98+G99+G100+G101+G102+G103+G111+G112+G113+G114+G115+G116+G123+G124+G125+G126+G127+G128+G135+G136+G137+G138+G139+G140+G141+G142+G143+G151+G152+G153+G154+G155+G156+G163+G164+G165+G166+G167+G168+G169+G170+G171+G172+G179+G180+G181+G182+G183+G184+G185+G186+G187+G194+G195+G196+G198+G197+G199+G200+G207+G208+G209+G210+G211+G212+G219+G220+G221+G222+G223+G224+G225+G232+G233+G234+G235+G236+G237+G238+G239+G246+G247+G248+G249+G250+G251+G252+G259+G260+G261+G262+G263+G264+G265+G266+G267+G268+G276+G277+G278+G279+G280+G281+G282+G291+G292+G293+G294+G295+G296+G305+G313+G314+G315+G316+G317+G319+G318+G320+G321+G322+G323+G324+G325+G326+G333+G334+G335+G336+G337+G338+G339+G340+G350+G341+G359+G360+G369+G370+G380+G390+G400+G409+G410+G419+G420+G429+G430+G439+G440+G448+G449+G450+G451+G452+G453+G454+G455+G462+G463+G464+G465+G466+G468+G467+G469+G470+G471+G490+G491+G492+G493+G494+G495+G496+G497+G498+G505+G506+G507+G508+G509+G510+G511+G512+G513+G514+G521+G523+G531+G533+G542+G543+G544+G545+G546+G547+G548+G549+G556+G557+G558+G559+G560+G561+G568+G569+G570+G571+G572+G573+G574+G575+G584+G594+G604</f>
        <v>429346</v>
      </c>
      <c r="H636" s="1884">
        <f>G636/F636*100</f>
        <v>92.008957750704511</v>
      </c>
      <c r="J636" s="1868">
        <v>78401000</v>
      </c>
      <c r="K636" s="1868">
        <v>466635344.14999998</v>
      </c>
      <c r="L636" s="1868">
        <v>429346521.22000003</v>
      </c>
    </row>
    <row r="637" spans="1:12" ht="15" x14ac:dyDescent="0.2">
      <c r="A637" s="1600" t="s">
        <v>466</v>
      </c>
      <c r="B637" s="1599"/>
      <c r="C637" s="1598"/>
      <c r="D637" s="1869"/>
      <c r="E637" s="1601">
        <f>E628</f>
        <v>0</v>
      </c>
      <c r="F637" s="1601">
        <f>F628</f>
        <v>0</v>
      </c>
      <c r="G637" s="1601">
        <f>G628</f>
        <v>220607</v>
      </c>
      <c r="H637" s="1883">
        <v>0</v>
      </c>
      <c r="J637" s="1868">
        <v>0</v>
      </c>
      <c r="K637" s="1868">
        <v>0</v>
      </c>
      <c r="L637" s="1868">
        <v>220607471.34999999</v>
      </c>
    </row>
    <row r="638" spans="1:12" ht="9.75" customHeight="1" x14ac:dyDescent="0.2">
      <c r="A638" s="1600"/>
      <c r="B638" s="1599"/>
      <c r="C638" s="1598"/>
      <c r="D638" s="1869"/>
      <c r="E638" s="1601"/>
      <c r="F638" s="1601"/>
      <c r="G638" s="1601"/>
      <c r="H638" s="1597"/>
    </row>
    <row r="639" spans="1:12" ht="48.75" customHeight="1" thickBot="1" x14ac:dyDescent="0.4">
      <c r="A639" s="2741" t="s">
        <v>919</v>
      </c>
      <c r="B639" s="2742"/>
      <c r="C639" s="2742"/>
      <c r="D639" s="2742"/>
      <c r="E639" s="1591">
        <f>SUM(E634)</f>
        <v>78401</v>
      </c>
      <c r="F639" s="1591">
        <f>SUM(F634)</f>
        <v>466717</v>
      </c>
      <c r="G639" s="1591">
        <f>SUM(G634)</f>
        <v>650035</v>
      </c>
      <c r="H639" s="1590">
        <f>(G639/F639)*100</f>
        <v>139.27819213784801</v>
      </c>
    </row>
    <row r="640" spans="1:12" ht="13.5" thickTop="1" x14ac:dyDescent="0.2"/>
    <row r="761" spans="1:5" ht="13.5" thickBot="1" x14ac:dyDescent="0.25">
      <c r="A761" s="1840"/>
      <c r="B761" s="1840"/>
      <c r="C761" s="1840"/>
      <c r="D761" s="1911"/>
      <c r="E761" s="1912"/>
    </row>
    <row r="762" spans="1:5" ht="13.5" thickTop="1" x14ac:dyDescent="0.2">
      <c r="A762" s="1858"/>
      <c r="B762" s="1858"/>
      <c r="C762" s="1858"/>
      <c r="D762" s="1850"/>
      <c r="E762" s="1913"/>
    </row>
    <row r="763" spans="1:5" x14ac:dyDescent="0.2">
      <c r="D763" s="1803" t="e">
        <f>#REF!+#REF!</f>
        <v>#REF!</v>
      </c>
    </row>
  </sheetData>
  <mergeCells count="50">
    <mergeCell ref="A73:D73"/>
    <mergeCell ref="A15:D15"/>
    <mergeCell ref="A27:D27"/>
    <mergeCell ref="A42:D42"/>
    <mergeCell ref="A54:D54"/>
    <mergeCell ref="A62:D62"/>
    <mergeCell ref="A240:D240"/>
    <mergeCell ref="A85:D85"/>
    <mergeCell ref="A105:D105"/>
    <mergeCell ref="A117:D117"/>
    <mergeCell ref="A129:D129"/>
    <mergeCell ref="A145:D145"/>
    <mergeCell ref="A157:D157"/>
    <mergeCell ref="A173:D173"/>
    <mergeCell ref="A188:D188"/>
    <mergeCell ref="A201:D201"/>
    <mergeCell ref="A213:D213"/>
    <mergeCell ref="A226:D226"/>
    <mergeCell ref="A392:D392"/>
    <mergeCell ref="A253:D253"/>
    <mergeCell ref="A270:D270"/>
    <mergeCell ref="A284:D284"/>
    <mergeCell ref="A297:D297"/>
    <mergeCell ref="A307:D307"/>
    <mergeCell ref="A327:D327"/>
    <mergeCell ref="A342:D342"/>
    <mergeCell ref="A352:D352"/>
    <mergeCell ref="A362:D362"/>
    <mergeCell ref="A372:D372"/>
    <mergeCell ref="A382:D382"/>
    <mergeCell ref="A535:D535"/>
    <mergeCell ref="A402:D402"/>
    <mergeCell ref="A412:D412"/>
    <mergeCell ref="A422:D422"/>
    <mergeCell ref="A432:D432"/>
    <mergeCell ref="A442:D442"/>
    <mergeCell ref="A456:D456"/>
    <mergeCell ref="A472:D472"/>
    <mergeCell ref="A484:D484"/>
    <mergeCell ref="A499:D499"/>
    <mergeCell ref="A515:D515"/>
    <mergeCell ref="A525:D525"/>
    <mergeCell ref="A616:D616"/>
    <mergeCell ref="A639:D639"/>
    <mergeCell ref="A550:D550"/>
    <mergeCell ref="A562:D562"/>
    <mergeCell ref="A576:D576"/>
    <mergeCell ref="A586:D586"/>
    <mergeCell ref="A596:D596"/>
    <mergeCell ref="A606:D606"/>
  </mergeCells>
  <pageMargins left="0.78740157480314965" right="0.98425196850393704" top="0.98425196850393704" bottom="0.98425196850393704" header="0.51181102362204722" footer="0.51181102362204722"/>
  <pageSetup paperSize="9" scale="60" firstPageNumber="129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9" manualBreakCount="9">
    <brk id="63" max="7" man="1"/>
    <brk id="130" max="7" man="1"/>
    <brk id="189" max="7" man="1"/>
    <brk id="254" max="7" man="1"/>
    <brk id="327" max="7" man="1"/>
    <brk id="413" max="7" man="1"/>
    <brk id="500" max="7" man="1"/>
    <brk id="577" max="7" man="1"/>
    <brk id="640" max="7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537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5.28515625" style="1802" customWidth="1"/>
    <col min="2" max="2" width="6.7109375" style="1802" customWidth="1"/>
    <col min="3" max="3" width="8.85546875" style="1802" customWidth="1"/>
    <col min="4" max="4" width="47.85546875" style="1803" customWidth="1"/>
    <col min="5" max="5" width="12.85546875" style="1829" customWidth="1"/>
    <col min="6" max="6" width="15.5703125" style="1829" customWidth="1"/>
    <col min="7" max="7" width="15.85546875" style="1829" customWidth="1"/>
    <col min="8" max="8" width="9.7109375" style="1803" customWidth="1"/>
    <col min="9" max="9" width="14.28515625" style="1803" bestFit="1" customWidth="1"/>
    <col min="10" max="10" width="11.42578125" style="1803" bestFit="1" customWidth="1"/>
    <col min="11" max="11" width="17.28515625" style="1803" bestFit="1" customWidth="1"/>
    <col min="12" max="12" width="16" style="1803" bestFit="1" customWidth="1"/>
    <col min="13" max="256" width="9.140625" style="1803"/>
    <col min="257" max="257" width="4.7109375" style="1803" customWidth="1"/>
    <col min="258" max="258" width="6.7109375" style="1803" customWidth="1"/>
    <col min="259" max="259" width="8.85546875" style="1803" customWidth="1"/>
    <col min="260" max="260" width="47.85546875" style="1803" customWidth="1"/>
    <col min="261" max="261" width="12.85546875" style="1803" customWidth="1"/>
    <col min="262" max="262" width="15.5703125" style="1803" customWidth="1"/>
    <col min="263" max="263" width="15.85546875" style="1803" customWidth="1"/>
    <col min="264" max="264" width="6.42578125" style="1803" customWidth="1"/>
    <col min="265" max="265" width="14.28515625" style="1803" bestFit="1" customWidth="1"/>
    <col min="266" max="266" width="11.42578125" style="1803" bestFit="1" customWidth="1"/>
    <col min="267" max="267" width="17.28515625" style="1803" bestFit="1" customWidth="1"/>
    <col min="268" max="268" width="16" style="1803" bestFit="1" customWidth="1"/>
    <col min="269" max="512" width="9.140625" style="1803"/>
    <col min="513" max="513" width="4.7109375" style="1803" customWidth="1"/>
    <col min="514" max="514" width="6.7109375" style="1803" customWidth="1"/>
    <col min="515" max="515" width="8.85546875" style="1803" customWidth="1"/>
    <col min="516" max="516" width="47.85546875" style="1803" customWidth="1"/>
    <col min="517" max="517" width="12.85546875" style="1803" customWidth="1"/>
    <col min="518" max="518" width="15.5703125" style="1803" customWidth="1"/>
    <col min="519" max="519" width="15.85546875" style="1803" customWidth="1"/>
    <col min="520" max="520" width="6.42578125" style="1803" customWidth="1"/>
    <col min="521" max="521" width="14.28515625" style="1803" bestFit="1" customWidth="1"/>
    <col min="522" max="522" width="11.42578125" style="1803" bestFit="1" customWidth="1"/>
    <col min="523" max="523" width="17.28515625" style="1803" bestFit="1" customWidth="1"/>
    <col min="524" max="524" width="16" style="1803" bestFit="1" customWidth="1"/>
    <col min="525" max="768" width="9.140625" style="1803"/>
    <col min="769" max="769" width="4.7109375" style="1803" customWidth="1"/>
    <col min="770" max="770" width="6.7109375" style="1803" customWidth="1"/>
    <col min="771" max="771" width="8.85546875" style="1803" customWidth="1"/>
    <col min="772" max="772" width="47.85546875" style="1803" customWidth="1"/>
    <col min="773" max="773" width="12.85546875" style="1803" customWidth="1"/>
    <col min="774" max="774" width="15.5703125" style="1803" customWidth="1"/>
    <col min="775" max="775" width="15.85546875" style="1803" customWidth="1"/>
    <col min="776" max="776" width="6.42578125" style="1803" customWidth="1"/>
    <col min="777" max="777" width="14.28515625" style="1803" bestFit="1" customWidth="1"/>
    <col min="778" max="778" width="11.42578125" style="1803" bestFit="1" customWidth="1"/>
    <col min="779" max="779" width="17.28515625" style="1803" bestFit="1" customWidth="1"/>
    <col min="780" max="780" width="16" style="1803" bestFit="1" customWidth="1"/>
    <col min="781" max="1024" width="9.140625" style="1803"/>
    <col min="1025" max="1025" width="4.7109375" style="1803" customWidth="1"/>
    <col min="1026" max="1026" width="6.7109375" style="1803" customWidth="1"/>
    <col min="1027" max="1027" width="8.85546875" style="1803" customWidth="1"/>
    <col min="1028" max="1028" width="47.85546875" style="1803" customWidth="1"/>
    <col min="1029" max="1029" width="12.85546875" style="1803" customWidth="1"/>
    <col min="1030" max="1030" width="15.5703125" style="1803" customWidth="1"/>
    <col min="1031" max="1031" width="15.85546875" style="1803" customWidth="1"/>
    <col min="1032" max="1032" width="6.42578125" style="1803" customWidth="1"/>
    <col min="1033" max="1033" width="14.28515625" style="1803" bestFit="1" customWidth="1"/>
    <col min="1034" max="1034" width="11.42578125" style="1803" bestFit="1" customWidth="1"/>
    <col min="1035" max="1035" width="17.28515625" style="1803" bestFit="1" customWidth="1"/>
    <col min="1036" max="1036" width="16" style="1803" bestFit="1" customWidth="1"/>
    <col min="1037" max="1280" width="9.140625" style="1803"/>
    <col min="1281" max="1281" width="4.7109375" style="1803" customWidth="1"/>
    <col min="1282" max="1282" width="6.7109375" style="1803" customWidth="1"/>
    <col min="1283" max="1283" width="8.85546875" style="1803" customWidth="1"/>
    <col min="1284" max="1284" width="47.85546875" style="1803" customWidth="1"/>
    <col min="1285" max="1285" width="12.85546875" style="1803" customWidth="1"/>
    <col min="1286" max="1286" width="15.5703125" style="1803" customWidth="1"/>
    <col min="1287" max="1287" width="15.85546875" style="1803" customWidth="1"/>
    <col min="1288" max="1288" width="6.42578125" style="1803" customWidth="1"/>
    <col min="1289" max="1289" width="14.28515625" style="1803" bestFit="1" customWidth="1"/>
    <col min="1290" max="1290" width="11.42578125" style="1803" bestFit="1" customWidth="1"/>
    <col min="1291" max="1291" width="17.28515625" style="1803" bestFit="1" customWidth="1"/>
    <col min="1292" max="1292" width="16" style="1803" bestFit="1" customWidth="1"/>
    <col min="1293" max="1536" width="9.140625" style="1803"/>
    <col min="1537" max="1537" width="4.7109375" style="1803" customWidth="1"/>
    <col min="1538" max="1538" width="6.7109375" style="1803" customWidth="1"/>
    <col min="1539" max="1539" width="8.85546875" style="1803" customWidth="1"/>
    <col min="1540" max="1540" width="47.85546875" style="1803" customWidth="1"/>
    <col min="1541" max="1541" width="12.85546875" style="1803" customWidth="1"/>
    <col min="1542" max="1542" width="15.5703125" style="1803" customWidth="1"/>
    <col min="1543" max="1543" width="15.85546875" style="1803" customWidth="1"/>
    <col min="1544" max="1544" width="6.42578125" style="1803" customWidth="1"/>
    <col min="1545" max="1545" width="14.28515625" style="1803" bestFit="1" customWidth="1"/>
    <col min="1546" max="1546" width="11.42578125" style="1803" bestFit="1" customWidth="1"/>
    <col min="1547" max="1547" width="17.28515625" style="1803" bestFit="1" customWidth="1"/>
    <col min="1548" max="1548" width="16" style="1803" bestFit="1" customWidth="1"/>
    <col min="1549" max="1792" width="9.140625" style="1803"/>
    <col min="1793" max="1793" width="4.7109375" style="1803" customWidth="1"/>
    <col min="1794" max="1794" width="6.7109375" style="1803" customWidth="1"/>
    <col min="1795" max="1795" width="8.85546875" style="1803" customWidth="1"/>
    <col min="1796" max="1796" width="47.85546875" style="1803" customWidth="1"/>
    <col min="1797" max="1797" width="12.85546875" style="1803" customWidth="1"/>
    <col min="1798" max="1798" width="15.5703125" style="1803" customWidth="1"/>
    <col min="1799" max="1799" width="15.85546875" style="1803" customWidth="1"/>
    <col min="1800" max="1800" width="6.42578125" style="1803" customWidth="1"/>
    <col min="1801" max="1801" width="14.28515625" style="1803" bestFit="1" customWidth="1"/>
    <col min="1802" max="1802" width="11.42578125" style="1803" bestFit="1" customWidth="1"/>
    <col min="1803" max="1803" width="17.28515625" style="1803" bestFit="1" customWidth="1"/>
    <col min="1804" max="1804" width="16" style="1803" bestFit="1" customWidth="1"/>
    <col min="1805" max="2048" width="9.140625" style="1803"/>
    <col min="2049" max="2049" width="4.7109375" style="1803" customWidth="1"/>
    <col min="2050" max="2050" width="6.7109375" style="1803" customWidth="1"/>
    <col min="2051" max="2051" width="8.85546875" style="1803" customWidth="1"/>
    <col min="2052" max="2052" width="47.85546875" style="1803" customWidth="1"/>
    <col min="2053" max="2053" width="12.85546875" style="1803" customWidth="1"/>
    <col min="2054" max="2054" width="15.5703125" style="1803" customWidth="1"/>
    <col min="2055" max="2055" width="15.85546875" style="1803" customWidth="1"/>
    <col min="2056" max="2056" width="6.42578125" style="1803" customWidth="1"/>
    <col min="2057" max="2057" width="14.28515625" style="1803" bestFit="1" customWidth="1"/>
    <col min="2058" max="2058" width="11.42578125" style="1803" bestFit="1" customWidth="1"/>
    <col min="2059" max="2059" width="17.28515625" style="1803" bestFit="1" customWidth="1"/>
    <col min="2060" max="2060" width="16" style="1803" bestFit="1" customWidth="1"/>
    <col min="2061" max="2304" width="9.140625" style="1803"/>
    <col min="2305" max="2305" width="4.7109375" style="1803" customWidth="1"/>
    <col min="2306" max="2306" width="6.7109375" style="1803" customWidth="1"/>
    <col min="2307" max="2307" width="8.85546875" style="1803" customWidth="1"/>
    <col min="2308" max="2308" width="47.85546875" style="1803" customWidth="1"/>
    <col min="2309" max="2309" width="12.85546875" style="1803" customWidth="1"/>
    <col min="2310" max="2310" width="15.5703125" style="1803" customWidth="1"/>
    <col min="2311" max="2311" width="15.85546875" style="1803" customWidth="1"/>
    <col min="2312" max="2312" width="6.42578125" style="1803" customWidth="1"/>
    <col min="2313" max="2313" width="14.28515625" style="1803" bestFit="1" customWidth="1"/>
    <col min="2314" max="2314" width="11.42578125" style="1803" bestFit="1" customWidth="1"/>
    <col min="2315" max="2315" width="17.28515625" style="1803" bestFit="1" customWidth="1"/>
    <col min="2316" max="2316" width="16" style="1803" bestFit="1" customWidth="1"/>
    <col min="2317" max="2560" width="9.140625" style="1803"/>
    <col min="2561" max="2561" width="4.7109375" style="1803" customWidth="1"/>
    <col min="2562" max="2562" width="6.7109375" style="1803" customWidth="1"/>
    <col min="2563" max="2563" width="8.85546875" style="1803" customWidth="1"/>
    <col min="2564" max="2564" width="47.85546875" style="1803" customWidth="1"/>
    <col min="2565" max="2565" width="12.85546875" style="1803" customWidth="1"/>
    <col min="2566" max="2566" width="15.5703125" style="1803" customWidth="1"/>
    <col min="2567" max="2567" width="15.85546875" style="1803" customWidth="1"/>
    <col min="2568" max="2568" width="6.42578125" style="1803" customWidth="1"/>
    <col min="2569" max="2569" width="14.28515625" style="1803" bestFit="1" customWidth="1"/>
    <col min="2570" max="2570" width="11.42578125" style="1803" bestFit="1" customWidth="1"/>
    <col min="2571" max="2571" width="17.28515625" style="1803" bestFit="1" customWidth="1"/>
    <col min="2572" max="2572" width="16" style="1803" bestFit="1" customWidth="1"/>
    <col min="2573" max="2816" width="9.140625" style="1803"/>
    <col min="2817" max="2817" width="4.7109375" style="1803" customWidth="1"/>
    <col min="2818" max="2818" width="6.7109375" style="1803" customWidth="1"/>
    <col min="2819" max="2819" width="8.85546875" style="1803" customWidth="1"/>
    <col min="2820" max="2820" width="47.85546875" style="1803" customWidth="1"/>
    <col min="2821" max="2821" width="12.85546875" style="1803" customWidth="1"/>
    <col min="2822" max="2822" width="15.5703125" style="1803" customWidth="1"/>
    <col min="2823" max="2823" width="15.85546875" style="1803" customWidth="1"/>
    <col min="2824" max="2824" width="6.42578125" style="1803" customWidth="1"/>
    <col min="2825" max="2825" width="14.28515625" style="1803" bestFit="1" customWidth="1"/>
    <col min="2826" max="2826" width="11.42578125" style="1803" bestFit="1" customWidth="1"/>
    <col min="2827" max="2827" width="17.28515625" style="1803" bestFit="1" customWidth="1"/>
    <col min="2828" max="2828" width="16" style="1803" bestFit="1" customWidth="1"/>
    <col min="2829" max="3072" width="9.140625" style="1803"/>
    <col min="3073" max="3073" width="4.7109375" style="1803" customWidth="1"/>
    <col min="3074" max="3074" width="6.7109375" style="1803" customWidth="1"/>
    <col min="3075" max="3075" width="8.85546875" style="1803" customWidth="1"/>
    <col min="3076" max="3076" width="47.85546875" style="1803" customWidth="1"/>
    <col min="3077" max="3077" width="12.85546875" style="1803" customWidth="1"/>
    <col min="3078" max="3078" width="15.5703125" style="1803" customWidth="1"/>
    <col min="3079" max="3079" width="15.85546875" style="1803" customWidth="1"/>
    <col min="3080" max="3080" width="6.42578125" style="1803" customWidth="1"/>
    <col min="3081" max="3081" width="14.28515625" style="1803" bestFit="1" customWidth="1"/>
    <col min="3082" max="3082" width="11.42578125" style="1803" bestFit="1" customWidth="1"/>
    <col min="3083" max="3083" width="17.28515625" style="1803" bestFit="1" customWidth="1"/>
    <col min="3084" max="3084" width="16" style="1803" bestFit="1" customWidth="1"/>
    <col min="3085" max="3328" width="9.140625" style="1803"/>
    <col min="3329" max="3329" width="4.7109375" style="1803" customWidth="1"/>
    <col min="3330" max="3330" width="6.7109375" style="1803" customWidth="1"/>
    <col min="3331" max="3331" width="8.85546875" style="1803" customWidth="1"/>
    <col min="3332" max="3332" width="47.85546875" style="1803" customWidth="1"/>
    <col min="3333" max="3333" width="12.85546875" style="1803" customWidth="1"/>
    <col min="3334" max="3334" width="15.5703125" style="1803" customWidth="1"/>
    <col min="3335" max="3335" width="15.85546875" style="1803" customWidth="1"/>
    <col min="3336" max="3336" width="6.42578125" style="1803" customWidth="1"/>
    <col min="3337" max="3337" width="14.28515625" style="1803" bestFit="1" customWidth="1"/>
    <col min="3338" max="3338" width="11.42578125" style="1803" bestFit="1" customWidth="1"/>
    <col min="3339" max="3339" width="17.28515625" style="1803" bestFit="1" customWidth="1"/>
    <col min="3340" max="3340" width="16" style="1803" bestFit="1" customWidth="1"/>
    <col min="3341" max="3584" width="9.140625" style="1803"/>
    <col min="3585" max="3585" width="4.7109375" style="1803" customWidth="1"/>
    <col min="3586" max="3586" width="6.7109375" style="1803" customWidth="1"/>
    <col min="3587" max="3587" width="8.85546875" style="1803" customWidth="1"/>
    <col min="3588" max="3588" width="47.85546875" style="1803" customWidth="1"/>
    <col min="3589" max="3589" width="12.85546875" style="1803" customWidth="1"/>
    <col min="3590" max="3590" width="15.5703125" style="1803" customWidth="1"/>
    <col min="3591" max="3591" width="15.85546875" style="1803" customWidth="1"/>
    <col min="3592" max="3592" width="6.42578125" style="1803" customWidth="1"/>
    <col min="3593" max="3593" width="14.28515625" style="1803" bestFit="1" customWidth="1"/>
    <col min="3594" max="3594" width="11.42578125" style="1803" bestFit="1" customWidth="1"/>
    <col min="3595" max="3595" width="17.28515625" style="1803" bestFit="1" customWidth="1"/>
    <col min="3596" max="3596" width="16" style="1803" bestFit="1" customWidth="1"/>
    <col min="3597" max="3840" width="9.140625" style="1803"/>
    <col min="3841" max="3841" width="4.7109375" style="1803" customWidth="1"/>
    <col min="3842" max="3842" width="6.7109375" style="1803" customWidth="1"/>
    <col min="3843" max="3843" width="8.85546875" style="1803" customWidth="1"/>
    <col min="3844" max="3844" width="47.85546875" style="1803" customWidth="1"/>
    <col min="3845" max="3845" width="12.85546875" style="1803" customWidth="1"/>
    <col min="3846" max="3846" width="15.5703125" style="1803" customWidth="1"/>
    <col min="3847" max="3847" width="15.85546875" style="1803" customWidth="1"/>
    <col min="3848" max="3848" width="6.42578125" style="1803" customWidth="1"/>
    <col min="3849" max="3849" width="14.28515625" style="1803" bestFit="1" customWidth="1"/>
    <col min="3850" max="3850" width="11.42578125" style="1803" bestFit="1" customWidth="1"/>
    <col min="3851" max="3851" width="17.28515625" style="1803" bestFit="1" customWidth="1"/>
    <col min="3852" max="3852" width="16" style="1803" bestFit="1" customWidth="1"/>
    <col min="3853" max="4096" width="9.140625" style="1803"/>
    <col min="4097" max="4097" width="4.7109375" style="1803" customWidth="1"/>
    <col min="4098" max="4098" width="6.7109375" style="1803" customWidth="1"/>
    <col min="4099" max="4099" width="8.85546875" style="1803" customWidth="1"/>
    <col min="4100" max="4100" width="47.85546875" style="1803" customWidth="1"/>
    <col min="4101" max="4101" width="12.85546875" style="1803" customWidth="1"/>
    <col min="4102" max="4102" width="15.5703125" style="1803" customWidth="1"/>
    <col min="4103" max="4103" width="15.85546875" style="1803" customWidth="1"/>
    <col min="4104" max="4104" width="6.42578125" style="1803" customWidth="1"/>
    <col min="4105" max="4105" width="14.28515625" style="1803" bestFit="1" customWidth="1"/>
    <col min="4106" max="4106" width="11.42578125" style="1803" bestFit="1" customWidth="1"/>
    <col min="4107" max="4107" width="17.28515625" style="1803" bestFit="1" customWidth="1"/>
    <col min="4108" max="4108" width="16" style="1803" bestFit="1" customWidth="1"/>
    <col min="4109" max="4352" width="9.140625" style="1803"/>
    <col min="4353" max="4353" width="4.7109375" style="1803" customWidth="1"/>
    <col min="4354" max="4354" width="6.7109375" style="1803" customWidth="1"/>
    <col min="4355" max="4355" width="8.85546875" style="1803" customWidth="1"/>
    <col min="4356" max="4356" width="47.85546875" style="1803" customWidth="1"/>
    <col min="4357" max="4357" width="12.85546875" style="1803" customWidth="1"/>
    <col min="4358" max="4358" width="15.5703125" style="1803" customWidth="1"/>
    <col min="4359" max="4359" width="15.85546875" style="1803" customWidth="1"/>
    <col min="4360" max="4360" width="6.42578125" style="1803" customWidth="1"/>
    <col min="4361" max="4361" width="14.28515625" style="1803" bestFit="1" customWidth="1"/>
    <col min="4362" max="4362" width="11.42578125" style="1803" bestFit="1" customWidth="1"/>
    <col min="4363" max="4363" width="17.28515625" style="1803" bestFit="1" customWidth="1"/>
    <col min="4364" max="4364" width="16" style="1803" bestFit="1" customWidth="1"/>
    <col min="4365" max="4608" width="9.140625" style="1803"/>
    <col min="4609" max="4609" width="4.7109375" style="1803" customWidth="1"/>
    <col min="4610" max="4610" width="6.7109375" style="1803" customWidth="1"/>
    <col min="4611" max="4611" width="8.85546875" style="1803" customWidth="1"/>
    <col min="4612" max="4612" width="47.85546875" style="1803" customWidth="1"/>
    <col min="4613" max="4613" width="12.85546875" style="1803" customWidth="1"/>
    <col min="4614" max="4614" width="15.5703125" style="1803" customWidth="1"/>
    <col min="4615" max="4615" width="15.85546875" style="1803" customWidth="1"/>
    <col min="4616" max="4616" width="6.42578125" style="1803" customWidth="1"/>
    <col min="4617" max="4617" width="14.28515625" style="1803" bestFit="1" customWidth="1"/>
    <col min="4618" max="4618" width="11.42578125" style="1803" bestFit="1" customWidth="1"/>
    <col min="4619" max="4619" width="17.28515625" style="1803" bestFit="1" customWidth="1"/>
    <col min="4620" max="4620" width="16" style="1803" bestFit="1" customWidth="1"/>
    <col min="4621" max="4864" width="9.140625" style="1803"/>
    <col min="4865" max="4865" width="4.7109375" style="1803" customWidth="1"/>
    <col min="4866" max="4866" width="6.7109375" style="1803" customWidth="1"/>
    <col min="4867" max="4867" width="8.85546875" style="1803" customWidth="1"/>
    <col min="4868" max="4868" width="47.85546875" style="1803" customWidth="1"/>
    <col min="4869" max="4869" width="12.85546875" style="1803" customWidth="1"/>
    <col min="4870" max="4870" width="15.5703125" style="1803" customWidth="1"/>
    <col min="4871" max="4871" width="15.85546875" style="1803" customWidth="1"/>
    <col min="4872" max="4872" width="6.42578125" style="1803" customWidth="1"/>
    <col min="4873" max="4873" width="14.28515625" style="1803" bestFit="1" customWidth="1"/>
    <col min="4874" max="4874" width="11.42578125" style="1803" bestFit="1" customWidth="1"/>
    <col min="4875" max="4875" width="17.28515625" style="1803" bestFit="1" customWidth="1"/>
    <col min="4876" max="4876" width="16" style="1803" bestFit="1" customWidth="1"/>
    <col min="4877" max="5120" width="9.140625" style="1803"/>
    <col min="5121" max="5121" width="4.7109375" style="1803" customWidth="1"/>
    <col min="5122" max="5122" width="6.7109375" style="1803" customWidth="1"/>
    <col min="5123" max="5123" width="8.85546875" style="1803" customWidth="1"/>
    <col min="5124" max="5124" width="47.85546875" style="1803" customWidth="1"/>
    <col min="5125" max="5125" width="12.85546875" style="1803" customWidth="1"/>
    <col min="5126" max="5126" width="15.5703125" style="1803" customWidth="1"/>
    <col min="5127" max="5127" width="15.85546875" style="1803" customWidth="1"/>
    <col min="5128" max="5128" width="6.42578125" style="1803" customWidth="1"/>
    <col min="5129" max="5129" width="14.28515625" style="1803" bestFit="1" customWidth="1"/>
    <col min="5130" max="5130" width="11.42578125" style="1803" bestFit="1" customWidth="1"/>
    <col min="5131" max="5131" width="17.28515625" style="1803" bestFit="1" customWidth="1"/>
    <col min="5132" max="5132" width="16" style="1803" bestFit="1" customWidth="1"/>
    <col min="5133" max="5376" width="9.140625" style="1803"/>
    <col min="5377" max="5377" width="4.7109375" style="1803" customWidth="1"/>
    <col min="5378" max="5378" width="6.7109375" style="1803" customWidth="1"/>
    <col min="5379" max="5379" width="8.85546875" style="1803" customWidth="1"/>
    <col min="5380" max="5380" width="47.85546875" style="1803" customWidth="1"/>
    <col min="5381" max="5381" width="12.85546875" style="1803" customWidth="1"/>
    <col min="5382" max="5382" width="15.5703125" style="1803" customWidth="1"/>
    <col min="5383" max="5383" width="15.85546875" style="1803" customWidth="1"/>
    <col min="5384" max="5384" width="6.42578125" style="1803" customWidth="1"/>
    <col min="5385" max="5385" width="14.28515625" style="1803" bestFit="1" customWidth="1"/>
    <col min="5386" max="5386" width="11.42578125" style="1803" bestFit="1" customWidth="1"/>
    <col min="5387" max="5387" width="17.28515625" style="1803" bestFit="1" customWidth="1"/>
    <col min="5388" max="5388" width="16" style="1803" bestFit="1" customWidth="1"/>
    <col min="5389" max="5632" width="9.140625" style="1803"/>
    <col min="5633" max="5633" width="4.7109375" style="1803" customWidth="1"/>
    <col min="5634" max="5634" width="6.7109375" style="1803" customWidth="1"/>
    <col min="5635" max="5635" width="8.85546875" style="1803" customWidth="1"/>
    <col min="5636" max="5636" width="47.85546875" style="1803" customWidth="1"/>
    <col min="5637" max="5637" width="12.85546875" style="1803" customWidth="1"/>
    <col min="5638" max="5638" width="15.5703125" style="1803" customWidth="1"/>
    <col min="5639" max="5639" width="15.85546875" style="1803" customWidth="1"/>
    <col min="5640" max="5640" width="6.42578125" style="1803" customWidth="1"/>
    <col min="5641" max="5641" width="14.28515625" style="1803" bestFit="1" customWidth="1"/>
    <col min="5642" max="5642" width="11.42578125" style="1803" bestFit="1" customWidth="1"/>
    <col min="5643" max="5643" width="17.28515625" style="1803" bestFit="1" customWidth="1"/>
    <col min="5644" max="5644" width="16" style="1803" bestFit="1" customWidth="1"/>
    <col min="5645" max="5888" width="9.140625" style="1803"/>
    <col min="5889" max="5889" width="4.7109375" style="1803" customWidth="1"/>
    <col min="5890" max="5890" width="6.7109375" style="1803" customWidth="1"/>
    <col min="5891" max="5891" width="8.85546875" style="1803" customWidth="1"/>
    <col min="5892" max="5892" width="47.85546875" style="1803" customWidth="1"/>
    <col min="5893" max="5893" width="12.85546875" style="1803" customWidth="1"/>
    <col min="5894" max="5894" width="15.5703125" style="1803" customWidth="1"/>
    <col min="5895" max="5895" width="15.85546875" style="1803" customWidth="1"/>
    <col min="5896" max="5896" width="6.42578125" style="1803" customWidth="1"/>
    <col min="5897" max="5897" width="14.28515625" style="1803" bestFit="1" customWidth="1"/>
    <col min="5898" max="5898" width="11.42578125" style="1803" bestFit="1" customWidth="1"/>
    <col min="5899" max="5899" width="17.28515625" style="1803" bestFit="1" customWidth="1"/>
    <col min="5900" max="5900" width="16" style="1803" bestFit="1" customWidth="1"/>
    <col min="5901" max="6144" width="9.140625" style="1803"/>
    <col min="6145" max="6145" width="4.7109375" style="1803" customWidth="1"/>
    <col min="6146" max="6146" width="6.7109375" style="1803" customWidth="1"/>
    <col min="6147" max="6147" width="8.85546875" style="1803" customWidth="1"/>
    <col min="6148" max="6148" width="47.85546875" style="1803" customWidth="1"/>
    <col min="6149" max="6149" width="12.85546875" style="1803" customWidth="1"/>
    <col min="6150" max="6150" width="15.5703125" style="1803" customWidth="1"/>
    <col min="6151" max="6151" width="15.85546875" style="1803" customWidth="1"/>
    <col min="6152" max="6152" width="6.42578125" style="1803" customWidth="1"/>
    <col min="6153" max="6153" width="14.28515625" style="1803" bestFit="1" customWidth="1"/>
    <col min="6154" max="6154" width="11.42578125" style="1803" bestFit="1" customWidth="1"/>
    <col min="6155" max="6155" width="17.28515625" style="1803" bestFit="1" customWidth="1"/>
    <col min="6156" max="6156" width="16" style="1803" bestFit="1" customWidth="1"/>
    <col min="6157" max="6400" width="9.140625" style="1803"/>
    <col min="6401" max="6401" width="4.7109375" style="1803" customWidth="1"/>
    <col min="6402" max="6402" width="6.7109375" style="1803" customWidth="1"/>
    <col min="6403" max="6403" width="8.85546875" style="1803" customWidth="1"/>
    <col min="6404" max="6404" width="47.85546875" style="1803" customWidth="1"/>
    <col min="6405" max="6405" width="12.85546875" style="1803" customWidth="1"/>
    <col min="6406" max="6406" width="15.5703125" style="1803" customWidth="1"/>
    <col min="6407" max="6407" width="15.85546875" style="1803" customWidth="1"/>
    <col min="6408" max="6408" width="6.42578125" style="1803" customWidth="1"/>
    <col min="6409" max="6409" width="14.28515625" style="1803" bestFit="1" customWidth="1"/>
    <col min="6410" max="6410" width="11.42578125" style="1803" bestFit="1" customWidth="1"/>
    <col min="6411" max="6411" width="17.28515625" style="1803" bestFit="1" customWidth="1"/>
    <col min="6412" max="6412" width="16" style="1803" bestFit="1" customWidth="1"/>
    <col min="6413" max="6656" width="9.140625" style="1803"/>
    <col min="6657" max="6657" width="4.7109375" style="1803" customWidth="1"/>
    <col min="6658" max="6658" width="6.7109375" style="1803" customWidth="1"/>
    <col min="6659" max="6659" width="8.85546875" style="1803" customWidth="1"/>
    <col min="6660" max="6660" width="47.85546875" style="1803" customWidth="1"/>
    <col min="6661" max="6661" width="12.85546875" style="1803" customWidth="1"/>
    <col min="6662" max="6662" width="15.5703125" style="1803" customWidth="1"/>
    <col min="6663" max="6663" width="15.85546875" style="1803" customWidth="1"/>
    <col min="6664" max="6664" width="6.42578125" style="1803" customWidth="1"/>
    <col min="6665" max="6665" width="14.28515625" style="1803" bestFit="1" customWidth="1"/>
    <col min="6666" max="6666" width="11.42578125" style="1803" bestFit="1" customWidth="1"/>
    <col min="6667" max="6667" width="17.28515625" style="1803" bestFit="1" customWidth="1"/>
    <col min="6668" max="6668" width="16" style="1803" bestFit="1" customWidth="1"/>
    <col min="6669" max="6912" width="9.140625" style="1803"/>
    <col min="6913" max="6913" width="4.7109375" style="1803" customWidth="1"/>
    <col min="6914" max="6914" width="6.7109375" style="1803" customWidth="1"/>
    <col min="6915" max="6915" width="8.85546875" style="1803" customWidth="1"/>
    <col min="6916" max="6916" width="47.85546875" style="1803" customWidth="1"/>
    <col min="6917" max="6917" width="12.85546875" style="1803" customWidth="1"/>
    <col min="6918" max="6918" width="15.5703125" style="1803" customWidth="1"/>
    <col min="6919" max="6919" width="15.85546875" style="1803" customWidth="1"/>
    <col min="6920" max="6920" width="6.42578125" style="1803" customWidth="1"/>
    <col min="6921" max="6921" width="14.28515625" style="1803" bestFit="1" customWidth="1"/>
    <col min="6922" max="6922" width="11.42578125" style="1803" bestFit="1" customWidth="1"/>
    <col min="6923" max="6923" width="17.28515625" style="1803" bestFit="1" customWidth="1"/>
    <col min="6924" max="6924" width="16" style="1803" bestFit="1" customWidth="1"/>
    <col min="6925" max="7168" width="9.140625" style="1803"/>
    <col min="7169" max="7169" width="4.7109375" style="1803" customWidth="1"/>
    <col min="7170" max="7170" width="6.7109375" style="1803" customWidth="1"/>
    <col min="7171" max="7171" width="8.85546875" style="1803" customWidth="1"/>
    <col min="7172" max="7172" width="47.85546875" style="1803" customWidth="1"/>
    <col min="7173" max="7173" width="12.85546875" style="1803" customWidth="1"/>
    <col min="7174" max="7174" width="15.5703125" style="1803" customWidth="1"/>
    <col min="7175" max="7175" width="15.85546875" style="1803" customWidth="1"/>
    <col min="7176" max="7176" width="6.42578125" style="1803" customWidth="1"/>
    <col min="7177" max="7177" width="14.28515625" style="1803" bestFit="1" customWidth="1"/>
    <col min="7178" max="7178" width="11.42578125" style="1803" bestFit="1" customWidth="1"/>
    <col min="7179" max="7179" width="17.28515625" style="1803" bestFit="1" customWidth="1"/>
    <col min="7180" max="7180" width="16" style="1803" bestFit="1" customWidth="1"/>
    <col min="7181" max="7424" width="9.140625" style="1803"/>
    <col min="7425" max="7425" width="4.7109375" style="1803" customWidth="1"/>
    <col min="7426" max="7426" width="6.7109375" style="1803" customWidth="1"/>
    <col min="7427" max="7427" width="8.85546875" style="1803" customWidth="1"/>
    <col min="7428" max="7428" width="47.85546875" style="1803" customWidth="1"/>
    <col min="7429" max="7429" width="12.85546875" style="1803" customWidth="1"/>
    <col min="7430" max="7430" width="15.5703125" style="1803" customWidth="1"/>
    <col min="7431" max="7431" width="15.85546875" style="1803" customWidth="1"/>
    <col min="7432" max="7432" width="6.42578125" style="1803" customWidth="1"/>
    <col min="7433" max="7433" width="14.28515625" style="1803" bestFit="1" customWidth="1"/>
    <col min="7434" max="7434" width="11.42578125" style="1803" bestFit="1" customWidth="1"/>
    <col min="7435" max="7435" width="17.28515625" style="1803" bestFit="1" customWidth="1"/>
    <col min="7436" max="7436" width="16" style="1803" bestFit="1" customWidth="1"/>
    <col min="7437" max="7680" width="9.140625" style="1803"/>
    <col min="7681" max="7681" width="4.7109375" style="1803" customWidth="1"/>
    <col min="7682" max="7682" width="6.7109375" style="1803" customWidth="1"/>
    <col min="7683" max="7683" width="8.85546875" style="1803" customWidth="1"/>
    <col min="7684" max="7684" width="47.85546875" style="1803" customWidth="1"/>
    <col min="7685" max="7685" width="12.85546875" style="1803" customWidth="1"/>
    <col min="7686" max="7686" width="15.5703125" style="1803" customWidth="1"/>
    <col min="7687" max="7687" width="15.85546875" style="1803" customWidth="1"/>
    <col min="7688" max="7688" width="6.42578125" style="1803" customWidth="1"/>
    <col min="7689" max="7689" width="14.28515625" style="1803" bestFit="1" customWidth="1"/>
    <col min="7690" max="7690" width="11.42578125" style="1803" bestFit="1" customWidth="1"/>
    <col min="7691" max="7691" width="17.28515625" style="1803" bestFit="1" customWidth="1"/>
    <col min="7692" max="7692" width="16" style="1803" bestFit="1" customWidth="1"/>
    <col min="7693" max="7936" width="9.140625" style="1803"/>
    <col min="7937" max="7937" width="4.7109375" style="1803" customWidth="1"/>
    <col min="7938" max="7938" width="6.7109375" style="1803" customWidth="1"/>
    <col min="7939" max="7939" width="8.85546875" style="1803" customWidth="1"/>
    <col min="7940" max="7940" width="47.85546875" style="1803" customWidth="1"/>
    <col min="7941" max="7941" width="12.85546875" style="1803" customWidth="1"/>
    <col min="7942" max="7942" width="15.5703125" style="1803" customWidth="1"/>
    <col min="7943" max="7943" width="15.85546875" style="1803" customWidth="1"/>
    <col min="7944" max="7944" width="6.42578125" style="1803" customWidth="1"/>
    <col min="7945" max="7945" width="14.28515625" style="1803" bestFit="1" customWidth="1"/>
    <col min="7946" max="7946" width="11.42578125" style="1803" bestFit="1" customWidth="1"/>
    <col min="7947" max="7947" width="17.28515625" style="1803" bestFit="1" customWidth="1"/>
    <col min="7948" max="7948" width="16" style="1803" bestFit="1" customWidth="1"/>
    <col min="7949" max="8192" width="9.140625" style="1803"/>
    <col min="8193" max="8193" width="4.7109375" style="1803" customWidth="1"/>
    <col min="8194" max="8194" width="6.7109375" style="1803" customWidth="1"/>
    <col min="8195" max="8195" width="8.85546875" style="1803" customWidth="1"/>
    <col min="8196" max="8196" width="47.85546875" style="1803" customWidth="1"/>
    <col min="8197" max="8197" width="12.85546875" style="1803" customWidth="1"/>
    <col min="8198" max="8198" width="15.5703125" style="1803" customWidth="1"/>
    <col min="8199" max="8199" width="15.85546875" style="1803" customWidth="1"/>
    <col min="8200" max="8200" width="6.42578125" style="1803" customWidth="1"/>
    <col min="8201" max="8201" width="14.28515625" style="1803" bestFit="1" customWidth="1"/>
    <col min="8202" max="8202" width="11.42578125" style="1803" bestFit="1" customWidth="1"/>
    <col min="8203" max="8203" width="17.28515625" style="1803" bestFit="1" customWidth="1"/>
    <col min="8204" max="8204" width="16" style="1803" bestFit="1" customWidth="1"/>
    <col min="8205" max="8448" width="9.140625" style="1803"/>
    <col min="8449" max="8449" width="4.7109375" style="1803" customWidth="1"/>
    <col min="8450" max="8450" width="6.7109375" style="1803" customWidth="1"/>
    <col min="8451" max="8451" width="8.85546875" style="1803" customWidth="1"/>
    <col min="8452" max="8452" width="47.85546875" style="1803" customWidth="1"/>
    <col min="8453" max="8453" width="12.85546875" style="1803" customWidth="1"/>
    <col min="8454" max="8454" width="15.5703125" style="1803" customWidth="1"/>
    <col min="8455" max="8455" width="15.85546875" style="1803" customWidth="1"/>
    <col min="8456" max="8456" width="6.42578125" style="1803" customWidth="1"/>
    <col min="8457" max="8457" width="14.28515625" style="1803" bestFit="1" customWidth="1"/>
    <col min="8458" max="8458" width="11.42578125" style="1803" bestFit="1" customWidth="1"/>
    <col min="8459" max="8459" width="17.28515625" style="1803" bestFit="1" customWidth="1"/>
    <col min="8460" max="8460" width="16" style="1803" bestFit="1" customWidth="1"/>
    <col min="8461" max="8704" width="9.140625" style="1803"/>
    <col min="8705" max="8705" width="4.7109375" style="1803" customWidth="1"/>
    <col min="8706" max="8706" width="6.7109375" style="1803" customWidth="1"/>
    <col min="8707" max="8707" width="8.85546875" style="1803" customWidth="1"/>
    <col min="8708" max="8708" width="47.85546875" style="1803" customWidth="1"/>
    <col min="8709" max="8709" width="12.85546875" style="1803" customWidth="1"/>
    <col min="8710" max="8710" width="15.5703125" style="1803" customWidth="1"/>
    <col min="8711" max="8711" width="15.85546875" style="1803" customWidth="1"/>
    <col min="8712" max="8712" width="6.42578125" style="1803" customWidth="1"/>
    <col min="8713" max="8713" width="14.28515625" style="1803" bestFit="1" customWidth="1"/>
    <col min="8714" max="8714" width="11.42578125" style="1803" bestFit="1" customWidth="1"/>
    <col min="8715" max="8715" width="17.28515625" style="1803" bestFit="1" customWidth="1"/>
    <col min="8716" max="8716" width="16" style="1803" bestFit="1" customWidth="1"/>
    <col min="8717" max="8960" width="9.140625" style="1803"/>
    <col min="8961" max="8961" width="4.7109375" style="1803" customWidth="1"/>
    <col min="8962" max="8962" width="6.7109375" style="1803" customWidth="1"/>
    <col min="8963" max="8963" width="8.85546875" style="1803" customWidth="1"/>
    <col min="8964" max="8964" width="47.85546875" style="1803" customWidth="1"/>
    <col min="8965" max="8965" width="12.85546875" style="1803" customWidth="1"/>
    <col min="8966" max="8966" width="15.5703125" style="1803" customWidth="1"/>
    <col min="8967" max="8967" width="15.85546875" style="1803" customWidth="1"/>
    <col min="8968" max="8968" width="6.42578125" style="1803" customWidth="1"/>
    <col min="8969" max="8969" width="14.28515625" style="1803" bestFit="1" customWidth="1"/>
    <col min="8970" max="8970" width="11.42578125" style="1803" bestFit="1" customWidth="1"/>
    <col min="8971" max="8971" width="17.28515625" style="1803" bestFit="1" customWidth="1"/>
    <col min="8972" max="8972" width="16" style="1803" bestFit="1" customWidth="1"/>
    <col min="8973" max="9216" width="9.140625" style="1803"/>
    <col min="9217" max="9217" width="4.7109375" style="1803" customWidth="1"/>
    <col min="9218" max="9218" width="6.7109375" style="1803" customWidth="1"/>
    <col min="9219" max="9219" width="8.85546875" style="1803" customWidth="1"/>
    <col min="9220" max="9220" width="47.85546875" style="1803" customWidth="1"/>
    <col min="9221" max="9221" width="12.85546875" style="1803" customWidth="1"/>
    <col min="9222" max="9222" width="15.5703125" style="1803" customWidth="1"/>
    <col min="9223" max="9223" width="15.85546875" style="1803" customWidth="1"/>
    <col min="9224" max="9224" width="6.42578125" style="1803" customWidth="1"/>
    <col min="9225" max="9225" width="14.28515625" style="1803" bestFit="1" customWidth="1"/>
    <col min="9226" max="9226" width="11.42578125" style="1803" bestFit="1" customWidth="1"/>
    <col min="9227" max="9227" width="17.28515625" style="1803" bestFit="1" customWidth="1"/>
    <col min="9228" max="9228" width="16" style="1803" bestFit="1" customWidth="1"/>
    <col min="9229" max="9472" width="9.140625" style="1803"/>
    <col min="9473" max="9473" width="4.7109375" style="1803" customWidth="1"/>
    <col min="9474" max="9474" width="6.7109375" style="1803" customWidth="1"/>
    <col min="9475" max="9475" width="8.85546875" style="1803" customWidth="1"/>
    <col min="9476" max="9476" width="47.85546875" style="1803" customWidth="1"/>
    <col min="9477" max="9477" width="12.85546875" style="1803" customWidth="1"/>
    <col min="9478" max="9478" width="15.5703125" style="1803" customWidth="1"/>
    <col min="9479" max="9479" width="15.85546875" style="1803" customWidth="1"/>
    <col min="9480" max="9480" width="6.42578125" style="1803" customWidth="1"/>
    <col min="9481" max="9481" width="14.28515625" style="1803" bestFit="1" customWidth="1"/>
    <col min="9482" max="9482" width="11.42578125" style="1803" bestFit="1" customWidth="1"/>
    <col min="9483" max="9483" width="17.28515625" style="1803" bestFit="1" customWidth="1"/>
    <col min="9484" max="9484" width="16" style="1803" bestFit="1" customWidth="1"/>
    <col min="9485" max="9728" width="9.140625" style="1803"/>
    <col min="9729" max="9729" width="4.7109375" style="1803" customWidth="1"/>
    <col min="9730" max="9730" width="6.7109375" style="1803" customWidth="1"/>
    <col min="9731" max="9731" width="8.85546875" style="1803" customWidth="1"/>
    <col min="9732" max="9732" width="47.85546875" style="1803" customWidth="1"/>
    <col min="9733" max="9733" width="12.85546875" style="1803" customWidth="1"/>
    <col min="9734" max="9734" width="15.5703125" style="1803" customWidth="1"/>
    <col min="9735" max="9735" width="15.85546875" style="1803" customWidth="1"/>
    <col min="9736" max="9736" width="6.42578125" style="1803" customWidth="1"/>
    <col min="9737" max="9737" width="14.28515625" style="1803" bestFit="1" customWidth="1"/>
    <col min="9738" max="9738" width="11.42578125" style="1803" bestFit="1" customWidth="1"/>
    <col min="9739" max="9739" width="17.28515625" style="1803" bestFit="1" customWidth="1"/>
    <col min="9740" max="9740" width="16" style="1803" bestFit="1" customWidth="1"/>
    <col min="9741" max="9984" width="9.140625" style="1803"/>
    <col min="9985" max="9985" width="4.7109375" style="1803" customWidth="1"/>
    <col min="9986" max="9986" width="6.7109375" style="1803" customWidth="1"/>
    <col min="9987" max="9987" width="8.85546875" style="1803" customWidth="1"/>
    <col min="9988" max="9988" width="47.85546875" style="1803" customWidth="1"/>
    <col min="9989" max="9989" width="12.85546875" style="1803" customWidth="1"/>
    <col min="9990" max="9990" width="15.5703125" style="1803" customWidth="1"/>
    <col min="9991" max="9991" width="15.85546875" style="1803" customWidth="1"/>
    <col min="9992" max="9992" width="6.42578125" style="1803" customWidth="1"/>
    <col min="9993" max="9993" width="14.28515625" style="1803" bestFit="1" customWidth="1"/>
    <col min="9994" max="9994" width="11.42578125" style="1803" bestFit="1" customWidth="1"/>
    <col min="9995" max="9995" width="17.28515625" style="1803" bestFit="1" customWidth="1"/>
    <col min="9996" max="9996" width="16" style="1803" bestFit="1" customWidth="1"/>
    <col min="9997" max="10240" width="9.140625" style="1803"/>
    <col min="10241" max="10241" width="4.7109375" style="1803" customWidth="1"/>
    <col min="10242" max="10242" width="6.7109375" style="1803" customWidth="1"/>
    <col min="10243" max="10243" width="8.85546875" style="1803" customWidth="1"/>
    <col min="10244" max="10244" width="47.85546875" style="1803" customWidth="1"/>
    <col min="10245" max="10245" width="12.85546875" style="1803" customWidth="1"/>
    <col min="10246" max="10246" width="15.5703125" style="1803" customWidth="1"/>
    <col min="10247" max="10247" width="15.85546875" style="1803" customWidth="1"/>
    <col min="10248" max="10248" width="6.42578125" style="1803" customWidth="1"/>
    <col min="10249" max="10249" width="14.28515625" style="1803" bestFit="1" customWidth="1"/>
    <col min="10250" max="10250" width="11.42578125" style="1803" bestFit="1" customWidth="1"/>
    <col min="10251" max="10251" width="17.28515625" style="1803" bestFit="1" customWidth="1"/>
    <col min="10252" max="10252" width="16" style="1803" bestFit="1" customWidth="1"/>
    <col min="10253" max="10496" width="9.140625" style="1803"/>
    <col min="10497" max="10497" width="4.7109375" style="1803" customWidth="1"/>
    <col min="10498" max="10498" width="6.7109375" style="1803" customWidth="1"/>
    <col min="10499" max="10499" width="8.85546875" style="1803" customWidth="1"/>
    <col min="10500" max="10500" width="47.85546875" style="1803" customWidth="1"/>
    <col min="10501" max="10501" width="12.85546875" style="1803" customWidth="1"/>
    <col min="10502" max="10502" width="15.5703125" style="1803" customWidth="1"/>
    <col min="10503" max="10503" width="15.85546875" style="1803" customWidth="1"/>
    <col min="10504" max="10504" width="6.42578125" style="1803" customWidth="1"/>
    <col min="10505" max="10505" width="14.28515625" style="1803" bestFit="1" customWidth="1"/>
    <col min="10506" max="10506" width="11.42578125" style="1803" bestFit="1" customWidth="1"/>
    <col min="10507" max="10507" width="17.28515625" style="1803" bestFit="1" customWidth="1"/>
    <col min="10508" max="10508" width="16" style="1803" bestFit="1" customWidth="1"/>
    <col min="10509" max="10752" width="9.140625" style="1803"/>
    <col min="10753" max="10753" width="4.7109375" style="1803" customWidth="1"/>
    <col min="10754" max="10754" width="6.7109375" style="1803" customWidth="1"/>
    <col min="10755" max="10755" width="8.85546875" style="1803" customWidth="1"/>
    <col min="10756" max="10756" width="47.85546875" style="1803" customWidth="1"/>
    <col min="10757" max="10757" width="12.85546875" style="1803" customWidth="1"/>
    <col min="10758" max="10758" width="15.5703125" style="1803" customWidth="1"/>
    <col min="10759" max="10759" width="15.85546875" style="1803" customWidth="1"/>
    <col min="10760" max="10760" width="6.42578125" style="1803" customWidth="1"/>
    <col min="10761" max="10761" width="14.28515625" style="1803" bestFit="1" customWidth="1"/>
    <col min="10762" max="10762" width="11.42578125" style="1803" bestFit="1" customWidth="1"/>
    <col min="10763" max="10763" width="17.28515625" style="1803" bestFit="1" customWidth="1"/>
    <col min="10764" max="10764" width="16" style="1803" bestFit="1" customWidth="1"/>
    <col min="10765" max="11008" width="9.140625" style="1803"/>
    <col min="11009" max="11009" width="4.7109375" style="1803" customWidth="1"/>
    <col min="11010" max="11010" width="6.7109375" style="1803" customWidth="1"/>
    <col min="11011" max="11011" width="8.85546875" style="1803" customWidth="1"/>
    <col min="11012" max="11012" width="47.85546875" style="1803" customWidth="1"/>
    <col min="11013" max="11013" width="12.85546875" style="1803" customWidth="1"/>
    <col min="11014" max="11014" width="15.5703125" style="1803" customWidth="1"/>
    <col min="11015" max="11015" width="15.85546875" style="1803" customWidth="1"/>
    <col min="11016" max="11016" width="6.42578125" style="1803" customWidth="1"/>
    <col min="11017" max="11017" width="14.28515625" style="1803" bestFit="1" customWidth="1"/>
    <col min="11018" max="11018" width="11.42578125" style="1803" bestFit="1" customWidth="1"/>
    <col min="11019" max="11019" width="17.28515625" style="1803" bestFit="1" customWidth="1"/>
    <col min="11020" max="11020" width="16" style="1803" bestFit="1" customWidth="1"/>
    <col min="11021" max="11264" width="9.140625" style="1803"/>
    <col min="11265" max="11265" width="4.7109375" style="1803" customWidth="1"/>
    <col min="11266" max="11266" width="6.7109375" style="1803" customWidth="1"/>
    <col min="11267" max="11267" width="8.85546875" style="1803" customWidth="1"/>
    <col min="11268" max="11268" width="47.85546875" style="1803" customWidth="1"/>
    <col min="11269" max="11269" width="12.85546875" style="1803" customWidth="1"/>
    <col min="11270" max="11270" width="15.5703125" style="1803" customWidth="1"/>
    <col min="11271" max="11271" width="15.85546875" style="1803" customWidth="1"/>
    <col min="11272" max="11272" width="6.42578125" style="1803" customWidth="1"/>
    <col min="11273" max="11273" width="14.28515625" style="1803" bestFit="1" customWidth="1"/>
    <col min="11274" max="11274" width="11.42578125" style="1803" bestFit="1" customWidth="1"/>
    <col min="11275" max="11275" width="17.28515625" style="1803" bestFit="1" customWidth="1"/>
    <col min="11276" max="11276" width="16" style="1803" bestFit="1" customWidth="1"/>
    <col min="11277" max="11520" width="9.140625" style="1803"/>
    <col min="11521" max="11521" width="4.7109375" style="1803" customWidth="1"/>
    <col min="11522" max="11522" width="6.7109375" style="1803" customWidth="1"/>
    <col min="11523" max="11523" width="8.85546875" style="1803" customWidth="1"/>
    <col min="11524" max="11524" width="47.85546875" style="1803" customWidth="1"/>
    <col min="11525" max="11525" width="12.85546875" style="1803" customWidth="1"/>
    <col min="11526" max="11526" width="15.5703125" style="1803" customWidth="1"/>
    <col min="11527" max="11527" width="15.85546875" style="1803" customWidth="1"/>
    <col min="11528" max="11528" width="6.42578125" style="1803" customWidth="1"/>
    <col min="11529" max="11529" width="14.28515625" style="1803" bestFit="1" customWidth="1"/>
    <col min="11530" max="11530" width="11.42578125" style="1803" bestFit="1" customWidth="1"/>
    <col min="11531" max="11531" width="17.28515625" style="1803" bestFit="1" customWidth="1"/>
    <col min="11532" max="11532" width="16" style="1803" bestFit="1" customWidth="1"/>
    <col min="11533" max="11776" width="9.140625" style="1803"/>
    <col min="11777" max="11777" width="4.7109375" style="1803" customWidth="1"/>
    <col min="11778" max="11778" width="6.7109375" style="1803" customWidth="1"/>
    <col min="11779" max="11779" width="8.85546875" style="1803" customWidth="1"/>
    <col min="11780" max="11780" width="47.85546875" style="1803" customWidth="1"/>
    <col min="11781" max="11781" width="12.85546875" style="1803" customWidth="1"/>
    <col min="11782" max="11782" width="15.5703125" style="1803" customWidth="1"/>
    <col min="11783" max="11783" width="15.85546875" style="1803" customWidth="1"/>
    <col min="11784" max="11784" width="6.42578125" style="1803" customWidth="1"/>
    <col min="11785" max="11785" width="14.28515625" style="1803" bestFit="1" customWidth="1"/>
    <col min="11786" max="11786" width="11.42578125" style="1803" bestFit="1" customWidth="1"/>
    <col min="11787" max="11787" width="17.28515625" style="1803" bestFit="1" customWidth="1"/>
    <col min="11788" max="11788" width="16" style="1803" bestFit="1" customWidth="1"/>
    <col min="11789" max="12032" width="9.140625" style="1803"/>
    <col min="12033" max="12033" width="4.7109375" style="1803" customWidth="1"/>
    <col min="12034" max="12034" width="6.7109375" style="1803" customWidth="1"/>
    <col min="12035" max="12035" width="8.85546875" style="1803" customWidth="1"/>
    <col min="12036" max="12036" width="47.85546875" style="1803" customWidth="1"/>
    <col min="12037" max="12037" width="12.85546875" style="1803" customWidth="1"/>
    <col min="12038" max="12038" width="15.5703125" style="1803" customWidth="1"/>
    <col min="12039" max="12039" width="15.85546875" style="1803" customWidth="1"/>
    <col min="12040" max="12040" width="6.42578125" style="1803" customWidth="1"/>
    <col min="12041" max="12041" width="14.28515625" style="1803" bestFit="1" customWidth="1"/>
    <col min="12042" max="12042" width="11.42578125" style="1803" bestFit="1" customWidth="1"/>
    <col min="12043" max="12043" width="17.28515625" style="1803" bestFit="1" customWidth="1"/>
    <col min="12044" max="12044" width="16" style="1803" bestFit="1" customWidth="1"/>
    <col min="12045" max="12288" width="9.140625" style="1803"/>
    <col min="12289" max="12289" width="4.7109375" style="1803" customWidth="1"/>
    <col min="12290" max="12290" width="6.7109375" style="1803" customWidth="1"/>
    <col min="12291" max="12291" width="8.85546875" style="1803" customWidth="1"/>
    <col min="12292" max="12292" width="47.85546875" style="1803" customWidth="1"/>
    <col min="12293" max="12293" width="12.85546875" style="1803" customWidth="1"/>
    <col min="12294" max="12294" width="15.5703125" style="1803" customWidth="1"/>
    <col min="12295" max="12295" width="15.85546875" style="1803" customWidth="1"/>
    <col min="12296" max="12296" width="6.42578125" style="1803" customWidth="1"/>
    <col min="12297" max="12297" width="14.28515625" style="1803" bestFit="1" customWidth="1"/>
    <col min="12298" max="12298" width="11.42578125" style="1803" bestFit="1" customWidth="1"/>
    <col min="12299" max="12299" width="17.28515625" style="1803" bestFit="1" customWidth="1"/>
    <col min="12300" max="12300" width="16" style="1803" bestFit="1" customWidth="1"/>
    <col min="12301" max="12544" width="9.140625" style="1803"/>
    <col min="12545" max="12545" width="4.7109375" style="1803" customWidth="1"/>
    <col min="12546" max="12546" width="6.7109375" style="1803" customWidth="1"/>
    <col min="12547" max="12547" width="8.85546875" style="1803" customWidth="1"/>
    <col min="12548" max="12548" width="47.85546875" style="1803" customWidth="1"/>
    <col min="12549" max="12549" width="12.85546875" style="1803" customWidth="1"/>
    <col min="12550" max="12550" width="15.5703125" style="1803" customWidth="1"/>
    <col min="12551" max="12551" width="15.85546875" style="1803" customWidth="1"/>
    <col min="12552" max="12552" width="6.42578125" style="1803" customWidth="1"/>
    <col min="12553" max="12553" width="14.28515625" style="1803" bestFit="1" customWidth="1"/>
    <col min="12554" max="12554" width="11.42578125" style="1803" bestFit="1" customWidth="1"/>
    <col min="12555" max="12555" width="17.28515625" style="1803" bestFit="1" customWidth="1"/>
    <col min="12556" max="12556" width="16" style="1803" bestFit="1" customWidth="1"/>
    <col min="12557" max="12800" width="9.140625" style="1803"/>
    <col min="12801" max="12801" width="4.7109375" style="1803" customWidth="1"/>
    <col min="12802" max="12802" width="6.7109375" style="1803" customWidth="1"/>
    <col min="12803" max="12803" width="8.85546875" style="1803" customWidth="1"/>
    <col min="12804" max="12804" width="47.85546875" style="1803" customWidth="1"/>
    <col min="12805" max="12805" width="12.85546875" style="1803" customWidth="1"/>
    <col min="12806" max="12806" width="15.5703125" style="1803" customWidth="1"/>
    <col min="12807" max="12807" width="15.85546875" style="1803" customWidth="1"/>
    <col min="12808" max="12808" width="6.42578125" style="1803" customWidth="1"/>
    <col min="12809" max="12809" width="14.28515625" style="1803" bestFit="1" customWidth="1"/>
    <col min="12810" max="12810" width="11.42578125" style="1803" bestFit="1" customWidth="1"/>
    <col min="12811" max="12811" width="17.28515625" style="1803" bestFit="1" customWidth="1"/>
    <col min="12812" max="12812" width="16" style="1803" bestFit="1" customWidth="1"/>
    <col min="12813" max="13056" width="9.140625" style="1803"/>
    <col min="13057" max="13057" width="4.7109375" style="1803" customWidth="1"/>
    <col min="13058" max="13058" width="6.7109375" style="1803" customWidth="1"/>
    <col min="13059" max="13059" width="8.85546875" style="1803" customWidth="1"/>
    <col min="13060" max="13060" width="47.85546875" style="1803" customWidth="1"/>
    <col min="13061" max="13061" width="12.85546875" style="1803" customWidth="1"/>
    <col min="13062" max="13062" width="15.5703125" style="1803" customWidth="1"/>
    <col min="13063" max="13063" width="15.85546875" style="1803" customWidth="1"/>
    <col min="13064" max="13064" width="6.42578125" style="1803" customWidth="1"/>
    <col min="13065" max="13065" width="14.28515625" style="1803" bestFit="1" customWidth="1"/>
    <col min="13066" max="13066" width="11.42578125" style="1803" bestFit="1" customWidth="1"/>
    <col min="13067" max="13067" width="17.28515625" style="1803" bestFit="1" customWidth="1"/>
    <col min="13068" max="13068" width="16" style="1803" bestFit="1" customWidth="1"/>
    <col min="13069" max="13312" width="9.140625" style="1803"/>
    <col min="13313" max="13313" width="4.7109375" style="1803" customWidth="1"/>
    <col min="13314" max="13314" width="6.7109375" style="1803" customWidth="1"/>
    <col min="13315" max="13315" width="8.85546875" style="1803" customWidth="1"/>
    <col min="13316" max="13316" width="47.85546875" style="1803" customWidth="1"/>
    <col min="13317" max="13317" width="12.85546875" style="1803" customWidth="1"/>
    <col min="13318" max="13318" width="15.5703125" style="1803" customWidth="1"/>
    <col min="13319" max="13319" width="15.85546875" style="1803" customWidth="1"/>
    <col min="13320" max="13320" width="6.42578125" style="1803" customWidth="1"/>
    <col min="13321" max="13321" width="14.28515625" style="1803" bestFit="1" customWidth="1"/>
    <col min="13322" max="13322" width="11.42578125" style="1803" bestFit="1" customWidth="1"/>
    <col min="13323" max="13323" width="17.28515625" style="1803" bestFit="1" customWidth="1"/>
    <col min="13324" max="13324" width="16" style="1803" bestFit="1" customWidth="1"/>
    <col min="13325" max="13568" width="9.140625" style="1803"/>
    <col min="13569" max="13569" width="4.7109375" style="1803" customWidth="1"/>
    <col min="13570" max="13570" width="6.7109375" style="1803" customWidth="1"/>
    <col min="13571" max="13571" width="8.85546875" style="1803" customWidth="1"/>
    <col min="13572" max="13572" width="47.85546875" style="1803" customWidth="1"/>
    <col min="13573" max="13573" width="12.85546875" style="1803" customWidth="1"/>
    <col min="13574" max="13574" width="15.5703125" style="1803" customWidth="1"/>
    <col min="13575" max="13575" width="15.85546875" style="1803" customWidth="1"/>
    <col min="13576" max="13576" width="6.42578125" style="1803" customWidth="1"/>
    <col min="13577" max="13577" width="14.28515625" style="1803" bestFit="1" customWidth="1"/>
    <col min="13578" max="13578" width="11.42578125" style="1803" bestFit="1" customWidth="1"/>
    <col min="13579" max="13579" width="17.28515625" style="1803" bestFit="1" customWidth="1"/>
    <col min="13580" max="13580" width="16" style="1803" bestFit="1" customWidth="1"/>
    <col min="13581" max="13824" width="9.140625" style="1803"/>
    <col min="13825" max="13825" width="4.7109375" style="1803" customWidth="1"/>
    <col min="13826" max="13826" width="6.7109375" style="1803" customWidth="1"/>
    <col min="13827" max="13827" width="8.85546875" style="1803" customWidth="1"/>
    <col min="13828" max="13828" width="47.85546875" style="1803" customWidth="1"/>
    <col min="13829" max="13829" width="12.85546875" style="1803" customWidth="1"/>
    <col min="13830" max="13830" width="15.5703125" style="1803" customWidth="1"/>
    <col min="13831" max="13831" width="15.85546875" style="1803" customWidth="1"/>
    <col min="13832" max="13832" width="6.42578125" style="1803" customWidth="1"/>
    <col min="13833" max="13833" width="14.28515625" style="1803" bestFit="1" customWidth="1"/>
    <col min="13834" max="13834" width="11.42578125" style="1803" bestFit="1" customWidth="1"/>
    <col min="13835" max="13835" width="17.28515625" style="1803" bestFit="1" customWidth="1"/>
    <col min="13836" max="13836" width="16" style="1803" bestFit="1" customWidth="1"/>
    <col min="13837" max="14080" width="9.140625" style="1803"/>
    <col min="14081" max="14081" width="4.7109375" style="1803" customWidth="1"/>
    <col min="14082" max="14082" width="6.7109375" style="1803" customWidth="1"/>
    <col min="14083" max="14083" width="8.85546875" style="1803" customWidth="1"/>
    <col min="14084" max="14084" width="47.85546875" style="1803" customWidth="1"/>
    <col min="14085" max="14085" width="12.85546875" style="1803" customWidth="1"/>
    <col min="14086" max="14086" width="15.5703125" style="1803" customWidth="1"/>
    <col min="14087" max="14087" width="15.85546875" style="1803" customWidth="1"/>
    <col min="14088" max="14088" width="6.42578125" style="1803" customWidth="1"/>
    <col min="14089" max="14089" width="14.28515625" style="1803" bestFit="1" customWidth="1"/>
    <col min="14090" max="14090" width="11.42578125" style="1803" bestFit="1" customWidth="1"/>
    <col min="14091" max="14091" width="17.28515625" style="1803" bestFit="1" customWidth="1"/>
    <col min="14092" max="14092" width="16" style="1803" bestFit="1" customWidth="1"/>
    <col min="14093" max="14336" width="9.140625" style="1803"/>
    <col min="14337" max="14337" width="4.7109375" style="1803" customWidth="1"/>
    <col min="14338" max="14338" width="6.7109375" style="1803" customWidth="1"/>
    <col min="14339" max="14339" width="8.85546875" style="1803" customWidth="1"/>
    <col min="14340" max="14340" width="47.85546875" style="1803" customWidth="1"/>
    <col min="14341" max="14341" width="12.85546875" style="1803" customWidth="1"/>
    <col min="14342" max="14342" width="15.5703125" style="1803" customWidth="1"/>
    <col min="14343" max="14343" width="15.85546875" style="1803" customWidth="1"/>
    <col min="14344" max="14344" width="6.42578125" style="1803" customWidth="1"/>
    <col min="14345" max="14345" width="14.28515625" style="1803" bestFit="1" customWidth="1"/>
    <col min="14346" max="14346" width="11.42578125" style="1803" bestFit="1" customWidth="1"/>
    <col min="14347" max="14347" width="17.28515625" style="1803" bestFit="1" customWidth="1"/>
    <col min="14348" max="14348" width="16" style="1803" bestFit="1" customWidth="1"/>
    <col min="14349" max="14592" width="9.140625" style="1803"/>
    <col min="14593" max="14593" width="4.7109375" style="1803" customWidth="1"/>
    <col min="14594" max="14594" width="6.7109375" style="1803" customWidth="1"/>
    <col min="14595" max="14595" width="8.85546875" style="1803" customWidth="1"/>
    <col min="14596" max="14596" width="47.85546875" style="1803" customWidth="1"/>
    <col min="14597" max="14597" width="12.85546875" style="1803" customWidth="1"/>
    <col min="14598" max="14598" width="15.5703125" style="1803" customWidth="1"/>
    <col min="14599" max="14599" width="15.85546875" style="1803" customWidth="1"/>
    <col min="14600" max="14600" width="6.42578125" style="1803" customWidth="1"/>
    <col min="14601" max="14601" width="14.28515625" style="1803" bestFit="1" customWidth="1"/>
    <col min="14602" max="14602" width="11.42578125" style="1803" bestFit="1" customWidth="1"/>
    <col min="14603" max="14603" width="17.28515625" style="1803" bestFit="1" customWidth="1"/>
    <col min="14604" max="14604" width="16" style="1803" bestFit="1" customWidth="1"/>
    <col min="14605" max="14848" width="9.140625" style="1803"/>
    <col min="14849" max="14849" width="4.7109375" style="1803" customWidth="1"/>
    <col min="14850" max="14850" width="6.7109375" style="1803" customWidth="1"/>
    <col min="14851" max="14851" width="8.85546875" style="1803" customWidth="1"/>
    <col min="14852" max="14852" width="47.85546875" style="1803" customWidth="1"/>
    <col min="14853" max="14853" width="12.85546875" style="1803" customWidth="1"/>
    <col min="14854" max="14854" width="15.5703125" style="1803" customWidth="1"/>
    <col min="14855" max="14855" width="15.85546875" style="1803" customWidth="1"/>
    <col min="14856" max="14856" width="6.42578125" style="1803" customWidth="1"/>
    <col min="14857" max="14857" width="14.28515625" style="1803" bestFit="1" customWidth="1"/>
    <col min="14858" max="14858" width="11.42578125" style="1803" bestFit="1" customWidth="1"/>
    <col min="14859" max="14859" width="17.28515625" style="1803" bestFit="1" customWidth="1"/>
    <col min="14860" max="14860" width="16" style="1803" bestFit="1" customWidth="1"/>
    <col min="14861" max="15104" width="9.140625" style="1803"/>
    <col min="15105" max="15105" width="4.7109375" style="1803" customWidth="1"/>
    <col min="15106" max="15106" width="6.7109375" style="1803" customWidth="1"/>
    <col min="15107" max="15107" width="8.85546875" style="1803" customWidth="1"/>
    <col min="15108" max="15108" width="47.85546875" style="1803" customWidth="1"/>
    <col min="15109" max="15109" width="12.85546875" style="1803" customWidth="1"/>
    <col min="15110" max="15110" width="15.5703125" style="1803" customWidth="1"/>
    <col min="15111" max="15111" width="15.85546875" style="1803" customWidth="1"/>
    <col min="15112" max="15112" width="6.42578125" style="1803" customWidth="1"/>
    <col min="15113" max="15113" width="14.28515625" style="1803" bestFit="1" customWidth="1"/>
    <col min="15114" max="15114" width="11.42578125" style="1803" bestFit="1" customWidth="1"/>
    <col min="15115" max="15115" width="17.28515625" style="1803" bestFit="1" customWidth="1"/>
    <col min="15116" max="15116" width="16" style="1803" bestFit="1" customWidth="1"/>
    <col min="15117" max="15360" width="9.140625" style="1803"/>
    <col min="15361" max="15361" width="4.7109375" style="1803" customWidth="1"/>
    <col min="15362" max="15362" width="6.7109375" style="1803" customWidth="1"/>
    <col min="15363" max="15363" width="8.85546875" style="1803" customWidth="1"/>
    <col min="15364" max="15364" width="47.85546875" style="1803" customWidth="1"/>
    <col min="15365" max="15365" width="12.85546875" style="1803" customWidth="1"/>
    <col min="15366" max="15366" width="15.5703125" style="1803" customWidth="1"/>
    <col min="15367" max="15367" width="15.85546875" style="1803" customWidth="1"/>
    <col min="15368" max="15368" width="6.42578125" style="1803" customWidth="1"/>
    <col min="15369" max="15369" width="14.28515625" style="1803" bestFit="1" customWidth="1"/>
    <col min="15370" max="15370" width="11.42578125" style="1803" bestFit="1" customWidth="1"/>
    <col min="15371" max="15371" width="17.28515625" style="1803" bestFit="1" customWidth="1"/>
    <col min="15372" max="15372" width="16" style="1803" bestFit="1" customWidth="1"/>
    <col min="15373" max="15616" width="9.140625" style="1803"/>
    <col min="15617" max="15617" width="4.7109375" style="1803" customWidth="1"/>
    <col min="15618" max="15618" width="6.7109375" style="1803" customWidth="1"/>
    <col min="15619" max="15619" width="8.85546875" style="1803" customWidth="1"/>
    <col min="15620" max="15620" width="47.85546875" style="1803" customWidth="1"/>
    <col min="15621" max="15621" width="12.85546875" style="1803" customWidth="1"/>
    <col min="15622" max="15622" width="15.5703125" style="1803" customWidth="1"/>
    <col min="15623" max="15623" width="15.85546875" style="1803" customWidth="1"/>
    <col min="15624" max="15624" width="6.42578125" style="1803" customWidth="1"/>
    <col min="15625" max="15625" width="14.28515625" style="1803" bestFit="1" customWidth="1"/>
    <col min="15626" max="15626" width="11.42578125" style="1803" bestFit="1" customWidth="1"/>
    <col min="15627" max="15627" width="17.28515625" style="1803" bestFit="1" customWidth="1"/>
    <col min="15628" max="15628" width="16" style="1803" bestFit="1" customWidth="1"/>
    <col min="15629" max="15872" width="9.140625" style="1803"/>
    <col min="15873" max="15873" width="4.7109375" style="1803" customWidth="1"/>
    <col min="15874" max="15874" width="6.7109375" style="1803" customWidth="1"/>
    <col min="15875" max="15875" width="8.85546875" style="1803" customWidth="1"/>
    <col min="15876" max="15876" width="47.85546875" style="1803" customWidth="1"/>
    <col min="15877" max="15877" width="12.85546875" style="1803" customWidth="1"/>
    <col min="15878" max="15878" width="15.5703125" style="1803" customWidth="1"/>
    <col min="15879" max="15879" width="15.85546875" style="1803" customWidth="1"/>
    <col min="15880" max="15880" width="6.42578125" style="1803" customWidth="1"/>
    <col min="15881" max="15881" width="14.28515625" style="1803" bestFit="1" customWidth="1"/>
    <col min="15882" max="15882" width="11.42578125" style="1803" bestFit="1" customWidth="1"/>
    <col min="15883" max="15883" width="17.28515625" style="1803" bestFit="1" customWidth="1"/>
    <col min="15884" max="15884" width="16" style="1803" bestFit="1" customWidth="1"/>
    <col min="15885" max="16128" width="9.140625" style="1803"/>
    <col min="16129" max="16129" width="4.7109375" style="1803" customWidth="1"/>
    <col min="16130" max="16130" width="6.7109375" style="1803" customWidth="1"/>
    <col min="16131" max="16131" width="8.85546875" style="1803" customWidth="1"/>
    <col min="16132" max="16132" width="47.85546875" style="1803" customWidth="1"/>
    <col min="16133" max="16133" width="12.85546875" style="1803" customWidth="1"/>
    <col min="16134" max="16134" width="15.5703125" style="1803" customWidth="1"/>
    <col min="16135" max="16135" width="15.85546875" style="1803" customWidth="1"/>
    <col min="16136" max="16136" width="6.42578125" style="1803" customWidth="1"/>
    <col min="16137" max="16137" width="14.28515625" style="1803" bestFit="1" customWidth="1"/>
    <col min="16138" max="16138" width="11.42578125" style="1803" bestFit="1" customWidth="1"/>
    <col min="16139" max="16139" width="17.28515625" style="1803" bestFit="1" customWidth="1"/>
    <col min="16140" max="16140" width="16" style="1803" bestFit="1" customWidth="1"/>
    <col min="16141" max="16384" width="9.140625" style="1803"/>
  </cols>
  <sheetData>
    <row r="1" spans="1:8" ht="19.5" customHeight="1" thickBot="1" x14ac:dyDescent="0.3">
      <c r="A1" s="1710" t="s">
        <v>425</v>
      </c>
      <c r="B1" s="1709"/>
      <c r="C1" s="1798"/>
      <c r="D1" s="1707"/>
      <c r="E1" s="1706"/>
      <c r="F1" s="1707"/>
      <c r="G1" s="1900"/>
      <c r="H1" s="1710"/>
    </row>
    <row r="2" spans="1:8" ht="18" x14ac:dyDescent="0.25">
      <c r="A2" s="1807"/>
      <c r="B2" s="1831"/>
      <c r="C2" s="1831"/>
      <c r="D2" s="1831"/>
      <c r="E2" s="1831"/>
      <c r="F2" s="1831"/>
      <c r="G2" s="1831"/>
      <c r="H2" s="1876" t="s">
        <v>426</v>
      </c>
    </row>
    <row r="3" spans="1:8" ht="18" x14ac:dyDescent="0.25">
      <c r="A3" s="1705" t="s">
        <v>367</v>
      </c>
      <c r="B3" s="1831"/>
      <c r="C3" s="1801" t="s">
        <v>347</v>
      </c>
      <c r="D3" s="1831"/>
      <c r="E3" s="1831"/>
      <c r="F3" s="1831"/>
      <c r="G3" s="1831"/>
      <c r="H3" s="1876"/>
    </row>
    <row r="4" spans="1:8" ht="18" x14ac:dyDescent="0.25">
      <c r="A4" s="1807"/>
      <c r="B4" s="1831"/>
      <c r="C4" s="1801" t="s">
        <v>348</v>
      </c>
      <c r="D4" s="1831"/>
      <c r="E4" s="1831"/>
      <c r="F4" s="1831"/>
      <c r="G4" s="1831"/>
      <c r="H4" s="1876"/>
    </row>
    <row r="5" spans="1:8" ht="18" x14ac:dyDescent="0.25">
      <c r="A5" s="1806" t="s">
        <v>427</v>
      </c>
      <c r="B5" s="1831"/>
      <c r="C5" s="1831"/>
      <c r="D5" s="1831"/>
      <c r="E5" s="1831"/>
      <c r="F5" s="1831"/>
      <c r="G5" s="1831"/>
      <c r="H5" s="1876"/>
    </row>
    <row r="7" spans="1:8" ht="15.75" thickBot="1" x14ac:dyDescent="0.3">
      <c r="A7" s="1808" t="s">
        <v>250</v>
      </c>
      <c r="H7" s="1892" t="s">
        <v>161</v>
      </c>
    </row>
    <row r="8" spans="1:8" s="1638" customFormat="1" ht="25.5" thickTop="1" thickBot="1" x14ac:dyDescent="0.25">
      <c r="A8" s="1809" t="s">
        <v>162</v>
      </c>
      <c r="B8" s="1810" t="s">
        <v>761</v>
      </c>
      <c r="C8" s="1810" t="s">
        <v>377</v>
      </c>
      <c r="D8" s="1811" t="s">
        <v>164</v>
      </c>
      <c r="E8" s="1833" t="s">
        <v>632</v>
      </c>
      <c r="F8" s="1833" t="s">
        <v>633</v>
      </c>
      <c r="G8" s="1834" t="s">
        <v>882</v>
      </c>
      <c r="H8" s="1835" t="s">
        <v>883</v>
      </c>
    </row>
    <row r="9" spans="1:8" s="1638" customFormat="1" ht="13.5" thickTop="1" thickBot="1" x14ac:dyDescent="0.25">
      <c r="A9" s="1643">
        <v>1</v>
      </c>
      <c r="B9" s="1642">
        <v>2</v>
      </c>
      <c r="C9" s="1642">
        <v>3</v>
      </c>
      <c r="D9" s="1642">
        <v>4</v>
      </c>
      <c r="E9" s="1641">
        <v>5</v>
      </c>
      <c r="F9" s="1641">
        <v>6</v>
      </c>
      <c r="G9" s="1877">
        <v>7</v>
      </c>
      <c r="H9" s="1901" t="s">
        <v>61</v>
      </c>
    </row>
    <row r="10" spans="1:8" s="1846" customFormat="1" ht="45.75" hidden="1" customHeight="1" thickTop="1" x14ac:dyDescent="0.2">
      <c r="A10" s="1843">
        <v>3299</v>
      </c>
      <c r="B10" s="1844">
        <v>5213</v>
      </c>
      <c r="C10" s="1844">
        <v>32133006</v>
      </c>
      <c r="D10" s="1855" t="s">
        <v>1261</v>
      </c>
      <c r="E10" s="1832">
        <v>0</v>
      </c>
      <c r="F10" s="1832"/>
      <c r="G10" s="1832"/>
      <c r="H10" s="1819" t="e">
        <f t="shared" ref="H10:H27" si="0">G10/F10*100</f>
        <v>#DIV/0!</v>
      </c>
    </row>
    <row r="11" spans="1:8" s="1846" customFormat="1" ht="45.75" hidden="1" thickTop="1" x14ac:dyDescent="0.2">
      <c r="A11" s="1896">
        <v>3299</v>
      </c>
      <c r="B11" s="1903">
        <v>5213</v>
      </c>
      <c r="C11" s="1903">
        <v>32533006</v>
      </c>
      <c r="D11" s="1836" t="s">
        <v>1261</v>
      </c>
      <c r="E11" s="1845">
        <v>0</v>
      </c>
      <c r="F11" s="1845"/>
      <c r="G11" s="1845"/>
      <c r="H11" s="1821" t="e">
        <f t="shared" si="0"/>
        <v>#DIV/0!</v>
      </c>
    </row>
    <row r="12" spans="1:8" s="1846" customFormat="1" ht="30" hidden="1" customHeight="1" x14ac:dyDescent="0.2">
      <c r="A12" s="1896">
        <v>3299</v>
      </c>
      <c r="B12" s="1903">
        <v>5221</v>
      </c>
      <c r="C12" s="1903">
        <v>32133006</v>
      </c>
      <c r="D12" s="1836" t="s">
        <v>1317</v>
      </c>
      <c r="E12" s="1845">
        <v>0</v>
      </c>
      <c r="F12" s="1845"/>
      <c r="G12" s="1845"/>
      <c r="H12" s="1821" t="e">
        <f t="shared" si="0"/>
        <v>#DIV/0!</v>
      </c>
    </row>
    <row r="13" spans="1:8" s="1846" customFormat="1" ht="30.75" hidden="1" thickTop="1" x14ac:dyDescent="0.2">
      <c r="A13" s="1896">
        <v>3299</v>
      </c>
      <c r="B13" s="1903">
        <v>5221</v>
      </c>
      <c r="C13" s="1903">
        <v>32533006</v>
      </c>
      <c r="D13" s="1836" t="s">
        <v>1317</v>
      </c>
      <c r="E13" s="1845">
        <v>0</v>
      </c>
      <c r="F13" s="1845"/>
      <c r="G13" s="1845"/>
      <c r="H13" s="1821" t="e">
        <f t="shared" si="0"/>
        <v>#DIV/0!</v>
      </c>
    </row>
    <row r="14" spans="1:8" s="1846" customFormat="1" ht="30.75" hidden="1" thickTop="1" x14ac:dyDescent="0.2">
      <c r="A14" s="1896">
        <v>3299</v>
      </c>
      <c r="B14" s="1903">
        <v>5223</v>
      </c>
      <c r="C14" s="1903">
        <v>32133006</v>
      </c>
      <c r="D14" s="1836" t="s">
        <v>829</v>
      </c>
      <c r="E14" s="1845">
        <v>0</v>
      </c>
      <c r="F14" s="1845"/>
      <c r="G14" s="1845"/>
      <c r="H14" s="1821" t="e">
        <f t="shared" si="0"/>
        <v>#DIV/0!</v>
      </c>
    </row>
    <row r="15" spans="1:8" s="1846" customFormat="1" ht="30.75" hidden="1" thickTop="1" x14ac:dyDescent="0.2">
      <c r="A15" s="1896">
        <v>3299</v>
      </c>
      <c r="B15" s="1903">
        <v>5223</v>
      </c>
      <c r="C15" s="1903">
        <v>32533006</v>
      </c>
      <c r="D15" s="1836" t="s">
        <v>829</v>
      </c>
      <c r="E15" s="1845">
        <v>0</v>
      </c>
      <c r="F15" s="1845"/>
      <c r="G15" s="1845"/>
      <c r="H15" s="1821" t="e">
        <f t="shared" si="0"/>
        <v>#DIV/0!</v>
      </c>
    </row>
    <row r="16" spans="1:8" ht="15" hidden="1" customHeight="1" x14ac:dyDescent="0.2">
      <c r="A16" s="1896">
        <v>3299</v>
      </c>
      <c r="B16" s="1903">
        <v>5332</v>
      </c>
      <c r="C16" s="1906">
        <v>32133006</v>
      </c>
      <c r="D16" s="1836" t="s">
        <v>619</v>
      </c>
      <c r="E16" s="1845">
        <v>0</v>
      </c>
      <c r="F16" s="1845"/>
      <c r="G16" s="1845"/>
      <c r="H16" s="1821" t="e">
        <f t="shared" si="0"/>
        <v>#DIV/0!</v>
      </c>
    </row>
    <row r="17" spans="1:10" ht="15.75" hidden="1" thickTop="1" x14ac:dyDescent="0.2">
      <c r="A17" s="1896">
        <v>3299</v>
      </c>
      <c r="B17" s="1903">
        <v>5332</v>
      </c>
      <c r="C17" s="1906">
        <v>32533006</v>
      </c>
      <c r="D17" s="1836" t="s">
        <v>619</v>
      </c>
      <c r="E17" s="1845">
        <v>0</v>
      </c>
      <c r="F17" s="1845"/>
      <c r="G17" s="1845"/>
      <c r="H17" s="1821" t="e">
        <f t="shared" si="0"/>
        <v>#DIV/0!</v>
      </c>
    </row>
    <row r="18" spans="1:10" ht="15.75" thickTop="1" x14ac:dyDescent="0.2">
      <c r="A18" s="1896">
        <v>3299</v>
      </c>
      <c r="B18" s="1903">
        <v>5901</v>
      </c>
      <c r="C18" s="1906">
        <v>32133006</v>
      </c>
      <c r="D18" s="1836" t="s">
        <v>602</v>
      </c>
      <c r="E18" s="1845">
        <v>0</v>
      </c>
      <c r="F18" s="1845">
        <v>1270</v>
      </c>
      <c r="G18" s="1845">
        <v>0</v>
      </c>
      <c r="H18" s="1821">
        <f t="shared" si="0"/>
        <v>0</v>
      </c>
    </row>
    <row r="19" spans="1:10" ht="15" x14ac:dyDescent="0.2">
      <c r="A19" s="1896">
        <v>3299</v>
      </c>
      <c r="B19" s="1903">
        <v>5901</v>
      </c>
      <c r="C19" s="1906">
        <v>32533006</v>
      </c>
      <c r="D19" s="1836" t="s">
        <v>602</v>
      </c>
      <c r="E19" s="1845">
        <v>0</v>
      </c>
      <c r="F19" s="1845">
        <v>7200</v>
      </c>
      <c r="G19" s="1845">
        <v>0</v>
      </c>
      <c r="H19" s="1821">
        <f t="shared" si="0"/>
        <v>0</v>
      </c>
    </row>
    <row r="20" spans="1:10" ht="15" x14ac:dyDescent="0.2">
      <c r="A20" s="1896">
        <v>3299</v>
      </c>
      <c r="B20" s="1903">
        <v>5909</v>
      </c>
      <c r="C20" s="1906">
        <v>0</v>
      </c>
      <c r="D20" s="1836" t="s">
        <v>651</v>
      </c>
      <c r="E20" s="1845">
        <v>0</v>
      </c>
      <c r="F20" s="1845">
        <v>7</v>
      </c>
      <c r="G20" s="1845">
        <v>7</v>
      </c>
      <c r="H20" s="1821">
        <f t="shared" si="0"/>
        <v>100</v>
      </c>
    </row>
    <row r="21" spans="1:10" ht="45" hidden="1" x14ac:dyDescent="0.2">
      <c r="A21" s="1896">
        <v>3299</v>
      </c>
      <c r="B21" s="1903">
        <v>6313</v>
      </c>
      <c r="C21" s="1906">
        <v>32533006</v>
      </c>
      <c r="D21" s="1836" t="s">
        <v>547</v>
      </c>
      <c r="E21" s="1845">
        <v>0</v>
      </c>
      <c r="F21" s="1845"/>
      <c r="G21" s="1845"/>
      <c r="H21" s="1821" t="e">
        <f t="shared" si="0"/>
        <v>#DIV/0!</v>
      </c>
    </row>
    <row r="22" spans="1:10" ht="30" hidden="1" x14ac:dyDescent="0.2">
      <c r="A22" s="1896">
        <v>3299</v>
      </c>
      <c r="B22" s="1903">
        <v>6323</v>
      </c>
      <c r="C22" s="1906">
        <v>32133006</v>
      </c>
      <c r="D22" s="1836" t="s">
        <v>548</v>
      </c>
      <c r="E22" s="1845">
        <v>0</v>
      </c>
      <c r="F22" s="1845"/>
      <c r="G22" s="1845"/>
      <c r="H22" s="1821" t="e">
        <f t="shared" si="0"/>
        <v>#DIV/0!</v>
      </c>
    </row>
    <row r="23" spans="1:10" ht="30" hidden="1" x14ac:dyDescent="0.2">
      <c r="A23" s="1896">
        <v>3299</v>
      </c>
      <c r="B23" s="1903">
        <v>6323</v>
      </c>
      <c r="C23" s="1906">
        <v>32533006</v>
      </c>
      <c r="D23" s="1836" t="s">
        <v>548</v>
      </c>
      <c r="E23" s="1845">
        <v>0</v>
      </c>
      <c r="F23" s="1845"/>
      <c r="G23" s="1845"/>
      <c r="H23" s="1821" t="e">
        <f t="shared" si="0"/>
        <v>#DIV/0!</v>
      </c>
    </row>
    <row r="24" spans="1:10" ht="15" x14ac:dyDescent="0.2">
      <c r="A24" s="1896">
        <v>3299</v>
      </c>
      <c r="B24" s="1903">
        <v>6901</v>
      </c>
      <c r="C24" s="1906">
        <v>32133006</v>
      </c>
      <c r="D24" s="1836" t="s">
        <v>428</v>
      </c>
      <c r="E24" s="1845">
        <v>0</v>
      </c>
      <c r="F24" s="1845">
        <v>760</v>
      </c>
      <c r="G24" s="1845">
        <v>0</v>
      </c>
      <c r="H24" s="1821">
        <f t="shared" si="0"/>
        <v>0</v>
      </c>
    </row>
    <row r="25" spans="1:10" ht="15" x14ac:dyDescent="0.2">
      <c r="A25" s="1896">
        <v>3299</v>
      </c>
      <c r="B25" s="1903">
        <v>6901</v>
      </c>
      <c r="C25" s="1906">
        <v>32533006</v>
      </c>
      <c r="D25" s="1836" t="s">
        <v>428</v>
      </c>
      <c r="E25" s="1845">
        <v>0</v>
      </c>
      <c r="F25" s="1845">
        <v>4309</v>
      </c>
      <c r="G25" s="1845">
        <v>0</v>
      </c>
      <c r="H25" s="1821">
        <f t="shared" si="0"/>
        <v>0</v>
      </c>
      <c r="J25" s="1914"/>
    </row>
    <row r="26" spans="1:10" ht="15.75" thickBot="1" x14ac:dyDescent="0.25">
      <c r="A26" s="1896">
        <v>6402</v>
      </c>
      <c r="B26" s="1903">
        <v>5363</v>
      </c>
      <c r="C26" s="1906">
        <v>19</v>
      </c>
      <c r="D26" s="1836" t="s">
        <v>549</v>
      </c>
      <c r="E26" s="1845">
        <v>0</v>
      </c>
      <c r="F26" s="1845">
        <v>116</v>
      </c>
      <c r="G26" s="1845">
        <v>116</v>
      </c>
      <c r="H26" s="1827">
        <f t="shared" si="0"/>
        <v>100</v>
      </c>
      <c r="J26" s="1914"/>
    </row>
    <row r="27" spans="1:10" s="1828" customFormat="1" ht="16.5" thickTop="1" thickBot="1" x14ac:dyDescent="0.3">
      <c r="A27" s="2751" t="s">
        <v>763</v>
      </c>
      <c r="B27" s="2752"/>
      <c r="C27" s="2752"/>
      <c r="D27" s="2752"/>
      <c r="E27" s="1818">
        <f>SUM(E10:E25)</f>
        <v>0</v>
      </c>
      <c r="F27" s="1818">
        <f>SUM(F10:F26)</f>
        <v>13662</v>
      </c>
      <c r="G27" s="1818">
        <f>SUM(G10:G26)</f>
        <v>123</v>
      </c>
      <c r="H27" s="1827">
        <f t="shared" si="0"/>
        <v>0.90030742204655245</v>
      </c>
      <c r="I27" s="1910"/>
    </row>
    <row r="28" spans="1:10" ht="13.5" thickTop="1" x14ac:dyDescent="0.2">
      <c r="I28" s="1829"/>
    </row>
    <row r="29" spans="1:10" x14ac:dyDescent="0.2">
      <c r="I29" s="1829"/>
    </row>
    <row r="30" spans="1:10" ht="15" x14ac:dyDescent="0.25">
      <c r="A30" s="1808" t="s">
        <v>1304</v>
      </c>
      <c r="D30" s="1802"/>
      <c r="E30" s="1803"/>
      <c r="H30" s="1829"/>
      <c r="I30" s="1829"/>
    </row>
    <row r="31" spans="1:10" ht="15.75" thickBot="1" x14ac:dyDescent="0.3">
      <c r="A31" s="1808" t="s">
        <v>1376</v>
      </c>
      <c r="D31" s="1802"/>
      <c r="E31" s="1803"/>
      <c r="H31" s="1892" t="s">
        <v>161</v>
      </c>
      <c r="I31" s="1829"/>
    </row>
    <row r="32" spans="1:10" ht="25.5" thickTop="1" thickBot="1" x14ac:dyDescent="0.25">
      <c r="A32" s="1809" t="s">
        <v>162</v>
      </c>
      <c r="B32" s="1810" t="s">
        <v>761</v>
      </c>
      <c r="C32" s="1810" t="s">
        <v>377</v>
      </c>
      <c r="D32" s="1811" t="s">
        <v>164</v>
      </c>
      <c r="E32" s="1833" t="s">
        <v>632</v>
      </c>
      <c r="F32" s="1833" t="s">
        <v>633</v>
      </c>
      <c r="G32" s="1834" t="s">
        <v>882</v>
      </c>
      <c r="H32" s="1835" t="s">
        <v>883</v>
      </c>
      <c r="I32" s="1829"/>
    </row>
    <row r="33" spans="1:9" ht="14.25" thickTop="1" thickBot="1" x14ac:dyDescent="0.25">
      <c r="A33" s="1643">
        <v>1</v>
      </c>
      <c r="B33" s="1642">
        <v>2</v>
      </c>
      <c r="C33" s="1642">
        <v>3</v>
      </c>
      <c r="D33" s="1642">
        <v>5</v>
      </c>
      <c r="E33" s="1641">
        <v>6</v>
      </c>
      <c r="F33" s="1641">
        <v>7</v>
      </c>
      <c r="G33" s="1877">
        <v>8</v>
      </c>
      <c r="H33" s="1814" t="s">
        <v>762</v>
      </c>
      <c r="I33" s="1829"/>
    </row>
    <row r="34" spans="1:9" ht="30.75" thickTop="1" x14ac:dyDescent="0.2">
      <c r="A34" s="1896">
        <v>3299</v>
      </c>
      <c r="B34" s="1903">
        <v>5336</v>
      </c>
      <c r="C34" s="1903">
        <v>32133006</v>
      </c>
      <c r="D34" s="1836" t="s">
        <v>1263</v>
      </c>
      <c r="E34" s="1832">
        <v>0</v>
      </c>
      <c r="F34" s="1832">
        <v>30</v>
      </c>
      <c r="G34" s="1888">
        <v>30</v>
      </c>
      <c r="H34" s="1819">
        <f>G34/F34*100</f>
        <v>100</v>
      </c>
      <c r="I34" s="1829"/>
    </row>
    <row r="35" spans="1:9" ht="30.75" thickBot="1" x14ac:dyDescent="0.25">
      <c r="A35" s="1896">
        <v>3299</v>
      </c>
      <c r="B35" s="1903">
        <v>5336</v>
      </c>
      <c r="C35" s="1903">
        <v>32533006</v>
      </c>
      <c r="D35" s="1836" t="s">
        <v>1263</v>
      </c>
      <c r="E35" s="1845">
        <v>0</v>
      </c>
      <c r="F35" s="1845">
        <v>168</v>
      </c>
      <c r="G35" s="1885">
        <v>168</v>
      </c>
      <c r="H35" s="1821">
        <f>G35/F35*100</f>
        <v>100</v>
      </c>
      <c r="I35" s="1829"/>
    </row>
    <row r="36" spans="1:9" ht="30.75" hidden="1" thickBot="1" x14ac:dyDescent="0.25">
      <c r="A36" s="1896">
        <v>3299</v>
      </c>
      <c r="B36" s="1903">
        <v>6351</v>
      </c>
      <c r="C36" s="1903">
        <v>32133006</v>
      </c>
      <c r="D36" s="1915" t="s">
        <v>1277</v>
      </c>
      <c r="E36" s="1845">
        <v>0</v>
      </c>
      <c r="F36" s="1845">
        <v>0</v>
      </c>
      <c r="G36" s="1885">
        <v>0</v>
      </c>
      <c r="H36" s="1821" t="e">
        <f>G36/F36*100</f>
        <v>#DIV/0!</v>
      </c>
      <c r="I36" s="1829"/>
    </row>
    <row r="37" spans="1:9" ht="30.75" hidden="1" thickBot="1" x14ac:dyDescent="0.25">
      <c r="A37" s="1916">
        <v>3299</v>
      </c>
      <c r="B37" s="1917">
        <v>6351</v>
      </c>
      <c r="C37" s="1917">
        <v>32533006</v>
      </c>
      <c r="D37" s="1915" t="s">
        <v>1277</v>
      </c>
      <c r="E37" s="1845">
        <v>0</v>
      </c>
      <c r="F37" s="1845">
        <v>0</v>
      </c>
      <c r="G37" s="1885">
        <v>0</v>
      </c>
      <c r="H37" s="1821" t="e">
        <f>G37/F37*100</f>
        <v>#DIV/0!</v>
      </c>
      <c r="I37" s="1829"/>
    </row>
    <row r="38" spans="1:9" ht="16.5" thickTop="1" thickBot="1" x14ac:dyDescent="0.3">
      <c r="A38" s="1837" t="s">
        <v>763</v>
      </c>
      <c r="B38" s="1838"/>
      <c r="C38" s="1838"/>
      <c r="D38" s="1839"/>
      <c r="E38" s="1818">
        <f>SUM(E34:E35)</f>
        <v>0</v>
      </c>
      <c r="F38" s="1818">
        <f>SUM(F34:F37)</f>
        <v>198</v>
      </c>
      <c r="G38" s="1818">
        <f>SUM(G34:G37)</f>
        <v>198</v>
      </c>
      <c r="H38" s="1822">
        <f>G38/F38*100</f>
        <v>100</v>
      </c>
      <c r="I38" s="1829"/>
    </row>
    <row r="39" spans="1:9" ht="13.5" thickTop="1" x14ac:dyDescent="0.2">
      <c r="I39" s="1829"/>
    </row>
    <row r="40" spans="1:9" ht="15" hidden="1" x14ac:dyDescent="0.25">
      <c r="A40" s="1808" t="s">
        <v>1614</v>
      </c>
      <c r="D40" s="1802"/>
      <c r="E40" s="1803"/>
      <c r="H40" s="1829"/>
      <c r="I40" s="1829"/>
    </row>
    <row r="41" spans="1:9" ht="15" hidden="1" x14ac:dyDescent="0.25">
      <c r="A41" s="1808" t="s">
        <v>1262</v>
      </c>
      <c r="D41" s="1802"/>
      <c r="E41" s="1803"/>
      <c r="H41" s="1892" t="s">
        <v>161</v>
      </c>
      <c r="I41" s="1829"/>
    </row>
    <row r="42" spans="1:9" ht="25.5" hidden="1" thickTop="1" thickBot="1" x14ac:dyDescent="0.25">
      <c r="A42" s="1809" t="s">
        <v>162</v>
      </c>
      <c r="B42" s="1810" t="s">
        <v>761</v>
      </c>
      <c r="C42" s="1810" t="s">
        <v>377</v>
      </c>
      <c r="D42" s="1811" t="s">
        <v>164</v>
      </c>
      <c r="E42" s="1833" t="s">
        <v>632</v>
      </c>
      <c r="F42" s="1833" t="s">
        <v>633</v>
      </c>
      <c r="G42" s="1834" t="s">
        <v>882</v>
      </c>
      <c r="H42" s="1835" t="s">
        <v>883</v>
      </c>
      <c r="I42" s="1829"/>
    </row>
    <row r="43" spans="1:9" ht="14.25" hidden="1" thickTop="1" thickBot="1" x14ac:dyDescent="0.25">
      <c r="A43" s="1643">
        <v>1</v>
      </c>
      <c r="B43" s="1642">
        <v>2</v>
      </c>
      <c r="C43" s="1642">
        <v>3</v>
      </c>
      <c r="D43" s="1642">
        <v>5</v>
      </c>
      <c r="E43" s="1641">
        <v>6</v>
      </c>
      <c r="F43" s="1641">
        <v>7</v>
      </c>
      <c r="G43" s="1877">
        <v>8</v>
      </c>
      <c r="H43" s="1814" t="s">
        <v>762</v>
      </c>
      <c r="I43" s="1829"/>
    </row>
    <row r="44" spans="1:9" ht="30.75" hidden="1" thickTop="1" x14ac:dyDescent="0.2">
      <c r="A44" s="1896">
        <v>3299</v>
      </c>
      <c r="B44" s="1903">
        <v>5336</v>
      </c>
      <c r="C44" s="1903">
        <v>32133006</v>
      </c>
      <c r="D44" s="1836" t="s">
        <v>1263</v>
      </c>
      <c r="E44" s="1832">
        <v>0</v>
      </c>
      <c r="F44" s="1832"/>
      <c r="G44" s="1888"/>
      <c r="H44" s="1819" t="e">
        <f>G44/F44*100</f>
        <v>#DIV/0!</v>
      </c>
      <c r="I44" s="1829"/>
    </row>
    <row r="45" spans="1:9" ht="30" hidden="1" x14ac:dyDescent="0.2">
      <c r="A45" s="1896">
        <v>3299</v>
      </c>
      <c r="B45" s="1903">
        <v>5336</v>
      </c>
      <c r="C45" s="1903">
        <v>32533006</v>
      </c>
      <c r="D45" s="1836" t="s">
        <v>1263</v>
      </c>
      <c r="E45" s="1845">
        <v>0</v>
      </c>
      <c r="F45" s="1845"/>
      <c r="G45" s="1885"/>
      <c r="H45" s="1821" t="e">
        <f>G45/F45*100</f>
        <v>#DIV/0!</v>
      </c>
      <c r="I45" s="1829"/>
    </row>
    <row r="46" spans="1:9" ht="30" hidden="1" x14ac:dyDescent="0.2">
      <c r="A46" s="1896">
        <v>3299</v>
      </c>
      <c r="B46" s="1903">
        <v>6351</v>
      </c>
      <c r="C46" s="1903">
        <v>32133006</v>
      </c>
      <c r="D46" s="1915" t="s">
        <v>1277</v>
      </c>
      <c r="E46" s="1845">
        <v>0</v>
      </c>
      <c r="F46" s="1845">
        <v>0</v>
      </c>
      <c r="G46" s="1885">
        <v>0</v>
      </c>
      <c r="H46" s="1821" t="e">
        <f>G46/F46*100</f>
        <v>#DIV/0!</v>
      </c>
      <c r="I46" s="1829"/>
    </row>
    <row r="47" spans="1:9" ht="30.75" hidden="1" thickBot="1" x14ac:dyDescent="0.25">
      <c r="A47" s="1916">
        <v>3299</v>
      </c>
      <c r="B47" s="1917">
        <v>6351</v>
      </c>
      <c r="C47" s="1917">
        <v>32533006</v>
      </c>
      <c r="D47" s="1915" t="s">
        <v>1277</v>
      </c>
      <c r="E47" s="1845">
        <v>0</v>
      </c>
      <c r="F47" s="1845">
        <v>0</v>
      </c>
      <c r="G47" s="1885">
        <v>0</v>
      </c>
      <c r="H47" s="1821" t="e">
        <f>G47/F47*100</f>
        <v>#DIV/0!</v>
      </c>
      <c r="I47" s="1829"/>
    </row>
    <row r="48" spans="1:9" ht="16.5" hidden="1" thickTop="1" thickBot="1" x14ac:dyDescent="0.3">
      <c r="A48" s="1837" t="s">
        <v>763</v>
      </c>
      <c r="B48" s="1838"/>
      <c r="C48" s="1838"/>
      <c r="D48" s="1839"/>
      <c r="E48" s="1818">
        <f>SUM(E44:E45)</f>
        <v>0</v>
      </c>
      <c r="F48" s="1818">
        <f>SUM(F44:F47)</f>
        <v>0</v>
      </c>
      <c r="G48" s="1818">
        <f>SUM(G44:G47)</f>
        <v>0</v>
      </c>
      <c r="H48" s="1822" t="e">
        <f>G48/F48*100</f>
        <v>#DIV/0!</v>
      </c>
      <c r="I48" s="1829"/>
    </row>
    <row r="49" spans="1:9" hidden="1" x14ac:dyDescent="0.2">
      <c r="I49" s="1829"/>
    </row>
    <row r="50" spans="1:9" ht="15" hidden="1" x14ac:dyDescent="0.25">
      <c r="A50" s="1808" t="s">
        <v>1264</v>
      </c>
      <c r="D50" s="1802"/>
      <c r="E50" s="1803"/>
      <c r="H50" s="1829"/>
      <c r="I50" s="1829"/>
    </row>
    <row r="51" spans="1:9" ht="15" hidden="1" x14ac:dyDescent="0.25">
      <c r="A51" s="1808" t="s">
        <v>1265</v>
      </c>
      <c r="D51" s="1802"/>
      <c r="E51" s="1803"/>
      <c r="H51" s="1829" t="s">
        <v>161</v>
      </c>
      <c r="I51" s="1829"/>
    </row>
    <row r="52" spans="1:9" ht="25.5" hidden="1" thickTop="1" thickBot="1" x14ac:dyDescent="0.25">
      <c r="A52" s="1809" t="s">
        <v>162</v>
      </c>
      <c r="B52" s="1810" t="s">
        <v>761</v>
      </c>
      <c r="C52" s="1810" t="s">
        <v>377</v>
      </c>
      <c r="D52" s="1811" t="s">
        <v>164</v>
      </c>
      <c r="E52" s="1833" t="s">
        <v>632</v>
      </c>
      <c r="F52" s="1833" t="s">
        <v>633</v>
      </c>
      <c r="G52" s="1834" t="s">
        <v>882</v>
      </c>
      <c r="H52" s="1835" t="s">
        <v>883</v>
      </c>
      <c r="I52" s="1829"/>
    </row>
    <row r="53" spans="1:9" ht="14.25" hidden="1" thickTop="1" thickBot="1" x14ac:dyDescent="0.25">
      <c r="A53" s="1643">
        <v>1</v>
      </c>
      <c r="B53" s="1642">
        <v>2</v>
      </c>
      <c r="C53" s="1642">
        <v>3</v>
      </c>
      <c r="D53" s="1642">
        <v>5</v>
      </c>
      <c r="E53" s="1641">
        <v>6</v>
      </c>
      <c r="F53" s="1641">
        <v>7</v>
      </c>
      <c r="G53" s="1877">
        <v>8</v>
      </c>
      <c r="H53" s="1814" t="s">
        <v>762</v>
      </c>
      <c r="I53" s="1829"/>
    </row>
    <row r="54" spans="1:9" ht="30.75" hidden="1" thickTop="1" x14ac:dyDescent="0.2">
      <c r="A54" s="1896">
        <v>3299</v>
      </c>
      <c r="B54" s="1903">
        <v>5336</v>
      </c>
      <c r="C54" s="1903">
        <v>32133006</v>
      </c>
      <c r="D54" s="1836" t="s">
        <v>1375</v>
      </c>
      <c r="E54" s="1832">
        <v>0</v>
      </c>
      <c r="F54" s="1832">
        <v>0</v>
      </c>
      <c r="G54" s="1888">
        <v>0</v>
      </c>
      <c r="H54" s="1819" t="e">
        <f>G54/F54*100</f>
        <v>#DIV/0!</v>
      </c>
      <c r="I54" s="1829"/>
    </row>
    <row r="55" spans="1:9" ht="30" hidden="1" x14ac:dyDescent="0.2">
      <c r="A55" s="1896">
        <v>3299</v>
      </c>
      <c r="B55" s="1903">
        <v>5336</v>
      </c>
      <c r="C55" s="1903">
        <v>32533006</v>
      </c>
      <c r="D55" s="1836" t="s">
        <v>1375</v>
      </c>
      <c r="E55" s="1845">
        <v>0</v>
      </c>
      <c r="F55" s="1845">
        <v>0</v>
      </c>
      <c r="G55" s="1885">
        <v>0</v>
      </c>
      <c r="H55" s="1821" t="e">
        <f>G55/F55*100</f>
        <v>#DIV/0!</v>
      </c>
      <c r="I55" s="1829"/>
    </row>
    <row r="56" spans="1:9" ht="16.5" hidden="1" thickTop="1" thickBot="1" x14ac:dyDescent="0.3">
      <c r="A56" s="1837" t="s">
        <v>763</v>
      </c>
      <c r="B56" s="1838"/>
      <c r="C56" s="1838"/>
      <c r="D56" s="1839"/>
      <c r="E56" s="1818">
        <f>SUM(E54:E55)</f>
        <v>0</v>
      </c>
      <c r="F56" s="1818">
        <f>SUM(F54:F55)</f>
        <v>0</v>
      </c>
      <c r="G56" s="1818">
        <f>SUM(G54:G55)</f>
        <v>0</v>
      </c>
      <c r="H56" s="1822" t="e">
        <f>G56/F56*100</f>
        <v>#DIV/0!</v>
      </c>
      <c r="I56" s="1829"/>
    </row>
    <row r="57" spans="1:9" ht="15" hidden="1" x14ac:dyDescent="0.25">
      <c r="A57" s="1848"/>
      <c r="B57" s="1848"/>
      <c r="C57" s="1848"/>
      <c r="D57" s="1848"/>
      <c r="E57" s="1824"/>
      <c r="F57" s="1824"/>
      <c r="G57" s="1824"/>
      <c r="H57" s="1849"/>
      <c r="I57" s="1829"/>
    </row>
    <row r="58" spans="1:9" ht="15" hidden="1" x14ac:dyDescent="0.25">
      <c r="A58" s="1808" t="s">
        <v>333</v>
      </c>
      <c r="D58" s="1802"/>
      <c r="E58" s="1803"/>
      <c r="H58" s="1829"/>
      <c r="I58" s="1829"/>
    </row>
    <row r="59" spans="1:9" ht="15" hidden="1" x14ac:dyDescent="0.25">
      <c r="A59" s="1808" t="s">
        <v>550</v>
      </c>
      <c r="D59" s="1802"/>
      <c r="E59" s="1803"/>
      <c r="H59" s="1892" t="s">
        <v>161</v>
      </c>
      <c r="I59" s="1829"/>
    </row>
    <row r="60" spans="1:9" ht="25.5" hidden="1" thickTop="1" thickBot="1" x14ac:dyDescent="0.25">
      <c r="A60" s="1809" t="s">
        <v>162</v>
      </c>
      <c r="B60" s="1810" t="s">
        <v>761</v>
      </c>
      <c r="C60" s="1810" t="s">
        <v>377</v>
      </c>
      <c r="D60" s="1811" t="s">
        <v>164</v>
      </c>
      <c r="E60" s="1833" t="s">
        <v>632</v>
      </c>
      <c r="F60" s="1833" t="s">
        <v>633</v>
      </c>
      <c r="G60" s="1834" t="s">
        <v>882</v>
      </c>
      <c r="H60" s="1835" t="s">
        <v>883</v>
      </c>
      <c r="I60" s="1829"/>
    </row>
    <row r="61" spans="1:9" ht="14.25" hidden="1" thickTop="1" thickBot="1" x14ac:dyDescent="0.25">
      <c r="A61" s="1643">
        <v>1</v>
      </c>
      <c r="B61" s="1642">
        <v>2</v>
      </c>
      <c r="C61" s="1642">
        <v>3</v>
      </c>
      <c r="D61" s="1642">
        <v>5</v>
      </c>
      <c r="E61" s="1641">
        <v>6</v>
      </c>
      <c r="F61" s="1641">
        <v>7</v>
      </c>
      <c r="G61" s="1877">
        <v>8</v>
      </c>
      <c r="H61" s="1814" t="s">
        <v>762</v>
      </c>
      <c r="I61" s="1829"/>
    </row>
    <row r="62" spans="1:9" ht="30.75" hidden="1" thickTop="1" x14ac:dyDescent="0.2">
      <c r="A62" s="1896">
        <v>3299</v>
      </c>
      <c r="B62" s="1903">
        <v>5336</v>
      </c>
      <c r="C62" s="1903">
        <v>32133006</v>
      </c>
      <c r="D62" s="1836" t="s">
        <v>1263</v>
      </c>
      <c r="E62" s="1832">
        <v>0</v>
      </c>
      <c r="F62" s="1832"/>
      <c r="G62" s="1888"/>
      <c r="H62" s="1819" t="e">
        <f>G62/F62*100</f>
        <v>#DIV/0!</v>
      </c>
      <c r="I62" s="1829"/>
    </row>
    <row r="63" spans="1:9" ht="30" hidden="1" x14ac:dyDescent="0.2">
      <c r="A63" s="1896">
        <v>3299</v>
      </c>
      <c r="B63" s="1903">
        <v>5336</v>
      </c>
      <c r="C63" s="1903">
        <v>32533006</v>
      </c>
      <c r="D63" s="1836" t="s">
        <v>1263</v>
      </c>
      <c r="E63" s="1845">
        <v>0</v>
      </c>
      <c r="F63" s="1845"/>
      <c r="G63" s="1885"/>
      <c r="H63" s="1821" t="e">
        <f>G63/F63*100</f>
        <v>#DIV/0!</v>
      </c>
      <c r="I63" s="1829"/>
    </row>
    <row r="64" spans="1:9" ht="30" hidden="1" x14ac:dyDescent="0.2">
      <c r="A64" s="1896">
        <v>3299</v>
      </c>
      <c r="B64" s="1903">
        <v>6351</v>
      </c>
      <c r="C64" s="1903">
        <v>32133006</v>
      </c>
      <c r="D64" s="1915" t="s">
        <v>1277</v>
      </c>
      <c r="E64" s="1845">
        <v>0</v>
      </c>
      <c r="F64" s="1845">
        <v>0</v>
      </c>
      <c r="G64" s="1885">
        <v>0</v>
      </c>
      <c r="H64" s="1821" t="e">
        <f>G64/F64*100</f>
        <v>#DIV/0!</v>
      </c>
      <c r="I64" s="1829"/>
    </row>
    <row r="65" spans="1:9" ht="30.75" hidden="1" thickBot="1" x14ac:dyDescent="0.25">
      <c r="A65" s="1916">
        <v>3299</v>
      </c>
      <c r="B65" s="1917">
        <v>6351</v>
      </c>
      <c r="C65" s="1917">
        <v>32533006</v>
      </c>
      <c r="D65" s="1915" t="s">
        <v>1277</v>
      </c>
      <c r="E65" s="1845">
        <v>0</v>
      </c>
      <c r="F65" s="1845">
        <v>0</v>
      </c>
      <c r="G65" s="1885">
        <v>0</v>
      </c>
      <c r="H65" s="1821" t="e">
        <f>G65/F65*100</f>
        <v>#DIV/0!</v>
      </c>
      <c r="I65" s="1829"/>
    </row>
    <row r="66" spans="1:9" ht="16.5" hidden="1" thickTop="1" thickBot="1" x14ac:dyDescent="0.3">
      <c r="A66" s="1837" t="s">
        <v>763</v>
      </c>
      <c r="B66" s="1838"/>
      <c r="C66" s="1838"/>
      <c r="D66" s="1839"/>
      <c r="E66" s="1818">
        <f>SUM(E62:E63)</f>
        <v>0</v>
      </c>
      <c r="F66" s="1818">
        <f>SUM(F62:F65)</f>
        <v>0</v>
      </c>
      <c r="G66" s="1818">
        <f>SUM(G62:G65)</f>
        <v>0</v>
      </c>
      <c r="H66" s="1822" t="e">
        <f>G66/F66*100</f>
        <v>#DIV/0!</v>
      </c>
      <c r="I66" s="1829"/>
    </row>
    <row r="67" spans="1:9" ht="15.75" hidden="1" customHeight="1" thickTop="1" x14ac:dyDescent="0.2">
      <c r="I67" s="1829"/>
    </row>
    <row r="68" spans="1:9" ht="15" hidden="1" x14ac:dyDescent="0.25">
      <c r="A68" s="1808" t="s">
        <v>1552</v>
      </c>
      <c r="D68" s="1802"/>
      <c r="E68" s="1803"/>
      <c r="H68" s="1829"/>
      <c r="I68" s="1829"/>
    </row>
    <row r="69" spans="1:9" ht="15" hidden="1" x14ac:dyDescent="0.25">
      <c r="A69" s="1808" t="s">
        <v>1266</v>
      </c>
      <c r="D69" s="1802"/>
      <c r="E69" s="1803"/>
      <c r="H69" s="1892" t="s">
        <v>161</v>
      </c>
      <c r="I69" s="1829"/>
    </row>
    <row r="70" spans="1:9" ht="25.5" hidden="1" thickTop="1" thickBot="1" x14ac:dyDescent="0.25">
      <c r="A70" s="1809" t="s">
        <v>162</v>
      </c>
      <c r="B70" s="1810" t="s">
        <v>761</v>
      </c>
      <c r="C70" s="1810" t="s">
        <v>377</v>
      </c>
      <c r="D70" s="1811" t="s">
        <v>164</v>
      </c>
      <c r="E70" s="1833" t="s">
        <v>632</v>
      </c>
      <c r="F70" s="1833" t="s">
        <v>633</v>
      </c>
      <c r="G70" s="1834" t="s">
        <v>882</v>
      </c>
      <c r="H70" s="1835" t="s">
        <v>883</v>
      </c>
      <c r="I70" s="1829"/>
    </row>
    <row r="71" spans="1:9" ht="14.25" hidden="1" thickTop="1" thickBot="1" x14ac:dyDescent="0.25">
      <c r="A71" s="1643">
        <v>1</v>
      </c>
      <c r="B71" s="1642">
        <v>2</v>
      </c>
      <c r="C71" s="1642">
        <v>3</v>
      </c>
      <c r="D71" s="1642">
        <v>5</v>
      </c>
      <c r="E71" s="1641">
        <v>6</v>
      </c>
      <c r="F71" s="1641">
        <v>7</v>
      </c>
      <c r="G71" s="1877">
        <v>8</v>
      </c>
      <c r="H71" s="1814" t="s">
        <v>762</v>
      </c>
      <c r="I71" s="1829"/>
    </row>
    <row r="72" spans="1:9" ht="30.75" hidden="1" thickTop="1" x14ac:dyDescent="0.2">
      <c r="A72" s="1896">
        <v>3299</v>
      </c>
      <c r="B72" s="1903">
        <v>5336</v>
      </c>
      <c r="C72" s="1903">
        <v>32133006</v>
      </c>
      <c r="D72" s="1836" t="s">
        <v>1263</v>
      </c>
      <c r="E72" s="1832">
        <v>0</v>
      </c>
      <c r="F72" s="1832"/>
      <c r="G72" s="1888"/>
      <c r="H72" s="1819" t="e">
        <f>G72/F72*100</f>
        <v>#DIV/0!</v>
      </c>
      <c r="I72" s="1829"/>
    </row>
    <row r="73" spans="1:9" ht="30" hidden="1" x14ac:dyDescent="0.2">
      <c r="A73" s="1896">
        <v>3299</v>
      </c>
      <c r="B73" s="1903">
        <v>5336</v>
      </c>
      <c r="C73" s="1903">
        <v>32533006</v>
      </c>
      <c r="D73" s="1836" t="s">
        <v>1263</v>
      </c>
      <c r="E73" s="1845">
        <v>0</v>
      </c>
      <c r="F73" s="1845"/>
      <c r="G73" s="1885"/>
      <c r="H73" s="1821" t="e">
        <f>G73/F73*100</f>
        <v>#DIV/0!</v>
      </c>
      <c r="I73" s="1829"/>
    </row>
    <row r="74" spans="1:9" ht="16.5" hidden="1" thickTop="1" thickBot="1" x14ac:dyDescent="0.3">
      <c r="A74" s="1837" t="s">
        <v>763</v>
      </c>
      <c r="B74" s="1838"/>
      <c r="C74" s="1838"/>
      <c r="D74" s="1839"/>
      <c r="E74" s="1818">
        <f>SUM(E72:E73)</f>
        <v>0</v>
      </c>
      <c r="F74" s="1818">
        <f>SUM(F72:F73)</f>
        <v>0</v>
      </c>
      <c r="G74" s="1818">
        <f>SUM(G72:G73)</f>
        <v>0</v>
      </c>
      <c r="H74" s="1822" t="e">
        <f>G74/F74*100</f>
        <v>#DIV/0!</v>
      </c>
      <c r="I74" s="1829"/>
    </row>
    <row r="75" spans="1:9" hidden="1" x14ac:dyDescent="0.2">
      <c r="I75" s="1829"/>
    </row>
    <row r="76" spans="1:9" ht="15" hidden="1" x14ac:dyDescent="0.25">
      <c r="A76" s="1808" t="s">
        <v>1236</v>
      </c>
      <c r="D76" s="1802"/>
      <c r="E76" s="1803"/>
      <c r="H76" s="1829"/>
      <c r="I76" s="1829"/>
    </row>
    <row r="77" spans="1:9" ht="15" hidden="1" x14ac:dyDescent="0.25">
      <c r="A77" s="1808" t="s">
        <v>551</v>
      </c>
      <c r="D77" s="1802"/>
      <c r="E77" s="1803"/>
      <c r="H77" s="1892" t="s">
        <v>161</v>
      </c>
      <c r="I77" s="1829"/>
    </row>
    <row r="78" spans="1:9" ht="25.5" hidden="1" thickTop="1" thickBot="1" x14ac:dyDescent="0.25">
      <c r="A78" s="1809" t="s">
        <v>162</v>
      </c>
      <c r="B78" s="1810" t="s">
        <v>761</v>
      </c>
      <c r="C78" s="1810" t="s">
        <v>377</v>
      </c>
      <c r="D78" s="1811" t="s">
        <v>164</v>
      </c>
      <c r="E78" s="1833" t="s">
        <v>632</v>
      </c>
      <c r="F78" s="1833" t="s">
        <v>633</v>
      </c>
      <c r="G78" s="1834" t="s">
        <v>882</v>
      </c>
      <c r="H78" s="1835" t="s">
        <v>883</v>
      </c>
      <c r="I78" s="1829"/>
    </row>
    <row r="79" spans="1:9" ht="14.25" hidden="1" thickTop="1" thickBot="1" x14ac:dyDescent="0.25">
      <c r="A79" s="1643">
        <v>1</v>
      </c>
      <c r="B79" s="1642">
        <v>2</v>
      </c>
      <c r="C79" s="1642">
        <v>3</v>
      </c>
      <c r="D79" s="1642">
        <v>5</v>
      </c>
      <c r="E79" s="1641">
        <v>6</v>
      </c>
      <c r="F79" s="1641">
        <v>7</v>
      </c>
      <c r="G79" s="1877">
        <v>8</v>
      </c>
      <c r="H79" s="1814" t="s">
        <v>762</v>
      </c>
      <c r="I79" s="1829"/>
    </row>
    <row r="80" spans="1:9" ht="30.75" hidden="1" thickTop="1" x14ac:dyDescent="0.2">
      <c r="A80" s="1896">
        <v>3299</v>
      </c>
      <c r="B80" s="1903">
        <v>5336</v>
      </c>
      <c r="C80" s="1903">
        <v>32133006</v>
      </c>
      <c r="D80" s="1836" t="s">
        <v>1263</v>
      </c>
      <c r="E80" s="1832">
        <v>0</v>
      </c>
      <c r="F80" s="1832"/>
      <c r="G80" s="1888"/>
      <c r="H80" s="1819" t="e">
        <f>G80/F80*100</f>
        <v>#DIV/0!</v>
      </c>
      <c r="I80" s="1829"/>
    </row>
    <row r="81" spans="1:9" ht="30" hidden="1" x14ac:dyDescent="0.2">
      <c r="A81" s="1896">
        <v>3299</v>
      </c>
      <c r="B81" s="1903">
        <v>5336</v>
      </c>
      <c r="C81" s="1903">
        <v>32533006</v>
      </c>
      <c r="D81" s="1836" t="s">
        <v>1263</v>
      </c>
      <c r="E81" s="1845">
        <v>0</v>
      </c>
      <c r="F81" s="1845"/>
      <c r="G81" s="1885"/>
      <c r="H81" s="1821" t="e">
        <f>G81/F81*100</f>
        <v>#DIV/0!</v>
      </c>
      <c r="I81" s="1829"/>
    </row>
    <row r="82" spans="1:9" ht="30" hidden="1" x14ac:dyDescent="0.2">
      <c r="A82" s="1896">
        <v>3299</v>
      </c>
      <c r="B82" s="1903">
        <v>6351</v>
      </c>
      <c r="C82" s="1903">
        <v>32133006</v>
      </c>
      <c r="D82" s="1915" t="s">
        <v>1277</v>
      </c>
      <c r="E82" s="1845">
        <v>0</v>
      </c>
      <c r="F82" s="1845"/>
      <c r="G82" s="1885"/>
      <c r="H82" s="1821" t="e">
        <f>G82/F82*100</f>
        <v>#DIV/0!</v>
      </c>
      <c r="I82" s="1829"/>
    </row>
    <row r="83" spans="1:9" ht="30.75" hidden="1" thickBot="1" x14ac:dyDescent="0.25">
      <c r="A83" s="1916">
        <v>3299</v>
      </c>
      <c r="B83" s="1917">
        <v>6351</v>
      </c>
      <c r="C83" s="1917">
        <v>32533006</v>
      </c>
      <c r="D83" s="1915" t="s">
        <v>1277</v>
      </c>
      <c r="E83" s="1845">
        <v>0</v>
      </c>
      <c r="F83" s="1845"/>
      <c r="G83" s="1885"/>
      <c r="H83" s="1821" t="e">
        <f>G83/F83*100</f>
        <v>#DIV/0!</v>
      </c>
      <c r="I83" s="1829"/>
    </row>
    <row r="84" spans="1:9" ht="16.5" hidden="1" thickTop="1" thickBot="1" x14ac:dyDescent="0.3">
      <c r="A84" s="1837" t="s">
        <v>763</v>
      </c>
      <c r="B84" s="1838"/>
      <c r="C84" s="1838"/>
      <c r="D84" s="1839"/>
      <c r="E84" s="1818">
        <f>SUM(E80:E81)</f>
        <v>0</v>
      </c>
      <c r="F84" s="1818">
        <f>SUM(F80:F83)</f>
        <v>0</v>
      </c>
      <c r="G84" s="1818">
        <f>SUM(G80:G83)</f>
        <v>0</v>
      </c>
      <c r="H84" s="1822" t="e">
        <f>G84/F84*100</f>
        <v>#DIV/0!</v>
      </c>
      <c r="I84" s="1829"/>
    </row>
    <row r="85" spans="1:9" hidden="1" x14ac:dyDescent="0.2">
      <c r="I85" s="1829"/>
    </row>
    <row r="86" spans="1:9" ht="15" hidden="1" x14ac:dyDescent="0.25">
      <c r="A86" s="1808" t="s">
        <v>552</v>
      </c>
      <c r="D86" s="1802"/>
      <c r="E86" s="1803"/>
      <c r="H86" s="1829"/>
      <c r="I86" s="1829"/>
    </row>
    <row r="87" spans="1:9" ht="15" hidden="1" x14ac:dyDescent="0.25">
      <c r="A87" s="1808" t="s">
        <v>553</v>
      </c>
      <c r="D87" s="1802"/>
      <c r="E87" s="1803"/>
      <c r="H87" s="1892" t="s">
        <v>161</v>
      </c>
      <c r="I87" s="1829"/>
    </row>
    <row r="88" spans="1:9" ht="25.5" hidden="1" thickTop="1" thickBot="1" x14ac:dyDescent="0.25">
      <c r="A88" s="1809" t="s">
        <v>162</v>
      </c>
      <c r="B88" s="1810" t="s">
        <v>761</v>
      </c>
      <c r="C88" s="1810" t="s">
        <v>377</v>
      </c>
      <c r="D88" s="1811" t="s">
        <v>164</v>
      </c>
      <c r="E88" s="1833" t="s">
        <v>632</v>
      </c>
      <c r="F88" s="1833" t="s">
        <v>633</v>
      </c>
      <c r="G88" s="1834" t="s">
        <v>882</v>
      </c>
      <c r="H88" s="1835" t="s">
        <v>883</v>
      </c>
      <c r="I88" s="1829"/>
    </row>
    <row r="89" spans="1:9" ht="14.25" hidden="1" thickTop="1" thickBot="1" x14ac:dyDescent="0.25">
      <c r="A89" s="1643">
        <v>1</v>
      </c>
      <c r="B89" s="1642">
        <v>2</v>
      </c>
      <c r="C89" s="1642">
        <v>3</v>
      </c>
      <c r="D89" s="1642">
        <v>5</v>
      </c>
      <c r="E89" s="1641">
        <v>6</v>
      </c>
      <c r="F89" s="1641">
        <v>7</v>
      </c>
      <c r="G89" s="1877">
        <v>8</v>
      </c>
      <c r="H89" s="1814" t="s">
        <v>762</v>
      </c>
      <c r="I89" s="1829"/>
    </row>
    <row r="90" spans="1:9" ht="30.75" hidden="1" thickTop="1" x14ac:dyDescent="0.2">
      <c r="A90" s="1896">
        <v>3299</v>
      </c>
      <c r="B90" s="1903">
        <v>5336</v>
      </c>
      <c r="C90" s="1903">
        <v>32133006</v>
      </c>
      <c r="D90" s="1836" t="s">
        <v>1263</v>
      </c>
      <c r="E90" s="1832">
        <v>0</v>
      </c>
      <c r="F90" s="1832"/>
      <c r="G90" s="1888"/>
      <c r="H90" s="1819" t="e">
        <f>G90/F90*100</f>
        <v>#DIV/0!</v>
      </c>
      <c r="I90" s="1829"/>
    </row>
    <row r="91" spans="1:9" ht="30" hidden="1" x14ac:dyDescent="0.2">
      <c r="A91" s="1896">
        <v>3299</v>
      </c>
      <c r="B91" s="1903">
        <v>5336</v>
      </c>
      <c r="C91" s="1903">
        <v>32533006</v>
      </c>
      <c r="D91" s="1836" t="s">
        <v>1263</v>
      </c>
      <c r="E91" s="1845">
        <v>0</v>
      </c>
      <c r="F91" s="1845"/>
      <c r="G91" s="1885"/>
      <c r="H91" s="1821" t="e">
        <f>G91/F91*100</f>
        <v>#DIV/0!</v>
      </c>
      <c r="I91" s="1829"/>
    </row>
    <row r="92" spans="1:9" ht="16.5" hidden="1" thickTop="1" thickBot="1" x14ac:dyDescent="0.3">
      <c r="A92" s="1837" t="s">
        <v>763</v>
      </c>
      <c r="B92" s="1838"/>
      <c r="C92" s="1838"/>
      <c r="D92" s="1839"/>
      <c r="E92" s="1818">
        <f>SUM(E90:E91)</f>
        <v>0</v>
      </c>
      <c r="F92" s="1818">
        <f>SUM(F90:F91)</f>
        <v>0</v>
      </c>
      <c r="G92" s="1818">
        <f>SUM(G90:G91)</f>
        <v>0</v>
      </c>
      <c r="H92" s="1822" t="e">
        <f>G92/F92*100</f>
        <v>#DIV/0!</v>
      </c>
      <c r="I92" s="1829"/>
    </row>
    <row r="93" spans="1:9" hidden="1" x14ac:dyDescent="0.2">
      <c r="I93" s="1829"/>
    </row>
    <row r="94" spans="1:9" ht="15" hidden="1" x14ac:dyDescent="0.25">
      <c r="A94" s="1808" t="s">
        <v>1267</v>
      </c>
      <c r="D94" s="1802"/>
      <c r="E94" s="1803"/>
      <c r="H94" s="1829"/>
      <c r="I94" s="1829"/>
    </row>
    <row r="95" spans="1:9" ht="15" hidden="1" x14ac:dyDescent="0.25">
      <c r="A95" s="1808" t="s">
        <v>1268</v>
      </c>
      <c r="D95" s="1802"/>
      <c r="E95" s="1803"/>
      <c r="H95" s="1829" t="s">
        <v>161</v>
      </c>
      <c r="I95" s="1829"/>
    </row>
    <row r="96" spans="1:9" ht="25.5" hidden="1" thickTop="1" thickBot="1" x14ac:dyDescent="0.25">
      <c r="A96" s="1809" t="s">
        <v>162</v>
      </c>
      <c r="B96" s="1810" t="s">
        <v>761</v>
      </c>
      <c r="C96" s="1810" t="s">
        <v>377</v>
      </c>
      <c r="D96" s="1811" t="s">
        <v>164</v>
      </c>
      <c r="E96" s="1833" t="s">
        <v>632</v>
      </c>
      <c r="F96" s="1833" t="s">
        <v>633</v>
      </c>
      <c r="G96" s="1834" t="s">
        <v>882</v>
      </c>
      <c r="H96" s="1835" t="s">
        <v>883</v>
      </c>
      <c r="I96" s="1829"/>
    </row>
    <row r="97" spans="1:9" ht="14.25" hidden="1" thickTop="1" thickBot="1" x14ac:dyDescent="0.25">
      <c r="A97" s="1643">
        <v>1</v>
      </c>
      <c r="B97" s="1642">
        <v>2</v>
      </c>
      <c r="C97" s="1642">
        <v>3</v>
      </c>
      <c r="D97" s="1642">
        <v>5</v>
      </c>
      <c r="E97" s="1641">
        <v>6</v>
      </c>
      <c r="F97" s="1641">
        <v>7</v>
      </c>
      <c r="G97" s="1877">
        <v>8</v>
      </c>
      <c r="H97" s="1814" t="s">
        <v>762</v>
      </c>
      <c r="I97" s="1829"/>
    </row>
    <row r="98" spans="1:9" ht="30.75" hidden="1" thickTop="1" x14ac:dyDescent="0.2">
      <c r="A98" s="1896">
        <v>3299</v>
      </c>
      <c r="B98" s="1918">
        <v>5336</v>
      </c>
      <c r="C98" s="1903">
        <v>32133006</v>
      </c>
      <c r="D98" s="1836" t="s">
        <v>1375</v>
      </c>
      <c r="E98" s="1832">
        <v>0</v>
      </c>
      <c r="F98" s="1832">
        <v>0</v>
      </c>
      <c r="G98" s="1888">
        <v>0</v>
      </c>
      <c r="H98" s="1819" t="e">
        <f>G98/F98*100</f>
        <v>#DIV/0!</v>
      </c>
      <c r="I98" s="1829"/>
    </row>
    <row r="99" spans="1:9" ht="30" hidden="1" x14ac:dyDescent="0.2">
      <c r="A99" s="1896">
        <v>3299</v>
      </c>
      <c r="B99" s="1918">
        <v>5336</v>
      </c>
      <c r="C99" s="1903">
        <v>32533006</v>
      </c>
      <c r="D99" s="1836" t="s">
        <v>1375</v>
      </c>
      <c r="E99" s="1845">
        <v>0</v>
      </c>
      <c r="F99" s="1845">
        <v>0</v>
      </c>
      <c r="G99" s="1885">
        <v>0</v>
      </c>
      <c r="H99" s="1821" t="e">
        <f>G99/F99*100</f>
        <v>#DIV/0!</v>
      </c>
      <c r="I99" s="1829"/>
    </row>
    <row r="100" spans="1:9" ht="16.5" hidden="1" thickTop="1" thickBot="1" x14ac:dyDescent="0.3">
      <c r="A100" s="1837" t="s">
        <v>763</v>
      </c>
      <c r="B100" s="1838"/>
      <c r="C100" s="1838"/>
      <c r="D100" s="1839"/>
      <c r="E100" s="1818">
        <f>SUM(E98:E99)</f>
        <v>0</v>
      </c>
      <c r="F100" s="1818">
        <f>SUM(F98:F99)</f>
        <v>0</v>
      </c>
      <c r="G100" s="1818">
        <f>SUM(G98:G99)</f>
        <v>0</v>
      </c>
      <c r="H100" s="1822" t="e">
        <f>G100/F100*100</f>
        <v>#DIV/0!</v>
      </c>
      <c r="I100" s="1829"/>
    </row>
    <row r="101" spans="1:9" hidden="1" x14ac:dyDescent="0.2">
      <c r="I101" s="1829"/>
    </row>
    <row r="102" spans="1:9" ht="15" hidden="1" x14ac:dyDescent="0.25">
      <c r="A102" s="1808" t="s">
        <v>1269</v>
      </c>
      <c r="D102" s="1802"/>
      <c r="E102" s="1803"/>
      <c r="H102" s="1829"/>
      <c r="I102" s="1829"/>
    </row>
    <row r="103" spans="1:9" ht="15" hidden="1" x14ac:dyDescent="0.25">
      <c r="A103" s="1808" t="s">
        <v>1270</v>
      </c>
      <c r="D103" s="1802"/>
      <c r="E103" s="1803"/>
      <c r="H103" s="1829" t="s">
        <v>161</v>
      </c>
      <c r="I103" s="1829"/>
    </row>
    <row r="104" spans="1:9" ht="25.5" hidden="1" thickTop="1" thickBot="1" x14ac:dyDescent="0.25">
      <c r="A104" s="1809" t="s">
        <v>162</v>
      </c>
      <c r="B104" s="1810" t="s">
        <v>761</v>
      </c>
      <c r="C104" s="1810" t="s">
        <v>377</v>
      </c>
      <c r="D104" s="1811" t="s">
        <v>164</v>
      </c>
      <c r="E104" s="1833" t="s">
        <v>632</v>
      </c>
      <c r="F104" s="1833" t="s">
        <v>633</v>
      </c>
      <c r="G104" s="1834" t="s">
        <v>882</v>
      </c>
      <c r="H104" s="1835" t="s">
        <v>883</v>
      </c>
      <c r="I104" s="1829"/>
    </row>
    <row r="105" spans="1:9" ht="14.25" hidden="1" thickTop="1" thickBot="1" x14ac:dyDescent="0.25">
      <c r="A105" s="1643">
        <v>1</v>
      </c>
      <c r="B105" s="1642">
        <v>2</v>
      </c>
      <c r="C105" s="1642">
        <v>3</v>
      </c>
      <c r="D105" s="1642">
        <v>5</v>
      </c>
      <c r="E105" s="1641">
        <v>6</v>
      </c>
      <c r="F105" s="1641">
        <v>7</v>
      </c>
      <c r="G105" s="1877">
        <v>8</v>
      </c>
      <c r="H105" s="1814" t="s">
        <v>762</v>
      </c>
      <c r="I105" s="1829"/>
    </row>
    <row r="106" spans="1:9" ht="30.75" hidden="1" thickTop="1" x14ac:dyDescent="0.2">
      <c r="A106" s="1896">
        <v>3299</v>
      </c>
      <c r="B106" s="1918">
        <v>5336</v>
      </c>
      <c r="C106" s="1903">
        <v>32133006</v>
      </c>
      <c r="D106" s="1836" t="s">
        <v>1375</v>
      </c>
      <c r="E106" s="1832">
        <v>0</v>
      </c>
      <c r="F106" s="1832">
        <v>0</v>
      </c>
      <c r="G106" s="1888">
        <v>0</v>
      </c>
      <c r="H106" s="1819" t="e">
        <f>G106/F106*100</f>
        <v>#DIV/0!</v>
      </c>
      <c r="I106" s="1829"/>
    </row>
    <row r="107" spans="1:9" ht="30" hidden="1" x14ac:dyDescent="0.2">
      <c r="A107" s="1896">
        <v>3299</v>
      </c>
      <c r="B107" s="1918">
        <v>5336</v>
      </c>
      <c r="C107" s="1903">
        <v>32533006</v>
      </c>
      <c r="D107" s="1836" t="s">
        <v>1375</v>
      </c>
      <c r="E107" s="1845">
        <v>0</v>
      </c>
      <c r="F107" s="1845">
        <v>0</v>
      </c>
      <c r="G107" s="1885">
        <v>0</v>
      </c>
      <c r="H107" s="1821" t="e">
        <f>G107/F107*100</f>
        <v>#DIV/0!</v>
      </c>
      <c r="I107" s="1829"/>
    </row>
    <row r="108" spans="1:9" ht="16.5" hidden="1" thickTop="1" thickBot="1" x14ac:dyDescent="0.3">
      <c r="A108" s="1837" t="s">
        <v>763</v>
      </c>
      <c r="B108" s="1838"/>
      <c r="C108" s="1838"/>
      <c r="D108" s="1839"/>
      <c r="E108" s="1818">
        <f>SUM(E106:E107)</f>
        <v>0</v>
      </c>
      <c r="F108" s="1818">
        <f>SUM(F106:F107)</f>
        <v>0</v>
      </c>
      <c r="G108" s="1818">
        <f>SUM(G106:G107)</f>
        <v>0</v>
      </c>
      <c r="H108" s="1822" t="e">
        <f>G108/F108*100</f>
        <v>#DIV/0!</v>
      </c>
      <c r="I108" s="1829"/>
    </row>
    <row r="109" spans="1:9" hidden="1" x14ac:dyDescent="0.2">
      <c r="I109" s="1829"/>
    </row>
    <row r="110" spans="1:9" ht="15" hidden="1" x14ac:dyDescent="0.25">
      <c r="A110" s="1808" t="s">
        <v>1271</v>
      </c>
      <c r="D110" s="1802"/>
      <c r="E110" s="1803"/>
      <c r="H110" s="1829"/>
      <c r="I110" s="1829"/>
    </row>
    <row r="111" spans="1:9" ht="15" hidden="1" x14ac:dyDescent="0.25">
      <c r="A111" s="1808" t="s">
        <v>1272</v>
      </c>
      <c r="D111" s="1802"/>
      <c r="E111" s="1803"/>
      <c r="H111" s="1829" t="s">
        <v>161</v>
      </c>
      <c r="I111" s="1829"/>
    </row>
    <row r="112" spans="1:9" ht="25.5" hidden="1" thickTop="1" thickBot="1" x14ac:dyDescent="0.25">
      <c r="A112" s="1809" t="s">
        <v>162</v>
      </c>
      <c r="B112" s="1810" t="s">
        <v>761</v>
      </c>
      <c r="C112" s="1810" t="s">
        <v>377</v>
      </c>
      <c r="D112" s="1811" t="s">
        <v>164</v>
      </c>
      <c r="E112" s="1833" t="s">
        <v>632</v>
      </c>
      <c r="F112" s="1833" t="s">
        <v>633</v>
      </c>
      <c r="G112" s="1834" t="s">
        <v>882</v>
      </c>
      <c r="H112" s="1835" t="s">
        <v>883</v>
      </c>
      <c r="I112" s="1829"/>
    </row>
    <row r="113" spans="1:9" ht="14.25" hidden="1" thickTop="1" thickBot="1" x14ac:dyDescent="0.25">
      <c r="A113" s="1643">
        <v>1</v>
      </c>
      <c r="B113" s="1642">
        <v>2</v>
      </c>
      <c r="C113" s="1642">
        <v>3</v>
      </c>
      <c r="D113" s="1642">
        <v>5</v>
      </c>
      <c r="E113" s="1641">
        <v>6</v>
      </c>
      <c r="F113" s="1641">
        <v>7</v>
      </c>
      <c r="G113" s="1877">
        <v>8</v>
      </c>
      <c r="H113" s="1814" t="s">
        <v>762</v>
      </c>
      <c r="I113" s="1829"/>
    </row>
    <row r="114" spans="1:9" ht="30.75" hidden="1" thickTop="1" x14ac:dyDescent="0.2">
      <c r="A114" s="1896">
        <v>3299</v>
      </c>
      <c r="B114" s="1918">
        <v>5336</v>
      </c>
      <c r="C114" s="1903">
        <v>32133006</v>
      </c>
      <c r="D114" s="1836" t="s">
        <v>1375</v>
      </c>
      <c r="E114" s="1832">
        <v>0</v>
      </c>
      <c r="F114" s="1832">
        <v>0</v>
      </c>
      <c r="G114" s="1888">
        <v>0</v>
      </c>
      <c r="H114" s="1819" t="e">
        <f>G114/F114*100</f>
        <v>#DIV/0!</v>
      </c>
      <c r="I114" s="1829"/>
    </row>
    <row r="115" spans="1:9" ht="30" hidden="1" x14ac:dyDescent="0.2">
      <c r="A115" s="1896">
        <v>3299</v>
      </c>
      <c r="B115" s="1918">
        <v>5336</v>
      </c>
      <c r="C115" s="1903">
        <v>32533006</v>
      </c>
      <c r="D115" s="1836" t="s">
        <v>1375</v>
      </c>
      <c r="E115" s="1845">
        <v>0</v>
      </c>
      <c r="F115" s="1845">
        <v>0</v>
      </c>
      <c r="G115" s="1885">
        <v>0</v>
      </c>
      <c r="H115" s="1821" t="e">
        <f>G115/F115*100</f>
        <v>#DIV/0!</v>
      </c>
      <c r="I115" s="1829"/>
    </row>
    <row r="116" spans="1:9" ht="16.5" hidden="1" thickTop="1" thickBot="1" x14ac:dyDescent="0.3">
      <c r="A116" s="1837" t="s">
        <v>763</v>
      </c>
      <c r="B116" s="1838"/>
      <c r="C116" s="1838"/>
      <c r="D116" s="1839"/>
      <c r="E116" s="1818">
        <f>SUM(E114:E115)</f>
        <v>0</v>
      </c>
      <c r="F116" s="1818">
        <f>SUM(F114:F115)</f>
        <v>0</v>
      </c>
      <c r="G116" s="1818">
        <f>SUM(G114:G115)</f>
        <v>0</v>
      </c>
      <c r="H116" s="1822" t="e">
        <f>G116/F116*100</f>
        <v>#DIV/0!</v>
      </c>
      <c r="I116" s="1829"/>
    </row>
    <row r="117" spans="1:9" hidden="1" x14ac:dyDescent="0.2">
      <c r="I117" s="1829"/>
    </row>
    <row r="118" spans="1:9" ht="15" hidden="1" x14ac:dyDescent="0.25">
      <c r="A118" s="1808" t="s">
        <v>1273</v>
      </c>
      <c r="D118" s="1802"/>
      <c r="E118" s="1803"/>
      <c r="H118" s="1829"/>
      <c r="I118" s="1829"/>
    </row>
    <row r="119" spans="1:9" ht="15" hidden="1" x14ac:dyDescent="0.25">
      <c r="A119" s="1808" t="s">
        <v>1274</v>
      </c>
      <c r="D119" s="1802"/>
      <c r="E119" s="1803"/>
      <c r="H119" s="1829" t="s">
        <v>161</v>
      </c>
      <c r="I119" s="1829"/>
    </row>
    <row r="120" spans="1:9" ht="25.5" hidden="1" thickTop="1" thickBot="1" x14ac:dyDescent="0.25">
      <c r="A120" s="1809" t="s">
        <v>162</v>
      </c>
      <c r="B120" s="1810" t="s">
        <v>761</v>
      </c>
      <c r="C120" s="1810" t="s">
        <v>377</v>
      </c>
      <c r="D120" s="1811" t="s">
        <v>164</v>
      </c>
      <c r="E120" s="1833" t="s">
        <v>632</v>
      </c>
      <c r="F120" s="1833" t="s">
        <v>633</v>
      </c>
      <c r="G120" s="1834" t="s">
        <v>882</v>
      </c>
      <c r="H120" s="1835" t="s">
        <v>883</v>
      </c>
      <c r="I120" s="1829"/>
    </row>
    <row r="121" spans="1:9" ht="14.25" hidden="1" thickTop="1" thickBot="1" x14ac:dyDescent="0.25">
      <c r="A121" s="1643">
        <v>1</v>
      </c>
      <c r="B121" s="1642">
        <v>2</v>
      </c>
      <c r="C121" s="1642">
        <v>3</v>
      </c>
      <c r="D121" s="1642">
        <v>5</v>
      </c>
      <c r="E121" s="1641">
        <v>6</v>
      </c>
      <c r="F121" s="1641">
        <v>7</v>
      </c>
      <c r="G121" s="1877">
        <v>8</v>
      </c>
      <c r="H121" s="1814" t="s">
        <v>762</v>
      </c>
      <c r="I121" s="1829"/>
    </row>
    <row r="122" spans="1:9" ht="30.75" hidden="1" thickTop="1" x14ac:dyDescent="0.2">
      <c r="A122" s="1896">
        <v>3299</v>
      </c>
      <c r="B122" s="1918">
        <v>5336</v>
      </c>
      <c r="C122" s="1903">
        <v>32133006</v>
      </c>
      <c r="D122" s="1836" t="s">
        <v>1375</v>
      </c>
      <c r="E122" s="1832">
        <v>0</v>
      </c>
      <c r="F122" s="1832">
        <v>0</v>
      </c>
      <c r="G122" s="1888">
        <v>0</v>
      </c>
      <c r="H122" s="1819" t="e">
        <f>G122/F122*100</f>
        <v>#DIV/0!</v>
      </c>
      <c r="I122" s="1829"/>
    </row>
    <row r="123" spans="1:9" ht="30" hidden="1" x14ac:dyDescent="0.2">
      <c r="A123" s="1896">
        <v>3299</v>
      </c>
      <c r="B123" s="1918">
        <v>5336</v>
      </c>
      <c r="C123" s="1903">
        <v>32533006</v>
      </c>
      <c r="D123" s="1836" t="s">
        <v>1375</v>
      </c>
      <c r="E123" s="1845">
        <v>0</v>
      </c>
      <c r="F123" s="1845">
        <v>0</v>
      </c>
      <c r="G123" s="1885">
        <v>0</v>
      </c>
      <c r="H123" s="1821" t="e">
        <f>G123/F123*100</f>
        <v>#DIV/0!</v>
      </c>
      <c r="I123" s="1829"/>
    </row>
    <row r="124" spans="1:9" ht="16.5" hidden="1" thickTop="1" thickBot="1" x14ac:dyDescent="0.3">
      <c r="A124" s="1837" t="s">
        <v>763</v>
      </c>
      <c r="B124" s="1838"/>
      <c r="C124" s="1838"/>
      <c r="D124" s="1839"/>
      <c r="E124" s="1818">
        <f>SUM(E122:E123)</f>
        <v>0</v>
      </c>
      <c r="F124" s="1818">
        <f>SUM(F122:F123)</f>
        <v>0</v>
      </c>
      <c r="G124" s="1818">
        <f>SUM(G122:G123)</f>
        <v>0</v>
      </c>
      <c r="H124" s="1822" t="e">
        <f>G124/F124*100</f>
        <v>#DIV/0!</v>
      </c>
      <c r="I124" s="1829"/>
    </row>
    <row r="125" spans="1:9" hidden="1" x14ac:dyDescent="0.2">
      <c r="I125" s="1829"/>
    </row>
    <row r="126" spans="1:9" ht="15" hidden="1" x14ac:dyDescent="0.25">
      <c r="A126" s="1808" t="s">
        <v>1554</v>
      </c>
      <c r="D126" s="1802"/>
      <c r="E126" s="1803"/>
      <c r="H126" s="1829"/>
      <c r="I126" s="1829"/>
    </row>
    <row r="127" spans="1:9" ht="15" hidden="1" x14ac:dyDescent="0.25">
      <c r="A127" s="1808" t="s">
        <v>554</v>
      </c>
      <c r="D127" s="1802"/>
      <c r="E127" s="1803"/>
      <c r="H127" s="1892" t="s">
        <v>161</v>
      </c>
      <c r="I127" s="1829"/>
    </row>
    <row r="128" spans="1:9" ht="25.5" hidden="1" thickTop="1" thickBot="1" x14ac:dyDescent="0.25">
      <c r="A128" s="1809" t="s">
        <v>162</v>
      </c>
      <c r="B128" s="1810" t="s">
        <v>761</v>
      </c>
      <c r="C128" s="1810" t="s">
        <v>377</v>
      </c>
      <c r="D128" s="1811" t="s">
        <v>164</v>
      </c>
      <c r="E128" s="1833" t="s">
        <v>632</v>
      </c>
      <c r="F128" s="1833" t="s">
        <v>633</v>
      </c>
      <c r="G128" s="1834" t="s">
        <v>882</v>
      </c>
      <c r="H128" s="1835" t="s">
        <v>883</v>
      </c>
      <c r="I128" s="1829"/>
    </row>
    <row r="129" spans="1:9" ht="14.25" hidden="1" thickTop="1" thickBot="1" x14ac:dyDescent="0.25">
      <c r="A129" s="1643">
        <v>1</v>
      </c>
      <c r="B129" s="1642">
        <v>2</v>
      </c>
      <c r="C129" s="1642">
        <v>3</v>
      </c>
      <c r="D129" s="1642">
        <v>5</v>
      </c>
      <c r="E129" s="1641">
        <v>6</v>
      </c>
      <c r="F129" s="1641">
        <v>7</v>
      </c>
      <c r="G129" s="1877">
        <v>8</v>
      </c>
      <c r="H129" s="1814" t="s">
        <v>762</v>
      </c>
      <c r="I129" s="1829"/>
    </row>
    <row r="130" spans="1:9" ht="30.75" hidden="1" thickTop="1" x14ac:dyDescent="0.2">
      <c r="A130" s="1896">
        <v>3299</v>
      </c>
      <c r="B130" s="1918">
        <v>5336</v>
      </c>
      <c r="C130" s="1903">
        <v>32133006</v>
      </c>
      <c r="D130" s="1836" t="s">
        <v>1263</v>
      </c>
      <c r="E130" s="1832">
        <v>0</v>
      </c>
      <c r="F130" s="1832"/>
      <c r="G130" s="1888"/>
      <c r="H130" s="1819" t="e">
        <f>G130/F130*100</f>
        <v>#DIV/0!</v>
      </c>
      <c r="I130" s="1829"/>
    </row>
    <row r="131" spans="1:9" ht="30" hidden="1" x14ac:dyDescent="0.2">
      <c r="A131" s="1896">
        <v>3299</v>
      </c>
      <c r="B131" s="1918">
        <v>5336</v>
      </c>
      <c r="C131" s="1903">
        <v>32533006</v>
      </c>
      <c r="D131" s="1836" t="s">
        <v>1263</v>
      </c>
      <c r="E131" s="1845">
        <v>0</v>
      </c>
      <c r="F131" s="1845"/>
      <c r="G131" s="1885"/>
      <c r="H131" s="1821" t="e">
        <f>G131/F131*100</f>
        <v>#DIV/0!</v>
      </c>
      <c r="I131" s="1829"/>
    </row>
    <row r="132" spans="1:9" ht="30" hidden="1" x14ac:dyDescent="0.2">
      <c r="A132" s="1896">
        <v>3299</v>
      </c>
      <c r="B132" s="1903">
        <v>6351</v>
      </c>
      <c r="C132" s="1903">
        <v>32133006</v>
      </c>
      <c r="D132" s="1915" t="s">
        <v>1277</v>
      </c>
      <c r="E132" s="1845">
        <v>0</v>
      </c>
      <c r="F132" s="1845"/>
      <c r="G132" s="1885"/>
      <c r="H132" s="1821" t="e">
        <f>G132/F132*100</f>
        <v>#DIV/0!</v>
      </c>
      <c r="I132" s="1829"/>
    </row>
    <row r="133" spans="1:9" ht="30.75" hidden="1" thickBot="1" x14ac:dyDescent="0.25">
      <c r="A133" s="1916">
        <v>3299</v>
      </c>
      <c r="B133" s="1917">
        <v>6351</v>
      </c>
      <c r="C133" s="1917">
        <v>32533006</v>
      </c>
      <c r="D133" s="1915" t="s">
        <v>1277</v>
      </c>
      <c r="E133" s="1845">
        <v>0</v>
      </c>
      <c r="F133" s="1845"/>
      <c r="G133" s="1885"/>
      <c r="H133" s="1821" t="e">
        <f>G133/F133*100</f>
        <v>#DIV/0!</v>
      </c>
      <c r="I133" s="1829"/>
    </row>
    <row r="134" spans="1:9" ht="16.5" hidden="1" thickTop="1" thickBot="1" x14ac:dyDescent="0.3">
      <c r="A134" s="1837" t="s">
        <v>763</v>
      </c>
      <c r="B134" s="1838"/>
      <c r="C134" s="1838"/>
      <c r="D134" s="1839"/>
      <c r="E134" s="1818">
        <f>SUM(E130:E131)</f>
        <v>0</v>
      </c>
      <c r="F134" s="1818">
        <f>SUM(F130:F133)</f>
        <v>0</v>
      </c>
      <c r="G134" s="1818">
        <f>SUM(G130:G133)</f>
        <v>0</v>
      </c>
      <c r="H134" s="1822" t="e">
        <f>G134/F134*100</f>
        <v>#DIV/0!</v>
      </c>
      <c r="I134" s="1829"/>
    </row>
    <row r="135" spans="1:9" hidden="1" x14ac:dyDescent="0.2">
      <c r="I135" s="1829"/>
    </row>
    <row r="136" spans="1:9" ht="15" hidden="1" x14ac:dyDescent="0.25">
      <c r="A136" s="1808" t="s">
        <v>1615</v>
      </c>
      <c r="D136" s="1802"/>
      <c r="E136" s="1803"/>
      <c r="H136" s="1829"/>
      <c r="I136" s="1829"/>
    </row>
    <row r="137" spans="1:9" ht="15" hidden="1" x14ac:dyDescent="0.25">
      <c r="A137" s="1808" t="s">
        <v>189</v>
      </c>
      <c r="D137" s="1802"/>
      <c r="E137" s="1803"/>
      <c r="H137" s="1892" t="s">
        <v>161</v>
      </c>
      <c r="I137" s="1829"/>
    </row>
    <row r="138" spans="1:9" ht="25.5" hidden="1" thickTop="1" thickBot="1" x14ac:dyDescent="0.25">
      <c r="A138" s="1809" t="s">
        <v>162</v>
      </c>
      <c r="B138" s="1810" t="s">
        <v>761</v>
      </c>
      <c r="C138" s="1810" t="s">
        <v>377</v>
      </c>
      <c r="D138" s="1811" t="s">
        <v>164</v>
      </c>
      <c r="E138" s="1833" t="s">
        <v>632</v>
      </c>
      <c r="F138" s="1833" t="s">
        <v>633</v>
      </c>
      <c r="G138" s="1834" t="s">
        <v>882</v>
      </c>
      <c r="H138" s="1835" t="s">
        <v>883</v>
      </c>
      <c r="I138" s="1829"/>
    </row>
    <row r="139" spans="1:9" ht="14.25" hidden="1" thickTop="1" thickBot="1" x14ac:dyDescent="0.25">
      <c r="A139" s="1643">
        <v>1</v>
      </c>
      <c r="B139" s="1642">
        <v>2</v>
      </c>
      <c r="C139" s="1642">
        <v>3</v>
      </c>
      <c r="D139" s="1642">
        <v>5</v>
      </c>
      <c r="E139" s="1641">
        <v>6</v>
      </c>
      <c r="F139" s="1641">
        <v>7</v>
      </c>
      <c r="G139" s="1877">
        <v>8</v>
      </c>
      <c r="H139" s="1814" t="s">
        <v>762</v>
      </c>
      <c r="I139" s="1829"/>
    </row>
    <row r="140" spans="1:9" ht="30.75" hidden="1" thickTop="1" x14ac:dyDescent="0.2">
      <c r="A140" s="1896">
        <v>3299</v>
      </c>
      <c r="B140" s="1918">
        <v>5336</v>
      </c>
      <c r="C140" s="1903">
        <v>32133006</v>
      </c>
      <c r="D140" s="1836" t="s">
        <v>1263</v>
      </c>
      <c r="E140" s="1832">
        <v>0</v>
      </c>
      <c r="F140" s="1832"/>
      <c r="G140" s="1888"/>
      <c r="H140" s="1819" t="e">
        <f>G140/F140*100</f>
        <v>#DIV/0!</v>
      </c>
      <c r="I140" s="1829"/>
    </row>
    <row r="141" spans="1:9" ht="30" hidden="1" x14ac:dyDescent="0.2">
      <c r="A141" s="1896">
        <v>3299</v>
      </c>
      <c r="B141" s="1918">
        <v>5336</v>
      </c>
      <c r="C141" s="1903">
        <v>32533006</v>
      </c>
      <c r="D141" s="1836" t="s">
        <v>1263</v>
      </c>
      <c r="E141" s="1845">
        <v>0</v>
      </c>
      <c r="F141" s="1845"/>
      <c r="G141" s="1885"/>
      <c r="H141" s="1821" t="e">
        <f>G141/F141*100</f>
        <v>#DIV/0!</v>
      </c>
      <c r="I141" s="1829"/>
    </row>
    <row r="142" spans="1:9" ht="30" hidden="1" x14ac:dyDescent="0.2">
      <c r="A142" s="1896">
        <v>3299</v>
      </c>
      <c r="B142" s="1903">
        <v>6351</v>
      </c>
      <c r="C142" s="1903">
        <v>32133006</v>
      </c>
      <c r="D142" s="1915" t="s">
        <v>1277</v>
      </c>
      <c r="E142" s="1845">
        <v>0</v>
      </c>
      <c r="F142" s="1845">
        <v>0</v>
      </c>
      <c r="G142" s="1885">
        <v>0</v>
      </c>
      <c r="H142" s="1821" t="e">
        <f>G142/F142*100</f>
        <v>#DIV/0!</v>
      </c>
      <c r="I142" s="1829"/>
    </row>
    <row r="143" spans="1:9" ht="30.75" hidden="1" thickBot="1" x14ac:dyDescent="0.25">
      <c r="A143" s="1916">
        <v>3299</v>
      </c>
      <c r="B143" s="1917">
        <v>6351</v>
      </c>
      <c r="C143" s="1917">
        <v>32533006</v>
      </c>
      <c r="D143" s="1915" t="s">
        <v>1277</v>
      </c>
      <c r="E143" s="1845">
        <v>0</v>
      </c>
      <c r="F143" s="1845">
        <v>0</v>
      </c>
      <c r="G143" s="1885">
        <v>0</v>
      </c>
      <c r="H143" s="1821" t="e">
        <f>G143/F143*100</f>
        <v>#DIV/0!</v>
      </c>
      <c r="I143" s="1829"/>
    </row>
    <row r="144" spans="1:9" ht="16.5" hidden="1" thickTop="1" thickBot="1" x14ac:dyDescent="0.3">
      <c r="A144" s="1837" t="s">
        <v>763</v>
      </c>
      <c r="B144" s="1838"/>
      <c r="C144" s="1838"/>
      <c r="D144" s="1839"/>
      <c r="E144" s="1818">
        <f>SUM(E140:E141)</f>
        <v>0</v>
      </c>
      <c r="F144" s="1818">
        <f>SUM(F140:F143)</f>
        <v>0</v>
      </c>
      <c r="G144" s="1818">
        <f>SUM(G140:G143)</f>
        <v>0</v>
      </c>
      <c r="H144" s="1822" t="e">
        <f>G144/F144*100</f>
        <v>#DIV/0!</v>
      </c>
      <c r="I144" s="1829"/>
    </row>
    <row r="145" spans="1:9" hidden="1" x14ac:dyDescent="0.2">
      <c r="I145" s="1829"/>
    </row>
    <row r="146" spans="1:9" ht="15" hidden="1" x14ac:dyDescent="0.25">
      <c r="A146" s="1808" t="s">
        <v>52</v>
      </c>
      <c r="D146" s="1802"/>
      <c r="E146" s="1803"/>
      <c r="H146" s="1829"/>
      <c r="I146" s="1829"/>
    </row>
    <row r="147" spans="1:9" ht="15" hidden="1" x14ac:dyDescent="0.25">
      <c r="A147" s="1808" t="s">
        <v>555</v>
      </c>
      <c r="D147" s="1802"/>
      <c r="E147" s="1803"/>
      <c r="H147" s="1892" t="s">
        <v>161</v>
      </c>
      <c r="I147" s="1829"/>
    </row>
    <row r="148" spans="1:9" ht="25.5" hidden="1" thickTop="1" thickBot="1" x14ac:dyDescent="0.25">
      <c r="A148" s="1809" t="s">
        <v>162</v>
      </c>
      <c r="B148" s="1810" t="s">
        <v>761</v>
      </c>
      <c r="C148" s="1810" t="s">
        <v>377</v>
      </c>
      <c r="D148" s="1811" t="s">
        <v>164</v>
      </c>
      <c r="E148" s="1833" t="s">
        <v>632</v>
      </c>
      <c r="F148" s="1833" t="s">
        <v>633</v>
      </c>
      <c r="G148" s="1834" t="s">
        <v>882</v>
      </c>
      <c r="H148" s="1835" t="s">
        <v>883</v>
      </c>
      <c r="I148" s="1829"/>
    </row>
    <row r="149" spans="1:9" ht="14.25" hidden="1" thickTop="1" thickBot="1" x14ac:dyDescent="0.25">
      <c r="A149" s="1643">
        <v>1</v>
      </c>
      <c r="B149" s="1642">
        <v>2</v>
      </c>
      <c r="C149" s="1642">
        <v>3</v>
      </c>
      <c r="D149" s="1642">
        <v>5</v>
      </c>
      <c r="E149" s="1641">
        <v>6</v>
      </c>
      <c r="F149" s="1641">
        <v>7</v>
      </c>
      <c r="G149" s="1877">
        <v>8</v>
      </c>
      <c r="H149" s="1814" t="s">
        <v>762</v>
      </c>
      <c r="I149" s="1829"/>
    </row>
    <row r="150" spans="1:9" ht="30.75" hidden="1" thickTop="1" x14ac:dyDescent="0.2">
      <c r="A150" s="1896">
        <v>3299</v>
      </c>
      <c r="B150" s="1918">
        <v>5336</v>
      </c>
      <c r="C150" s="1903">
        <v>32133006</v>
      </c>
      <c r="D150" s="1836" t="s">
        <v>1263</v>
      </c>
      <c r="E150" s="1832">
        <v>0</v>
      </c>
      <c r="F150" s="1832"/>
      <c r="G150" s="1888"/>
      <c r="H150" s="1819" t="e">
        <f>G150/F150*100</f>
        <v>#DIV/0!</v>
      </c>
      <c r="I150" s="1829"/>
    </row>
    <row r="151" spans="1:9" ht="30" hidden="1" x14ac:dyDescent="0.2">
      <c r="A151" s="1896">
        <v>3299</v>
      </c>
      <c r="B151" s="1918">
        <v>5336</v>
      </c>
      <c r="C151" s="1903">
        <v>32533006</v>
      </c>
      <c r="D151" s="1836" t="s">
        <v>1263</v>
      </c>
      <c r="E151" s="1845">
        <v>0</v>
      </c>
      <c r="F151" s="1845"/>
      <c r="G151" s="1885"/>
      <c r="H151" s="1821" t="e">
        <f>G151/F151*100</f>
        <v>#DIV/0!</v>
      </c>
      <c r="I151" s="1829"/>
    </row>
    <row r="152" spans="1:9" ht="30" hidden="1" x14ac:dyDescent="0.2">
      <c r="A152" s="1896">
        <v>3299</v>
      </c>
      <c r="B152" s="1903">
        <v>6351</v>
      </c>
      <c r="C152" s="1903">
        <v>32133006</v>
      </c>
      <c r="D152" s="1915" t="s">
        <v>1277</v>
      </c>
      <c r="E152" s="1845">
        <v>0</v>
      </c>
      <c r="F152" s="1845">
        <v>0</v>
      </c>
      <c r="G152" s="1885">
        <v>0</v>
      </c>
      <c r="H152" s="1821" t="e">
        <f>G152/F152*100</f>
        <v>#DIV/0!</v>
      </c>
      <c r="I152" s="1829"/>
    </row>
    <row r="153" spans="1:9" ht="30.75" hidden="1" thickBot="1" x14ac:dyDescent="0.25">
      <c r="A153" s="1916">
        <v>3299</v>
      </c>
      <c r="B153" s="1917">
        <v>6351</v>
      </c>
      <c r="C153" s="1917">
        <v>32533006</v>
      </c>
      <c r="D153" s="1915" t="s">
        <v>1277</v>
      </c>
      <c r="E153" s="1845">
        <v>0</v>
      </c>
      <c r="F153" s="1845">
        <v>0</v>
      </c>
      <c r="G153" s="1885">
        <v>0</v>
      </c>
      <c r="H153" s="1821" t="e">
        <f>G153/F153*100</f>
        <v>#DIV/0!</v>
      </c>
      <c r="I153" s="1829"/>
    </row>
    <row r="154" spans="1:9" ht="16.5" hidden="1" thickTop="1" thickBot="1" x14ac:dyDescent="0.3">
      <c r="A154" s="1837" t="s">
        <v>763</v>
      </c>
      <c r="B154" s="1838"/>
      <c r="C154" s="1838"/>
      <c r="D154" s="1839"/>
      <c r="E154" s="1818">
        <f>SUM(E150:E151)</f>
        <v>0</v>
      </c>
      <c r="F154" s="1818">
        <f>SUM(F150:F153)</f>
        <v>0</v>
      </c>
      <c r="G154" s="1818">
        <f>SUM(G150:G153)</f>
        <v>0</v>
      </c>
      <c r="H154" s="1822" t="e">
        <f>G154/F154*100</f>
        <v>#DIV/0!</v>
      </c>
      <c r="I154" s="1829"/>
    </row>
    <row r="155" spans="1:9" hidden="1" x14ac:dyDescent="0.2">
      <c r="I155" s="1829"/>
    </row>
    <row r="156" spans="1:9" ht="15" hidden="1" x14ac:dyDescent="0.25">
      <c r="A156" s="1808" t="s">
        <v>1616</v>
      </c>
      <c r="D156" s="1802"/>
      <c r="E156" s="1803"/>
      <c r="H156" s="1829"/>
      <c r="I156" s="1829"/>
    </row>
    <row r="157" spans="1:9" ht="15" hidden="1" x14ac:dyDescent="0.25">
      <c r="A157" s="1808" t="s">
        <v>191</v>
      </c>
      <c r="D157" s="1802"/>
      <c r="E157" s="1803"/>
      <c r="H157" s="1892" t="s">
        <v>161</v>
      </c>
      <c r="I157" s="1829"/>
    </row>
    <row r="158" spans="1:9" ht="25.5" hidden="1" thickTop="1" thickBot="1" x14ac:dyDescent="0.25">
      <c r="A158" s="1809" t="s">
        <v>162</v>
      </c>
      <c r="B158" s="1810" t="s">
        <v>761</v>
      </c>
      <c r="C158" s="1810" t="s">
        <v>377</v>
      </c>
      <c r="D158" s="1811" t="s">
        <v>164</v>
      </c>
      <c r="E158" s="1833" t="s">
        <v>632</v>
      </c>
      <c r="F158" s="1833" t="s">
        <v>633</v>
      </c>
      <c r="G158" s="1834" t="s">
        <v>882</v>
      </c>
      <c r="H158" s="1835" t="s">
        <v>883</v>
      </c>
      <c r="I158" s="1829"/>
    </row>
    <row r="159" spans="1:9" ht="14.25" hidden="1" thickTop="1" thickBot="1" x14ac:dyDescent="0.25">
      <c r="A159" s="1643">
        <v>1</v>
      </c>
      <c r="B159" s="1642">
        <v>2</v>
      </c>
      <c r="C159" s="1642">
        <v>3</v>
      </c>
      <c r="D159" s="1642">
        <v>5</v>
      </c>
      <c r="E159" s="1641">
        <v>6</v>
      </c>
      <c r="F159" s="1641">
        <v>7</v>
      </c>
      <c r="G159" s="1877">
        <v>8</v>
      </c>
      <c r="H159" s="1814" t="s">
        <v>762</v>
      </c>
      <c r="I159" s="1829"/>
    </row>
    <row r="160" spans="1:9" ht="30.75" hidden="1" thickTop="1" x14ac:dyDescent="0.2">
      <c r="A160" s="1896">
        <v>3299</v>
      </c>
      <c r="B160" s="1918">
        <v>5336</v>
      </c>
      <c r="C160" s="1903">
        <v>32133006</v>
      </c>
      <c r="D160" s="1836" t="s">
        <v>1263</v>
      </c>
      <c r="E160" s="1832">
        <v>0</v>
      </c>
      <c r="F160" s="1832"/>
      <c r="G160" s="1888"/>
      <c r="H160" s="1819" t="e">
        <f>G160/F160*100</f>
        <v>#DIV/0!</v>
      </c>
      <c r="I160" s="1829"/>
    </row>
    <row r="161" spans="1:9" ht="30" hidden="1" x14ac:dyDescent="0.2">
      <c r="A161" s="1896">
        <v>3299</v>
      </c>
      <c r="B161" s="1918">
        <v>5336</v>
      </c>
      <c r="C161" s="1903">
        <v>32533006</v>
      </c>
      <c r="D161" s="1836" t="s">
        <v>1263</v>
      </c>
      <c r="E161" s="1845">
        <v>0</v>
      </c>
      <c r="F161" s="1845"/>
      <c r="G161" s="1885"/>
      <c r="H161" s="1821" t="e">
        <f>G161/F161*100</f>
        <v>#DIV/0!</v>
      </c>
      <c r="I161" s="1829"/>
    </row>
    <row r="162" spans="1:9" ht="16.5" hidden="1" thickTop="1" thickBot="1" x14ac:dyDescent="0.3">
      <c r="A162" s="1837" t="s">
        <v>763</v>
      </c>
      <c r="B162" s="1838"/>
      <c r="C162" s="1838"/>
      <c r="D162" s="1839"/>
      <c r="E162" s="1818">
        <f>SUM(E160:E161)</f>
        <v>0</v>
      </c>
      <c r="F162" s="1818">
        <f>SUM(F160:F161)</f>
        <v>0</v>
      </c>
      <c r="G162" s="1818">
        <f>SUM(G160:G161)</f>
        <v>0</v>
      </c>
      <c r="H162" s="1822" t="e">
        <f>G162/F162*100</f>
        <v>#DIV/0!</v>
      </c>
      <c r="I162" s="1829"/>
    </row>
    <row r="163" spans="1:9" hidden="1" x14ac:dyDescent="0.2">
      <c r="I163" s="1829"/>
    </row>
    <row r="164" spans="1:9" ht="15" hidden="1" x14ac:dyDescent="0.25">
      <c r="A164" s="1808" t="s">
        <v>556</v>
      </c>
      <c r="D164" s="1802"/>
      <c r="E164" s="1803"/>
      <c r="H164" s="1829"/>
      <c r="I164" s="1829"/>
    </row>
    <row r="165" spans="1:9" ht="15" hidden="1" x14ac:dyDescent="0.25">
      <c r="A165" s="1808" t="s">
        <v>557</v>
      </c>
      <c r="D165" s="1802"/>
      <c r="E165" s="1803"/>
      <c r="H165" s="1892" t="s">
        <v>161</v>
      </c>
      <c r="I165" s="1829"/>
    </row>
    <row r="166" spans="1:9" ht="25.5" hidden="1" thickTop="1" thickBot="1" x14ac:dyDescent="0.25">
      <c r="A166" s="1809" t="s">
        <v>162</v>
      </c>
      <c r="B166" s="1810" t="s">
        <v>761</v>
      </c>
      <c r="C166" s="1810" t="s">
        <v>377</v>
      </c>
      <c r="D166" s="1811" t="s">
        <v>164</v>
      </c>
      <c r="E166" s="1833" t="s">
        <v>632</v>
      </c>
      <c r="F166" s="1833" t="s">
        <v>633</v>
      </c>
      <c r="G166" s="1834" t="s">
        <v>882</v>
      </c>
      <c r="H166" s="1835" t="s">
        <v>883</v>
      </c>
      <c r="I166" s="1829"/>
    </row>
    <row r="167" spans="1:9" ht="14.25" hidden="1" thickTop="1" thickBot="1" x14ac:dyDescent="0.25">
      <c r="A167" s="1643">
        <v>1</v>
      </c>
      <c r="B167" s="1642">
        <v>2</v>
      </c>
      <c r="C167" s="1642">
        <v>3</v>
      </c>
      <c r="D167" s="1642">
        <v>5</v>
      </c>
      <c r="E167" s="1641">
        <v>6</v>
      </c>
      <c r="F167" s="1641">
        <v>7</v>
      </c>
      <c r="G167" s="1877">
        <v>8</v>
      </c>
      <c r="H167" s="1814" t="s">
        <v>762</v>
      </c>
      <c r="I167" s="1829"/>
    </row>
    <row r="168" spans="1:9" ht="30.75" hidden="1" thickTop="1" x14ac:dyDescent="0.2">
      <c r="A168" s="1896">
        <v>3299</v>
      </c>
      <c r="B168" s="1918">
        <v>5336</v>
      </c>
      <c r="C168" s="1903">
        <v>32133006</v>
      </c>
      <c r="D168" s="1836" t="s">
        <v>1263</v>
      </c>
      <c r="E168" s="1832">
        <v>0</v>
      </c>
      <c r="F168" s="1832"/>
      <c r="G168" s="1888"/>
      <c r="H168" s="1819" t="e">
        <f>G168/F168*100</f>
        <v>#DIV/0!</v>
      </c>
      <c r="I168" s="1829"/>
    </row>
    <row r="169" spans="1:9" ht="30" hidden="1" x14ac:dyDescent="0.2">
      <c r="A169" s="1896">
        <v>3299</v>
      </c>
      <c r="B169" s="1918">
        <v>5336</v>
      </c>
      <c r="C169" s="1903">
        <v>32533006</v>
      </c>
      <c r="D169" s="1836" t="s">
        <v>1263</v>
      </c>
      <c r="E169" s="1845">
        <v>0</v>
      </c>
      <c r="F169" s="1845"/>
      <c r="G169" s="1885"/>
      <c r="H169" s="1821" t="e">
        <f>G169/F169*100</f>
        <v>#DIV/0!</v>
      </c>
      <c r="I169" s="1829"/>
    </row>
    <row r="170" spans="1:9" ht="16.5" hidden="1" thickTop="1" thickBot="1" x14ac:dyDescent="0.3">
      <c r="A170" s="1837" t="s">
        <v>763</v>
      </c>
      <c r="B170" s="1838"/>
      <c r="C170" s="1838"/>
      <c r="D170" s="1839"/>
      <c r="E170" s="1818">
        <f>SUM(E168:E169)</f>
        <v>0</v>
      </c>
      <c r="F170" s="1818">
        <f>SUM(F168:F169)</f>
        <v>0</v>
      </c>
      <c r="G170" s="1818">
        <f>SUM(G168:G169)</f>
        <v>0</v>
      </c>
      <c r="H170" s="1822" t="e">
        <f>G170/F170*100</f>
        <v>#DIV/0!</v>
      </c>
      <c r="I170" s="1829"/>
    </row>
    <row r="171" spans="1:9" hidden="1" x14ac:dyDescent="0.2">
      <c r="I171" s="1829"/>
    </row>
    <row r="172" spans="1:9" ht="15" hidden="1" x14ac:dyDescent="0.25">
      <c r="A172" s="1808" t="s">
        <v>1617</v>
      </c>
      <c r="D172" s="1802"/>
      <c r="E172" s="1803"/>
      <c r="H172" s="1829"/>
      <c r="I172" s="1829"/>
    </row>
    <row r="173" spans="1:9" ht="15" hidden="1" x14ac:dyDescent="0.25">
      <c r="A173" s="1808" t="s">
        <v>558</v>
      </c>
      <c r="D173" s="1802"/>
      <c r="E173" s="1803"/>
      <c r="H173" s="1892" t="s">
        <v>161</v>
      </c>
      <c r="I173" s="1829"/>
    </row>
    <row r="174" spans="1:9" ht="25.5" hidden="1" thickTop="1" thickBot="1" x14ac:dyDescent="0.25">
      <c r="A174" s="1809" t="s">
        <v>162</v>
      </c>
      <c r="B174" s="1810" t="s">
        <v>761</v>
      </c>
      <c r="C174" s="1810" t="s">
        <v>377</v>
      </c>
      <c r="D174" s="1811" t="s">
        <v>164</v>
      </c>
      <c r="E174" s="1833" t="s">
        <v>632</v>
      </c>
      <c r="F174" s="1833" t="s">
        <v>633</v>
      </c>
      <c r="G174" s="1834" t="s">
        <v>882</v>
      </c>
      <c r="H174" s="1835" t="s">
        <v>883</v>
      </c>
      <c r="I174" s="1829"/>
    </row>
    <row r="175" spans="1:9" ht="14.25" hidden="1" thickTop="1" thickBot="1" x14ac:dyDescent="0.25">
      <c r="A175" s="1643">
        <v>1</v>
      </c>
      <c r="B175" s="1642">
        <v>2</v>
      </c>
      <c r="C175" s="1642">
        <v>3</v>
      </c>
      <c r="D175" s="1642">
        <v>5</v>
      </c>
      <c r="E175" s="1641">
        <v>6</v>
      </c>
      <c r="F175" s="1641">
        <v>7</v>
      </c>
      <c r="G175" s="1877">
        <v>8</v>
      </c>
      <c r="H175" s="1814" t="s">
        <v>762</v>
      </c>
      <c r="I175" s="1829"/>
    </row>
    <row r="176" spans="1:9" ht="30.75" hidden="1" thickTop="1" x14ac:dyDescent="0.2">
      <c r="A176" s="1896">
        <v>3299</v>
      </c>
      <c r="B176" s="1918">
        <v>5336</v>
      </c>
      <c r="C176" s="1903">
        <v>32133006</v>
      </c>
      <c r="D176" s="1836" t="s">
        <v>1263</v>
      </c>
      <c r="E176" s="1832">
        <v>0</v>
      </c>
      <c r="F176" s="1832"/>
      <c r="G176" s="1888"/>
      <c r="H176" s="1819" t="e">
        <f>G176/F176*100</f>
        <v>#DIV/0!</v>
      </c>
      <c r="I176" s="1829"/>
    </row>
    <row r="177" spans="1:9" ht="30" hidden="1" x14ac:dyDescent="0.2">
      <c r="A177" s="1896">
        <v>3299</v>
      </c>
      <c r="B177" s="1918">
        <v>5336</v>
      </c>
      <c r="C177" s="1903">
        <v>32533006</v>
      </c>
      <c r="D177" s="1836" t="s">
        <v>1263</v>
      </c>
      <c r="E177" s="1845">
        <v>0</v>
      </c>
      <c r="F177" s="1845"/>
      <c r="G177" s="1885"/>
      <c r="H177" s="1821" t="e">
        <f>G177/F177*100</f>
        <v>#DIV/0!</v>
      </c>
      <c r="I177" s="1829"/>
    </row>
    <row r="178" spans="1:9" ht="16.5" hidden="1" thickTop="1" thickBot="1" x14ac:dyDescent="0.3">
      <c r="A178" s="1837" t="s">
        <v>763</v>
      </c>
      <c r="B178" s="1838"/>
      <c r="C178" s="1838"/>
      <c r="D178" s="1839"/>
      <c r="E178" s="1818">
        <f>SUM(E176:E177)</f>
        <v>0</v>
      </c>
      <c r="F178" s="1818">
        <f>SUM(F176:F177)</f>
        <v>0</v>
      </c>
      <c r="G178" s="1818">
        <f>SUM(G176:G177)</f>
        <v>0</v>
      </c>
      <c r="H178" s="1822" t="e">
        <f>G178/F178*100</f>
        <v>#DIV/0!</v>
      </c>
      <c r="I178" s="1829"/>
    </row>
    <row r="179" spans="1:9" hidden="1" x14ac:dyDescent="0.2">
      <c r="I179" s="1829"/>
    </row>
    <row r="180" spans="1:9" ht="15" hidden="1" x14ac:dyDescent="0.25">
      <c r="A180" s="1808" t="s">
        <v>177</v>
      </c>
      <c r="D180" s="1802"/>
      <c r="E180" s="1803"/>
      <c r="H180" s="1829"/>
      <c r="I180" s="1829"/>
    </row>
    <row r="181" spans="1:9" ht="15" hidden="1" x14ac:dyDescent="0.25">
      <c r="A181" s="1808" t="s">
        <v>1275</v>
      </c>
      <c r="D181" s="1802"/>
      <c r="E181" s="1803"/>
      <c r="H181" s="1892" t="s">
        <v>161</v>
      </c>
      <c r="I181" s="1829"/>
    </row>
    <row r="182" spans="1:9" ht="25.5" hidden="1" thickTop="1" thickBot="1" x14ac:dyDescent="0.25">
      <c r="A182" s="1809" t="s">
        <v>162</v>
      </c>
      <c r="B182" s="1810" t="s">
        <v>761</v>
      </c>
      <c r="C182" s="1810" t="s">
        <v>377</v>
      </c>
      <c r="D182" s="1811" t="s">
        <v>164</v>
      </c>
      <c r="E182" s="1833" t="s">
        <v>632</v>
      </c>
      <c r="F182" s="1833" t="s">
        <v>633</v>
      </c>
      <c r="G182" s="1834" t="s">
        <v>882</v>
      </c>
      <c r="H182" s="1835" t="s">
        <v>883</v>
      </c>
      <c r="I182" s="1829"/>
    </row>
    <row r="183" spans="1:9" ht="14.25" hidden="1" thickTop="1" thickBot="1" x14ac:dyDescent="0.25">
      <c r="A183" s="1643">
        <v>1</v>
      </c>
      <c r="B183" s="1642">
        <v>2</v>
      </c>
      <c r="C183" s="1642">
        <v>3</v>
      </c>
      <c r="D183" s="1642">
        <v>5</v>
      </c>
      <c r="E183" s="1641">
        <v>6</v>
      </c>
      <c r="F183" s="1641">
        <v>7</v>
      </c>
      <c r="G183" s="1877">
        <v>8</v>
      </c>
      <c r="H183" s="1814" t="s">
        <v>762</v>
      </c>
      <c r="I183" s="1829"/>
    </row>
    <row r="184" spans="1:9" ht="30.75" hidden="1" thickTop="1" x14ac:dyDescent="0.2">
      <c r="A184" s="1896">
        <v>3299</v>
      </c>
      <c r="B184" s="1918">
        <v>5336</v>
      </c>
      <c r="C184" s="1903">
        <v>32133006</v>
      </c>
      <c r="D184" s="1836" t="s">
        <v>1263</v>
      </c>
      <c r="E184" s="1832">
        <v>0</v>
      </c>
      <c r="F184" s="1832"/>
      <c r="G184" s="1888"/>
      <c r="H184" s="1819" t="e">
        <f>G184/F184*100</f>
        <v>#DIV/0!</v>
      </c>
      <c r="I184" s="1829"/>
    </row>
    <row r="185" spans="1:9" ht="30" hidden="1" x14ac:dyDescent="0.2">
      <c r="A185" s="1896">
        <v>3299</v>
      </c>
      <c r="B185" s="1918">
        <v>5336</v>
      </c>
      <c r="C185" s="1903">
        <v>32533006</v>
      </c>
      <c r="D185" s="1836" t="s">
        <v>1263</v>
      </c>
      <c r="E185" s="1845">
        <v>0</v>
      </c>
      <c r="F185" s="1845"/>
      <c r="G185" s="1885"/>
      <c r="H185" s="1821" t="e">
        <f>G185/F185*100</f>
        <v>#DIV/0!</v>
      </c>
      <c r="I185" s="1829"/>
    </row>
    <row r="186" spans="1:9" ht="16.5" hidden="1" thickTop="1" thickBot="1" x14ac:dyDescent="0.3">
      <c r="A186" s="1837" t="s">
        <v>763</v>
      </c>
      <c r="B186" s="1838"/>
      <c r="C186" s="1838"/>
      <c r="D186" s="1839"/>
      <c r="E186" s="1818">
        <f>SUM(E184:E185)</f>
        <v>0</v>
      </c>
      <c r="F186" s="1818">
        <f>SUM(F184:F185)</f>
        <v>0</v>
      </c>
      <c r="G186" s="1818">
        <f>SUM(G184:G185)</f>
        <v>0</v>
      </c>
      <c r="H186" s="1822" t="e">
        <f>G186/F186*100</f>
        <v>#DIV/0!</v>
      </c>
      <c r="I186" s="1829"/>
    </row>
    <row r="187" spans="1:9" hidden="1" x14ac:dyDescent="0.2">
      <c r="I187" s="1829"/>
    </row>
    <row r="188" spans="1:9" ht="15" hidden="1" x14ac:dyDescent="0.25">
      <c r="A188" s="1808" t="s">
        <v>1618</v>
      </c>
      <c r="D188" s="1802"/>
      <c r="E188" s="1803"/>
      <c r="H188" s="1829"/>
      <c r="I188" s="1829"/>
    </row>
    <row r="189" spans="1:9" ht="15" hidden="1" x14ac:dyDescent="0.25">
      <c r="A189" s="1808" t="s">
        <v>1276</v>
      </c>
      <c r="D189" s="1802"/>
      <c r="E189" s="1803"/>
      <c r="H189" s="1892" t="s">
        <v>161</v>
      </c>
      <c r="I189" s="1829"/>
    </row>
    <row r="190" spans="1:9" ht="25.5" hidden="1" thickTop="1" thickBot="1" x14ac:dyDescent="0.25">
      <c r="A190" s="1809" t="s">
        <v>162</v>
      </c>
      <c r="B190" s="1810" t="s">
        <v>761</v>
      </c>
      <c r="C190" s="1810" t="s">
        <v>377</v>
      </c>
      <c r="D190" s="1811" t="s">
        <v>164</v>
      </c>
      <c r="E190" s="1833" t="s">
        <v>632</v>
      </c>
      <c r="F190" s="1833" t="s">
        <v>633</v>
      </c>
      <c r="G190" s="1834" t="s">
        <v>882</v>
      </c>
      <c r="H190" s="1835" t="s">
        <v>883</v>
      </c>
      <c r="I190" s="1829"/>
    </row>
    <row r="191" spans="1:9" ht="14.25" hidden="1" thickTop="1" thickBot="1" x14ac:dyDescent="0.25">
      <c r="A191" s="1643">
        <v>1</v>
      </c>
      <c r="B191" s="1642">
        <v>2</v>
      </c>
      <c r="C191" s="1642">
        <v>3</v>
      </c>
      <c r="D191" s="1642">
        <v>5</v>
      </c>
      <c r="E191" s="1641">
        <v>6</v>
      </c>
      <c r="F191" s="1641">
        <v>7</v>
      </c>
      <c r="G191" s="1877">
        <v>8</v>
      </c>
      <c r="H191" s="1814" t="s">
        <v>762</v>
      </c>
      <c r="I191" s="1829"/>
    </row>
    <row r="192" spans="1:9" ht="30.75" hidden="1" thickTop="1" x14ac:dyDescent="0.2">
      <c r="A192" s="1896">
        <v>3299</v>
      </c>
      <c r="B192" s="1918">
        <v>5336</v>
      </c>
      <c r="C192" s="1903">
        <v>32133006</v>
      </c>
      <c r="D192" s="1836" t="s">
        <v>1263</v>
      </c>
      <c r="E192" s="1832">
        <v>0</v>
      </c>
      <c r="F192" s="1832"/>
      <c r="G192" s="1888"/>
      <c r="H192" s="1819" t="e">
        <f>G192/F192*100</f>
        <v>#DIV/0!</v>
      </c>
      <c r="I192" s="1829"/>
    </row>
    <row r="193" spans="1:9" ht="30" hidden="1" x14ac:dyDescent="0.2">
      <c r="A193" s="1896">
        <v>3299</v>
      </c>
      <c r="B193" s="1918">
        <v>5336</v>
      </c>
      <c r="C193" s="1903">
        <v>32533006</v>
      </c>
      <c r="D193" s="1836" t="s">
        <v>1263</v>
      </c>
      <c r="E193" s="1845">
        <v>0</v>
      </c>
      <c r="F193" s="1845"/>
      <c r="G193" s="1885"/>
      <c r="H193" s="1821" t="e">
        <f>G193/F193*100</f>
        <v>#DIV/0!</v>
      </c>
      <c r="I193" s="1829"/>
    </row>
    <row r="194" spans="1:9" ht="30" hidden="1" x14ac:dyDescent="0.2">
      <c r="A194" s="1896">
        <v>3299</v>
      </c>
      <c r="B194" s="1903">
        <v>6351</v>
      </c>
      <c r="C194" s="1903">
        <v>32133006</v>
      </c>
      <c r="D194" s="1836" t="s">
        <v>1277</v>
      </c>
      <c r="E194" s="1845">
        <v>0</v>
      </c>
      <c r="F194" s="1845">
        <v>0</v>
      </c>
      <c r="G194" s="1885">
        <v>0</v>
      </c>
      <c r="H194" s="1821" t="e">
        <f>G194/F194*100</f>
        <v>#DIV/0!</v>
      </c>
      <c r="I194" s="1829"/>
    </row>
    <row r="195" spans="1:9" ht="30" hidden="1" x14ac:dyDescent="0.2">
      <c r="A195" s="1896">
        <v>3299</v>
      </c>
      <c r="B195" s="1903">
        <v>6351</v>
      </c>
      <c r="C195" s="1903">
        <v>32533006</v>
      </c>
      <c r="D195" s="1836" t="s">
        <v>1277</v>
      </c>
      <c r="E195" s="1845">
        <v>0</v>
      </c>
      <c r="F195" s="1845">
        <v>0</v>
      </c>
      <c r="G195" s="1885">
        <v>0</v>
      </c>
      <c r="H195" s="1821" t="e">
        <f>G195/F195*100</f>
        <v>#DIV/0!</v>
      </c>
      <c r="I195" s="1829"/>
    </row>
    <row r="196" spans="1:9" ht="16.5" hidden="1" thickTop="1" thickBot="1" x14ac:dyDescent="0.3">
      <c r="A196" s="1837" t="s">
        <v>763</v>
      </c>
      <c r="B196" s="1838"/>
      <c r="C196" s="1838"/>
      <c r="D196" s="1839"/>
      <c r="E196" s="1818">
        <f>SUM(E192:E195)</f>
        <v>0</v>
      </c>
      <c r="F196" s="1818">
        <f>SUM(F192:F195)</f>
        <v>0</v>
      </c>
      <c r="G196" s="1818">
        <f>SUM(G192:G195)</f>
        <v>0</v>
      </c>
      <c r="H196" s="1822" t="e">
        <f>G196/F196*100</f>
        <v>#DIV/0!</v>
      </c>
      <c r="I196" s="1829"/>
    </row>
    <row r="197" spans="1:9" hidden="1" x14ac:dyDescent="0.2">
      <c r="I197" s="1829"/>
    </row>
    <row r="198" spans="1:9" ht="15" hidden="1" x14ac:dyDescent="0.25">
      <c r="A198" s="1808" t="s">
        <v>559</v>
      </c>
      <c r="D198" s="1802"/>
      <c r="E198" s="1803"/>
      <c r="H198" s="1829"/>
      <c r="I198" s="1829"/>
    </row>
    <row r="199" spans="1:9" ht="15" hidden="1" x14ac:dyDescent="0.25">
      <c r="A199" s="1808" t="s">
        <v>560</v>
      </c>
      <c r="D199" s="1802"/>
      <c r="E199" s="1803"/>
      <c r="H199" s="1829" t="s">
        <v>161</v>
      </c>
      <c r="I199" s="1829"/>
    </row>
    <row r="200" spans="1:9" ht="25.5" hidden="1" thickTop="1" thickBot="1" x14ac:dyDescent="0.25">
      <c r="A200" s="1809" t="s">
        <v>162</v>
      </c>
      <c r="B200" s="1810" t="s">
        <v>761</v>
      </c>
      <c r="C200" s="1810" t="s">
        <v>377</v>
      </c>
      <c r="D200" s="1811" t="s">
        <v>164</v>
      </c>
      <c r="E200" s="1833" t="s">
        <v>632</v>
      </c>
      <c r="F200" s="1833" t="s">
        <v>633</v>
      </c>
      <c r="G200" s="1834" t="s">
        <v>882</v>
      </c>
      <c r="H200" s="1835" t="s">
        <v>883</v>
      </c>
      <c r="I200" s="1829"/>
    </row>
    <row r="201" spans="1:9" ht="14.25" hidden="1" thickTop="1" thickBot="1" x14ac:dyDescent="0.25">
      <c r="A201" s="1643">
        <v>1</v>
      </c>
      <c r="B201" s="1642">
        <v>2</v>
      </c>
      <c r="C201" s="1642">
        <v>3</v>
      </c>
      <c r="D201" s="1642">
        <v>5</v>
      </c>
      <c r="E201" s="1641">
        <v>6</v>
      </c>
      <c r="F201" s="1641">
        <v>7</v>
      </c>
      <c r="G201" s="1877">
        <v>8</v>
      </c>
      <c r="H201" s="1814" t="s">
        <v>762</v>
      </c>
      <c r="I201" s="1829"/>
    </row>
    <row r="202" spans="1:9" ht="30.75" hidden="1" thickTop="1" x14ac:dyDescent="0.2">
      <c r="A202" s="1896">
        <v>3299</v>
      </c>
      <c r="B202" s="1903">
        <v>6351</v>
      </c>
      <c r="C202" s="1903">
        <v>32133006</v>
      </c>
      <c r="D202" s="1836" t="s">
        <v>1277</v>
      </c>
      <c r="E202" s="1832">
        <v>0</v>
      </c>
      <c r="F202" s="1832">
        <v>0</v>
      </c>
      <c r="G202" s="1888">
        <v>0</v>
      </c>
      <c r="H202" s="1819" t="e">
        <f>G202/F202*100</f>
        <v>#DIV/0!</v>
      </c>
      <c r="I202" s="1829"/>
    </row>
    <row r="203" spans="1:9" ht="30" hidden="1" x14ac:dyDescent="0.2">
      <c r="A203" s="1896">
        <v>3299</v>
      </c>
      <c r="B203" s="1903">
        <v>6351</v>
      </c>
      <c r="C203" s="1903">
        <v>32533006</v>
      </c>
      <c r="D203" s="1836" t="s">
        <v>1277</v>
      </c>
      <c r="E203" s="1845">
        <v>0</v>
      </c>
      <c r="F203" s="1845">
        <v>0</v>
      </c>
      <c r="G203" s="1885">
        <v>0</v>
      </c>
      <c r="H203" s="1821" t="e">
        <f>G203/F203*100</f>
        <v>#DIV/0!</v>
      </c>
      <c r="I203" s="1829"/>
    </row>
    <row r="204" spans="1:9" ht="16.5" hidden="1" thickTop="1" thickBot="1" x14ac:dyDescent="0.3">
      <c r="A204" s="1837" t="s">
        <v>763</v>
      </c>
      <c r="B204" s="1838"/>
      <c r="C204" s="1838"/>
      <c r="D204" s="1839"/>
      <c r="E204" s="1818">
        <f>SUM(E202:E203)</f>
        <v>0</v>
      </c>
      <c r="F204" s="1818">
        <f>SUM(F202:F203)</f>
        <v>0</v>
      </c>
      <c r="G204" s="1818">
        <f>SUM(G202:G203)</f>
        <v>0</v>
      </c>
      <c r="H204" s="1822" t="e">
        <f>G204/F204*100</f>
        <v>#DIV/0!</v>
      </c>
      <c r="I204" s="1829"/>
    </row>
    <row r="205" spans="1:9" hidden="1" x14ac:dyDescent="0.2">
      <c r="I205" s="1829"/>
    </row>
    <row r="206" spans="1:9" ht="15" hidden="1" x14ac:dyDescent="0.25">
      <c r="A206" s="1808" t="s">
        <v>536</v>
      </c>
      <c r="D206" s="1802"/>
      <c r="E206" s="1803"/>
      <c r="H206" s="1829"/>
      <c r="I206" s="1829"/>
    </row>
    <row r="207" spans="1:9" ht="15" hidden="1" x14ac:dyDescent="0.25">
      <c r="A207" s="1808" t="s">
        <v>867</v>
      </c>
      <c r="D207" s="1802"/>
      <c r="E207" s="1803"/>
      <c r="H207" s="1892" t="s">
        <v>161</v>
      </c>
      <c r="I207" s="1829"/>
    </row>
    <row r="208" spans="1:9" ht="25.5" hidden="1" thickTop="1" thickBot="1" x14ac:dyDescent="0.25">
      <c r="A208" s="1809" t="s">
        <v>162</v>
      </c>
      <c r="B208" s="1810" t="s">
        <v>761</v>
      </c>
      <c r="C208" s="1810" t="s">
        <v>377</v>
      </c>
      <c r="D208" s="1811" t="s">
        <v>164</v>
      </c>
      <c r="E208" s="1833" t="s">
        <v>632</v>
      </c>
      <c r="F208" s="1833" t="s">
        <v>633</v>
      </c>
      <c r="G208" s="1834" t="s">
        <v>882</v>
      </c>
      <c r="H208" s="1835" t="s">
        <v>883</v>
      </c>
      <c r="I208" s="1829"/>
    </row>
    <row r="209" spans="1:9" ht="14.25" hidden="1" thickTop="1" thickBot="1" x14ac:dyDescent="0.25">
      <c r="A209" s="1643">
        <v>1</v>
      </c>
      <c r="B209" s="1642">
        <v>2</v>
      </c>
      <c r="C209" s="1642">
        <v>3</v>
      </c>
      <c r="D209" s="1642">
        <v>5</v>
      </c>
      <c r="E209" s="1641">
        <v>6</v>
      </c>
      <c r="F209" s="1641">
        <v>7</v>
      </c>
      <c r="G209" s="1877">
        <v>8</v>
      </c>
      <c r="H209" s="1814" t="s">
        <v>762</v>
      </c>
      <c r="I209" s="1829"/>
    </row>
    <row r="210" spans="1:9" ht="30.75" hidden="1" thickTop="1" x14ac:dyDescent="0.2">
      <c r="A210" s="1896">
        <v>3299</v>
      </c>
      <c r="B210" s="1918">
        <v>5336</v>
      </c>
      <c r="C210" s="1903">
        <v>32133006</v>
      </c>
      <c r="D210" s="1836" t="s">
        <v>1263</v>
      </c>
      <c r="E210" s="1832">
        <v>0</v>
      </c>
      <c r="F210" s="1832"/>
      <c r="G210" s="1888"/>
      <c r="H210" s="1819" t="e">
        <f>G210/F210*100</f>
        <v>#DIV/0!</v>
      </c>
      <c r="I210" s="1829"/>
    </row>
    <row r="211" spans="1:9" ht="30" hidden="1" x14ac:dyDescent="0.2">
      <c r="A211" s="1896">
        <v>3299</v>
      </c>
      <c r="B211" s="1918">
        <v>5336</v>
      </c>
      <c r="C211" s="1903">
        <v>32533006</v>
      </c>
      <c r="D211" s="1836" t="s">
        <v>1263</v>
      </c>
      <c r="E211" s="1845">
        <v>0</v>
      </c>
      <c r="F211" s="1845"/>
      <c r="G211" s="1885"/>
      <c r="H211" s="1821" t="e">
        <f>G211/F211*100</f>
        <v>#DIV/0!</v>
      </c>
      <c r="I211" s="1829"/>
    </row>
    <row r="212" spans="1:9" ht="16.5" hidden="1" thickTop="1" thickBot="1" x14ac:dyDescent="0.3">
      <c r="A212" s="1837" t="s">
        <v>763</v>
      </c>
      <c r="B212" s="1838"/>
      <c r="C212" s="1838"/>
      <c r="D212" s="1839"/>
      <c r="E212" s="1818">
        <f>SUM(E210:E211)</f>
        <v>0</v>
      </c>
      <c r="F212" s="1818">
        <f>SUM(F210:F211)</f>
        <v>0</v>
      </c>
      <c r="G212" s="1818">
        <f>SUM(G210:G211)</f>
        <v>0</v>
      </c>
      <c r="H212" s="1822" t="e">
        <f>G212/F212*100</f>
        <v>#DIV/0!</v>
      </c>
      <c r="I212" s="1829"/>
    </row>
    <row r="213" spans="1:9" hidden="1" x14ac:dyDescent="0.2">
      <c r="I213" s="1829"/>
    </row>
    <row r="214" spans="1:9" ht="15" hidden="1" x14ac:dyDescent="0.25">
      <c r="A214" s="1808" t="s">
        <v>561</v>
      </c>
      <c r="D214" s="1802"/>
      <c r="E214" s="1803"/>
      <c r="H214" s="1829"/>
      <c r="I214" s="1829"/>
    </row>
    <row r="215" spans="1:9" ht="15" hidden="1" x14ac:dyDescent="0.25">
      <c r="A215" s="1808" t="s">
        <v>562</v>
      </c>
      <c r="D215" s="1802"/>
      <c r="E215" s="1803"/>
      <c r="H215" s="1892" t="s">
        <v>161</v>
      </c>
      <c r="I215" s="1829"/>
    </row>
    <row r="216" spans="1:9" ht="25.5" hidden="1" thickTop="1" thickBot="1" x14ac:dyDescent="0.25">
      <c r="A216" s="1809" t="s">
        <v>162</v>
      </c>
      <c r="B216" s="1810" t="s">
        <v>761</v>
      </c>
      <c r="C216" s="1810" t="s">
        <v>377</v>
      </c>
      <c r="D216" s="1811" t="s">
        <v>164</v>
      </c>
      <c r="E216" s="1833" t="s">
        <v>632</v>
      </c>
      <c r="F216" s="1833" t="s">
        <v>633</v>
      </c>
      <c r="G216" s="1834" t="s">
        <v>882</v>
      </c>
      <c r="H216" s="1835" t="s">
        <v>883</v>
      </c>
      <c r="I216" s="1829"/>
    </row>
    <row r="217" spans="1:9" ht="14.25" hidden="1" thickTop="1" thickBot="1" x14ac:dyDescent="0.25">
      <c r="A217" s="1643">
        <v>1</v>
      </c>
      <c r="B217" s="1642">
        <v>2</v>
      </c>
      <c r="C217" s="1642">
        <v>3</v>
      </c>
      <c r="D217" s="1642">
        <v>5</v>
      </c>
      <c r="E217" s="1641">
        <v>6</v>
      </c>
      <c r="F217" s="1641">
        <v>7</v>
      </c>
      <c r="G217" s="1877">
        <v>8</v>
      </c>
      <c r="H217" s="1814" t="s">
        <v>762</v>
      </c>
      <c r="I217" s="1829"/>
    </row>
    <row r="218" spans="1:9" ht="30.75" hidden="1" thickTop="1" x14ac:dyDescent="0.2">
      <c r="A218" s="1896">
        <v>3299</v>
      </c>
      <c r="B218" s="1918">
        <v>5336</v>
      </c>
      <c r="C218" s="1903">
        <v>32133006</v>
      </c>
      <c r="D218" s="1836" t="s">
        <v>1263</v>
      </c>
      <c r="E218" s="1832">
        <v>0</v>
      </c>
      <c r="F218" s="1832"/>
      <c r="G218" s="1888"/>
      <c r="H218" s="1819" t="e">
        <f>G218/F218*100</f>
        <v>#DIV/0!</v>
      </c>
      <c r="I218" s="1829"/>
    </row>
    <row r="219" spans="1:9" ht="30" hidden="1" x14ac:dyDescent="0.2">
      <c r="A219" s="1896">
        <v>3299</v>
      </c>
      <c r="B219" s="1918">
        <v>5336</v>
      </c>
      <c r="C219" s="1903">
        <v>32533006</v>
      </c>
      <c r="D219" s="1836" t="s">
        <v>1263</v>
      </c>
      <c r="E219" s="1845">
        <v>0</v>
      </c>
      <c r="F219" s="1845"/>
      <c r="G219" s="1885"/>
      <c r="H219" s="1821" t="e">
        <f>G219/F219*100</f>
        <v>#DIV/0!</v>
      </c>
      <c r="I219" s="1829"/>
    </row>
    <row r="220" spans="1:9" ht="16.5" hidden="1" thickTop="1" thickBot="1" x14ac:dyDescent="0.3">
      <c r="A220" s="1837" t="s">
        <v>763</v>
      </c>
      <c r="B220" s="1838"/>
      <c r="C220" s="1838"/>
      <c r="D220" s="1839"/>
      <c r="E220" s="1818">
        <f>SUM(E218:E219)</f>
        <v>0</v>
      </c>
      <c r="F220" s="1818">
        <f>SUM(F218:F219)</f>
        <v>0</v>
      </c>
      <c r="G220" s="1818">
        <f>SUM(G218:G219)</f>
        <v>0</v>
      </c>
      <c r="H220" s="1822" t="e">
        <f>G220/F220*100</f>
        <v>#DIV/0!</v>
      </c>
      <c r="I220" s="1829"/>
    </row>
    <row r="221" spans="1:9" hidden="1" x14ac:dyDescent="0.2">
      <c r="I221" s="1829"/>
    </row>
    <row r="222" spans="1:9" ht="15" hidden="1" x14ac:dyDescent="0.25">
      <c r="A222" s="1808" t="s">
        <v>1011</v>
      </c>
      <c r="D222" s="1802"/>
      <c r="E222" s="1803"/>
      <c r="H222" s="1829"/>
      <c r="I222" s="1829"/>
    </row>
    <row r="223" spans="1:9" ht="15" hidden="1" x14ac:dyDescent="0.25">
      <c r="A223" s="1808" t="s">
        <v>868</v>
      </c>
      <c r="D223" s="1802"/>
      <c r="E223" s="1803"/>
      <c r="H223" s="1829" t="s">
        <v>161</v>
      </c>
      <c r="I223" s="1829"/>
    </row>
    <row r="224" spans="1:9" ht="25.5" hidden="1" thickTop="1" thickBot="1" x14ac:dyDescent="0.25">
      <c r="A224" s="1809" t="s">
        <v>162</v>
      </c>
      <c r="B224" s="1810" t="s">
        <v>761</v>
      </c>
      <c r="C224" s="1810" t="s">
        <v>377</v>
      </c>
      <c r="D224" s="1811" t="s">
        <v>164</v>
      </c>
      <c r="E224" s="1833" t="s">
        <v>632</v>
      </c>
      <c r="F224" s="1833" t="s">
        <v>633</v>
      </c>
      <c r="G224" s="1834" t="s">
        <v>882</v>
      </c>
      <c r="H224" s="1835" t="s">
        <v>883</v>
      </c>
      <c r="I224" s="1829"/>
    </row>
    <row r="225" spans="1:9" ht="14.25" hidden="1" thickTop="1" thickBot="1" x14ac:dyDescent="0.25">
      <c r="A225" s="1643">
        <v>1</v>
      </c>
      <c r="B225" s="1642">
        <v>2</v>
      </c>
      <c r="C225" s="1642">
        <v>3</v>
      </c>
      <c r="D225" s="1642">
        <v>5</v>
      </c>
      <c r="E225" s="1641">
        <v>6</v>
      </c>
      <c r="F225" s="1641">
        <v>7</v>
      </c>
      <c r="G225" s="1877">
        <v>8</v>
      </c>
      <c r="H225" s="1814" t="s">
        <v>762</v>
      </c>
      <c r="I225" s="1829"/>
    </row>
    <row r="226" spans="1:9" ht="30.75" hidden="1" thickTop="1" x14ac:dyDescent="0.2">
      <c r="A226" s="1896">
        <v>3299</v>
      </c>
      <c r="B226" s="1918">
        <v>5336</v>
      </c>
      <c r="C226" s="1903">
        <v>32133006</v>
      </c>
      <c r="D226" s="1919" t="s">
        <v>1375</v>
      </c>
      <c r="E226" s="1832">
        <v>0</v>
      </c>
      <c r="F226" s="1832">
        <v>0</v>
      </c>
      <c r="G226" s="1888">
        <v>0</v>
      </c>
      <c r="H226" s="1819" t="e">
        <f>G226/F226*100</f>
        <v>#DIV/0!</v>
      </c>
      <c r="I226" s="1829"/>
    </row>
    <row r="227" spans="1:9" ht="30" hidden="1" x14ac:dyDescent="0.2">
      <c r="A227" s="1896">
        <v>3299</v>
      </c>
      <c r="B227" s="1918">
        <v>5336</v>
      </c>
      <c r="C227" s="1903">
        <v>32533006</v>
      </c>
      <c r="D227" s="1836" t="s">
        <v>1263</v>
      </c>
      <c r="E227" s="1845">
        <v>0</v>
      </c>
      <c r="F227" s="1845">
        <v>0</v>
      </c>
      <c r="G227" s="1885">
        <v>0</v>
      </c>
      <c r="H227" s="1821" t="e">
        <f>G227/F227*100</f>
        <v>#DIV/0!</v>
      </c>
      <c r="I227" s="1829"/>
    </row>
    <row r="228" spans="1:9" ht="30" hidden="1" x14ac:dyDescent="0.2">
      <c r="A228" s="1896">
        <v>3299</v>
      </c>
      <c r="B228" s="1903">
        <v>6351</v>
      </c>
      <c r="C228" s="1903">
        <v>32133006</v>
      </c>
      <c r="D228" s="1836" t="s">
        <v>1277</v>
      </c>
      <c r="E228" s="1845">
        <v>0</v>
      </c>
      <c r="F228" s="1845">
        <v>0</v>
      </c>
      <c r="G228" s="1885">
        <v>0</v>
      </c>
      <c r="H228" s="1821" t="e">
        <f>G228/F228*100</f>
        <v>#DIV/0!</v>
      </c>
      <c r="I228" s="1829"/>
    </row>
    <row r="229" spans="1:9" ht="30" hidden="1" x14ac:dyDescent="0.2">
      <c r="A229" s="1896">
        <v>3299</v>
      </c>
      <c r="B229" s="1903">
        <v>6351</v>
      </c>
      <c r="C229" s="1903">
        <v>32533006</v>
      </c>
      <c r="D229" s="1836" t="s">
        <v>1277</v>
      </c>
      <c r="E229" s="1845">
        <v>0</v>
      </c>
      <c r="F229" s="1845">
        <v>0</v>
      </c>
      <c r="G229" s="1885">
        <v>0</v>
      </c>
      <c r="H229" s="1821" t="e">
        <f>G229/F229*100</f>
        <v>#DIV/0!</v>
      </c>
      <c r="I229" s="1829"/>
    </row>
    <row r="230" spans="1:9" ht="16.5" hidden="1" thickTop="1" thickBot="1" x14ac:dyDescent="0.3">
      <c r="A230" s="1837" t="s">
        <v>763</v>
      </c>
      <c r="B230" s="1838"/>
      <c r="C230" s="1838"/>
      <c r="D230" s="1839"/>
      <c r="E230" s="1818">
        <f>SUM(E226:E229)</f>
        <v>0</v>
      </c>
      <c r="F230" s="1818">
        <f>SUM(F226:F229)</f>
        <v>0</v>
      </c>
      <c r="G230" s="1818">
        <f>SUM(G226:G229)</f>
        <v>0</v>
      </c>
      <c r="H230" s="1822" t="e">
        <f>G230/F230*100</f>
        <v>#DIV/0!</v>
      </c>
      <c r="I230" s="1829"/>
    </row>
    <row r="231" spans="1:9" hidden="1" x14ac:dyDescent="0.2">
      <c r="I231" s="1829"/>
    </row>
    <row r="232" spans="1:9" ht="15" hidden="1" x14ac:dyDescent="0.25">
      <c r="A232" s="1808" t="s">
        <v>319</v>
      </c>
      <c r="D232" s="1802"/>
      <c r="E232" s="1803"/>
      <c r="H232" s="1829"/>
      <c r="I232" s="1829"/>
    </row>
    <row r="233" spans="1:9" ht="15" hidden="1" x14ac:dyDescent="0.25">
      <c r="A233" s="1808" t="s">
        <v>563</v>
      </c>
      <c r="D233" s="1802"/>
      <c r="E233" s="1803"/>
      <c r="H233" s="1892" t="s">
        <v>161</v>
      </c>
      <c r="I233" s="1829"/>
    </row>
    <row r="234" spans="1:9" ht="25.5" hidden="1" thickTop="1" thickBot="1" x14ac:dyDescent="0.25">
      <c r="A234" s="1809" t="s">
        <v>162</v>
      </c>
      <c r="B234" s="1810" t="s">
        <v>761</v>
      </c>
      <c r="C234" s="1810" t="s">
        <v>377</v>
      </c>
      <c r="D234" s="1811" t="s">
        <v>164</v>
      </c>
      <c r="E234" s="1833" t="s">
        <v>632</v>
      </c>
      <c r="F234" s="1833" t="s">
        <v>633</v>
      </c>
      <c r="G234" s="1834" t="s">
        <v>882</v>
      </c>
      <c r="H234" s="1835" t="s">
        <v>883</v>
      </c>
      <c r="I234" s="1829"/>
    </row>
    <row r="235" spans="1:9" ht="14.25" hidden="1" thickTop="1" thickBot="1" x14ac:dyDescent="0.25">
      <c r="A235" s="1643">
        <v>1</v>
      </c>
      <c r="B235" s="1642">
        <v>2</v>
      </c>
      <c r="C235" s="1642">
        <v>3</v>
      </c>
      <c r="D235" s="1642">
        <v>5</v>
      </c>
      <c r="E235" s="1641">
        <v>6</v>
      </c>
      <c r="F235" s="1641">
        <v>7</v>
      </c>
      <c r="G235" s="1877">
        <v>8</v>
      </c>
      <c r="H235" s="1814" t="s">
        <v>762</v>
      </c>
      <c r="I235" s="1829"/>
    </row>
    <row r="236" spans="1:9" ht="30.75" hidden="1" thickTop="1" x14ac:dyDescent="0.2">
      <c r="A236" s="1896">
        <v>3299</v>
      </c>
      <c r="B236" s="1918">
        <v>5336</v>
      </c>
      <c r="C236" s="1903">
        <v>32133006</v>
      </c>
      <c r="D236" s="1836" t="s">
        <v>1263</v>
      </c>
      <c r="E236" s="1832">
        <v>0</v>
      </c>
      <c r="F236" s="1832"/>
      <c r="G236" s="1888"/>
      <c r="H236" s="1819" t="e">
        <f>G236/F236*100</f>
        <v>#DIV/0!</v>
      </c>
      <c r="I236" s="1829"/>
    </row>
    <row r="237" spans="1:9" ht="30" hidden="1" x14ac:dyDescent="0.2">
      <c r="A237" s="1896">
        <v>3299</v>
      </c>
      <c r="B237" s="1918">
        <v>5336</v>
      </c>
      <c r="C237" s="1903">
        <v>32533006</v>
      </c>
      <c r="D237" s="1836" t="s">
        <v>1263</v>
      </c>
      <c r="E237" s="1845">
        <v>0</v>
      </c>
      <c r="F237" s="1845"/>
      <c r="G237" s="1885"/>
      <c r="H237" s="1821" t="e">
        <f>G237/F237*100</f>
        <v>#DIV/0!</v>
      </c>
      <c r="I237" s="1829"/>
    </row>
    <row r="238" spans="1:9" ht="30" hidden="1" x14ac:dyDescent="0.2">
      <c r="A238" s="1896">
        <v>3299</v>
      </c>
      <c r="B238" s="1903">
        <v>6351</v>
      </c>
      <c r="C238" s="1903">
        <v>32133006</v>
      </c>
      <c r="D238" s="1836" t="s">
        <v>1277</v>
      </c>
      <c r="E238" s="1845">
        <v>0</v>
      </c>
      <c r="F238" s="1845">
        <v>0</v>
      </c>
      <c r="G238" s="1885">
        <v>0</v>
      </c>
      <c r="H238" s="1821" t="e">
        <f>G238/F238*100</f>
        <v>#DIV/0!</v>
      </c>
      <c r="I238" s="1829"/>
    </row>
    <row r="239" spans="1:9" ht="30" hidden="1" x14ac:dyDescent="0.2">
      <c r="A239" s="1896">
        <v>3299</v>
      </c>
      <c r="B239" s="1903">
        <v>6351</v>
      </c>
      <c r="C239" s="1903">
        <v>32533006</v>
      </c>
      <c r="D239" s="1836" t="s">
        <v>1277</v>
      </c>
      <c r="E239" s="1845">
        <v>0</v>
      </c>
      <c r="F239" s="1845">
        <v>0</v>
      </c>
      <c r="G239" s="1885">
        <v>0</v>
      </c>
      <c r="H239" s="1821" t="e">
        <f>G239/F239*100</f>
        <v>#DIV/0!</v>
      </c>
      <c r="I239" s="1829"/>
    </row>
    <row r="240" spans="1:9" ht="16.5" hidden="1" thickTop="1" thickBot="1" x14ac:dyDescent="0.3">
      <c r="A240" s="1837" t="s">
        <v>763</v>
      </c>
      <c r="B240" s="1838"/>
      <c r="C240" s="1838"/>
      <c r="D240" s="1839"/>
      <c r="E240" s="1818">
        <f>SUM(E236:E239)</f>
        <v>0</v>
      </c>
      <c r="F240" s="1818">
        <f>SUM(F236:F239)</f>
        <v>0</v>
      </c>
      <c r="G240" s="1818">
        <f>SUM(G236:G239)</f>
        <v>0</v>
      </c>
      <c r="H240" s="1822" t="e">
        <f>G240/F240*100</f>
        <v>#DIV/0!</v>
      </c>
      <c r="I240" s="1829"/>
    </row>
    <row r="241" spans="1:9" hidden="1" x14ac:dyDescent="0.2">
      <c r="I241" s="1829"/>
    </row>
    <row r="242" spans="1:9" ht="15" hidden="1" x14ac:dyDescent="0.25">
      <c r="A242" s="1808" t="s">
        <v>564</v>
      </c>
      <c r="D242" s="1802"/>
      <c r="E242" s="1803"/>
      <c r="H242" s="1829"/>
      <c r="I242" s="1829"/>
    </row>
    <row r="243" spans="1:9" ht="15" hidden="1" x14ac:dyDescent="0.25">
      <c r="A243" s="1808" t="s">
        <v>565</v>
      </c>
      <c r="D243" s="1802"/>
      <c r="E243" s="1803"/>
      <c r="H243" s="1829" t="s">
        <v>161</v>
      </c>
      <c r="I243" s="1829"/>
    </row>
    <row r="244" spans="1:9" ht="25.5" hidden="1" thickTop="1" thickBot="1" x14ac:dyDescent="0.25">
      <c r="A244" s="1809" t="s">
        <v>162</v>
      </c>
      <c r="B244" s="1810" t="s">
        <v>761</v>
      </c>
      <c r="C244" s="1810" t="s">
        <v>377</v>
      </c>
      <c r="D244" s="1811" t="s">
        <v>164</v>
      </c>
      <c r="E244" s="1833" t="s">
        <v>632</v>
      </c>
      <c r="F244" s="1833" t="s">
        <v>633</v>
      </c>
      <c r="G244" s="1834" t="s">
        <v>882</v>
      </c>
      <c r="H244" s="1835" t="s">
        <v>883</v>
      </c>
      <c r="I244" s="1829"/>
    </row>
    <row r="245" spans="1:9" ht="14.25" hidden="1" thickTop="1" thickBot="1" x14ac:dyDescent="0.25">
      <c r="A245" s="1643">
        <v>1</v>
      </c>
      <c r="B245" s="1642">
        <v>2</v>
      </c>
      <c r="C245" s="1642">
        <v>3</v>
      </c>
      <c r="D245" s="1642">
        <v>5</v>
      </c>
      <c r="E245" s="1641">
        <v>6</v>
      </c>
      <c r="F245" s="1641">
        <v>7</v>
      </c>
      <c r="G245" s="1877">
        <v>8</v>
      </c>
      <c r="H245" s="1814" t="s">
        <v>762</v>
      </c>
      <c r="I245" s="1829"/>
    </row>
    <row r="246" spans="1:9" ht="30.75" hidden="1" thickTop="1" x14ac:dyDescent="0.2">
      <c r="A246" s="1896">
        <v>3299</v>
      </c>
      <c r="B246" s="1918">
        <v>5336</v>
      </c>
      <c r="C246" s="1903">
        <v>32133006</v>
      </c>
      <c r="D246" s="1919" t="s">
        <v>1375</v>
      </c>
      <c r="E246" s="1832">
        <v>0</v>
      </c>
      <c r="F246" s="1832">
        <v>0</v>
      </c>
      <c r="G246" s="1888">
        <v>0</v>
      </c>
      <c r="H246" s="1819" t="e">
        <f>G246/F246*100</f>
        <v>#DIV/0!</v>
      </c>
      <c r="I246" s="1829"/>
    </row>
    <row r="247" spans="1:9" ht="30" hidden="1" x14ac:dyDescent="0.2">
      <c r="A247" s="1896">
        <v>3299</v>
      </c>
      <c r="B247" s="1918">
        <v>5336</v>
      </c>
      <c r="C247" s="1903">
        <v>32533006</v>
      </c>
      <c r="D247" s="1836" t="s">
        <v>1263</v>
      </c>
      <c r="E247" s="1845">
        <v>0</v>
      </c>
      <c r="F247" s="1845">
        <v>0</v>
      </c>
      <c r="G247" s="1885">
        <v>0</v>
      </c>
      <c r="H247" s="1821" t="e">
        <f>G247/F247*100</f>
        <v>#DIV/0!</v>
      </c>
      <c r="I247" s="1829"/>
    </row>
    <row r="248" spans="1:9" ht="30" hidden="1" x14ac:dyDescent="0.2">
      <c r="A248" s="1896">
        <v>3299</v>
      </c>
      <c r="B248" s="1903">
        <v>6351</v>
      </c>
      <c r="C248" s="1903">
        <v>32133006</v>
      </c>
      <c r="D248" s="1836" t="s">
        <v>1277</v>
      </c>
      <c r="E248" s="1845">
        <v>0</v>
      </c>
      <c r="F248" s="1845">
        <v>0</v>
      </c>
      <c r="G248" s="1885">
        <v>0</v>
      </c>
      <c r="H248" s="1821" t="e">
        <f>G248/F248*100</f>
        <v>#DIV/0!</v>
      </c>
      <c r="I248" s="1829"/>
    </row>
    <row r="249" spans="1:9" ht="30" hidden="1" x14ac:dyDescent="0.2">
      <c r="A249" s="1896">
        <v>3299</v>
      </c>
      <c r="B249" s="1903">
        <v>6351</v>
      </c>
      <c r="C249" s="1903">
        <v>32533006</v>
      </c>
      <c r="D249" s="1836" t="s">
        <v>1277</v>
      </c>
      <c r="E249" s="1845">
        <v>0</v>
      </c>
      <c r="F249" s="1845">
        <v>0</v>
      </c>
      <c r="G249" s="1885">
        <v>0</v>
      </c>
      <c r="H249" s="1821" t="e">
        <f>G249/F249*100</f>
        <v>#DIV/0!</v>
      </c>
      <c r="I249" s="1829"/>
    </row>
    <row r="250" spans="1:9" ht="16.5" hidden="1" thickTop="1" thickBot="1" x14ac:dyDescent="0.3">
      <c r="A250" s="1837" t="s">
        <v>763</v>
      </c>
      <c r="B250" s="1838"/>
      <c r="C250" s="1838"/>
      <c r="D250" s="1839"/>
      <c r="E250" s="1818">
        <f>SUM(E246:E249)</f>
        <v>0</v>
      </c>
      <c r="F250" s="1818">
        <f>SUM(F246:F249)</f>
        <v>0</v>
      </c>
      <c r="G250" s="1818">
        <f>SUM(G246:G249)</f>
        <v>0</v>
      </c>
      <c r="H250" s="1822" t="e">
        <f>G250/F250*100</f>
        <v>#DIV/0!</v>
      </c>
      <c r="I250" s="1829"/>
    </row>
    <row r="251" spans="1:9" hidden="1" x14ac:dyDescent="0.2">
      <c r="I251" s="1829"/>
    </row>
    <row r="252" spans="1:9" ht="15" hidden="1" x14ac:dyDescent="0.25">
      <c r="A252" s="1808" t="s">
        <v>1619</v>
      </c>
      <c r="D252" s="1802"/>
      <c r="E252" s="1803"/>
      <c r="H252" s="1829"/>
      <c r="I252" s="1829"/>
    </row>
    <row r="253" spans="1:9" ht="15" hidden="1" x14ac:dyDescent="0.25">
      <c r="A253" s="1808" t="s">
        <v>869</v>
      </c>
      <c r="D253" s="1802"/>
      <c r="E253" s="1803"/>
      <c r="H253" s="1892" t="s">
        <v>161</v>
      </c>
      <c r="I253" s="1829"/>
    </row>
    <row r="254" spans="1:9" ht="25.5" hidden="1" thickTop="1" thickBot="1" x14ac:dyDescent="0.25">
      <c r="A254" s="1809" t="s">
        <v>162</v>
      </c>
      <c r="B254" s="1810" t="s">
        <v>761</v>
      </c>
      <c r="C254" s="1810" t="s">
        <v>377</v>
      </c>
      <c r="D254" s="1811" t="s">
        <v>164</v>
      </c>
      <c r="E254" s="1833" t="s">
        <v>632</v>
      </c>
      <c r="F254" s="1833" t="s">
        <v>633</v>
      </c>
      <c r="G254" s="1834" t="s">
        <v>882</v>
      </c>
      <c r="H254" s="1835" t="s">
        <v>883</v>
      </c>
      <c r="I254" s="1829"/>
    </row>
    <row r="255" spans="1:9" ht="14.25" hidden="1" thickTop="1" thickBot="1" x14ac:dyDescent="0.25">
      <c r="A255" s="1643">
        <v>1</v>
      </c>
      <c r="B255" s="1642">
        <v>2</v>
      </c>
      <c r="C255" s="1642">
        <v>3</v>
      </c>
      <c r="D255" s="1642">
        <v>5</v>
      </c>
      <c r="E255" s="1641">
        <v>6</v>
      </c>
      <c r="F255" s="1641">
        <v>7</v>
      </c>
      <c r="G255" s="1877">
        <v>8</v>
      </c>
      <c r="H255" s="1814" t="s">
        <v>762</v>
      </c>
      <c r="I255" s="1829"/>
    </row>
    <row r="256" spans="1:9" ht="30.75" hidden="1" thickTop="1" x14ac:dyDescent="0.2">
      <c r="A256" s="1896">
        <v>3299</v>
      </c>
      <c r="B256" s="1918">
        <v>5336</v>
      </c>
      <c r="C256" s="1903">
        <v>32133006</v>
      </c>
      <c r="D256" s="1836" t="s">
        <v>1263</v>
      </c>
      <c r="E256" s="1832">
        <v>0</v>
      </c>
      <c r="F256" s="1832"/>
      <c r="G256" s="1888"/>
      <c r="H256" s="1819" t="e">
        <f>G256/F256*100</f>
        <v>#DIV/0!</v>
      </c>
      <c r="I256" s="1829"/>
    </row>
    <row r="257" spans="1:9" ht="30" hidden="1" x14ac:dyDescent="0.2">
      <c r="A257" s="1896">
        <v>3299</v>
      </c>
      <c r="B257" s="1918">
        <v>5336</v>
      </c>
      <c r="C257" s="1903">
        <v>32533006</v>
      </c>
      <c r="D257" s="1836" t="s">
        <v>1263</v>
      </c>
      <c r="E257" s="1845">
        <v>0</v>
      </c>
      <c r="F257" s="1845"/>
      <c r="G257" s="1885"/>
      <c r="H257" s="1821" t="e">
        <f>G257/F257*100</f>
        <v>#DIV/0!</v>
      </c>
      <c r="I257" s="1829"/>
    </row>
    <row r="258" spans="1:9" ht="16.5" hidden="1" thickTop="1" thickBot="1" x14ac:dyDescent="0.3">
      <c r="A258" s="1837" t="s">
        <v>763</v>
      </c>
      <c r="B258" s="1838"/>
      <c r="C258" s="1838"/>
      <c r="D258" s="1839"/>
      <c r="E258" s="1818">
        <f>SUM(E256:E257)</f>
        <v>0</v>
      </c>
      <c r="F258" s="1818">
        <f>SUM(F256:F257)</f>
        <v>0</v>
      </c>
      <c r="G258" s="1818">
        <f>SUM(G256:G257)</f>
        <v>0</v>
      </c>
      <c r="H258" s="1822" t="e">
        <f>G258/F258*100</f>
        <v>#DIV/0!</v>
      </c>
      <c r="I258" s="1829"/>
    </row>
    <row r="259" spans="1:9" hidden="1" x14ac:dyDescent="0.2">
      <c r="I259" s="1829"/>
    </row>
    <row r="260" spans="1:9" ht="15" hidden="1" x14ac:dyDescent="0.25">
      <c r="A260" s="1808" t="s">
        <v>965</v>
      </c>
      <c r="D260" s="1802"/>
      <c r="E260" s="1803"/>
      <c r="H260" s="1829"/>
      <c r="I260" s="1829"/>
    </row>
    <row r="261" spans="1:9" ht="15" hidden="1" x14ac:dyDescent="0.25">
      <c r="A261" s="1808" t="s">
        <v>966</v>
      </c>
      <c r="D261" s="1802"/>
      <c r="E261" s="1803"/>
      <c r="H261" s="1892" t="s">
        <v>161</v>
      </c>
      <c r="I261" s="1829"/>
    </row>
    <row r="262" spans="1:9" ht="25.5" hidden="1" thickTop="1" thickBot="1" x14ac:dyDescent="0.25">
      <c r="A262" s="1809" t="s">
        <v>162</v>
      </c>
      <c r="B262" s="1810" t="s">
        <v>761</v>
      </c>
      <c r="C262" s="1810" t="s">
        <v>377</v>
      </c>
      <c r="D262" s="1811" t="s">
        <v>164</v>
      </c>
      <c r="E262" s="1833" t="s">
        <v>632</v>
      </c>
      <c r="F262" s="1833" t="s">
        <v>633</v>
      </c>
      <c r="G262" s="1834" t="s">
        <v>882</v>
      </c>
      <c r="H262" s="1835" t="s">
        <v>883</v>
      </c>
      <c r="I262" s="1829"/>
    </row>
    <row r="263" spans="1:9" ht="14.25" hidden="1" thickTop="1" thickBot="1" x14ac:dyDescent="0.25">
      <c r="A263" s="1643">
        <v>1</v>
      </c>
      <c r="B263" s="1642">
        <v>2</v>
      </c>
      <c r="C263" s="1642">
        <v>3</v>
      </c>
      <c r="D263" s="1642">
        <v>5</v>
      </c>
      <c r="E263" s="1641">
        <v>6</v>
      </c>
      <c r="F263" s="1641">
        <v>7</v>
      </c>
      <c r="G263" s="1877">
        <v>8</v>
      </c>
      <c r="H263" s="1814" t="s">
        <v>762</v>
      </c>
      <c r="I263" s="1829"/>
    </row>
    <row r="264" spans="1:9" ht="45.75" hidden="1" thickTop="1" x14ac:dyDescent="0.2">
      <c r="A264" s="1896">
        <v>3299</v>
      </c>
      <c r="B264" s="1903">
        <v>5213</v>
      </c>
      <c r="C264" s="1903">
        <v>32133006</v>
      </c>
      <c r="D264" s="1920" t="s">
        <v>1261</v>
      </c>
      <c r="E264" s="1832">
        <v>0</v>
      </c>
      <c r="F264" s="1832"/>
      <c r="G264" s="1888"/>
      <c r="H264" s="1819" t="e">
        <f>G264/F264*100</f>
        <v>#DIV/0!</v>
      </c>
      <c r="I264" s="1829"/>
    </row>
    <row r="265" spans="1:9" ht="45" hidden="1" x14ac:dyDescent="0.2">
      <c r="A265" s="1896">
        <v>3299</v>
      </c>
      <c r="B265" s="1903">
        <v>5213</v>
      </c>
      <c r="C265" s="1903">
        <v>32533006</v>
      </c>
      <c r="D265" s="1919" t="s">
        <v>1261</v>
      </c>
      <c r="E265" s="1845">
        <v>0</v>
      </c>
      <c r="F265" s="1845"/>
      <c r="G265" s="1885"/>
      <c r="H265" s="1821" t="e">
        <f>G265/F265*100</f>
        <v>#DIV/0!</v>
      </c>
      <c r="I265" s="1829"/>
    </row>
    <row r="266" spans="1:9" ht="16.5" hidden="1" thickTop="1" thickBot="1" x14ac:dyDescent="0.3">
      <c r="A266" s="1837" t="s">
        <v>763</v>
      </c>
      <c r="B266" s="1838"/>
      <c r="C266" s="1838"/>
      <c r="D266" s="1839"/>
      <c r="E266" s="1818">
        <f>SUM(E264:E265)</f>
        <v>0</v>
      </c>
      <c r="F266" s="1818">
        <f>SUM(F264:F265)</f>
        <v>0</v>
      </c>
      <c r="G266" s="1818">
        <f>SUM(G264:G265)</f>
        <v>0</v>
      </c>
      <c r="H266" s="1822" t="e">
        <f>G266/F266*100</f>
        <v>#DIV/0!</v>
      </c>
      <c r="I266" s="1829"/>
    </row>
    <row r="267" spans="1:9" hidden="1" x14ac:dyDescent="0.2">
      <c r="I267" s="1829"/>
    </row>
    <row r="268" spans="1:9" ht="15" hidden="1" x14ac:dyDescent="0.25">
      <c r="A268" s="1808" t="s">
        <v>1620</v>
      </c>
      <c r="D268" s="1802"/>
      <c r="E268" s="1803"/>
      <c r="H268" s="1829"/>
      <c r="I268" s="1829"/>
    </row>
    <row r="269" spans="1:9" ht="15" hidden="1" x14ac:dyDescent="0.25">
      <c r="A269" s="1808" t="s">
        <v>86</v>
      </c>
      <c r="D269" s="1802"/>
      <c r="E269" s="1803"/>
      <c r="H269" s="1892" t="s">
        <v>161</v>
      </c>
      <c r="I269" s="1829"/>
    </row>
    <row r="270" spans="1:9" ht="25.5" hidden="1" thickTop="1" thickBot="1" x14ac:dyDescent="0.25">
      <c r="A270" s="1809" t="s">
        <v>162</v>
      </c>
      <c r="B270" s="1810" t="s">
        <v>761</v>
      </c>
      <c r="C270" s="1810" t="s">
        <v>377</v>
      </c>
      <c r="D270" s="1811" t="s">
        <v>164</v>
      </c>
      <c r="E270" s="1833" t="s">
        <v>632</v>
      </c>
      <c r="F270" s="1833" t="s">
        <v>633</v>
      </c>
      <c r="G270" s="1834" t="s">
        <v>882</v>
      </c>
      <c r="H270" s="1835" t="s">
        <v>883</v>
      </c>
      <c r="I270" s="1829"/>
    </row>
    <row r="271" spans="1:9" ht="14.25" hidden="1" thickTop="1" thickBot="1" x14ac:dyDescent="0.25">
      <c r="A271" s="1643">
        <v>1</v>
      </c>
      <c r="B271" s="1642">
        <v>2</v>
      </c>
      <c r="C271" s="1642">
        <v>3</v>
      </c>
      <c r="D271" s="1642">
        <v>5</v>
      </c>
      <c r="E271" s="1641">
        <v>6</v>
      </c>
      <c r="F271" s="1641">
        <v>7</v>
      </c>
      <c r="G271" s="1877">
        <v>8</v>
      </c>
      <c r="H271" s="1814" t="s">
        <v>762</v>
      </c>
      <c r="I271" s="1829"/>
    </row>
    <row r="272" spans="1:9" ht="45.75" hidden="1" thickTop="1" x14ac:dyDescent="0.2">
      <c r="A272" s="1843">
        <v>3299</v>
      </c>
      <c r="B272" s="1844">
        <v>5213</v>
      </c>
      <c r="C272" s="1844">
        <v>32133006</v>
      </c>
      <c r="D272" s="1855" t="s">
        <v>1261</v>
      </c>
      <c r="E272" s="1832">
        <v>0</v>
      </c>
      <c r="F272" s="1832"/>
      <c r="G272" s="1888"/>
      <c r="H272" s="1819" t="e">
        <f>G272/F272*100</f>
        <v>#DIV/0!</v>
      </c>
      <c r="I272" s="1829"/>
    </row>
    <row r="273" spans="1:9" ht="45" hidden="1" x14ac:dyDescent="0.2">
      <c r="A273" s="1896">
        <v>3299</v>
      </c>
      <c r="B273" s="1903">
        <v>5213</v>
      </c>
      <c r="C273" s="1903">
        <v>32533006</v>
      </c>
      <c r="D273" s="1836" t="s">
        <v>1261</v>
      </c>
      <c r="E273" s="1845">
        <v>0</v>
      </c>
      <c r="F273" s="1845"/>
      <c r="G273" s="1885"/>
      <c r="H273" s="1821" t="e">
        <f>G273/F273*100</f>
        <v>#DIV/0!</v>
      </c>
      <c r="I273" s="1829"/>
    </row>
    <row r="274" spans="1:9" ht="45" hidden="1" x14ac:dyDescent="0.2">
      <c r="A274" s="1896">
        <v>3299</v>
      </c>
      <c r="B274" s="1903">
        <v>6313</v>
      </c>
      <c r="C274" s="1903">
        <v>32133006</v>
      </c>
      <c r="D274" s="1836" t="s">
        <v>87</v>
      </c>
      <c r="E274" s="1845">
        <v>0</v>
      </c>
      <c r="F274" s="1845">
        <v>0</v>
      </c>
      <c r="G274" s="1885">
        <v>0</v>
      </c>
      <c r="H274" s="1821" t="e">
        <f>G274/F274*100</f>
        <v>#DIV/0!</v>
      </c>
      <c r="I274" s="1829"/>
    </row>
    <row r="275" spans="1:9" ht="45" hidden="1" x14ac:dyDescent="0.2">
      <c r="A275" s="1896">
        <v>3299</v>
      </c>
      <c r="B275" s="1903">
        <v>6313</v>
      </c>
      <c r="C275" s="1903">
        <v>32533006</v>
      </c>
      <c r="D275" s="1836" t="s">
        <v>87</v>
      </c>
      <c r="E275" s="1845">
        <v>0</v>
      </c>
      <c r="F275" s="1845">
        <v>0</v>
      </c>
      <c r="G275" s="1885">
        <v>0</v>
      </c>
      <c r="H275" s="1821" t="e">
        <f>G275/F275*100</f>
        <v>#DIV/0!</v>
      </c>
      <c r="I275" s="1829"/>
    </row>
    <row r="276" spans="1:9" ht="16.5" hidden="1" thickTop="1" thickBot="1" x14ac:dyDescent="0.3">
      <c r="A276" s="1837" t="s">
        <v>763</v>
      </c>
      <c r="B276" s="1838"/>
      <c r="C276" s="1838"/>
      <c r="D276" s="1839"/>
      <c r="E276" s="1818">
        <f>SUM(E272:E275)</f>
        <v>0</v>
      </c>
      <c r="F276" s="1818">
        <f>SUM(F272:F275)</f>
        <v>0</v>
      </c>
      <c r="G276" s="1818">
        <f>SUM(G272:G275)</f>
        <v>0</v>
      </c>
      <c r="H276" s="1822" t="e">
        <f>G276/F276*100</f>
        <v>#DIV/0!</v>
      </c>
      <c r="I276" s="1829"/>
    </row>
    <row r="277" spans="1:9" hidden="1" x14ac:dyDescent="0.2">
      <c r="I277" s="1829"/>
    </row>
    <row r="278" spans="1:9" ht="15" hidden="1" x14ac:dyDescent="0.25">
      <c r="A278" s="1808" t="s">
        <v>939</v>
      </c>
      <c r="D278" s="1802"/>
      <c r="E278" s="1803"/>
      <c r="H278" s="1829"/>
      <c r="I278" s="1829"/>
    </row>
    <row r="279" spans="1:9" ht="15" hidden="1" x14ac:dyDescent="0.25">
      <c r="A279" s="1808" t="s">
        <v>967</v>
      </c>
      <c r="D279" s="1802"/>
      <c r="E279" s="1803"/>
      <c r="H279" s="1892" t="s">
        <v>161</v>
      </c>
      <c r="I279" s="1829"/>
    </row>
    <row r="280" spans="1:9" ht="25.5" hidden="1" thickTop="1" thickBot="1" x14ac:dyDescent="0.25">
      <c r="A280" s="1809" t="s">
        <v>162</v>
      </c>
      <c r="B280" s="1810" t="s">
        <v>761</v>
      </c>
      <c r="C280" s="1810" t="s">
        <v>377</v>
      </c>
      <c r="D280" s="1811" t="s">
        <v>164</v>
      </c>
      <c r="E280" s="1833" t="s">
        <v>632</v>
      </c>
      <c r="F280" s="1833" t="s">
        <v>633</v>
      </c>
      <c r="G280" s="1834" t="s">
        <v>882</v>
      </c>
      <c r="H280" s="1835" t="s">
        <v>883</v>
      </c>
      <c r="I280" s="1829"/>
    </row>
    <row r="281" spans="1:9" ht="14.25" hidden="1" thickTop="1" thickBot="1" x14ac:dyDescent="0.25">
      <c r="A281" s="1643">
        <v>1</v>
      </c>
      <c r="B281" s="1642">
        <v>2</v>
      </c>
      <c r="C281" s="1642">
        <v>3</v>
      </c>
      <c r="D281" s="1642">
        <v>5</v>
      </c>
      <c r="E281" s="1641">
        <v>6</v>
      </c>
      <c r="F281" s="1641">
        <v>7</v>
      </c>
      <c r="G281" s="1877">
        <v>8</v>
      </c>
      <c r="H281" s="1814" t="s">
        <v>762</v>
      </c>
      <c r="I281" s="1829"/>
    </row>
    <row r="282" spans="1:9" ht="45.75" hidden="1" thickTop="1" x14ac:dyDescent="0.2">
      <c r="A282" s="1896">
        <v>3299</v>
      </c>
      <c r="B282" s="1903">
        <v>5213</v>
      </c>
      <c r="C282" s="1903">
        <v>32133006</v>
      </c>
      <c r="D282" s="1920" t="s">
        <v>1261</v>
      </c>
      <c r="E282" s="1832">
        <v>0</v>
      </c>
      <c r="F282" s="1832"/>
      <c r="G282" s="1888"/>
      <c r="H282" s="1819" t="e">
        <f>G282/F282*100</f>
        <v>#DIV/0!</v>
      </c>
      <c r="I282" s="1829"/>
    </row>
    <row r="283" spans="1:9" ht="45.75" hidden="1" thickBot="1" x14ac:dyDescent="0.25">
      <c r="A283" s="1896">
        <v>3299</v>
      </c>
      <c r="B283" s="1903">
        <v>5213</v>
      </c>
      <c r="C283" s="1903">
        <v>32533006</v>
      </c>
      <c r="D283" s="1921" t="s">
        <v>1261</v>
      </c>
      <c r="E283" s="1845">
        <v>0</v>
      </c>
      <c r="F283" s="1845"/>
      <c r="G283" s="1885"/>
      <c r="H283" s="1821" t="e">
        <f>G283/F283*100</f>
        <v>#DIV/0!</v>
      </c>
      <c r="I283" s="1829"/>
    </row>
    <row r="284" spans="1:9" ht="16.5" hidden="1" thickTop="1" thickBot="1" x14ac:dyDescent="0.3">
      <c r="A284" s="1837" t="s">
        <v>763</v>
      </c>
      <c r="B284" s="1838"/>
      <c r="C284" s="1838"/>
      <c r="D284" s="1839"/>
      <c r="E284" s="1818">
        <f>SUM(E282:E283)</f>
        <v>0</v>
      </c>
      <c r="F284" s="1818">
        <f>SUM(F282:F283)</f>
        <v>0</v>
      </c>
      <c r="G284" s="1818">
        <f>SUM(G282:G283)</f>
        <v>0</v>
      </c>
      <c r="H284" s="1822" t="e">
        <f>G284/F284*100</f>
        <v>#DIV/0!</v>
      </c>
      <c r="I284" s="1829"/>
    </row>
    <row r="285" spans="1:9" hidden="1" x14ac:dyDescent="0.2">
      <c r="I285" s="1829"/>
    </row>
    <row r="286" spans="1:9" ht="15" hidden="1" x14ac:dyDescent="0.25">
      <c r="A286" s="1808" t="s">
        <v>1621</v>
      </c>
      <c r="D286" s="1802"/>
      <c r="E286" s="1803"/>
      <c r="H286" s="1829"/>
      <c r="I286" s="1829"/>
    </row>
    <row r="287" spans="1:9" ht="15" hidden="1" x14ac:dyDescent="0.25">
      <c r="A287" s="1808" t="s">
        <v>968</v>
      </c>
      <c r="D287" s="1802"/>
      <c r="E287" s="1803"/>
      <c r="H287" s="1892" t="s">
        <v>161</v>
      </c>
      <c r="I287" s="1829"/>
    </row>
    <row r="288" spans="1:9" ht="25.5" hidden="1" thickTop="1" thickBot="1" x14ac:dyDescent="0.25">
      <c r="A288" s="1809" t="s">
        <v>162</v>
      </c>
      <c r="B288" s="1810" t="s">
        <v>761</v>
      </c>
      <c r="C288" s="1810" t="s">
        <v>377</v>
      </c>
      <c r="D288" s="1811" t="s">
        <v>164</v>
      </c>
      <c r="E288" s="1833" t="s">
        <v>632</v>
      </c>
      <c r="F288" s="1833" t="s">
        <v>633</v>
      </c>
      <c r="G288" s="1834" t="s">
        <v>882</v>
      </c>
      <c r="H288" s="1835" t="s">
        <v>883</v>
      </c>
      <c r="I288" s="1829"/>
    </row>
    <row r="289" spans="1:9" ht="14.25" hidden="1" thickTop="1" thickBot="1" x14ac:dyDescent="0.25">
      <c r="A289" s="1643">
        <v>1</v>
      </c>
      <c r="B289" s="1642">
        <v>2</v>
      </c>
      <c r="C289" s="1642">
        <v>3</v>
      </c>
      <c r="D289" s="1642">
        <v>5</v>
      </c>
      <c r="E289" s="1641">
        <v>6</v>
      </c>
      <c r="F289" s="1641">
        <v>7</v>
      </c>
      <c r="G289" s="1877">
        <v>8</v>
      </c>
      <c r="H289" s="1814" t="s">
        <v>762</v>
      </c>
      <c r="I289" s="1829"/>
    </row>
    <row r="290" spans="1:9" ht="30.75" hidden="1" thickTop="1" x14ac:dyDescent="0.2">
      <c r="A290" s="1896">
        <v>3299</v>
      </c>
      <c r="B290" s="1903">
        <v>5229</v>
      </c>
      <c r="C290" s="1903">
        <v>32133006</v>
      </c>
      <c r="D290" s="1836" t="s">
        <v>969</v>
      </c>
      <c r="E290" s="1832">
        <v>0</v>
      </c>
      <c r="F290" s="1832"/>
      <c r="G290" s="1888"/>
      <c r="H290" s="1819" t="e">
        <f>G290/F290*100</f>
        <v>#DIV/0!</v>
      </c>
      <c r="I290" s="1829"/>
    </row>
    <row r="291" spans="1:9" ht="30" hidden="1" x14ac:dyDescent="0.2">
      <c r="A291" s="1896">
        <v>3299</v>
      </c>
      <c r="B291" s="1903">
        <v>5229</v>
      </c>
      <c r="C291" s="1903">
        <v>32533006</v>
      </c>
      <c r="D291" s="1836" t="s">
        <v>969</v>
      </c>
      <c r="E291" s="1845">
        <v>0</v>
      </c>
      <c r="F291" s="1845"/>
      <c r="G291" s="1885"/>
      <c r="H291" s="1821" t="e">
        <f>G291/F291*100</f>
        <v>#DIV/0!</v>
      </c>
      <c r="I291" s="1829"/>
    </row>
    <row r="292" spans="1:9" ht="16.5" hidden="1" thickTop="1" thickBot="1" x14ac:dyDescent="0.3">
      <c r="A292" s="1837" t="s">
        <v>763</v>
      </c>
      <c r="B292" s="1838"/>
      <c r="C292" s="1838"/>
      <c r="D292" s="1839"/>
      <c r="E292" s="1818">
        <f>SUM(E290:E291)</f>
        <v>0</v>
      </c>
      <c r="F292" s="1818">
        <f>SUM(F290:F291)</f>
        <v>0</v>
      </c>
      <c r="G292" s="1818">
        <f>SUM(G290:G291)</f>
        <v>0</v>
      </c>
      <c r="H292" s="1822" t="e">
        <f>G292/F292*100</f>
        <v>#DIV/0!</v>
      </c>
      <c r="I292" s="1829"/>
    </row>
    <row r="293" spans="1:9" hidden="1" x14ac:dyDescent="0.2">
      <c r="I293" s="1829"/>
    </row>
    <row r="294" spans="1:9" ht="15" hidden="1" x14ac:dyDescent="0.25">
      <c r="A294" s="1808" t="s">
        <v>88</v>
      </c>
      <c r="D294" s="1802"/>
      <c r="E294" s="1803"/>
      <c r="H294" s="1829"/>
      <c r="I294" s="1829"/>
    </row>
    <row r="295" spans="1:9" ht="15" hidden="1" x14ac:dyDescent="0.25">
      <c r="A295" s="1808" t="s">
        <v>227</v>
      </c>
      <c r="D295" s="1802"/>
      <c r="E295" s="1803"/>
      <c r="H295" s="1892" t="s">
        <v>161</v>
      </c>
      <c r="I295" s="1829"/>
    </row>
    <row r="296" spans="1:9" ht="25.5" hidden="1" thickTop="1" thickBot="1" x14ac:dyDescent="0.25">
      <c r="A296" s="1809" t="s">
        <v>162</v>
      </c>
      <c r="B296" s="1810" t="s">
        <v>761</v>
      </c>
      <c r="C296" s="1810" t="s">
        <v>377</v>
      </c>
      <c r="D296" s="1811" t="s">
        <v>164</v>
      </c>
      <c r="E296" s="1833" t="s">
        <v>632</v>
      </c>
      <c r="F296" s="1833" t="s">
        <v>633</v>
      </c>
      <c r="G296" s="1834" t="s">
        <v>882</v>
      </c>
      <c r="H296" s="1835" t="s">
        <v>883</v>
      </c>
      <c r="I296" s="1829"/>
    </row>
    <row r="297" spans="1:9" ht="14.25" hidden="1" thickTop="1" thickBot="1" x14ac:dyDescent="0.25">
      <c r="A297" s="1643">
        <v>1</v>
      </c>
      <c r="B297" s="1642">
        <v>2</v>
      </c>
      <c r="C297" s="1642">
        <v>3</v>
      </c>
      <c r="D297" s="1642">
        <v>5</v>
      </c>
      <c r="E297" s="1641">
        <v>6</v>
      </c>
      <c r="F297" s="1641">
        <v>7</v>
      </c>
      <c r="G297" s="1877">
        <v>8</v>
      </c>
      <c r="H297" s="1814" t="s">
        <v>762</v>
      </c>
      <c r="I297" s="1829"/>
    </row>
    <row r="298" spans="1:9" ht="15.75" hidden="1" thickTop="1" x14ac:dyDescent="0.25">
      <c r="A298" s="1815">
        <v>3299</v>
      </c>
      <c r="B298" s="1816">
        <v>5321</v>
      </c>
      <c r="C298" s="1816">
        <v>32133006</v>
      </c>
      <c r="D298" s="1886" t="s">
        <v>1201</v>
      </c>
      <c r="E298" s="1832">
        <v>0</v>
      </c>
      <c r="F298" s="1832"/>
      <c r="G298" s="1888"/>
      <c r="H298" s="1819" t="e">
        <f>G298/F298*100</f>
        <v>#DIV/0!</v>
      </c>
      <c r="I298" s="1829"/>
    </row>
    <row r="299" spans="1:9" ht="15" hidden="1" x14ac:dyDescent="0.25">
      <c r="A299" s="1815">
        <v>3299</v>
      </c>
      <c r="B299" s="1816">
        <v>5321</v>
      </c>
      <c r="C299" s="1816">
        <v>32533006</v>
      </c>
      <c r="D299" s="1886" t="s">
        <v>1201</v>
      </c>
      <c r="E299" s="1845">
        <v>0</v>
      </c>
      <c r="F299" s="1845"/>
      <c r="G299" s="1885"/>
      <c r="H299" s="1821" t="e">
        <f>G299/F299*100</f>
        <v>#DIV/0!</v>
      </c>
      <c r="I299" s="1829"/>
    </row>
    <row r="300" spans="1:9" ht="15" hidden="1" x14ac:dyDescent="0.25">
      <c r="A300" s="1815">
        <v>3299</v>
      </c>
      <c r="B300" s="1816">
        <v>6341</v>
      </c>
      <c r="C300" s="1816">
        <v>32133006</v>
      </c>
      <c r="D300" s="1886" t="s">
        <v>248</v>
      </c>
      <c r="E300" s="1845">
        <v>0</v>
      </c>
      <c r="F300" s="1845">
        <v>0</v>
      </c>
      <c r="G300" s="1885">
        <v>0</v>
      </c>
      <c r="H300" s="1821" t="e">
        <f>G300/F300*100</f>
        <v>#DIV/0!</v>
      </c>
      <c r="I300" s="1829"/>
    </row>
    <row r="301" spans="1:9" ht="15" hidden="1" x14ac:dyDescent="0.25">
      <c r="A301" s="1815">
        <v>3299</v>
      </c>
      <c r="B301" s="1816">
        <v>6341</v>
      </c>
      <c r="C301" s="1816">
        <v>32533006</v>
      </c>
      <c r="D301" s="1886" t="s">
        <v>248</v>
      </c>
      <c r="E301" s="1845">
        <v>0</v>
      </c>
      <c r="F301" s="1845">
        <v>0</v>
      </c>
      <c r="G301" s="1885">
        <v>0</v>
      </c>
      <c r="H301" s="1821" t="e">
        <f>G301/F301*100</f>
        <v>#DIV/0!</v>
      </c>
      <c r="I301" s="1829"/>
    </row>
    <row r="302" spans="1:9" ht="16.5" hidden="1" thickTop="1" thickBot="1" x14ac:dyDescent="0.3">
      <c r="A302" s="1837" t="s">
        <v>763</v>
      </c>
      <c r="B302" s="1838"/>
      <c r="C302" s="1838"/>
      <c r="D302" s="1839"/>
      <c r="E302" s="1818">
        <f>SUM(E298:E301)</f>
        <v>0</v>
      </c>
      <c r="F302" s="1818">
        <f>SUM(F298:F301)</f>
        <v>0</v>
      </c>
      <c r="G302" s="1818">
        <f>SUM(G298:G301)</f>
        <v>0</v>
      </c>
      <c r="H302" s="1822" t="e">
        <f>G302/F302*100</f>
        <v>#DIV/0!</v>
      </c>
      <c r="I302" s="1829"/>
    </row>
    <row r="303" spans="1:9" hidden="1" x14ac:dyDescent="0.2">
      <c r="I303" s="1829"/>
    </row>
    <row r="304" spans="1:9" ht="15" hidden="1" x14ac:dyDescent="0.25">
      <c r="A304" s="1808" t="s">
        <v>970</v>
      </c>
      <c r="D304" s="1802"/>
      <c r="E304" s="1803"/>
      <c r="H304" s="1829"/>
      <c r="I304" s="1829"/>
    </row>
    <row r="305" spans="1:9" ht="15" hidden="1" x14ac:dyDescent="0.25">
      <c r="A305" s="1808" t="s">
        <v>971</v>
      </c>
      <c r="D305" s="1802"/>
      <c r="E305" s="1803"/>
      <c r="H305" s="1892" t="s">
        <v>161</v>
      </c>
      <c r="I305" s="1829"/>
    </row>
    <row r="306" spans="1:9" ht="25.5" hidden="1" thickTop="1" thickBot="1" x14ac:dyDescent="0.25">
      <c r="A306" s="1809" t="s">
        <v>162</v>
      </c>
      <c r="B306" s="1810" t="s">
        <v>761</v>
      </c>
      <c r="C306" s="1810" t="s">
        <v>377</v>
      </c>
      <c r="D306" s="1811" t="s">
        <v>164</v>
      </c>
      <c r="E306" s="1833" t="s">
        <v>632</v>
      </c>
      <c r="F306" s="1833" t="s">
        <v>633</v>
      </c>
      <c r="G306" s="1834" t="s">
        <v>882</v>
      </c>
      <c r="H306" s="1835" t="s">
        <v>883</v>
      </c>
      <c r="I306" s="1829"/>
    </row>
    <row r="307" spans="1:9" ht="14.25" hidden="1" thickTop="1" thickBot="1" x14ac:dyDescent="0.25">
      <c r="A307" s="1643">
        <v>1</v>
      </c>
      <c r="B307" s="1642">
        <v>2</v>
      </c>
      <c r="C307" s="1642">
        <v>3</v>
      </c>
      <c r="D307" s="1642">
        <v>5</v>
      </c>
      <c r="E307" s="1641">
        <v>6</v>
      </c>
      <c r="F307" s="1641">
        <v>7</v>
      </c>
      <c r="G307" s="1877">
        <v>8</v>
      </c>
      <c r="H307" s="1814" t="s">
        <v>762</v>
      </c>
      <c r="I307" s="1829"/>
    </row>
    <row r="308" spans="1:9" ht="15.75" hidden="1" thickTop="1" x14ac:dyDescent="0.25">
      <c r="A308" s="1815">
        <v>3299</v>
      </c>
      <c r="B308" s="1816">
        <v>5321</v>
      </c>
      <c r="C308" s="1816">
        <v>32133006</v>
      </c>
      <c r="D308" s="1886" t="s">
        <v>1201</v>
      </c>
      <c r="E308" s="1832">
        <v>0</v>
      </c>
      <c r="F308" s="1832"/>
      <c r="G308" s="1888"/>
      <c r="H308" s="1819" t="e">
        <f>G308/F308*100</f>
        <v>#DIV/0!</v>
      </c>
      <c r="I308" s="1829"/>
    </row>
    <row r="309" spans="1:9" ht="15" hidden="1" x14ac:dyDescent="0.25">
      <c r="A309" s="1815">
        <v>3299</v>
      </c>
      <c r="B309" s="1816">
        <v>5321</v>
      </c>
      <c r="C309" s="1816">
        <v>32533006</v>
      </c>
      <c r="D309" s="1886" t="s">
        <v>1201</v>
      </c>
      <c r="E309" s="1845">
        <v>0</v>
      </c>
      <c r="F309" s="1845"/>
      <c r="G309" s="1885"/>
      <c r="H309" s="1821" t="e">
        <f>G309/F309*100</f>
        <v>#DIV/0!</v>
      </c>
      <c r="I309" s="1829"/>
    </row>
    <row r="310" spans="1:9" ht="15" hidden="1" x14ac:dyDescent="0.25">
      <c r="A310" s="1815">
        <v>3299</v>
      </c>
      <c r="B310" s="1816">
        <v>6341</v>
      </c>
      <c r="C310" s="1816">
        <v>32133006</v>
      </c>
      <c r="D310" s="1886" t="s">
        <v>248</v>
      </c>
      <c r="E310" s="1845">
        <v>0</v>
      </c>
      <c r="F310" s="1845">
        <v>0</v>
      </c>
      <c r="G310" s="1885">
        <v>0</v>
      </c>
      <c r="H310" s="1821" t="e">
        <f>G310/F310*100</f>
        <v>#DIV/0!</v>
      </c>
      <c r="I310" s="1829"/>
    </row>
    <row r="311" spans="1:9" ht="15" hidden="1" x14ac:dyDescent="0.25">
      <c r="A311" s="1815">
        <v>3299</v>
      </c>
      <c r="B311" s="1816">
        <v>6341</v>
      </c>
      <c r="C311" s="1816">
        <v>32533006</v>
      </c>
      <c r="D311" s="1886" t="s">
        <v>248</v>
      </c>
      <c r="E311" s="1845">
        <v>0</v>
      </c>
      <c r="F311" s="1845">
        <v>0</v>
      </c>
      <c r="G311" s="1885">
        <v>0</v>
      </c>
      <c r="H311" s="1821" t="e">
        <f>G311/F311*100</f>
        <v>#DIV/0!</v>
      </c>
      <c r="I311" s="1829"/>
    </row>
    <row r="312" spans="1:9" ht="16.5" hidden="1" thickTop="1" thickBot="1" x14ac:dyDescent="0.3">
      <c r="A312" s="1837" t="s">
        <v>763</v>
      </c>
      <c r="B312" s="1838"/>
      <c r="C312" s="1838"/>
      <c r="D312" s="1839"/>
      <c r="E312" s="1818">
        <f>SUM(E308:E311)</f>
        <v>0</v>
      </c>
      <c r="F312" s="1818">
        <f>SUM(F308:F311)</f>
        <v>0</v>
      </c>
      <c r="G312" s="1818">
        <f>SUM(G308:G311)</f>
        <v>0</v>
      </c>
      <c r="H312" s="1822" t="e">
        <f>G312/F312*100</f>
        <v>#DIV/0!</v>
      </c>
      <c r="I312" s="1829"/>
    </row>
    <row r="313" spans="1:9" hidden="1" x14ac:dyDescent="0.2">
      <c r="I313" s="1829"/>
    </row>
    <row r="314" spans="1:9" ht="15" hidden="1" x14ac:dyDescent="0.25">
      <c r="A314" s="1808" t="s">
        <v>228</v>
      </c>
      <c r="D314" s="1802"/>
      <c r="E314" s="1803"/>
      <c r="H314" s="1829"/>
      <c r="I314" s="1829"/>
    </row>
    <row r="315" spans="1:9" ht="15" hidden="1" x14ac:dyDescent="0.25">
      <c r="A315" s="1808" t="s">
        <v>229</v>
      </c>
      <c r="D315" s="1802"/>
      <c r="E315" s="1803"/>
      <c r="H315" s="1892" t="s">
        <v>161</v>
      </c>
      <c r="I315" s="1829"/>
    </row>
    <row r="316" spans="1:9" ht="25.5" hidden="1" thickTop="1" thickBot="1" x14ac:dyDescent="0.25">
      <c r="A316" s="1809" t="s">
        <v>162</v>
      </c>
      <c r="B316" s="1810" t="s">
        <v>761</v>
      </c>
      <c r="C316" s="1810" t="s">
        <v>377</v>
      </c>
      <c r="D316" s="1811" t="s">
        <v>164</v>
      </c>
      <c r="E316" s="1833" t="s">
        <v>632</v>
      </c>
      <c r="F316" s="1833" t="s">
        <v>633</v>
      </c>
      <c r="G316" s="1834" t="s">
        <v>882</v>
      </c>
      <c r="H316" s="1835" t="s">
        <v>883</v>
      </c>
      <c r="I316" s="1829"/>
    </row>
    <row r="317" spans="1:9" ht="14.25" hidden="1" thickTop="1" thickBot="1" x14ac:dyDescent="0.25">
      <c r="A317" s="1643">
        <v>1</v>
      </c>
      <c r="B317" s="1642">
        <v>2</v>
      </c>
      <c r="C317" s="1642">
        <v>3</v>
      </c>
      <c r="D317" s="1642">
        <v>5</v>
      </c>
      <c r="E317" s="1641">
        <v>6</v>
      </c>
      <c r="F317" s="1641">
        <v>7</v>
      </c>
      <c r="G317" s="1877">
        <v>8</v>
      </c>
      <c r="H317" s="1814" t="s">
        <v>762</v>
      </c>
      <c r="I317" s="1829"/>
    </row>
    <row r="318" spans="1:9" ht="15.75" hidden="1" thickTop="1" x14ac:dyDescent="0.25">
      <c r="A318" s="1815">
        <v>3299</v>
      </c>
      <c r="B318" s="1816">
        <v>5321</v>
      </c>
      <c r="C318" s="1816">
        <v>32133006</v>
      </c>
      <c r="D318" s="1886" t="s">
        <v>1201</v>
      </c>
      <c r="E318" s="1832">
        <v>0</v>
      </c>
      <c r="F318" s="1832"/>
      <c r="G318" s="1888"/>
      <c r="H318" s="1819" t="e">
        <f>G318/F318*100</f>
        <v>#DIV/0!</v>
      </c>
      <c r="I318" s="1829"/>
    </row>
    <row r="319" spans="1:9" ht="15" hidden="1" x14ac:dyDescent="0.25">
      <c r="A319" s="1815">
        <v>3299</v>
      </c>
      <c r="B319" s="1816">
        <v>5321</v>
      </c>
      <c r="C319" s="1816">
        <v>32533006</v>
      </c>
      <c r="D319" s="1886" t="s">
        <v>1201</v>
      </c>
      <c r="E319" s="1845">
        <v>0</v>
      </c>
      <c r="F319" s="1845"/>
      <c r="G319" s="1885"/>
      <c r="H319" s="1821" t="e">
        <f>G319/F319*100</f>
        <v>#DIV/0!</v>
      </c>
      <c r="I319" s="1829"/>
    </row>
    <row r="320" spans="1:9" ht="16.5" hidden="1" thickTop="1" thickBot="1" x14ac:dyDescent="0.3">
      <c r="A320" s="1837" t="s">
        <v>763</v>
      </c>
      <c r="B320" s="1838"/>
      <c r="C320" s="1838"/>
      <c r="D320" s="1839"/>
      <c r="E320" s="1818">
        <f>SUM(E318:E319)</f>
        <v>0</v>
      </c>
      <c r="F320" s="1818">
        <f>SUM(F318:F319)</f>
        <v>0</v>
      </c>
      <c r="G320" s="1818">
        <f>SUM(G318:G319)</f>
        <v>0</v>
      </c>
      <c r="H320" s="1822" t="e">
        <f>G320/F320*100</f>
        <v>#DIV/0!</v>
      </c>
      <c r="I320" s="1829"/>
    </row>
    <row r="321" spans="1:9" hidden="1" x14ac:dyDescent="0.2">
      <c r="I321" s="1829"/>
    </row>
    <row r="322" spans="1:9" ht="15" hidden="1" x14ac:dyDescent="0.25">
      <c r="A322" s="1808" t="s">
        <v>972</v>
      </c>
      <c r="D322" s="1802"/>
      <c r="E322" s="1803"/>
      <c r="H322" s="1829"/>
      <c r="I322" s="1829"/>
    </row>
    <row r="323" spans="1:9" ht="15" hidden="1" x14ac:dyDescent="0.25">
      <c r="A323" s="1808" t="s">
        <v>973</v>
      </c>
      <c r="D323" s="1802"/>
      <c r="E323" s="1803"/>
      <c r="H323" s="1892" t="s">
        <v>161</v>
      </c>
      <c r="I323" s="1829"/>
    </row>
    <row r="324" spans="1:9" ht="25.5" hidden="1" thickTop="1" thickBot="1" x14ac:dyDescent="0.25">
      <c r="A324" s="1809" t="s">
        <v>162</v>
      </c>
      <c r="B324" s="1810" t="s">
        <v>761</v>
      </c>
      <c r="C324" s="1810" t="s">
        <v>377</v>
      </c>
      <c r="D324" s="1811" t="s">
        <v>164</v>
      </c>
      <c r="E324" s="1833" t="s">
        <v>632</v>
      </c>
      <c r="F324" s="1833" t="s">
        <v>633</v>
      </c>
      <c r="G324" s="1834" t="s">
        <v>882</v>
      </c>
      <c r="H324" s="1835" t="s">
        <v>883</v>
      </c>
      <c r="I324" s="1829"/>
    </row>
    <row r="325" spans="1:9" ht="14.25" hidden="1" thickTop="1" thickBot="1" x14ac:dyDescent="0.25">
      <c r="A325" s="1643">
        <v>1</v>
      </c>
      <c r="B325" s="1642">
        <v>2</v>
      </c>
      <c r="C325" s="1642">
        <v>3</v>
      </c>
      <c r="D325" s="1642">
        <v>5</v>
      </c>
      <c r="E325" s="1641">
        <v>6</v>
      </c>
      <c r="F325" s="1641">
        <v>7</v>
      </c>
      <c r="G325" s="1877">
        <v>8</v>
      </c>
      <c r="H325" s="1814" t="s">
        <v>762</v>
      </c>
      <c r="I325" s="1829"/>
    </row>
    <row r="326" spans="1:9" ht="15.75" hidden="1" thickTop="1" x14ac:dyDescent="0.25">
      <c r="A326" s="1815">
        <v>3299</v>
      </c>
      <c r="B326" s="1816">
        <v>5321</v>
      </c>
      <c r="C326" s="1816">
        <v>32133006</v>
      </c>
      <c r="D326" s="1886" t="s">
        <v>1201</v>
      </c>
      <c r="E326" s="1832">
        <v>0</v>
      </c>
      <c r="F326" s="1832"/>
      <c r="G326" s="1888"/>
      <c r="H326" s="1819" t="e">
        <f>G326/F326*100</f>
        <v>#DIV/0!</v>
      </c>
      <c r="I326" s="1829"/>
    </row>
    <row r="327" spans="1:9" ht="15" hidden="1" x14ac:dyDescent="0.25">
      <c r="A327" s="1815">
        <v>3299</v>
      </c>
      <c r="B327" s="1816">
        <v>5321</v>
      </c>
      <c r="C327" s="1816">
        <v>32533006</v>
      </c>
      <c r="D327" s="1886" t="s">
        <v>1201</v>
      </c>
      <c r="E327" s="1845">
        <v>0</v>
      </c>
      <c r="F327" s="1845"/>
      <c r="G327" s="1885"/>
      <c r="H327" s="1821" t="e">
        <f>G327/F327*100</f>
        <v>#DIV/0!</v>
      </c>
      <c r="I327" s="1829"/>
    </row>
    <row r="328" spans="1:9" ht="15" hidden="1" x14ac:dyDescent="0.25">
      <c r="A328" s="1815">
        <v>3299</v>
      </c>
      <c r="B328" s="1816">
        <v>6341</v>
      </c>
      <c r="C328" s="1816">
        <v>32133006</v>
      </c>
      <c r="D328" s="1886" t="s">
        <v>248</v>
      </c>
      <c r="E328" s="1845">
        <v>0</v>
      </c>
      <c r="F328" s="1845">
        <v>0</v>
      </c>
      <c r="G328" s="1885">
        <v>0</v>
      </c>
      <c r="H328" s="1821" t="e">
        <f>G328/F328*100</f>
        <v>#DIV/0!</v>
      </c>
      <c r="I328" s="1829"/>
    </row>
    <row r="329" spans="1:9" ht="15" hidden="1" x14ac:dyDescent="0.25">
      <c r="A329" s="1815">
        <v>3299</v>
      </c>
      <c r="B329" s="1816">
        <v>6341</v>
      </c>
      <c r="C329" s="1816">
        <v>32533006</v>
      </c>
      <c r="D329" s="1886" t="s">
        <v>248</v>
      </c>
      <c r="E329" s="1845">
        <v>0</v>
      </c>
      <c r="F329" s="1845">
        <v>0</v>
      </c>
      <c r="G329" s="1885">
        <v>0</v>
      </c>
      <c r="H329" s="1821" t="e">
        <f>G329/F329*100</f>
        <v>#DIV/0!</v>
      </c>
      <c r="I329" s="1829"/>
    </row>
    <row r="330" spans="1:9" ht="16.5" hidden="1" thickTop="1" thickBot="1" x14ac:dyDescent="0.3">
      <c r="A330" s="1837" t="s">
        <v>763</v>
      </c>
      <c r="B330" s="1838"/>
      <c r="C330" s="1838"/>
      <c r="D330" s="1839"/>
      <c r="E330" s="1818">
        <f>SUM(E326:E329)</f>
        <v>0</v>
      </c>
      <c r="F330" s="1818">
        <f>SUM(F326:F329)</f>
        <v>0</v>
      </c>
      <c r="G330" s="1818">
        <f>SUM(G326:G329)</f>
        <v>0</v>
      </c>
      <c r="H330" s="1822" t="e">
        <f>G330/F330*100</f>
        <v>#DIV/0!</v>
      </c>
      <c r="I330" s="1829"/>
    </row>
    <row r="331" spans="1:9" hidden="1" x14ac:dyDescent="0.2">
      <c r="I331" s="1829"/>
    </row>
    <row r="332" spans="1:9" ht="15" hidden="1" x14ac:dyDescent="0.25">
      <c r="A332" s="1808" t="s">
        <v>974</v>
      </c>
      <c r="D332" s="1802"/>
      <c r="E332" s="1803"/>
      <c r="H332" s="1829"/>
      <c r="I332" s="1829"/>
    </row>
    <row r="333" spans="1:9" ht="15" hidden="1" x14ac:dyDescent="0.25">
      <c r="A333" s="1808" t="s">
        <v>975</v>
      </c>
      <c r="D333" s="1802"/>
      <c r="E333" s="1803"/>
      <c r="H333" s="1892" t="s">
        <v>161</v>
      </c>
      <c r="I333" s="1829"/>
    </row>
    <row r="334" spans="1:9" ht="25.5" hidden="1" thickTop="1" thickBot="1" x14ac:dyDescent="0.25">
      <c r="A334" s="1809" t="s">
        <v>162</v>
      </c>
      <c r="B334" s="1810" t="s">
        <v>761</v>
      </c>
      <c r="C334" s="1810" t="s">
        <v>377</v>
      </c>
      <c r="D334" s="1811" t="s">
        <v>164</v>
      </c>
      <c r="E334" s="1833" t="s">
        <v>632</v>
      </c>
      <c r="F334" s="1833" t="s">
        <v>633</v>
      </c>
      <c r="G334" s="1834" t="s">
        <v>882</v>
      </c>
      <c r="H334" s="1835" t="s">
        <v>883</v>
      </c>
      <c r="I334" s="1829"/>
    </row>
    <row r="335" spans="1:9" ht="14.25" hidden="1" thickTop="1" thickBot="1" x14ac:dyDescent="0.25">
      <c r="A335" s="1643">
        <v>1</v>
      </c>
      <c r="B335" s="1642">
        <v>2</v>
      </c>
      <c r="C335" s="1642">
        <v>3</v>
      </c>
      <c r="D335" s="1642">
        <v>5</v>
      </c>
      <c r="E335" s="1641">
        <v>6</v>
      </c>
      <c r="F335" s="1641">
        <v>7</v>
      </c>
      <c r="G335" s="1877">
        <v>8</v>
      </c>
      <c r="H335" s="1814" t="s">
        <v>762</v>
      </c>
      <c r="I335" s="1829"/>
    </row>
    <row r="336" spans="1:9" ht="30.75" hidden="1" thickTop="1" x14ac:dyDescent="0.25">
      <c r="A336" s="1896">
        <v>3299</v>
      </c>
      <c r="B336" s="1903">
        <v>5329</v>
      </c>
      <c r="C336" s="1903">
        <v>32133006</v>
      </c>
      <c r="D336" s="1922" t="s">
        <v>976</v>
      </c>
      <c r="E336" s="1832">
        <v>0</v>
      </c>
      <c r="F336" s="1832"/>
      <c r="G336" s="1888"/>
      <c r="H336" s="1819" t="e">
        <f>G336/F336*100</f>
        <v>#DIV/0!</v>
      </c>
      <c r="I336" s="1829"/>
    </row>
    <row r="337" spans="1:9" ht="30" hidden="1" x14ac:dyDescent="0.25">
      <c r="A337" s="1896">
        <v>3299</v>
      </c>
      <c r="B337" s="1903">
        <v>5329</v>
      </c>
      <c r="C337" s="1903">
        <v>32533006</v>
      </c>
      <c r="D337" s="1922" t="s">
        <v>976</v>
      </c>
      <c r="E337" s="1845">
        <v>0</v>
      </c>
      <c r="F337" s="1845"/>
      <c r="G337" s="1885"/>
      <c r="H337" s="1821" t="e">
        <f>G337/F337*100</f>
        <v>#DIV/0!</v>
      </c>
      <c r="I337" s="1829"/>
    </row>
    <row r="338" spans="1:9" ht="30" hidden="1" x14ac:dyDescent="0.25">
      <c r="A338" s="1896">
        <v>3299</v>
      </c>
      <c r="B338" s="1903">
        <v>6329</v>
      </c>
      <c r="C338" s="1903">
        <v>32133006</v>
      </c>
      <c r="D338" s="1922" t="s">
        <v>977</v>
      </c>
      <c r="E338" s="1845">
        <v>0</v>
      </c>
      <c r="F338" s="1845">
        <v>0</v>
      </c>
      <c r="G338" s="1885">
        <v>0</v>
      </c>
      <c r="H338" s="1821" t="e">
        <f>G338/F338*100</f>
        <v>#DIV/0!</v>
      </c>
      <c r="I338" s="1829"/>
    </row>
    <row r="339" spans="1:9" ht="30" hidden="1" x14ac:dyDescent="0.25">
      <c r="A339" s="1896">
        <v>3299</v>
      </c>
      <c r="B339" s="1903">
        <v>6329</v>
      </c>
      <c r="C339" s="1903">
        <v>32533006</v>
      </c>
      <c r="D339" s="1922" t="s">
        <v>977</v>
      </c>
      <c r="E339" s="1845"/>
      <c r="F339" s="1845">
        <v>0</v>
      </c>
      <c r="G339" s="1885">
        <v>0</v>
      </c>
      <c r="H339" s="1821" t="e">
        <f>G339/F339*100</f>
        <v>#DIV/0!</v>
      </c>
      <c r="I339" s="1829"/>
    </row>
    <row r="340" spans="1:9" ht="30" hidden="1" x14ac:dyDescent="0.25">
      <c r="A340" s="1896">
        <v>3299</v>
      </c>
      <c r="B340" s="1903">
        <v>6349</v>
      </c>
      <c r="C340" s="1903">
        <v>32133006</v>
      </c>
      <c r="D340" s="1922" t="s">
        <v>978</v>
      </c>
      <c r="E340" s="1845">
        <v>0</v>
      </c>
      <c r="F340" s="1845">
        <v>0</v>
      </c>
      <c r="G340" s="1885">
        <v>0</v>
      </c>
      <c r="H340" s="1821">
        <v>0</v>
      </c>
      <c r="I340" s="1829"/>
    </row>
    <row r="341" spans="1:9" ht="30" hidden="1" x14ac:dyDescent="0.25">
      <c r="A341" s="1896">
        <v>3299</v>
      </c>
      <c r="B341" s="1903">
        <v>6349</v>
      </c>
      <c r="C341" s="1903">
        <v>32533006</v>
      </c>
      <c r="D341" s="1922" t="s">
        <v>978</v>
      </c>
      <c r="E341" s="1845">
        <v>0</v>
      </c>
      <c r="F341" s="1845">
        <v>0</v>
      </c>
      <c r="G341" s="1885">
        <v>0</v>
      </c>
      <c r="H341" s="1821">
        <v>0</v>
      </c>
      <c r="I341" s="1829"/>
    </row>
    <row r="342" spans="1:9" ht="16.5" hidden="1" thickTop="1" thickBot="1" x14ac:dyDescent="0.3">
      <c r="A342" s="1837" t="s">
        <v>763</v>
      </c>
      <c r="B342" s="1838"/>
      <c r="C342" s="1838"/>
      <c r="D342" s="1839"/>
      <c r="E342" s="1818">
        <f>SUM(E336:E341)</f>
        <v>0</v>
      </c>
      <c r="F342" s="1818">
        <f>SUM(F336:F341)</f>
        <v>0</v>
      </c>
      <c r="G342" s="1818">
        <f>SUM(G336:G341)</f>
        <v>0</v>
      </c>
      <c r="H342" s="1822" t="e">
        <f>G342/F342*100</f>
        <v>#DIV/0!</v>
      </c>
      <c r="I342" s="1829"/>
    </row>
    <row r="343" spans="1:9" ht="15" hidden="1" x14ac:dyDescent="0.25">
      <c r="A343" s="1848"/>
      <c r="B343" s="1848"/>
      <c r="C343" s="1848"/>
      <c r="D343" s="1848"/>
      <c r="E343" s="1824"/>
      <c r="F343" s="1824"/>
      <c r="G343" s="1824"/>
      <c r="H343" s="1849"/>
      <c r="I343" s="1829"/>
    </row>
    <row r="344" spans="1:9" ht="15" hidden="1" x14ac:dyDescent="0.25">
      <c r="A344" s="1808" t="s">
        <v>230</v>
      </c>
      <c r="D344" s="1802"/>
      <c r="E344" s="1803"/>
      <c r="H344" s="1829"/>
      <c r="I344" s="1829"/>
    </row>
    <row r="345" spans="1:9" ht="15" hidden="1" x14ac:dyDescent="0.25">
      <c r="A345" s="1808" t="s">
        <v>231</v>
      </c>
      <c r="D345" s="1802"/>
      <c r="E345" s="1803"/>
      <c r="H345" s="1892" t="s">
        <v>161</v>
      </c>
      <c r="I345" s="1829"/>
    </row>
    <row r="346" spans="1:9" ht="25.5" hidden="1" thickTop="1" thickBot="1" x14ac:dyDescent="0.25">
      <c r="A346" s="1809" t="s">
        <v>162</v>
      </c>
      <c r="B346" s="1810" t="s">
        <v>761</v>
      </c>
      <c r="C346" s="1810" t="s">
        <v>377</v>
      </c>
      <c r="D346" s="1811" t="s">
        <v>164</v>
      </c>
      <c r="E346" s="1833" t="s">
        <v>632</v>
      </c>
      <c r="F346" s="1833" t="s">
        <v>633</v>
      </c>
      <c r="G346" s="1834" t="s">
        <v>882</v>
      </c>
      <c r="H346" s="1835" t="s">
        <v>883</v>
      </c>
      <c r="I346" s="1829"/>
    </row>
    <row r="347" spans="1:9" ht="14.25" hidden="1" thickTop="1" thickBot="1" x14ac:dyDescent="0.25">
      <c r="A347" s="1643">
        <v>1</v>
      </c>
      <c r="B347" s="1642">
        <v>2</v>
      </c>
      <c r="C347" s="1642">
        <v>3</v>
      </c>
      <c r="D347" s="1642">
        <v>5</v>
      </c>
      <c r="E347" s="1641">
        <v>6</v>
      </c>
      <c r="F347" s="1641">
        <v>7</v>
      </c>
      <c r="G347" s="1877">
        <v>8</v>
      </c>
      <c r="H347" s="1814" t="s">
        <v>762</v>
      </c>
      <c r="I347" s="1829"/>
    </row>
    <row r="348" spans="1:9" ht="15.75" hidden="1" thickTop="1" x14ac:dyDescent="0.25">
      <c r="A348" s="1815">
        <v>3299</v>
      </c>
      <c r="B348" s="1816">
        <v>5321</v>
      </c>
      <c r="C348" s="1816">
        <v>32133006</v>
      </c>
      <c r="D348" s="1886" t="s">
        <v>1201</v>
      </c>
      <c r="E348" s="1832">
        <v>0</v>
      </c>
      <c r="F348" s="1832"/>
      <c r="G348" s="1888"/>
      <c r="H348" s="1819" t="e">
        <f>G348/F348*100</f>
        <v>#DIV/0!</v>
      </c>
      <c r="I348" s="1829"/>
    </row>
    <row r="349" spans="1:9" ht="15" hidden="1" x14ac:dyDescent="0.25">
      <c r="A349" s="1815">
        <v>3299</v>
      </c>
      <c r="B349" s="1816">
        <v>5321</v>
      </c>
      <c r="C349" s="1816">
        <v>32533006</v>
      </c>
      <c r="D349" s="1886" t="s">
        <v>1201</v>
      </c>
      <c r="E349" s="1845">
        <v>0</v>
      </c>
      <c r="F349" s="1845"/>
      <c r="G349" s="1885"/>
      <c r="H349" s="1821" t="e">
        <f>G349/F349*100</f>
        <v>#DIV/0!</v>
      </c>
      <c r="I349" s="1829"/>
    </row>
    <row r="350" spans="1:9" ht="15" hidden="1" x14ac:dyDescent="0.25">
      <c r="A350" s="1815">
        <v>3299</v>
      </c>
      <c r="B350" s="1816">
        <v>6341</v>
      </c>
      <c r="C350" s="1816">
        <v>32133006</v>
      </c>
      <c r="D350" s="1886" t="s">
        <v>248</v>
      </c>
      <c r="E350" s="1845">
        <v>0</v>
      </c>
      <c r="F350" s="1845">
        <v>0</v>
      </c>
      <c r="G350" s="1885">
        <v>0</v>
      </c>
      <c r="H350" s="1821" t="e">
        <f>G350/F350*100</f>
        <v>#DIV/0!</v>
      </c>
      <c r="I350" s="1829"/>
    </row>
    <row r="351" spans="1:9" ht="15" hidden="1" x14ac:dyDescent="0.25">
      <c r="A351" s="1815">
        <v>3299</v>
      </c>
      <c r="B351" s="1816">
        <v>6341</v>
      </c>
      <c r="C351" s="1816">
        <v>32533006</v>
      </c>
      <c r="D351" s="1886" t="s">
        <v>248</v>
      </c>
      <c r="E351" s="1845">
        <v>0</v>
      </c>
      <c r="F351" s="1845">
        <v>0</v>
      </c>
      <c r="G351" s="1885">
        <v>0</v>
      </c>
      <c r="H351" s="1821" t="e">
        <f>G351/F351*100</f>
        <v>#DIV/0!</v>
      </c>
      <c r="I351" s="1829"/>
    </row>
    <row r="352" spans="1:9" ht="16.5" hidden="1" thickTop="1" thickBot="1" x14ac:dyDescent="0.3">
      <c r="A352" s="1837" t="s">
        <v>763</v>
      </c>
      <c r="B352" s="1838"/>
      <c r="C352" s="1838"/>
      <c r="D352" s="1839"/>
      <c r="E352" s="1818">
        <f>SUM(E348:E351)</f>
        <v>0</v>
      </c>
      <c r="F352" s="1818">
        <f>SUM(F348:F351)</f>
        <v>0</v>
      </c>
      <c r="G352" s="1818">
        <f>SUM(G348:G351)</f>
        <v>0</v>
      </c>
      <c r="H352" s="1822" t="e">
        <f>G352/F352*100</f>
        <v>#DIV/0!</v>
      </c>
      <c r="I352" s="1829"/>
    </row>
    <row r="353" spans="1:9" ht="15" hidden="1" x14ac:dyDescent="0.25">
      <c r="A353" s="1848"/>
      <c r="B353" s="1848"/>
      <c r="C353" s="1848"/>
      <c r="D353" s="1848"/>
      <c r="E353" s="1824"/>
      <c r="F353" s="1824"/>
      <c r="G353" s="1824"/>
      <c r="H353" s="1849"/>
      <c r="I353" s="1829"/>
    </row>
    <row r="354" spans="1:9" ht="15" hidden="1" x14ac:dyDescent="0.25">
      <c r="A354" s="1808" t="s">
        <v>979</v>
      </c>
      <c r="D354" s="1802"/>
      <c r="E354" s="1803"/>
      <c r="H354" s="1829"/>
      <c r="I354" s="1829"/>
    </row>
    <row r="355" spans="1:9" ht="15" hidden="1" x14ac:dyDescent="0.25">
      <c r="A355" s="1808" t="s">
        <v>980</v>
      </c>
      <c r="D355" s="1802"/>
      <c r="E355" s="1803"/>
      <c r="H355" s="1892" t="s">
        <v>161</v>
      </c>
      <c r="I355" s="1829"/>
    </row>
    <row r="356" spans="1:9" ht="25.5" hidden="1" thickTop="1" thickBot="1" x14ac:dyDescent="0.25">
      <c r="A356" s="1809" t="s">
        <v>162</v>
      </c>
      <c r="B356" s="1810" t="s">
        <v>761</v>
      </c>
      <c r="C356" s="1810" t="s">
        <v>377</v>
      </c>
      <c r="D356" s="1811" t="s">
        <v>164</v>
      </c>
      <c r="E356" s="1833" t="s">
        <v>632</v>
      </c>
      <c r="F356" s="1833" t="s">
        <v>633</v>
      </c>
      <c r="G356" s="1834" t="s">
        <v>882</v>
      </c>
      <c r="H356" s="1835" t="s">
        <v>883</v>
      </c>
      <c r="I356" s="1829"/>
    </row>
    <row r="357" spans="1:9" ht="14.25" hidden="1" thickTop="1" thickBot="1" x14ac:dyDescent="0.25">
      <c r="A357" s="1643">
        <v>1</v>
      </c>
      <c r="B357" s="1642">
        <v>2</v>
      </c>
      <c r="C357" s="1642">
        <v>3</v>
      </c>
      <c r="D357" s="1642">
        <v>5</v>
      </c>
      <c r="E357" s="1641">
        <v>6</v>
      </c>
      <c r="F357" s="1641">
        <v>7</v>
      </c>
      <c r="G357" s="1877">
        <v>8</v>
      </c>
      <c r="H357" s="1814" t="s">
        <v>762</v>
      </c>
      <c r="I357" s="1829"/>
    </row>
    <row r="358" spans="1:9" ht="15.75" hidden="1" thickTop="1" x14ac:dyDescent="0.25">
      <c r="A358" s="1815">
        <v>3299</v>
      </c>
      <c r="B358" s="1816">
        <v>5321</v>
      </c>
      <c r="C358" s="1816">
        <v>32133006</v>
      </c>
      <c r="D358" s="1886" t="s">
        <v>1201</v>
      </c>
      <c r="E358" s="1832">
        <v>0</v>
      </c>
      <c r="F358" s="1832"/>
      <c r="G358" s="1888"/>
      <c r="H358" s="1819" t="e">
        <f>G358/F358*100</f>
        <v>#DIV/0!</v>
      </c>
      <c r="I358" s="1829"/>
    </row>
    <row r="359" spans="1:9" ht="15" hidden="1" x14ac:dyDescent="0.25">
      <c r="A359" s="1815">
        <v>3299</v>
      </c>
      <c r="B359" s="1816">
        <v>5321</v>
      </c>
      <c r="C359" s="1816">
        <v>32533006</v>
      </c>
      <c r="D359" s="1886" t="s">
        <v>1201</v>
      </c>
      <c r="E359" s="1845">
        <v>0</v>
      </c>
      <c r="F359" s="1845"/>
      <c r="G359" s="1885"/>
      <c r="H359" s="1821" t="e">
        <f>G359/F359*100</f>
        <v>#DIV/0!</v>
      </c>
      <c r="I359" s="1829"/>
    </row>
    <row r="360" spans="1:9" ht="16.5" hidden="1" thickTop="1" thickBot="1" x14ac:dyDescent="0.3">
      <c r="A360" s="1837" t="s">
        <v>763</v>
      </c>
      <c r="B360" s="1838"/>
      <c r="C360" s="1838"/>
      <c r="D360" s="1839"/>
      <c r="E360" s="1818">
        <f>SUM(E358:E359)</f>
        <v>0</v>
      </c>
      <c r="F360" s="1818">
        <f>SUM(F358:F359)</f>
        <v>0</v>
      </c>
      <c r="G360" s="1818">
        <f>SUM(G358:G359)</f>
        <v>0</v>
      </c>
      <c r="H360" s="1822" t="e">
        <f>G360/F360*100</f>
        <v>#DIV/0!</v>
      </c>
      <c r="I360" s="1829"/>
    </row>
    <row r="361" spans="1:9" ht="15" hidden="1" x14ac:dyDescent="0.25">
      <c r="A361" s="1848"/>
      <c r="B361" s="1848"/>
      <c r="C361" s="1848"/>
      <c r="D361" s="1848"/>
      <c r="E361" s="1824"/>
      <c r="F361" s="1824"/>
      <c r="G361" s="1824"/>
      <c r="H361" s="1849"/>
      <c r="I361" s="1829"/>
    </row>
    <row r="362" spans="1:9" ht="15" hidden="1" x14ac:dyDescent="0.25">
      <c r="A362" s="1808" t="s">
        <v>981</v>
      </c>
      <c r="D362" s="1802"/>
      <c r="E362" s="1803"/>
      <c r="H362" s="1829"/>
      <c r="I362" s="1829"/>
    </row>
    <row r="363" spans="1:9" ht="15" hidden="1" x14ac:dyDescent="0.25">
      <c r="A363" s="1808" t="s">
        <v>982</v>
      </c>
      <c r="D363" s="1802"/>
      <c r="E363" s="1803"/>
      <c r="H363" s="1892" t="s">
        <v>161</v>
      </c>
      <c r="I363" s="1829"/>
    </row>
    <row r="364" spans="1:9" ht="25.5" hidden="1" thickTop="1" thickBot="1" x14ac:dyDescent="0.25">
      <c r="A364" s="1809" t="s">
        <v>162</v>
      </c>
      <c r="B364" s="1810" t="s">
        <v>761</v>
      </c>
      <c r="C364" s="1810" t="s">
        <v>377</v>
      </c>
      <c r="D364" s="1811" t="s">
        <v>164</v>
      </c>
      <c r="E364" s="1833" t="s">
        <v>632</v>
      </c>
      <c r="F364" s="1833" t="s">
        <v>633</v>
      </c>
      <c r="G364" s="1834" t="s">
        <v>882</v>
      </c>
      <c r="H364" s="1835" t="s">
        <v>883</v>
      </c>
      <c r="I364" s="1829"/>
    </row>
    <row r="365" spans="1:9" ht="14.25" hidden="1" thickTop="1" thickBot="1" x14ac:dyDescent="0.25">
      <c r="A365" s="1643">
        <v>1</v>
      </c>
      <c r="B365" s="1642">
        <v>2</v>
      </c>
      <c r="C365" s="1642">
        <v>3</v>
      </c>
      <c r="D365" s="1642">
        <v>5</v>
      </c>
      <c r="E365" s="1641">
        <v>6</v>
      </c>
      <c r="F365" s="1641">
        <v>7</v>
      </c>
      <c r="G365" s="1877">
        <v>8</v>
      </c>
      <c r="H365" s="1814" t="s">
        <v>762</v>
      </c>
      <c r="I365" s="1829"/>
    </row>
    <row r="366" spans="1:9" ht="15.75" hidden="1" thickTop="1" x14ac:dyDescent="0.25">
      <c r="A366" s="1815">
        <v>3299</v>
      </c>
      <c r="B366" s="1816">
        <v>5321</v>
      </c>
      <c r="C366" s="1816">
        <v>32133006</v>
      </c>
      <c r="D366" s="1886" t="s">
        <v>1201</v>
      </c>
      <c r="E366" s="1832">
        <v>0</v>
      </c>
      <c r="F366" s="1832"/>
      <c r="G366" s="1888"/>
      <c r="H366" s="1819" t="e">
        <f>G366/F366*100</f>
        <v>#DIV/0!</v>
      </c>
      <c r="I366" s="1829"/>
    </row>
    <row r="367" spans="1:9" ht="15" hidden="1" x14ac:dyDescent="0.25">
      <c r="A367" s="1815">
        <v>3299</v>
      </c>
      <c r="B367" s="1816">
        <v>5321</v>
      </c>
      <c r="C367" s="1816">
        <v>32533006</v>
      </c>
      <c r="D367" s="1886" t="s">
        <v>1201</v>
      </c>
      <c r="E367" s="1845">
        <v>0</v>
      </c>
      <c r="F367" s="1845"/>
      <c r="G367" s="1885"/>
      <c r="H367" s="1821" t="e">
        <f>G367/F367*100</f>
        <v>#DIV/0!</v>
      </c>
      <c r="I367" s="1829"/>
    </row>
    <row r="368" spans="1:9" ht="15" hidden="1" x14ac:dyDescent="0.25">
      <c r="A368" s="1815">
        <v>3299</v>
      </c>
      <c r="B368" s="1816">
        <v>6341</v>
      </c>
      <c r="C368" s="1816">
        <v>32133006</v>
      </c>
      <c r="D368" s="1886" t="s">
        <v>248</v>
      </c>
      <c r="E368" s="1845">
        <v>0</v>
      </c>
      <c r="F368" s="1845">
        <v>0</v>
      </c>
      <c r="G368" s="1885">
        <v>0</v>
      </c>
      <c r="H368" s="1821" t="e">
        <f>G368/F368*100</f>
        <v>#DIV/0!</v>
      </c>
      <c r="I368" s="1829"/>
    </row>
    <row r="369" spans="1:9" ht="15" hidden="1" x14ac:dyDescent="0.25">
      <c r="A369" s="1815">
        <v>3299</v>
      </c>
      <c r="B369" s="1816">
        <v>6341</v>
      </c>
      <c r="C369" s="1816">
        <v>32533006</v>
      </c>
      <c r="D369" s="1886" t="s">
        <v>248</v>
      </c>
      <c r="E369" s="1845">
        <v>0</v>
      </c>
      <c r="F369" s="1845">
        <v>0</v>
      </c>
      <c r="G369" s="1885">
        <v>0</v>
      </c>
      <c r="H369" s="1821" t="e">
        <f>G369/F369*100</f>
        <v>#DIV/0!</v>
      </c>
      <c r="I369" s="1829"/>
    </row>
    <row r="370" spans="1:9" ht="16.5" hidden="1" thickTop="1" thickBot="1" x14ac:dyDescent="0.3">
      <c r="A370" s="1837" t="s">
        <v>763</v>
      </c>
      <c r="B370" s="1838"/>
      <c r="C370" s="1838"/>
      <c r="D370" s="1839"/>
      <c r="E370" s="1818">
        <f>SUM(E366:E369)</f>
        <v>0</v>
      </c>
      <c r="F370" s="1818">
        <f>SUM(F366:F369)</f>
        <v>0</v>
      </c>
      <c r="G370" s="1818">
        <f>SUM(G366:G369)</f>
        <v>0</v>
      </c>
      <c r="H370" s="1822" t="e">
        <f>G370/F370*100</f>
        <v>#DIV/0!</v>
      </c>
      <c r="I370" s="1829"/>
    </row>
    <row r="371" spans="1:9" ht="15" hidden="1" x14ac:dyDescent="0.25">
      <c r="A371" s="1848"/>
      <c r="B371" s="1848"/>
      <c r="C371" s="1848"/>
      <c r="D371" s="1848"/>
      <c r="E371" s="1824"/>
      <c r="F371" s="1824"/>
      <c r="G371" s="1824"/>
      <c r="H371" s="1849"/>
      <c r="I371" s="1829"/>
    </row>
    <row r="372" spans="1:9" ht="15" hidden="1" x14ac:dyDescent="0.25">
      <c r="A372" s="1808" t="s">
        <v>983</v>
      </c>
      <c r="D372" s="1802"/>
      <c r="E372" s="1803"/>
      <c r="H372" s="1829"/>
      <c r="I372" s="1829"/>
    </row>
    <row r="373" spans="1:9" ht="15" hidden="1" x14ac:dyDescent="0.25">
      <c r="A373" s="1808" t="s">
        <v>984</v>
      </c>
      <c r="D373" s="1802"/>
      <c r="E373" s="1803"/>
      <c r="H373" s="1892" t="s">
        <v>161</v>
      </c>
      <c r="I373" s="1829"/>
    </row>
    <row r="374" spans="1:9" ht="25.5" hidden="1" thickTop="1" thickBot="1" x14ac:dyDescent="0.25">
      <c r="A374" s="1809" t="s">
        <v>162</v>
      </c>
      <c r="B374" s="1810" t="s">
        <v>761</v>
      </c>
      <c r="C374" s="1810" t="s">
        <v>377</v>
      </c>
      <c r="D374" s="1811" t="s">
        <v>164</v>
      </c>
      <c r="E374" s="1833" t="s">
        <v>632</v>
      </c>
      <c r="F374" s="1833" t="s">
        <v>633</v>
      </c>
      <c r="G374" s="1834" t="s">
        <v>882</v>
      </c>
      <c r="H374" s="1835" t="s">
        <v>883</v>
      </c>
      <c r="I374" s="1829"/>
    </row>
    <row r="375" spans="1:9" ht="14.25" hidden="1" thickTop="1" thickBot="1" x14ac:dyDescent="0.25">
      <c r="A375" s="1643">
        <v>1</v>
      </c>
      <c r="B375" s="1642">
        <v>2</v>
      </c>
      <c r="C375" s="1642">
        <v>3</v>
      </c>
      <c r="D375" s="1642">
        <v>5</v>
      </c>
      <c r="E375" s="1641">
        <v>6</v>
      </c>
      <c r="F375" s="1641">
        <v>7</v>
      </c>
      <c r="G375" s="1877">
        <v>8</v>
      </c>
      <c r="H375" s="1814" t="s">
        <v>762</v>
      </c>
      <c r="I375" s="1829"/>
    </row>
    <row r="376" spans="1:9" ht="15.75" hidden="1" thickTop="1" x14ac:dyDescent="0.25">
      <c r="A376" s="1815">
        <v>3299</v>
      </c>
      <c r="B376" s="1816">
        <v>5321</v>
      </c>
      <c r="C376" s="1816">
        <v>32133006</v>
      </c>
      <c r="D376" s="1886" t="s">
        <v>1201</v>
      </c>
      <c r="E376" s="1832">
        <v>0</v>
      </c>
      <c r="F376" s="1832"/>
      <c r="G376" s="1888"/>
      <c r="H376" s="1819" t="e">
        <f>G376/F376*100</f>
        <v>#DIV/0!</v>
      </c>
      <c r="I376" s="1829"/>
    </row>
    <row r="377" spans="1:9" ht="15" hidden="1" x14ac:dyDescent="0.25">
      <c r="A377" s="1815">
        <v>3299</v>
      </c>
      <c r="B377" s="1816">
        <v>5321</v>
      </c>
      <c r="C377" s="1816">
        <v>32533006</v>
      </c>
      <c r="D377" s="1886" t="s">
        <v>1201</v>
      </c>
      <c r="E377" s="1845">
        <v>0</v>
      </c>
      <c r="F377" s="1845"/>
      <c r="G377" s="1885"/>
      <c r="H377" s="1821" t="e">
        <f>G377/F377*100</f>
        <v>#DIV/0!</v>
      </c>
      <c r="I377" s="1829"/>
    </row>
    <row r="378" spans="1:9" ht="15" hidden="1" x14ac:dyDescent="0.25">
      <c r="A378" s="1815">
        <v>3299</v>
      </c>
      <c r="B378" s="1816">
        <v>6341</v>
      </c>
      <c r="C378" s="1816">
        <v>32133006</v>
      </c>
      <c r="D378" s="1886" t="s">
        <v>248</v>
      </c>
      <c r="E378" s="1845">
        <v>0</v>
      </c>
      <c r="F378" s="1845">
        <v>0</v>
      </c>
      <c r="G378" s="1885">
        <v>0</v>
      </c>
      <c r="H378" s="1821" t="e">
        <f>G378/F378*100</f>
        <v>#DIV/0!</v>
      </c>
      <c r="I378" s="1829"/>
    </row>
    <row r="379" spans="1:9" ht="15" hidden="1" x14ac:dyDescent="0.25">
      <c r="A379" s="1815">
        <v>3299</v>
      </c>
      <c r="B379" s="1816">
        <v>6341</v>
      </c>
      <c r="C379" s="1816">
        <v>32533006</v>
      </c>
      <c r="D379" s="1886" t="s">
        <v>248</v>
      </c>
      <c r="E379" s="1845">
        <v>0</v>
      </c>
      <c r="F379" s="1845">
        <v>0</v>
      </c>
      <c r="G379" s="1885">
        <v>0</v>
      </c>
      <c r="H379" s="1821" t="e">
        <f>G379/F379*100</f>
        <v>#DIV/0!</v>
      </c>
      <c r="I379" s="1829"/>
    </row>
    <row r="380" spans="1:9" ht="16.5" hidden="1" thickTop="1" thickBot="1" x14ac:dyDescent="0.3">
      <c r="A380" s="1837" t="s">
        <v>763</v>
      </c>
      <c r="B380" s="1838"/>
      <c r="C380" s="1838"/>
      <c r="D380" s="1839"/>
      <c r="E380" s="1818">
        <f>SUM(E376:E379)</f>
        <v>0</v>
      </c>
      <c r="F380" s="1818">
        <f>SUM(F376:F379)</f>
        <v>0</v>
      </c>
      <c r="G380" s="1818">
        <f>SUM(G376:G379)</f>
        <v>0</v>
      </c>
      <c r="H380" s="1822" t="e">
        <f>G380/F380*100</f>
        <v>#DIV/0!</v>
      </c>
      <c r="I380" s="1829"/>
    </row>
    <row r="381" spans="1:9" ht="15" hidden="1" x14ac:dyDescent="0.25">
      <c r="A381" s="1848"/>
      <c r="B381" s="1848"/>
      <c r="C381" s="1848"/>
      <c r="D381" s="1848"/>
      <c r="E381" s="1824"/>
      <c r="F381" s="1824"/>
      <c r="G381" s="1824"/>
      <c r="H381" s="1849"/>
      <c r="I381" s="1829"/>
    </row>
    <row r="382" spans="1:9" ht="15" hidden="1" x14ac:dyDescent="0.25">
      <c r="A382" s="1808" t="s">
        <v>985</v>
      </c>
      <c r="D382" s="1802"/>
      <c r="E382" s="1803"/>
      <c r="H382" s="1829"/>
      <c r="I382" s="1829"/>
    </row>
    <row r="383" spans="1:9" ht="15" hidden="1" x14ac:dyDescent="0.25">
      <c r="A383" s="1808" t="s">
        <v>986</v>
      </c>
      <c r="D383" s="1802"/>
      <c r="E383" s="1803"/>
      <c r="H383" s="1892" t="s">
        <v>161</v>
      </c>
      <c r="I383" s="1829"/>
    </row>
    <row r="384" spans="1:9" ht="25.5" hidden="1" thickTop="1" thickBot="1" x14ac:dyDescent="0.25">
      <c r="A384" s="1809" t="s">
        <v>162</v>
      </c>
      <c r="B384" s="1810" t="s">
        <v>761</v>
      </c>
      <c r="C384" s="1810" t="s">
        <v>377</v>
      </c>
      <c r="D384" s="1811" t="s">
        <v>164</v>
      </c>
      <c r="E384" s="1833" t="s">
        <v>632</v>
      </c>
      <c r="F384" s="1833" t="s">
        <v>633</v>
      </c>
      <c r="G384" s="1834" t="s">
        <v>882</v>
      </c>
      <c r="H384" s="1835" t="s">
        <v>883</v>
      </c>
      <c r="I384" s="1829"/>
    </row>
    <row r="385" spans="1:9" ht="14.25" hidden="1" thickTop="1" thickBot="1" x14ac:dyDescent="0.25">
      <c r="A385" s="1643">
        <v>1</v>
      </c>
      <c r="B385" s="1642">
        <v>2</v>
      </c>
      <c r="C385" s="1642">
        <v>3</v>
      </c>
      <c r="D385" s="1642">
        <v>5</v>
      </c>
      <c r="E385" s="1641">
        <v>6</v>
      </c>
      <c r="F385" s="1641">
        <v>7</v>
      </c>
      <c r="G385" s="1877">
        <v>8</v>
      </c>
      <c r="H385" s="1814" t="s">
        <v>762</v>
      </c>
      <c r="I385" s="1829"/>
    </row>
    <row r="386" spans="1:9" ht="15.75" hidden="1" thickTop="1" x14ac:dyDescent="0.25">
      <c r="A386" s="1815">
        <v>3299</v>
      </c>
      <c r="B386" s="1816">
        <v>5321</v>
      </c>
      <c r="C386" s="1816">
        <v>32133006</v>
      </c>
      <c r="D386" s="1886" t="s">
        <v>1201</v>
      </c>
      <c r="E386" s="1832">
        <v>0</v>
      </c>
      <c r="F386" s="1832"/>
      <c r="G386" s="1888"/>
      <c r="H386" s="1819" t="e">
        <f>G386/F386*100</f>
        <v>#DIV/0!</v>
      </c>
      <c r="I386" s="1829"/>
    </row>
    <row r="387" spans="1:9" ht="15" hidden="1" x14ac:dyDescent="0.25">
      <c r="A387" s="1815">
        <v>3299</v>
      </c>
      <c r="B387" s="1816">
        <v>5321</v>
      </c>
      <c r="C387" s="1816">
        <v>32533006</v>
      </c>
      <c r="D387" s="1886" t="s">
        <v>1201</v>
      </c>
      <c r="E387" s="1845">
        <v>0</v>
      </c>
      <c r="F387" s="1845"/>
      <c r="G387" s="1885"/>
      <c r="H387" s="1821" t="e">
        <f>G387/F387*100</f>
        <v>#DIV/0!</v>
      </c>
      <c r="I387" s="1829"/>
    </row>
    <row r="388" spans="1:9" ht="16.5" hidden="1" customHeight="1" thickTop="1" thickBot="1" x14ac:dyDescent="0.3">
      <c r="A388" s="1837" t="s">
        <v>763</v>
      </c>
      <c r="B388" s="1838"/>
      <c r="C388" s="1838"/>
      <c r="D388" s="1839"/>
      <c r="E388" s="1818">
        <f>SUM(E386:E387)</f>
        <v>0</v>
      </c>
      <c r="F388" s="1818">
        <f>SUM(F386:F387)</f>
        <v>0</v>
      </c>
      <c r="G388" s="1818">
        <f>SUM(G386:G387)</f>
        <v>0</v>
      </c>
      <c r="H388" s="1822" t="e">
        <f>G388/F388*100</f>
        <v>#DIV/0!</v>
      </c>
      <c r="I388" s="1829"/>
    </row>
    <row r="389" spans="1:9" ht="16.5" hidden="1" customHeight="1" thickTop="1" x14ac:dyDescent="0.25">
      <c r="A389" s="1848"/>
      <c r="B389" s="1848"/>
      <c r="C389" s="1848"/>
      <c r="D389" s="1848"/>
      <c r="E389" s="1824"/>
      <c r="F389" s="1824"/>
      <c r="G389" s="1824"/>
      <c r="H389" s="1849"/>
      <c r="I389" s="1829"/>
    </row>
    <row r="390" spans="1:9" ht="15" hidden="1" x14ac:dyDescent="0.25">
      <c r="A390" s="1808" t="s">
        <v>232</v>
      </c>
      <c r="D390" s="1802"/>
      <c r="E390" s="1803"/>
      <c r="H390" s="1829"/>
      <c r="I390" s="1829"/>
    </row>
    <row r="391" spans="1:9" ht="15" hidden="1" x14ac:dyDescent="0.25">
      <c r="A391" s="1808" t="s">
        <v>233</v>
      </c>
      <c r="D391" s="1802"/>
      <c r="E391" s="1803"/>
      <c r="H391" s="1829" t="s">
        <v>161</v>
      </c>
      <c r="I391" s="1829"/>
    </row>
    <row r="392" spans="1:9" ht="25.5" hidden="1" thickTop="1" thickBot="1" x14ac:dyDescent="0.25">
      <c r="A392" s="1809" t="s">
        <v>162</v>
      </c>
      <c r="B392" s="1810" t="s">
        <v>761</v>
      </c>
      <c r="C392" s="1810" t="s">
        <v>377</v>
      </c>
      <c r="D392" s="1811" t="s">
        <v>164</v>
      </c>
      <c r="E392" s="1833" t="s">
        <v>632</v>
      </c>
      <c r="F392" s="1833" t="s">
        <v>633</v>
      </c>
      <c r="G392" s="1834" t="s">
        <v>882</v>
      </c>
      <c r="H392" s="1835" t="s">
        <v>883</v>
      </c>
      <c r="I392" s="1829"/>
    </row>
    <row r="393" spans="1:9" ht="14.25" hidden="1" thickTop="1" thickBot="1" x14ac:dyDescent="0.25">
      <c r="A393" s="1643">
        <v>1</v>
      </c>
      <c r="B393" s="1642">
        <v>2</v>
      </c>
      <c r="C393" s="1642">
        <v>3</v>
      </c>
      <c r="D393" s="1642">
        <v>5</v>
      </c>
      <c r="E393" s="1641">
        <v>6</v>
      </c>
      <c r="F393" s="1641">
        <v>7</v>
      </c>
      <c r="G393" s="1877">
        <v>8</v>
      </c>
      <c r="H393" s="1814" t="s">
        <v>762</v>
      </c>
      <c r="I393" s="1829"/>
    </row>
    <row r="394" spans="1:9" ht="15.75" hidden="1" customHeight="1" thickTop="1" x14ac:dyDescent="0.25">
      <c r="A394" s="1815">
        <v>3299</v>
      </c>
      <c r="B394" s="1816">
        <v>5321</v>
      </c>
      <c r="C394" s="1816">
        <v>32133006</v>
      </c>
      <c r="D394" s="1886" t="s">
        <v>1201</v>
      </c>
      <c r="E394" s="1832">
        <v>0</v>
      </c>
      <c r="F394" s="1832">
        <v>0</v>
      </c>
      <c r="G394" s="1888">
        <v>0</v>
      </c>
      <c r="H394" s="1819" t="e">
        <f>G394/F394*100</f>
        <v>#DIV/0!</v>
      </c>
      <c r="I394" s="1829"/>
    </row>
    <row r="395" spans="1:9" ht="15" hidden="1" x14ac:dyDescent="0.25">
      <c r="A395" s="1815">
        <v>3299</v>
      </c>
      <c r="B395" s="1816">
        <v>5321</v>
      </c>
      <c r="C395" s="1816">
        <v>32533006</v>
      </c>
      <c r="D395" s="1886" t="s">
        <v>1201</v>
      </c>
      <c r="E395" s="1845">
        <v>0</v>
      </c>
      <c r="F395" s="1845">
        <v>0</v>
      </c>
      <c r="G395" s="1885">
        <v>0</v>
      </c>
      <c r="H395" s="1821" t="e">
        <f>G395/F395*100</f>
        <v>#DIV/0!</v>
      </c>
      <c r="I395" s="1829"/>
    </row>
    <row r="396" spans="1:9" ht="16.5" hidden="1" thickTop="1" thickBot="1" x14ac:dyDescent="0.3">
      <c r="A396" s="1837" t="s">
        <v>763</v>
      </c>
      <c r="B396" s="1838"/>
      <c r="C396" s="1838"/>
      <c r="D396" s="1839"/>
      <c r="E396" s="1818">
        <f>SUM(E394:E395)</f>
        <v>0</v>
      </c>
      <c r="F396" s="1818">
        <f>SUM(F394:F395)</f>
        <v>0</v>
      </c>
      <c r="G396" s="1818">
        <f>SUM(G394:G395)</f>
        <v>0</v>
      </c>
      <c r="H396" s="1822" t="e">
        <f>G396/F396*100</f>
        <v>#DIV/0!</v>
      </c>
      <c r="I396" s="1829"/>
    </row>
    <row r="397" spans="1:9" hidden="1" x14ac:dyDescent="0.2"/>
    <row r="398" spans="1:9" ht="15" hidden="1" x14ac:dyDescent="0.25">
      <c r="A398" s="1808" t="s">
        <v>987</v>
      </c>
      <c r="D398" s="1802"/>
      <c r="E398" s="1803"/>
      <c r="H398" s="1829"/>
    </row>
    <row r="399" spans="1:9" ht="15" hidden="1" x14ac:dyDescent="0.25">
      <c r="A399" s="1808" t="s">
        <v>988</v>
      </c>
      <c r="D399" s="1802"/>
      <c r="E399" s="1803"/>
      <c r="H399" s="1892" t="s">
        <v>161</v>
      </c>
    </row>
    <row r="400" spans="1:9" ht="25.5" hidden="1" thickTop="1" thickBot="1" x14ac:dyDescent="0.25">
      <c r="A400" s="1809" t="s">
        <v>162</v>
      </c>
      <c r="B400" s="1810" t="s">
        <v>761</v>
      </c>
      <c r="C400" s="1810" t="s">
        <v>377</v>
      </c>
      <c r="D400" s="1811" t="s">
        <v>164</v>
      </c>
      <c r="E400" s="1833" t="s">
        <v>632</v>
      </c>
      <c r="F400" s="1833" t="s">
        <v>633</v>
      </c>
      <c r="G400" s="1834" t="s">
        <v>882</v>
      </c>
      <c r="H400" s="1835" t="s">
        <v>883</v>
      </c>
    </row>
    <row r="401" spans="1:13" ht="14.25" hidden="1" thickTop="1" thickBot="1" x14ac:dyDescent="0.25">
      <c r="A401" s="1643">
        <v>1</v>
      </c>
      <c r="B401" s="1642">
        <v>2</v>
      </c>
      <c r="C401" s="1642">
        <v>3</v>
      </c>
      <c r="D401" s="1642">
        <v>5</v>
      </c>
      <c r="E401" s="1641">
        <v>6</v>
      </c>
      <c r="F401" s="1641">
        <v>7</v>
      </c>
      <c r="G401" s="1877">
        <v>8</v>
      </c>
      <c r="H401" s="1814" t="s">
        <v>762</v>
      </c>
    </row>
    <row r="402" spans="1:13" ht="15.75" hidden="1" thickTop="1" x14ac:dyDescent="0.25">
      <c r="A402" s="1815">
        <v>3299</v>
      </c>
      <c r="B402" s="1816">
        <v>5321</v>
      </c>
      <c r="C402" s="1816">
        <v>32133006</v>
      </c>
      <c r="D402" s="1886" t="s">
        <v>1201</v>
      </c>
      <c r="E402" s="1832">
        <v>0</v>
      </c>
      <c r="F402" s="1832"/>
      <c r="G402" s="1888"/>
      <c r="H402" s="1819" t="e">
        <f>G402/F402*100</f>
        <v>#DIV/0!</v>
      </c>
    </row>
    <row r="403" spans="1:13" ht="15" hidden="1" x14ac:dyDescent="0.25">
      <c r="A403" s="1815">
        <v>3299</v>
      </c>
      <c r="B403" s="1816">
        <v>5321</v>
      </c>
      <c r="C403" s="1816">
        <v>32533006</v>
      </c>
      <c r="D403" s="1886" t="s">
        <v>1201</v>
      </c>
      <c r="E403" s="1845">
        <v>0</v>
      </c>
      <c r="F403" s="1845"/>
      <c r="G403" s="1885"/>
      <c r="H403" s="1821" t="e">
        <f>G403/F403*100</f>
        <v>#DIV/0!</v>
      </c>
    </row>
    <row r="404" spans="1:13" ht="15" hidden="1" x14ac:dyDescent="0.25">
      <c r="A404" s="1815">
        <v>3299</v>
      </c>
      <c r="B404" s="1816">
        <v>6341</v>
      </c>
      <c r="C404" s="1816">
        <v>32133006</v>
      </c>
      <c r="D404" s="1886" t="s">
        <v>248</v>
      </c>
      <c r="E404" s="1845">
        <v>0</v>
      </c>
      <c r="F404" s="1845">
        <v>0</v>
      </c>
      <c r="G404" s="1885">
        <v>0</v>
      </c>
      <c r="H404" s="1821" t="e">
        <f>G404/F404*100</f>
        <v>#DIV/0!</v>
      </c>
    </row>
    <row r="405" spans="1:13" ht="15" hidden="1" x14ac:dyDescent="0.25">
      <c r="A405" s="1815">
        <v>3299</v>
      </c>
      <c r="B405" s="1816">
        <v>6341</v>
      </c>
      <c r="C405" s="1816">
        <v>32533006</v>
      </c>
      <c r="D405" s="1886" t="s">
        <v>248</v>
      </c>
      <c r="E405" s="1845">
        <v>0</v>
      </c>
      <c r="F405" s="1845">
        <v>0</v>
      </c>
      <c r="G405" s="1885">
        <v>0</v>
      </c>
      <c r="H405" s="1821" t="e">
        <f>G405/F405*100</f>
        <v>#DIV/0!</v>
      </c>
    </row>
    <row r="406" spans="1:13" ht="16.5" hidden="1" thickTop="1" thickBot="1" x14ac:dyDescent="0.3">
      <c r="A406" s="1837" t="s">
        <v>763</v>
      </c>
      <c r="B406" s="1838"/>
      <c r="C406" s="1838"/>
      <c r="D406" s="1839"/>
      <c r="E406" s="1818">
        <f>SUM(E402:E405)</f>
        <v>0</v>
      </c>
      <c r="F406" s="1818">
        <f>SUM(F402:F405)</f>
        <v>0</v>
      </c>
      <c r="G406" s="1818">
        <f>SUM(G402:G405)</f>
        <v>0</v>
      </c>
      <c r="H406" s="1822" t="e">
        <f>G406/F406*100</f>
        <v>#DIV/0!</v>
      </c>
    </row>
    <row r="410" spans="1:13" ht="16.5" x14ac:dyDescent="0.25">
      <c r="A410" s="1860" t="s">
        <v>465</v>
      </c>
      <c r="B410" s="1861"/>
      <c r="C410" s="1862"/>
      <c r="D410" s="1863"/>
      <c r="E410" s="1864">
        <f>SUM(E411:E413)</f>
        <v>0</v>
      </c>
      <c r="F410" s="1864">
        <f>F411+F412+F413+F414</f>
        <v>13860</v>
      </c>
      <c r="G410" s="1864">
        <f>G411+G412+G413+G414</f>
        <v>321</v>
      </c>
      <c r="H410" s="1884">
        <f>G410/F410*100</f>
        <v>2.3160173160173159</v>
      </c>
      <c r="J410" s="1866">
        <f>J411+J412+J413</f>
        <v>0</v>
      </c>
      <c r="K410" s="1866">
        <f>K411+K412+K413</f>
        <v>13860332.859999999</v>
      </c>
      <c r="L410" s="1866">
        <f>L411+L412+L413</f>
        <v>320599.05</v>
      </c>
    </row>
    <row r="411" spans="1:13" ht="15" x14ac:dyDescent="0.2">
      <c r="A411" s="1600" t="s">
        <v>263</v>
      </c>
      <c r="B411" s="1603"/>
      <c r="C411" s="1598"/>
      <c r="D411" s="1867"/>
      <c r="E411" s="1601">
        <f>E14+E15+E16+E17+E18+E19+E20+E26+E34+E35+E44+E45+E62+E63+E140+E141+E218+E219+E236+E237+E336+E337+E358+E359+E376+E377+E386+E387+E402+E403</f>
        <v>0</v>
      </c>
      <c r="F411" s="1601">
        <f>F14+F15+F16+F17+F18+F19+F20+F26+F34+F35+F44+F45+F62+F63+F140+F141+F218+F219+F236+F237+F336+F337+F358+F359+F376+F377+F386+F387+F402+F403</f>
        <v>8791</v>
      </c>
      <c r="G411" s="1601">
        <f>G14+G15+G16+G17+G18+G19+G20+G26+G34+G35+G44+G45+G62+G63+G140+G141+G218+G219+G236+G237+G336+G337+G358+G359+G376+G377+G386+G387+G402+G403</f>
        <v>321</v>
      </c>
      <c r="H411" s="1883">
        <f>G411/F411*100</f>
        <v>3.6514617222159025</v>
      </c>
      <c r="J411" s="1868">
        <v>0</v>
      </c>
      <c r="K411" s="1868">
        <v>8790822.7599999998</v>
      </c>
      <c r="L411" s="1868">
        <v>320599.05</v>
      </c>
      <c r="M411" s="1804"/>
    </row>
    <row r="412" spans="1:13" ht="15" x14ac:dyDescent="0.2">
      <c r="A412" s="1600" t="s">
        <v>264</v>
      </c>
      <c r="B412" s="1599"/>
      <c r="C412" s="1598"/>
      <c r="D412" s="1869"/>
      <c r="E412" s="1601">
        <f>E24+E25</f>
        <v>0</v>
      </c>
      <c r="F412" s="1601">
        <f>F24+F25</f>
        <v>5069</v>
      </c>
      <c r="G412" s="1601">
        <f>G24+G25</f>
        <v>0</v>
      </c>
      <c r="H412" s="1883">
        <f>G412/F412*100</f>
        <v>0</v>
      </c>
      <c r="J412" s="1868">
        <v>0</v>
      </c>
      <c r="K412" s="1868">
        <v>5069510.0999999996</v>
      </c>
      <c r="L412" s="1868">
        <v>0</v>
      </c>
      <c r="M412" s="1804"/>
    </row>
    <row r="413" spans="1:13" ht="15" x14ac:dyDescent="0.2">
      <c r="A413" s="1600" t="s">
        <v>466</v>
      </c>
      <c r="B413" s="1599"/>
      <c r="C413" s="1598"/>
      <c r="D413" s="1869"/>
      <c r="E413" s="1601">
        <v>0</v>
      </c>
      <c r="F413" s="1601">
        <v>0</v>
      </c>
      <c r="G413" s="1601">
        <v>0</v>
      </c>
      <c r="H413" s="1883">
        <v>0</v>
      </c>
      <c r="J413" s="1868">
        <v>0</v>
      </c>
      <c r="K413" s="1868">
        <v>0</v>
      </c>
      <c r="L413" s="1868">
        <v>0</v>
      </c>
    </row>
    <row r="414" spans="1:13" ht="15" x14ac:dyDescent="0.2">
      <c r="A414" s="1600"/>
      <c r="B414" s="1599"/>
      <c r="C414" s="1598"/>
      <c r="D414" s="1869"/>
      <c r="E414" s="1601"/>
      <c r="F414" s="1601"/>
      <c r="G414" s="1601"/>
      <c r="H414" s="1597"/>
      <c r="J414" s="1804"/>
      <c r="K414" s="1804"/>
      <c r="L414" s="1804"/>
      <c r="M414" s="1804"/>
    </row>
    <row r="415" spans="1:13" ht="51.75" customHeight="1" thickBot="1" x14ac:dyDescent="0.4">
      <c r="A415" s="2741" t="s">
        <v>940</v>
      </c>
      <c r="B415" s="2742"/>
      <c r="C415" s="2742"/>
      <c r="D415" s="2742"/>
      <c r="E415" s="1591">
        <f>SUM(E410)</f>
        <v>0</v>
      </c>
      <c r="F415" s="1591">
        <f>SUM(F410)</f>
        <v>13860</v>
      </c>
      <c r="G415" s="1591">
        <f>SUM(G410)</f>
        <v>321</v>
      </c>
      <c r="H415" s="1590">
        <f>(G415/F415)*100</f>
        <v>2.3160173160173159</v>
      </c>
      <c r="J415" s="1804"/>
      <c r="L415" s="1804"/>
    </row>
    <row r="416" spans="1:13" ht="13.5" thickTop="1" x14ac:dyDescent="0.2"/>
    <row r="535" spans="1:5" ht="13.5" thickBot="1" x14ac:dyDescent="0.25">
      <c r="A535" s="1840"/>
      <c r="B535" s="1840"/>
      <c r="C535" s="1840"/>
      <c r="D535" s="1911"/>
      <c r="E535" s="1912"/>
    </row>
    <row r="536" spans="1:5" ht="13.5" thickTop="1" x14ac:dyDescent="0.2">
      <c r="A536" s="1858"/>
      <c r="B536" s="1858"/>
      <c r="C536" s="1858"/>
      <c r="D536" s="1850"/>
      <c r="E536" s="1913"/>
    </row>
    <row r="537" spans="1:5" x14ac:dyDescent="0.2">
      <c r="D537" s="1803" t="e">
        <f>#REF!+#REF!</f>
        <v>#REF!</v>
      </c>
    </row>
  </sheetData>
  <mergeCells count="2">
    <mergeCell ref="A27:D27"/>
    <mergeCell ref="A415:D415"/>
  </mergeCells>
  <pageMargins left="0.78740157480314965" right="0.78740157480314965" top="0.98425196850393704" bottom="0.98425196850393704" header="0.51181102362204722" footer="0.51181102362204722"/>
  <pageSetup paperSize="9" scale="65" firstPageNumber="138" orientation="portrait" useFirstPageNumber="1" r:id="rId1"/>
  <headerFooter alignWithMargins="0">
    <oddFooter xml:space="preserve">&amp;L&amp;"Arial,Kurzíva"Zastupitelstvo Olomouckého kraje 26.6.2015
4. - Závěrečný  účet Olomouckého kraje za rok 2014
Příloha č. 3: Plnění rozpočtu výdajů Olomouckého kraje k 31.12.2014&amp;R&amp;"Arial,Kurzíva"Strana &amp;P (Celkem 484)
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61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5" style="1802" customWidth="1"/>
    <col min="2" max="2" width="6.140625" style="1802" customWidth="1"/>
    <col min="3" max="3" width="10.28515625" style="1802" customWidth="1"/>
    <col min="4" max="4" width="40.42578125" style="1803" customWidth="1"/>
    <col min="5" max="5" width="10.42578125" style="1829" customWidth="1"/>
    <col min="6" max="6" width="15.85546875" style="1829" customWidth="1"/>
    <col min="7" max="7" width="13.85546875" style="1829" customWidth="1"/>
    <col min="8" max="8" width="8.42578125" style="1803" customWidth="1"/>
    <col min="9" max="9" width="14.28515625" style="1803" bestFit="1" customWidth="1"/>
    <col min="10" max="10" width="9.140625" style="1803"/>
    <col min="11" max="12" width="16" style="1803" bestFit="1" customWidth="1"/>
    <col min="13" max="256" width="9.140625" style="1803"/>
    <col min="257" max="257" width="4.7109375" style="1803" customWidth="1"/>
    <col min="258" max="258" width="6.140625" style="1803" customWidth="1"/>
    <col min="259" max="259" width="10.28515625" style="1803" customWidth="1"/>
    <col min="260" max="260" width="40.42578125" style="1803" customWidth="1"/>
    <col min="261" max="261" width="10.42578125" style="1803" customWidth="1"/>
    <col min="262" max="262" width="15.85546875" style="1803" customWidth="1"/>
    <col min="263" max="263" width="13.85546875" style="1803" customWidth="1"/>
    <col min="264" max="264" width="6.42578125" style="1803" customWidth="1"/>
    <col min="265" max="265" width="14.28515625" style="1803" bestFit="1" customWidth="1"/>
    <col min="266" max="266" width="9.140625" style="1803"/>
    <col min="267" max="268" width="16" style="1803" bestFit="1" customWidth="1"/>
    <col min="269" max="512" width="9.140625" style="1803"/>
    <col min="513" max="513" width="4.7109375" style="1803" customWidth="1"/>
    <col min="514" max="514" width="6.140625" style="1803" customWidth="1"/>
    <col min="515" max="515" width="10.28515625" style="1803" customWidth="1"/>
    <col min="516" max="516" width="40.42578125" style="1803" customWidth="1"/>
    <col min="517" max="517" width="10.42578125" style="1803" customWidth="1"/>
    <col min="518" max="518" width="15.85546875" style="1803" customWidth="1"/>
    <col min="519" max="519" width="13.85546875" style="1803" customWidth="1"/>
    <col min="520" max="520" width="6.42578125" style="1803" customWidth="1"/>
    <col min="521" max="521" width="14.28515625" style="1803" bestFit="1" customWidth="1"/>
    <col min="522" max="522" width="9.140625" style="1803"/>
    <col min="523" max="524" width="16" style="1803" bestFit="1" customWidth="1"/>
    <col min="525" max="768" width="9.140625" style="1803"/>
    <col min="769" max="769" width="4.7109375" style="1803" customWidth="1"/>
    <col min="770" max="770" width="6.140625" style="1803" customWidth="1"/>
    <col min="771" max="771" width="10.28515625" style="1803" customWidth="1"/>
    <col min="772" max="772" width="40.42578125" style="1803" customWidth="1"/>
    <col min="773" max="773" width="10.42578125" style="1803" customWidth="1"/>
    <col min="774" max="774" width="15.85546875" style="1803" customWidth="1"/>
    <col min="775" max="775" width="13.85546875" style="1803" customWidth="1"/>
    <col min="776" max="776" width="6.42578125" style="1803" customWidth="1"/>
    <col min="777" max="777" width="14.28515625" style="1803" bestFit="1" customWidth="1"/>
    <col min="778" max="778" width="9.140625" style="1803"/>
    <col min="779" max="780" width="16" style="1803" bestFit="1" customWidth="1"/>
    <col min="781" max="1024" width="9.140625" style="1803"/>
    <col min="1025" max="1025" width="4.7109375" style="1803" customWidth="1"/>
    <col min="1026" max="1026" width="6.140625" style="1803" customWidth="1"/>
    <col min="1027" max="1027" width="10.28515625" style="1803" customWidth="1"/>
    <col min="1028" max="1028" width="40.42578125" style="1803" customWidth="1"/>
    <col min="1029" max="1029" width="10.42578125" style="1803" customWidth="1"/>
    <col min="1030" max="1030" width="15.85546875" style="1803" customWidth="1"/>
    <col min="1031" max="1031" width="13.85546875" style="1803" customWidth="1"/>
    <col min="1032" max="1032" width="6.42578125" style="1803" customWidth="1"/>
    <col min="1033" max="1033" width="14.28515625" style="1803" bestFit="1" customWidth="1"/>
    <col min="1034" max="1034" width="9.140625" style="1803"/>
    <col min="1035" max="1036" width="16" style="1803" bestFit="1" customWidth="1"/>
    <col min="1037" max="1280" width="9.140625" style="1803"/>
    <col min="1281" max="1281" width="4.7109375" style="1803" customWidth="1"/>
    <col min="1282" max="1282" width="6.140625" style="1803" customWidth="1"/>
    <col min="1283" max="1283" width="10.28515625" style="1803" customWidth="1"/>
    <col min="1284" max="1284" width="40.42578125" style="1803" customWidth="1"/>
    <col min="1285" max="1285" width="10.42578125" style="1803" customWidth="1"/>
    <col min="1286" max="1286" width="15.85546875" style="1803" customWidth="1"/>
    <col min="1287" max="1287" width="13.85546875" style="1803" customWidth="1"/>
    <col min="1288" max="1288" width="6.42578125" style="1803" customWidth="1"/>
    <col min="1289" max="1289" width="14.28515625" style="1803" bestFit="1" customWidth="1"/>
    <col min="1290" max="1290" width="9.140625" style="1803"/>
    <col min="1291" max="1292" width="16" style="1803" bestFit="1" customWidth="1"/>
    <col min="1293" max="1536" width="9.140625" style="1803"/>
    <col min="1537" max="1537" width="4.7109375" style="1803" customWidth="1"/>
    <col min="1538" max="1538" width="6.140625" style="1803" customWidth="1"/>
    <col min="1539" max="1539" width="10.28515625" style="1803" customWidth="1"/>
    <col min="1540" max="1540" width="40.42578125" style="1803" customWidth="1"/>
    <col min="1541" max="1541" width="10.42578125" style="1803" customWidth="1"/>
    <col min="1542" max="1542" width="15.85546875" style="1803" customWidth="1"/>
    <col min="1543" max="1543" width="13.85546875" style="1803" customWidth="1"/>
    <col min="1544" max="1544" width="6.42578125" style="1803" customWidth="1"/>
    <col min="1545" max="1545" width="14.28515625" style="1803" bestFit="1" customWidth="1"/>
    <col min="1546" max="1546" width="9.140625" style="1803"/>
    <col min="1547" max="1548" width="16" style="1803" bestFit="1" customWidth="1"/>
    <col min="1549" max="1792" width="9.140625" style="1803"/>
    <col min="1793" max="1793" width="4.7109375" style="1803" customWidth="1"/>
    <col min="1794" max="1794" width="6.140625" style="1803" customWidth="1"/>
    <col min="1795" max="1795" width="10.28515625" style="1803" customWidth="1"/>
    <col min="1796" max="1796" width="40.42578125" style="1803" customWidth="1"/>
    <col min="1797" max="1797" width="10.42578125" style="1803" customWidth="1"/>
    <col min="1798" max="1798" width="15.85546875" style="1803" customWidth="1"/>
    <col min="1799" max="1799" width="13.85546875" style="1803" customWidth="1"/>
    <col min="1800" max="1800" width="6.42578125" style="1803" customWidth="1"/>
    <col min="1801" max="1801" width="14.28515625" style="1803" bestFit="1" customWidth="1"/>
    <col min="1802" max="1802" width="9.140625" style="1803"/>
    <col min="1803" max="1804" width="16" style="1803" bestFit="1" customWidth="1"/>
    <col min="1805" max="2048" width="9.140625" style="1803"/>
    <col min="2049" max="2049" width="4.7109375" style="1803" customWidth="1"/>
    <col min="2050" max="2050" width="6.140625" style="1803" customWidth="1"/>
    <col min="2051" max="2051" width="10.28515625" style="1803" customWidth="1"/>
    <col min="2052" max="2052" width="40.42578125" style="1803" customWidth="1"/>
    <col min="2053" max="2053" width="10.42578125" style="1803" customWidth="1"/>
    <col min="2054" max="2054" width="15.85546875" style="1803" customWidth="1"/>
    <col min="2055" max="2055" width="13.85546875" style="1803" customWidth="1"/>
    <col min="2056" max="2056" width="6.42578125" style="1803" customWidth="1"/>
    <col min="2057" max="2057" width="14.28515625" style="1803" bestFit="1" customWidth="1"/>
    <col min="2058" max="2058" width="9.140625" style="1803"/>
    <col min="2059" max="2060" width="16" style="1803" bestFit="1" customWidth="1"/>
    <col min="2061" max="2304" width="9.140625" style="1803"/>
    <col min="2305" max="2305" width="4.7109375" style="1803" customWidth="1"/>
    <col min="2306" max="2306" width="6.140625" style="1803" customWidth="1"/>
    <col min="2307" max="2307" width="10.28515625" style="1803" customWidth="1"/>
    <col min="2308" max="2308" width="40.42578125" style="1803" customWidth="1"/>
    <col min="2309" max="2309" width="10.42578125" style="1803" customWidth="1"/>
    <col min="2310" max="2310" width="15.85546875" style="1803" customWidth="1"/>
    <col min="2311" max="2311" width="13.85546875" style="1803" customWidth="1"/>
    <col min="2312" max="2312" width="6.42578125" style="1803" customWidth="1"/>
    <col min="2313" max="2313" width="14.28515625" style="1803" bestFit="1" customWidth="1"/>
    <col min="2314" max="2314" width="9.140625" style="1803"/>
    <col min="2315" max="2316" width="16" style="1803" bestFit="1" customWidth="1"/>
    <col min="2317" max="2560" width="9.140625" style="1803"/>
    <col min="2561" max="2561" width="4.7109375" style="1803" customWidth="1"/>
    <col min="2562" max="2562" width="6.140625" style="1803" customWidth="1"/>
    <col min="2563" max="2563" width="10.28515625" style="1803" customWidth="1"/>
    <col min="2564" max="2564" width="40.42578125" style="1803" customWidth="1"/>
    <col min="2565" max="2565" width="10.42578125" style="1803" customWidth="1"/>
    <col min="2566" max="2566" width="15.85546875" style="1803" customWidth="1"/>
    <col min="2567" max="2567" width="13.85546875" style="1803" customWidth="1"/>
    <col min="2568" max="2568" width="6.42578125" style="1803" customWidth="1"/>
    <col min="2569" max="2569" width="14.28515625" style="1803" bestFit="1" customWidth="1"/>
    <col min="2570" max="2570" width="9.140625" style="1803"/>
    <col min="2571" max="2572" width="16" style="1803" bestFit="1" customWidth="1"/>
    <col min="2573" max="2816" width="9.140625" style="1803"/>
    <col min="2817" max="2817" width="4.7109375" style="1803" customWidth="1"/>
    <col min="2818" max="2818" width="6.140625" style="1803" customWidth="1"/>
    <col min="2819" max="2819" width="10.28515625" style="1803" customWidth="1"/>
    <col min="2820" max="2820" width="40.42578125" style="1803" customWidth="1"/>
    <col min="2821" max="2821" width="10.42578125" style="1803" customWidth="1"/>
    <col min="2822" max="2822" width="15.85546875" style="1803" customWidth="1"/>
    <col min="2823" max="2823" width="13.85546875" style="1803" customWidth="1"/>
    <col min="2824" max="2824" width="6.42578125" style="1803" customWidth="1"/>
    <col min="2825" max="2825" width="14.28515625" style="1803" bestFit="1" customWidth="1"/>
    <col min="2826" max="2826" width="9.140625" style="1803"/>
    <col min="2827" max="2828" width="16" style="1803" bestFit="1" customWidth="1"/>
    <col min="2829" max="3072" width="9.140625" style="1803"/>
    <col min="3073" max="3073" width="4.7109375" style="1803" customWidth="1"/>
    <col min="3074" max="3074" width="6.140625" style="1803" customWidth="1"/>
    <col min="3075" max="3075" width="10.28515625" style="1803" customWidth="1"/>
    <col min="3076" max="3076" width="40.42578125" style="1803" customWidth="1"/>
    <col min="3077" max="3077" width="10.42578125" style="1803" customWidth="1"/>
    <col min="3078" max="3078" width="15.85546875" style="1803" customWidth="1"/>
    <col min="3079" max="3079" width="13.85546875" style="1803" customWidth="1"/>
    <col min="3080" max="3080" width="6.42578125" style="1803" customWidth="1"/>
    <col min="3081" max="3081" width="14.28515625" style="1803" bestFit="1" customWidth="1"/>
    <col min="3082" max="3082" width="9.140625" style="1803"/>
    <col min="3083" max="3084" width="16" style="1803" bestFit="1" customWidth="1"/>
    <col min="3085" max="3328" width="9.140625" style="1803"/>
    <col min="3329" max="3329" width="4.7109375" style="1803" customWidth="1"/>
    <col min="3330" max="3330" width="6.140625" style="1803" customWidth="1"/>
    <col min="3331" max="3331" width="10.28515625" style="1803" customWidth="1"/>
    <col min="3332" max="3332" width="40.42578125" style="1803" customWidth="1"/>
    <col min="3333" max="3333" width="10.42578125" style="1803" customWidth="1"/>
    <col min="3334" max="3334" width="15.85546875" style="1803" customWidth="1"/>
    <col min="3335" max="3335" width="13.85546875" style="1803" customWidth="1"/>
    <col min="3336" max="3336" width="6.42578125" style="1803" customWidth="1"/>
    <col min="3337" max="3337" width="14.28515625" style="1803" bestFit="1" customWidth="1"/>
    <col min="3338" max="3338" width="9.140625" style="1803"/>
    <col min="3339" max="3340" width="16" style="1803" bestFit="1" customWidth="1"/>
    <col min="3341" max="3584" width="9.140625" style="1803"/>
    <col min="3585" max="3585" width="4.7109375" style="1803" customWidth="1"/>
    <col min="3586" max="3586" width="6.140625" style="1803" customWidth="1"/>
    <col min="3587" max="3587" width="10.28515625" style="1803" customWidth="1"/>
    <col min="3588" max="3588" width="40.42578125" style="1803" customWidth="1"/>
    <col min="3589" max="3589" width="10.42578125" style="1803" customWidth="1"/>
    <col min="3590" max="3590" width="15.85546875" style="1803" customWidth="1"/>
    <col min="3591" max="3591" width="13.85546875" style="1803" customWidth="1"/>
    <col min="3592" max="3592" width="6.42578125" style="1803" customWidth="1"/>
    <col min="3593" max="3593" width="14.28515625" style="1803" bestFit="1" customWidth="1"/>
    <col min="3594" max="3594" width="9.140625" style="1803"/>
    <col min="3595" max="3596" width="16" style="1803" bestFit="1" customWidth="1"/>
    <col min="3597" max="3840" width="9.140625" style="1803"/>
    <col min="3841" max="3841" width="4.7109375" style="1803" customWidth="1"/>
    <col min="3842" max="3842" width="6.140625" style="1803" customWidth="1"/>
    <col min="3843" max="3843" width="10.28515625" style="1803" customWidth="1"/>
    <col min="3844" max="3844" width="40.42578125" style="1803" customWidth="1"/>
    <col min="3845" max="3845" width="10.42578125" style="1803" customWidth="1"/>
    <col min="3846" max="3846" width="15.85546875" style="1803" customWidth="1"/>
    <col min="3847" max="3847" width="13.85546875" style="1803" customWidth="1"/>
    <col min="3848" max="3848" width="6.42578125" style="1803" customWidth="1"/>
    <col min="3849" max="3849" width="14.28515625" style="1803" bestFit="1" customWidth="1"/>
    <col min="3850" max="3850" width="9.140625" style="1803"/>
    <col min="3851" max="3852" width="16" style="1803" bestFit="1" customWidth="1"/>
    <col min="3853" max="4096" width="9.140625" style="1803"/>
    <col min="4097" max="4097" width="4.7109375" style="1803" customWidth="1"/>
    <col min="4098" max="4098" width="6.140625" style="1803" customWidth="1"/>
    <col min="4099" max="4099" width="10.28515625" style="1803" customWidth="1"/>
    <col min="4100" max="4100" width="40.42578125" style="1803" customWidth="1"/>
    <col min="4101" max="4101" width="10.42578125" style="1803" customWidth="1"/>
    <col min="4102" max="4102" width="15.85546875" style="1803" customWidth="1"/>
    <col min="4103" max="4103" width="13.85546875" style="1803" customWidth="1"/>
    <col min="4104" max="4104" width="6.42578125" style="1803" customWidth="1"/>
    <col min="4105" max="4105" width="14.28515625" style="1803" bestFit="1" customWidth="1"/>
    <col min="4106" max="4106" width="9.140625" style="1803"/>
    <col min="4107" max="4108" width="16" style="1803" bestFit="1" customWidth="1"/>
    <col min="4109" max="4352" width="9.140625" style="1803"/>
    <col min="4353" max="4353" width="4.7109375" style="1803" customWidth="1"/>
    <col min="4354" max="4354" width="6.140625" style="1803" customWidth="1"/>
    <col min="4355" max="4355" width="10.28515625" style="1803" customWidth="1"/>
    <col min="4356" max="4356" width="40.42578125" style="1803" customWidth="1"/>
    <col min="4357" max="4357" width="10.42578125" style="1803" customWidth="1"/>
    <col min="4358" max="4358" width="15.85546875" style="1803" customWidth="1"/>
    <col min="4359" max="4359" width="13.85546875" style="1803" customWidth="1"/>
    <col min="4360" max="4360" width="6.42578125" style="1803" customWidth="1"/>
    <col min="4361" max="4361" width="14.28515625" style="1803" bestFit="1" customWidth="1"/>
    <col min="4362" max="4362" width="9.140625" style="1803"/>
    <col min="4363" max="4364" width="16" style="1803" bestFit="1" customWidth="1"/>
    <col min="4365" max="4608" width="9.140625" style="1803"/>
    <col min="4609" max="4609" width="4.7109375" style="1803" customWidth="1"/>
    <col min="4610" max="4610" width="6.140625" style="1803" customWidth="1"/>
    <col min="4611" max="4611" width="10.28515625" style="1803" customWidth="1"/>
    <col min="4612" max="4612" width="40.42578125" style="1803" customWidth="1"/>
    <col min="4613" max="4613" width="10.42578125" style="1803" customWidth="1"/>
    <col min="4614" max="4614" width="15.85546875" style="1803" customWidth="1"/>
    <col min="4615" max="4615" width="13.85546875" style="1803" customWidth="1"/>
    <col min="4616" max="4616" width="6.42578125" style="1803" customWidth="1"/>
    <col min="4617" max="4617" width="14.28515625" style="1803" bestFit="1" customWidth="1"/>
    <col min="4618" max="4618" width="9.140625" style="1803"/>
    <col min="4619" max="4620" width="16" style="1803" bestFit="1" customWidth="1"/>
    <col min="4621" max="4864" width="9.140625" style="1803"/>
    <col min="4865" max="4865" width="4.7109375" style="1803" customWidth="1"/>
    <col min="4866" max="4866" width="6.140625" style="1803" customWidth="1"/>
    <col min="4867" max="4867" width="10.28515625" style="1803" customWidth="1"/>
    <col min="4868" max="4868" width="40.42578125" style="1803" customWidth="1"/>
    <col min="4869" max="4869" width="10.42578125" style="1803" customWidth="1"/>
    <col min="4870" max="4870" width="15.85546875" style="1803" customWidth="1"/>
    <col min="4871" max="4871" width="13.85546875" style="1803" customWidth="1"/>
    <col min="4872" max="4872" width="6.42578125" style="1803" customWidth="1"/>
    <col min="4873" max="4873" width="14.28515625" style="1803" bestFit="1" customWidth="1"/>
    <col min="4874" max="4874" width="9.140625" style="1803"/>
    <col min="4875" max="4876" width="16" style="1803" bestFit="1" customWidth="1"/>
    <col min="4877" max="5120" width="9.140625" style="1803"/>
    <col min="5121" max="5121" width="4.7109375" style="1803" customWidth="1"/>
    <col min="5122" max="5122" width="6.140625" style="1803" customWidth="1"/>
    <col min="5123" max="5123" width="10.28515625" style="1803" customWidth="1"/>
    <col min="5124" max="5124" width="40.42578125" style="1803" customWidth="1"/>
    <col min="5125" max="5125" width="10.42578125" style="1803" customWidth="1"/>
    <col min="5126" max="5126" width="15.85546875" style="1803" customWidth="1"/>
    <col min="5127" max="5127" width="13.85546875" style="1803" customWidth="1"/>
    <col min="5128" max="5128" width="6.42578125" style="1803" customWidth="1"/>
    <col min="5129" max="5129" width="14.28515625" style="1803" bestFit="1" customWidth="1"/>
    <col min="5130" max="5130" width="9.140625" style="1803"/>
    <col min="5131" max="5132" width="16" style="1803" bestFit="1" customWidth="1"/>
    <col min="5133" max="5376" width="9.140625" style="1803"/>
    <col min="5377" max="5377" width="4.7109375" style="1803" customWidth="1"/>
    <col min="5378" max="5378" width="6.140625" style="1803" customWidth="1"/>
    <col min="5379" max="5379" width="10.28515625" style="1803" customWidth="1"/>
    <col min="5380" max="5380" width="40.42578125" style="1803" customWidth="1"/>
    <col min="5381" max="5381" width="10.42578125" style="1803" customWidth="1"/>
    <col min="5382" max="5382" width="15.85546875" style="1803" customWidth="1"/>
    <col min="5383" max="5383" width="13.85546875" style="1803" customWidth="1"/>
    <col min="5384" max="5384" width="6.42578125" style="1803" customWidth="1"/>
    <col min="5385" max="5385" width="14.28515625" style="1803" bestFit="1" customWidth="1"/>
    <col min="5386" max="5386" width="9.140625" style="1803"/>
    <col min="5387" max="5388" width="16" style="1803" bestFit="1" customWidth="1"/>
    <col min="5389" max="5632" width="9.140625" style="1803"/>
    <col min="5633" max="5633" width="4.7109375" style="1803" customWidth="1"/>
    <col min="5634" max="5634" width="6.140625" style="1803" customWidth="1"/>
    <col min="5635" max="5635" width="10.28515625" style="1803" customWidth="1"/>
    <col min="5636" max="5636" width="40.42578125" style="1803" customWidth="1"/>
    <col min="5637" max="5637" width="10.42578125" style="1803" customWidth="1"/>
    <col min="5638" max="5638" width="15.85546875" style="1803" customWidth="1"/>
    <col min="5639" max="5639" width="13.85546875" style="1803" customWidth="1"/>
    <col min="5640" max="5640" width="6.42578125" style="1803" customWidth="1"/>
    <col min="5641" max="5641" width="14.28515625" style="1803" bestFit="1" customWidth="1"/>
    <col min="5642" max="5642" width="9.140625" style="1803"/>
    <col min="5643" max="5644" width="16" style="1803" bestFit="1" customWidth="1"/>
    <col min="5645" max="5888" width="9.140625" style="1803"/>
    <col min="5889" max="5889" width="4.7109375" style="1803" customWidth="1"/>
    <col min="5890" max="5890" width="6.140625" style="1803" customWidth="1"/>
    <col min="5891" max="5891" width="10.28515625" style="1803" customWidth="1"/>
    <col min="5892" max="5892" width="40.42578125" style="1803" customWidth="1"/>
    <col min="5893" max="5893" width="10.42578125" style="1803" customWidth="1"/>
    <col min="5894" max="5894" width="15.85546875" style="1803" customWidth="1"/>
    <col min="5895" max="5895" width="13.85546875" style="1803" customWidth="1"/>
    <col min="5896" max="5896" width="6.42578125" style="1803" customWidth="1"/>
    <col min="5897" max="5897" width="14.28515625" style="1803" bestFit="1" customWidth="1"/>
    <col min="5898" max="5898" width="9.140625" style="1803"/>
    <col min="5899" max="5900" width="16" style="1803" bestFit="1" customWidth="1"/>
    <col min="5901" max="6144" width="9.140625" style="1803"/>
    <col min="6145" max="6145" width="4.7109375" style="1803" customWidth="1"/>
    <col min="6146" max="6146" width="6.140625" style="1803" customWidth="1"/>
    <col min="6147" max="6147" width="10.28515625" style="1803" customWidth="1"/>
    <col min="6148" max="6148" width="40.42578125" style="1803" customWidth="1"/>
    <col min="6149" max="6149" width="10.42578125" style="1803" customWidth="1"/>
    <col min="6150" max="6150" width="15.85546875" style="1803" customWidth="1"/>
    <col min="6151" max="6151" width="13.85546875" style="1803" customWidth="1"/>
    <col min="6152" max="6152" width="6.42578125" style="1803" customWidth="1"/>
    <col min="6153" max="6153" width="14.28515625" style="1803" bestFit="1" customWidth="1"/>
    <col min="6154" max="6154" width="9.140625" style="1803"/>
    <col min="6155" max="6156" width="16" style="1803" bestFit="1" customWidth="1"/>
    <col min="6157" max="6400" width="9.140625" style="1803"/>
    <col min="6401" max="6401" width="4.7109375" style="1803" customWidth="1"/>
    <col min="6402" max="6402" width="6.140625" style="1803" customWidth="1"/>
    <col min="6403" max="6403" width="10.28515625" style="1803" customWidth="1"/>
    <col min="6404" max="6404" width="40.42578125" style="1803" customWidth="1"/>
    <col min="6405" max="6405" width="10.42578125" style="1803" customWidth="1"/>
    <col min="6406" max="6406" width="15.85546875" style="1803" customWidth="1"/>
    <col min="6407" max="6407" width="13.85546875" style="1803" customWidth="1"/>
    <col min="6408" max="6408" width="6.42578125" style="1803" customWidth="1"/>
    <col min="6409" max="6409" width="14.28515625" style="1803" bestFit="1" customWidth="1"/>
    <col min="6410" max="6410" width="9.140625" style="1803"/>
    <col min="6411" max="6412" width="16" style="1803" bestFit="1" customWidth="1"/>
    <col min="6413" max="6656" width="9.140625" style="1803"/>
    <col min="6657" max="6657" width="4.7109375" style="1803" customWidth="1"/>
    <col min="6658" max="6658" width="6.140625" style="1803" customWidth="1"/>
    <col min="6659" max="6659" width="10.28515625" style="1803" customWidth="1"/>
    <col min="6660" max="6660" width="40.42578125" style="1803" customWidth="1"/>
    <col min="6661" max="6661" width="10.42578125" style="1803" customWidth="1"/>
    <col min="6662" max="6662" width="15.85546875" style="1803" customWidth="1"/>
    <col min="6663" max="6663" width="13.85546875" style="1803" customWidth="1"/>
    <col min="6664" max="6664" width="6.42578125" style="1803" customWidth="1"/>
    <col min="6665" max="6665" width="14.28515625" style="1803" bestFit="1" customWidth="1"/>
    <col min="6666" max="6666" width="9.140625" style="1803"/>
    <col min="6667" max="6668" width="16" style="1803" bestFit="1" customWidth="1"/>
    <col min="6669" max="6912" width="9.140625" style="1803"/>
    <col min="6913" max="6913" width="4.7109375" style="1803" customWidth="1"/>
    <col min="6914" max="6914" width="6.140625" style="1803" customWidth="1"/>
    <col min="6915" max="6915" width="10.28515625" style="1803" customWidth="1"/>
    <col min="6916" max="6916" width="40.42578125" style="1803" customWidth="1"/>
    <col min="6917" max="6917" width="10.42578125" style="1803" customWidth="1"/>
    <col min="6918" max="6918" width="15.85546875" style="1803" customWidth="1"/>
    <col min="6919" max="6919" width="13.85546875" style="1803" customWidth="1"/>
    <col min="6920" max="6920" width="6.42578125" style="1803" customWidth="1"/>
    <col min="6921" max="6921" width="14.28515625" style="1803" bestFit="1" customWidth="1"/>
    <col min="6922" max="6922" width="9.140625" style="1803"/>
    <col min="6923" max="6924" width="16" style="1803" bestFit="1" customWidth="1"/>
    <col min="6925" max="7168" width="9.140625" style="1803"/>
    <col min="7169" max="7169" width="4.7109375" style="1803" customWidth="1"/>
    <col min="7170" max="7170" width="6.140625" style="1803" customWidth="1"/>
    <col min="7171" max="7171" width="10.28515625" style="1803" customWidth="1"/>
    <col min="7172" max="7172" width="40.42578125" style="1803" customWidth="1"/>
    <col min="7173" max="7173" width="10.42578125" style="1803" customWidth="1"/>
    <col min="7174" max="7174" width="15.85546875" style="1803" customWidth="1"/>
    <col min="7175" max="7175" width="13.85546875" style="1803" customWidth="1"/>
    <col min="7176" max="7176" width="6.42578125" style="1803" customWidth="1"/>
    <col min="7177" max="7177" width="14.28515625" style="1803" bestFit="1" customWidth="1"/>
    <col min="7178" max="7178" width="9.140625" style="1803"/>
    <col min="7179" max="7180" width="16" style="1803" bestFit="1" customWidth="1"/>
    <col min="7181" max="7424" width="9.140625" style="1803"/>
    <col min="7425" max="7425" width="4.7109375" style="1803" customWidth="1"/>
    <col min="7426" max="7426" width="6.140625" style="1803" customWidth="1"/>
    <col min="7427" max="7427" width="10.28515625" style="1803" customWidth="1"/>
    <col min="7428" max="7428" width="40.42578125" style="1803" customWidth="1"/>
    <col min="7429" max="7429" width="10.42578125" style="1803" customWidth="1"/>
    <col min="7430" max="7430" width="15.85546875" style="1803" customWidth="1"/>
    <col min="7431" max="7431" width="13.85546875" style="1803" customWidth="1"/>
    <col min="7432" max="7432" width="6.42578125" style="1803" customWidth="1"/>
    <col min="7433" max="7433" width="14.28515625" style="1803" bestFit="1" customWidth="1"/>
    <col min="7434" max="7434" width="9.140625" style="1803"/>
    <col min="7435" max="7436" width="16" style="1803" bestFit="1" customWidth="1"/>
    <col min="7437" max="7680" width="9.140625" style="1803"/>
    <col min="7681" max="7681" width="4.7109375" style="1803" customWidth="1"/>
    <col min="7682" max="7682" width="6.140625" style="1803" customWidth="1"/>
    <col min="7683" max="7683" width="10.28515625" style="1803" customWidth="1"/>
    <col min="7684" max="7684" width="40.42578125" style="1803" customWidth="1"/>
    <col min="7685" max="7685" width="10.42578125" style="1803" customWidth="1"/>
    <col min="7686" max="7686" width="15.85546875" style="1803" customWidth="1"/>
    <col min="7687" max="7687" width="13.85546875" style="1803" customWidth="1"/>
    <col min="7688" max="7688" width="6.42578125" style="1803" customWidth="1"/>
    <col min="7689" max="7689" width="14.28515625" style="1803" bestFit="1" customWidth="1"/>
    <col min="7690" max="7690" width="9.140625" style="1803"/>
    <col min="7691" max="7692" width="16" style="1803" bestFit="1" customWidth="1"/>
    <col min="7693" max="7936" width="9.140625" style="1803"/>
    <col min="7937" max="7937" width="4.7109375" style="1803" customWidth="1"/>
    <col min="7938" max="7938" width="6.140625" style="1803" customWidth="1"/>
    <col min="7939" max="7939" width="10.28515625" style="1803" customWidth="1"/>
    <col min="7940" max="7940" width="40.42578125" style="1803" customWidth="1"/>
    <col min="7941" max="7941" width="10.42578125" style="1803" customWidth="1"/>
    <col min="7942" max="7942" width="15.85546875" style="1803" customWidth="1"/>
    <col min="7943" max="7943" width="13.85546875" style="1803" customWidth="1"/>
    <col min="7944" max="7944" width="6.42578125" style="1803" customWidth="1"/>
    <col min="7945" max="7945" width="14.28515625" style="1803" bestFit="1" customWidth="1"/>
    <col min="7946" max="7946" width="9.140625" style="1803"/>
    <col min="7947" max="7948" width="16" style="1803" bestFit="1" customWidth="1"/>
    <col min="7949" max="8192" width="9.140625" style="1803"/>
    <col min="8193" max="8193" width="4.7109375" style="1803" customWidth="1"/>
    <col min="8194" max="8194" width="6.140625" style="1803" customWidth="1"/>
    <col min="8195" max="8195" width="10.28515625" style="1803" customWidth="1"/>
    <col min="8196" max="8196" width="40.42578125" style="1803" customWidth="1"/>
    <col min="8197" max="8197" width="10.42578125" style="1803" customWidth="1"/>
    <col min="8198" max="8198" width="15.85546875" style="1803" customWidth="1"/>
    <col min="8199" max="8199" width="13.85546875" style="1803" customWidth="1"/>
    <col min="8200" max="8200" width="6.42578125" style="1803" customWidth="1"/>
    <col min="8201" max="8201" width="14.28515625" style="1803" bestFit="1" customWidth="1"/>
    <col min="8202" max="8202" width="9.140625" style="1803"/>
    <col min="8203" max="8204" width="16" style="1803" bestFit="1" customWidth="1"/>
    <col min="8205" max="8448" width="9.140625" style="1803"/>
    <col min="8449" max="8449" width="4.7109375" style="1803" customWidth="1"/>
    <col min="8450" max="8450" width="6.140625" style="1803" customWidth="1"/>
    <col min="8451" max="8451" width="10.28515625" style="1803" customWidth="1"/>
    <col min="8452" max="8452" width="40.42578125" style="1803" customWidth="1"/>
    <col min="8453" max="8453" width="10.42578125" style="1803" customWidth="1"/>
    <col min="8454" max="8454" width="15.85546875" style="1803" customWidth="1"/>
    <col min="8455" max="8455" width="13.85546875" style="1803" customWidth="1"/>
    <col min="8456" max="8456" width="6.42578125" style="1803" customWidth="1"/>
    <col min="8457" max="8457" width="14.28515625" style="1803" bestFit="1" customWidth="1"/>
    <col min="8458" max="8458" width="9.140625" style="1803"/>
    <col min="8459" max="8460" width="16" style="1803" bestFit="1" customWidth="1"/>
    <col min="8461" max="8704" width="9.140625" style="1803"/>
    <col min="8705" max="8705" width="4.7109375" style="1803" customWidth="1"/>
    <col min="8706" max="8706" width="6.140625" style="1803" customWidth="1"/>
    <col min="8707" max="8707" width="10.28515625" style="1803" customWidth="1"/>
    <col min="8708" max="8708" width="40.42578125" style="1803" customWidth="1"/>
    <col min="8709" max="8709" width="10.42578125" style="1803" customWidth="1"/>
    <col min="8710" max="8710" width="15.85546875" style="1803" customWidth="1"/>
    <col min="8711" max="8711" width="13.85546875" style="1803" customWidth="1"/>
    <col min="8712" max="8712" width="6.42578125" style="1803" customWidth="1"/>
    <col min="8713" max="8713" width="14.28515625" style="1803" bestFit="1" customWidth="1"/>
    <col min="8714" max="8714" width="9.140625" style="1803"/>
    <col min="8715" max="8716" width="16" style="1803" bestFit="1" customWidth="1"/>
    <col min="8717" max="8960" width="9.140625" style="1803"/>
    <col min="8961" max="8961" width="4.7109375" style="1803" customWidth="1"/>
    <col min="8962" max="8962" width="6.140625" style="1803" customWidth="1"/>
    <col min="8963" max="8963" width="10.28515625" style="1803" customWidth="1"/>
    <col min="8964" max="8964" width="40.42578125" style="1803" customWidth="1"/>
    <col min="8965" max="8965" width="10.42578125" style="1803" customWidth="1"/>
    <col min="8966" max="8966" width="15.85546875" style="1803" customWidth="1"/>
    <col min="8967" max="8967" width="13.85546875" style="1803" customWidth="1"/>
    <col min="8968" max="8968" width="6.42578125" style="1803" customWidth="1"/>
    <col min="8969" max="8969" width="14.28515625" style="1803" bestFit="1" customWidth="1"/>
    <col min="8970" max="8970" width="9.140625" style="1803"/>
    <col min="8971" max="8972" width="16" style="1803" bestFit="1" customWidth="1"/>
    <col min="8973" max="9216" width="9.140625" style="1803"/>
    <col min="9217" max="9217" width="4.7109375" style="1803" customWidth="1"/>
    <col min="9218" max="9218" width="6.140625" style="1803" customWidth="1"/>
    <col min="9219" max="9219" width="10.28515625" style="1803" customWidth="1"/>
    <col min="9220" max="9220" width="40.42578125" style="1803" customWidth="1"/>
    <col min="9221" max="9221" width="10.42578125" style="1803" customWidth="1"/>
    <col min="9222" max="9222" width="15.85546875" style="1803" customWidth="1"/>
    <col min="9223" max="9223" width="13.85546875" style="1803" customWidth="1"/>
    <col min="9224" max="9224" width="6.42578125" style="1803" customWidth="1"/>
    <col min="9225" max="9225" width="14.28515625" style="1803" bestFit="1" customWidth="1"/>
    <col min="9226" max="9226" width="9.140625" style="1803"/>
    <col min="9227" max="9228" width="16" style="1803" bestFit="1" customWidth="1"/>
    <col min="9229" max="9472" width="9.140625" style="1803"/>
    <col min="9473" max="9473" width="4.7109375" style="1803" customWidth="1"/>
    <col min="9474" max="9474" width="6.140625" style="1803" customWidth="1"/>
    <col min="9475" max="9475" width="10.28515625" style="1803" customWidth="1"/>
    <col min="9476" max="9476" width="40.42578125" style="1803" customWidth="1"/>
    <col min="9477" max="9477" width="10.42578125" style="1803" customWidth="1"/>
    <col min="9478" max="9478" width="15.85546875" style="1803" customWidth="1"/>
    <col min="9479" max="9479" width="13.85546875" style="1803" customWidth="1"/>
    <col min="9480" max="9480" width="6.42578125" style="1803" customWidth="1"/>
    <col min="9481" max="9481" width="14.28515625" style="1803" bestFit="1" customWidth="1"/>
    <col min="9482" max="9482" width="9.140625" style="1803"/>
    <col min="9483" max="9484" width="16" style="1803" bestFit="1" customWidth="1"/>
    <col min="9485" max="9728" width="9.140625" style="1803"/>
    <col min="9729" max="9729" width="4.7109375" style="1803" customWidth="1"/>
    <col min="9730" max="9730" width="6.140625" style="1803" customWidth="1"/>
    <col min="9731" max="9731" width="10.28515625" style="1803" customWidth="1"/>
    <col min="9732" max="9732" width="40.42578125" style="1803" customWidth="1"/>
    <col min="9733" max="9733" width="10.42578125" style="1803" customWidth="1"/>
    <col min="9734" max="9734" width="15.85546875" style="1803" customWidth="1"/>
    <col min="9735" max="9735" width="13.85546875" style="1803" customWidth="1"/>
    <col min="9736" max="9736" width="6.42578125" style="1803" customWidth="1"/>
    <col min="9737" max="9737" width="14.28515625" style="1803" bestFit="1" customWidth="1"/>
    <col min="9738" max="9738" width="9.140625" style="1803"/>
    <col min="9739" max="9740" width="16" style="1803" bestFit="1" customWidth="1"/>
    <col min="9741" max="9984" width="9.140625" style="1803"/>
    <col min="9985" max="9985" width="4.7109375" style="1803" customWidth="1"/>
    <col min="9986" max="9986" width="6.140625" style="1803" customWidth="1"/>
    <col min="9987" max="9987" width="10.28515625" style="1803" customWidth="1"/>
    <col min="9988" max="9988" width="40.42578125" style="1803" customWidth="1"/>
    <col min="9989" max="9989" width="10.42578125" style="1803" customWidth="1"/>
    <col min="9990" max="9990" width="15.85546875" style="1803" customWidth="1"/>
    <col min="9991" max="9991" width="13.85546875" style="1803" customWidth="1"/>
    <col min="9992" max="9992" width="6.42578125" style="1803" customWidth="1"/>
    <col min="9993" max="9993" width="14.28515625" style="1803" bestFit="1" customWidth="1"/>
    <col min="9994" max="9994" width="9.140625" style="1803"/>
    <col min="9995" max="9996" width="16" style="1803" bestFit="1" customWidth="1"/>
    <col min="9997" max="10240" width="9.140625" style="1803"/>
    <col min="10241" max="10241" width="4.7109375" style="1803" customWidth="1"/>
    <col min="10242" max="10242" width="6.140625" style="1803" customWidth="1"/>
    <col min="10243" max="10243" width="10.28515625" style="1803" customWidth="1"/>
    <col min="10244" max="10244" width="40.42578125" style="1803" customWidth="1"/>
    <col min="10245" max="10245" width="10.42578125" style="1803" customWidth="1"/>
    <col min="10246" max="10246" width="15.85546875" style="1803" customWidth="1"/>
    <col min="10247" max="10247" width="13.85546875" style="1803" customWidth="1"/>
    <col min="10248" max="10248" width="6.42578125" style="1803" customWidth="1"/>
    <col min="10249" max="10249" width="14.28515625" style="1803" bestFit="1" customWidth="1"/>
    <col min="10250" max="10250" width="9.140625" style="1803"/>
    <col min="10251" max="10252" width="16" style="1803" bestFit="1" customWidth="1"/>
    <col min="10253" max="10496" width="9.140625" style="1803"/>
    <col min="10497" max="10497" width="4.7109375" style="1803" customWidth="1"/>
    <col min="10498" max="10498" width="6.140625" style="1803" customWidth="1"/>
    <col min="10499" max="10499" width="10.28515625" style="1803" customWidth="1"/>
    <col min="10500" max="10500" width="40.42578125" style="1803" customWidth="1"/>
    <col min="10501" max="10501" width="10.42578125" style="1803" customWidth="1"/>
    <col min="10502" max="10502" width="15.85546875" style="1803" customWidth="1"/>
    <col min="10503" max="10503" width="13.85546875" style="1803" customWidth="1"/>
    <col min="10504" max="10504" width="6.42578125" style="1803" customWidth="1"/>
    <col min="10505" max="10505" width="14.28515625" style="1803" bestFit="1" customWidth="1"/>
    <col min="10506" max="10506" width="9.140625" style="1803"/>
    <col min="10507" max="10508" width="16" style="1803" bestFit="1" customWidth="1"/>
    <col min="10509" max="10752" width="9.140625" style="1803"/>
    <col min="10753" max="10753" width="4.7109375" style="1803" customWidth="1"/>
    <col min="10754" max="10754" width="6.140625" style="1803" customWidth="1"/>
    <col min="10755" max="10755" width="10.28515625" style="1803" customWidth="1"/>
    <col min="10756" max="10756" width="40.42578125" style="1803" customWidth="1"/>
    <col min="10757" max="10757" width="10.42578125" style="1803" customWidth="1"/>
    <col min="10758" max="10758" width="15.85546875" style="1803" customWidth="1"/>
    <col min="10759" max="10759" width="13.85546875" style="1803" customWidth="1"/>
    <col min="10760" max="10760" width="6.42578125" style="1803" customWidth="1"/>
    <col min="10761" max="10761" width="14.28515625" style="1803" bestFit="1" customWidth="1"/>
    <col min="10762" max="10762" width="9.140625" style="1803"/>
    <col min="10763" max="10764" width="16" style="1803" bestFit="1" customWidth="1"/>
    <col min="10765" max="11008" width="9.140625" style="1803"/>
    <col min="11009" max="11009" width="4.7109375" style="1803" customWidth="1"/>
    <col min="11010" max="11010" width="6.140625" style="1803" customWidth="1"/>
    <col min="11011" max="11011" width="10.28515625" style="1803" customWidth="1"/>
    <col min="11012" max="11012" width="40.42578125" style="1803" customWidth="1"/>
    <col min="11013" max="11013" width="10.42578125" style="1803" customWidth="1"/>
    <col min="11014" max="11014" width="15.85546875" style="1803" customWidth="1"/>
    <col min="11015" max="11015" width="13.85546875" style="1803" customWidth="1"/>
    <col min="11016" max="11016" width="6.42578125" style="1803" customWidth="1"/>
    <col min="11017" max="11017" width="14.28515625" style="1803" bestFit="1" customWidth="1"/>
    <col min="11018" max="11018" width="9.140625" style="1803"/>
    <col min="11019" max="11020" width="16" style="1803" bestFit="1" customWidth="1"/>
    <col min="11021" max="11264" width="9.140625" style="1803"/>
    <col min="11265" max="11265" width="4.7109375" style="1803" customWidth="1"/>
    <col min="11266" max="11266" width="6.140625" style="1803" customWidth="1"/>
    <col min="11267" max="11267" width="10.28515625" style="1803" customWidth="1"/>
    <col min="11268" max="11268" width="40.42578125" style="1803" customWidth="1"/>
    <col min="11269" max="11269" width="10.42578125" style="1803" customWidth="1"/>
    <col min="11270" max="11270" width="15.85546875" style="1803" customWidth="1"/>
    <col min="11271" max="11271" width="13.85546875" style="1803" customWidth="1"/>
    <col min="11272" max="11272" width="6.42578125" style="1803" customWidth="1"/>
    <col min="11273" max="11273" width="14.28515625" style="1803" bestFit="1" customWidth="1"/>
    <col min="11274" max="11274" width="9.140625" style="1803"/>
    <col min="11275" max="11276" width="16" style="1803" bestFit="1" customWidth="1"/>
    <col min="11277" max="11520" width="9.140625" style="1803"/>
    <col min="11521" max="11521" width="4.7109375" style="1803" customWidth="1"/>
    <col min="11522" max="11522" width="6.140625" style="1803" customWidth="1"/>
    <col min="11523" max="11523" width="10.28515625" style="1803" customWidth="1"/>
    <col min="11524" max="11524" width="40.42578125" style="1803" customWidth="1"/>
    <col min="11525" max="11525" width="10.42578125" style="1803" customWidth="1"/>
    <col min="11526" max="11526" width="15.85546875" style="1803" customWidth="1"/>
    <col min="11527" max="11527" width="13.85546875" style="1803" customWidth="1"/>
    <col min="11528" max="11528" width="6.42578125" style="1803" customWidth="1"/>
    <col min="11529" max="11529" width="14.28515625" style="1803" bestFit="1" customWidth="1"/>
    <col min="11530" max="11530" width="9.140625" style="1803"/>
    <col min="11531" max="11532" width="16" style="1803" bestFit="1" customWidth="1"/>
    <col min="11533" max="11776" width="9.140625" style="1803"/>
    <col min="11777" max="11777" width="4.7109375" style="1803" customWidth="1"/>
    <col min="11778" max="11778" width="6.140625" style="1803" customWidth="1"/>
    <col min="11779" max="11779" width="10.28515625" style="1803" customWidth="1"/>
    <col min="11780" max="11780" width="40.42578125" style="1803" customWidth="1"/>
    <col min="11781" max="11781" width="10.42578125" style="1803" customWidth="1"/>
    <col min="11782" max="11782" width="15.85546875" style="1803" customWidth="1"/>
    <col min="11783" max="11783" width="13.85546875" style="1803" customWidth="1"/>
    <col min="11784" max="11784" width="6.42578125" style="1803" customWidth="1"/>
    <col min="11785" max="11785" width="14.28515625" style="1803" bestFit="1" customWidth="1"/>
    <col min="11786" max="11786" width="9.140625" style="1803"/>
    <col min="11787" max="11788" width="16" style="1803" bestFit="1" customWidth="1"/>
    <col min="11789" max="12032" width="9.140625" style="1803"/>
    <col min="12033" max="12033" width="4.7109375" style="1803" customWidth="1"/>
    <col min="12034" max="12034" width="6.140625" style="1803" customWidth="1"/>
    <col min="12035" max="12035" width="10.28515625" style="1803" customWidth="1"/>
    <col min="12036" max="12036" width="40.42578125" style="1803" customWidth="1"/>
    <col min="12037" max="12037" width="10.42578125" style="1803" customWidth="1"/>
    <col min="12038" max="12038" width="15.85546875" style="1803" customWidth="1"/>
    <col min="12039" max="12039" width="13.85546875" style="1803" customWidth="1"/>
    <col min="12040" max="12040" width="6.42578125" style="1803" customWidth="1"/>
    <col min="12041" max="12041" width="14.28515625" style="1803" bestFit="1" customWidth="1"/>
    <col min="12042" max="12042" width="9.140625" style="1803"/>
    <col min="12043" max="12044" width="16" style="1803" bestFit="1" customWidth="1"/>
    <col min="12045" max="12288" width="9.140625" style="1803"/>
    <col min="12289" max="12289" width="4.7109375" style="1803" customWidth="1"/>
    <col min="12290" max="12290" width="6.140625" style="1803" customWidth="1"/>
    <col min="12291" max="12291" width="10.28515625" style="1803" customWidth="1"/>
    <col min="12292" max="12292" width="40.42578125" style="1803" customWidth="1"/>
    <col min="12293" max="12293" width="10.42578125" style="1803" customWidth="1"/>
    <col min="12294" max="12294" width="15.85546875" style="1803" customWidth="1"/>
    <col min="12295" max="12295" width="13.85546875" style="1803" customWidth="1"/>
    <col min="12296" max="12296" width="6.42578125" style="1803" customWidth="1"/>
    <col min="12297" max="12297" width="14.28515625" style="1803" bestFit="1" customWidth="1"/>
    <col min="12298" max="12298" width="9.140625" style="1803"/>
    <col min="12299" max="12300" width="16" style="1803" bestFit="1" customWidth="1"/>
    <col min="12301" max="12544" width="9.140625" style="1803"/>
    <col min="12545" max="12545" width="4.7109375" style="1803" customWidth="1"/>
    <col min="12546" max="12546" width="6.140625" style="1803" customWidth="1"/>
    <col min="12547" max="12547" width="10.28515625" style="1803" customWidth="1"/>
    <col min="12548" max="12548" width="40.42578125" style="1803" customWidth="1"/>
    <col min="12549" max="12549" width="10.42578125" style="1803" customWidth="1"/>
    <col min="12550" max="12550" width="15.85546875" style="1803" customWidth="1"/>
    <col min="12551" max="12551" width="13.85546875" style="1803" customWidth="1"/>
    <col min="12552" max="12552" width="6.42578125" style="1803" customWidth="1"/>
    <col min="12553" max="12553" width="14.28515625" style="1803" bestFit="1" customWidth="1"/>
    <col min="12554" max="12554" width="9.140625" style="1803"/>
    <col min="12555" max="12556" width="16" style="1803" bestFit="1" customWidth="1"/>
    <col min="12557" max="12800" width="9.140625" style="1803"/>
    <col min="12801" max="12801" width="4.7109375" style="1803" customWidth="1"/>
    <col min="12802" max="12802" width="6.140625" style="1803" customWidth="1"/>
    <col min="12803" max="12803" width="10.28515625" style="1803" customWidth="1"/>
    <col min="12804" max="12804" width="40.42578125" style="1803" customWidth="1"/>
    <col min="12805" max="12805" width="10.42578125" style="1803" customWidth="1"/>
    <col min="12806" max="12806" width="15.85546875" style="1803" customWidth="1"/>
    <col min="12807" max="12807" width="13.85546875" style="1803" customWidth="1"/>
    <col min="12808" max="12808" width="6.42578125" style="1803" customWidth="1"/>
    <col min="12809" max="12809" width="14.28515625" style="1803" bestFit="1" customWidth="1"/>
    <col min="12810" max="12810" width="9.140625" style="1803"/>
    <col min="12811" max="12812" width="16" style="1803" bestFit="1" customWidth="1"/>
    <col min="12813" max="13056" width="9.140625" style="1803"/>
    <col min="13057" max="13057" width="4.7109375" style="1803" customWidth="1"/>
    <col min="13058" max="13058" width="6.140625" style="1803" customWidth="1"/>
    <col min="13059" max="13059" width="10.28515625" style="1803" customWidth="1"/>
    <col min="13060" max="13060" width="40.42578125" style="1803" customWidth="1"/>
    <col min="13061" max="13061" width="10.42578125" style="1803" customWidth="1"/>
    <col min="13062" max="13062" width="15.85546875" style="1803" customWidth="1"/>
    <col min="13063" max="13063" width="13.85546875" style="1803" customWidth="1"/>
    <col min="13064" max="13064" width="6.42578125" style="1803" customWidth="1"/>
    <col min="13065" max="13065" width="14.28515625" style="1803" bestFit="1" customWidth="1"/>
    <col min="13066" max="13066" width="9.140625" style="1803"/>
    <col min="13067" max="13068" width="16" style="1803" bestFit="1" customWidth="1"/>
    <col min="13069" max="13312" width="9.140625" style="1803"/>
    <col min="13313" max="13313" width="4.7109375" style="1803" customWidth="1"/>
    <col min="13314" max="13314" width="6.140625" style="1803" customWidth="1"/>
    <col min="13315" max="13315" width="10.28515625" style="1803" customWidth="1"/>
    <col min="13316" max="13316" width="40.42578125" style="1803" customWidth="1"/>
    <col min="13317" max="13317" width="10.42578125" style="1803" customWidth="1"/>
    <col min="13318" max="13318" width="15.85546875" style="1803" customWidth="1"/>
    <col min="13319" max="13319" width="13.85546875" style="1803" customWidth="1"/>
    <col min="13320" max="13320" width="6.42578125" style="1803" customWidth="1"/>
    <col min="13321" max="13321" width="14.28515625" style="1803" bestFit="1" customWidth="1"/>
    <col min="13322" max="13322" width="9.140625" style="1803"/>
    <col min="13323" max="13324" width="16" style="1803" bestFit="1" customWidth="1"/>
    <col min="13325" max="13568" width="9.140625" style="1803"/>
    <col min="13569" max="13569" width="4.7109375" style="1803" customWidth="1"/>
    <col min="13570" max="13570" width="6.140625" style="1803" customWidth="1"/>
    <col min="13571" max="13571" width="10.28515625" style="1803" customWidth="1"/>
    <col min="13572" max="13572" width="40.42578125" style="1803" customWidth="1"/>
    <col min="13573" max="13573" width="10.42578125" style="1803" customWidth="1"/>
    <col min="13574" max="13574" width="15.85546875" style="1803" customWidth="1"/>
    <col min="13575" max="13575" width="13.85546875" style="1803" customWidth="1"/>
    <col min="13576" max="13576" width="6.42578125" style="1803" customWidth="1"/>
    <col min="13577" max="13577" width="14.28515625" style="1803" bestFit="1" customWidth="1"/>
    <col min="13578" max="13578" width="9.140625" style="1803"/>
    <col min="13579" max="13580" width="16" style="1803" bestFit="1" customWidth="1"/>
    <col min="13581" max="13824" width="9.140625" style="1803"/>
    <col min="13825" max="13825" width="4.7109375" style="1803" customWidth="1"/>
    <col min="13826" max="13826" width="6.140625" style="1803" customWidth="1"/>
    <col min="13827" max="13827" width="10.28515625" style="1803" customWidth="1"/>
    <col min="13828" max="13828" width="40.42578125" style="1803" customWidth="1"/>
    <col min="13829" max="13829" width="10.42578125" style="1803" customWidth="1"/>
    <col min="13830" max="13830" width="15.85546875" style="1803" customWidth="1"/>
    <col min="13831" max="13831" width="13.85546875" style="1803" customWidth="1"/>
    <col min="13832" max="13832" width="6.42578125" style="1803" customWidth="1"/>
    <col min="13833" max="13833" width="14.28515625" style="1803" bestFit="1" customWidth="1"/>
    <col min="13834" max="13834" width="9.140625" style="1803"/>
    <col min="13835" max="13836" width="16" style="1803" bestFit="1" customWidth="1"/>
    <col min="13837" max="14080" width="9.140625" style="1803"/>
    <col min="14081" max="14081" width="4.7109375" style="1803" customWidth="1"/>
    <col min="14082" max="14082" width="6.140625" style="1803" customWidth="1"/>
    <col min="14083" max="14083" width="10.28515625" style="1803" customWidth="1"/>
    <col min="14084" max="14084" width="40.42578125" style="1803" customWidth="1"/>
    <col min="14085" max="14085" width="10.42578125" style="1803" customWidth="1"/>
    <col min="14086" max="14086" width="15.85546875" style="1803" customWidth="1"/>
    <col min="14087" max="14087" width="13.85546875" style="1803" customWidth="1"/>
    <col min="14088" max="14088" width="6.42578125" style="1803" customWidth="1"/>
    <col min="14089" max="14089" width="14.28515625" style="1803" bestFit="1" customWidth="1"/>
    <col min="14090" max="14090" width="9.140625" style="1803"/>
    <col min="14091" max="14092" width="16" style="1803" bestFit="1" customWidth="1"/>
    <col min="14093" max="14336" width="9.140625" style="1803"/>
    <col min="14337" max="14337" width="4.7109375" style="1803" customWidth="1"/>
    <col min="14338" max="14338" width="6.140625" style="1803" customWidth="1"/>
    <col min="14339" max="14339" width="10.28515625" style="1803" customWidth="1"/>
    <col min="14340" max="14340" width="40.42578125" style="1803" customWidth="1"/>
    <col min="14341" max="14341" width="10.42578125" style="1803" customWidth="1"/>
    <col min="14342" max="14342" width="15.85546875" style="1803" customWidth="1"/>
    <col min="14343" max="14343" width="13.85546875" style="1803" customWidth="1"/>
    <col min="14344" max="14344" width="6.42578125" style="1803" customWidth="1"/>
    <col min="14345" max="14345" width="14.28515625" style="1803" bestFit="1" customWidth="1"/>
    <col min="14346" max="14346" width="9.140625" style="1803"/>
    <col min="14347" max="14348" width="16" style="1803" bestFit="1" customWidth="1"/>
    <col min="14349" max="14592" width="9.140625" style="1803"/>
    <col min="14593" max="14593" width="4.7109375" style="1803" customWidth="1"/>
    <col min="14594" max="14594" width="6.140625" style="1803" customWidth="1"/>
    <col min="14595" max="14595" width="10.28515625" style="1803" customWidth="1"/>
    <col min="14596" max="14596" width="40.42578125" style="1803" customWidth="1"/>
    <col min="14597" max="14597" width="10.42578125" style="1803" customWidth="1"/>
    <col min="14598" max="14598" width="15.85546875" style="1803" customWidth="1"/>
    <col min="14599" max="14599" width="13.85546875" style="1803" customWidth="1"/>
    <col min="14600" max="14600" width="6.42578125" style="1803" customWidth="1"/>
    <col min="14601" max="14601" width="14.28515625" style="1803" bestFit="1" customWidth="1"/>
    <col min="14602" max="14602" width="9.140625" style="1803"/>
    <col min="14603" max="14604" width="16" style="1803" bestFit="1" customWidth="1"/>
    <col min="14605" max="14848" width="9.140625" style="1803"/>
    <col min="14849" max="14849" width="4.7109375" style="1803" customWidth="1"/>
    <col min="14850" max="14850" width="6.140625" style="1803" customWidth="1"/>
    <col min="14851" max="14851" width="10.28515625" style="1803" customWidth="1"/>
    <col min="14852" max="14852" width="40.42578125" style="1803" customWidth="1"/>
    <col min="14853" max="14853" width="10.42578125" style="1803" customWidth="1"/>
    <col min="14854" max="14854" width="15.85546875" style="1803" customWidth="1"/>
    <col min="14855" max="14855" width="13.85546875" style="1803" customWidth="1"/>
    <col min="14856" max="14856" width="6.42578125" style="1803" customWidth="1"/>
    <col min="14857" max="14857" width="14.28515625" style="1803" bestFit="1" customWidth="1"/>
    <col min="14858" max="14858" width="9.140625" style="1803"/>
    <col min="14859" max="14860" width="16" style="1803" bestFit="1" customWidth="1"/>
    <col min="14861" max="15104" width="9.140625" style="1803"/>
    <col min="15105" max="15105" width="4.7109375" style="1803" customWidth="1"/>
    <col min="15106" max="15106" width="6.140625" style="1803" customWidth="1"/>
    <col min="15107" max="15107" width="10.28515625" style="1803" customWidth="1"/>
    <col min="15108" max="15108" width="40.42578125" style="1803" customWidth="1"/>
    <col min="15109" max="15109" width="10.42578125" style="1803" customWidth="1"/>
    <col min="15110" max="15110" width="15.85546875" style="1803" customWidth="1"/>
    <col min="15111" max="15111" width="13.85546875" style="1803" customWidth="1"/>
    <col min="15112" max="15112" width="6.42578125" style="1803" customWidth="1"/>
    <col min="15113" max="15113" width="14.28515625" style="1803" bestFit="1" customWidth="1"/>
    <col min="15114" max="15114" width="9.140625" style="1803"/>
    <col min="15115" max="15116" width="16" style="1803" bestFit="1" customWidth="1"/>
    <col min="15117" max="15360" width="9.140625" style="1803"/>
    <col min="15361" max="15361" width="4.7109375" style="1803" customWidth="1"/>
    <col min="15362" max="15362" width="6.140625" style="1803" customWidth="1"/>
    <col min="15363" max="15363" width="10.28515625" style="1803" customWidth="1"/>
    <col min="15364" max="15364" width="40.42578125" style="1803" customWidth="1"/>
    <col min="15365" max="15365" width="10.42578125" style="1803" customWidth="1"/>
    <col min="15366" max="15366" width="15.85546875" style="1803" customWidth="1"/>
    <col min="15367" max="15367" width="13.85546875" style="1803" customWidth="1"/>
    <col min="15368" max="15368" width="6.42578125" style="1803" customWidth="1"/>
    <col min="15369" max="15369" width="14.28515625" style="1803" bestFit="1" customWidth="1"/>
    <col min="15370" max="15370" width="9.140625" style="1803"/>
    <col min="15371" max="15372" width="16" style="1803" bestFit="1" customWidth="1"/>
    <col min="15373" max="15616" width="9.140625" style="1803"/>
    <col min="15617" max="15617" width="4.7109375" style="1803" customWidth="1"/>
    <col min="15618" max="15618" width="6.140625" style="1803" customWidth="1"/>
    <col min="15619" max="15619" width="10.28515625" style="1803" customWidth="1"/>
    <col min="15620" max="15620" width="40.42578125" style="1803" customWidth="1"/>
    <col min="15621" max="15621" width="10.42578125" style="1803" customWidth="1"/>
    <col min="15622" max="15622" width="15.85546875" style="1803" customWidth="1"/>
    <col min="15623" max="15623" width="13.85546875" style="1803" customWidth="1"/>
    <col min="15624" max="15624" width="6.42578125" style="1803" customWidth="1"/>
    <col min="15625" max="15625" width="14.28515625" style="1803" bestFit="1" customWidth="1"/>
    <col min="15626" max="15626" width="9.140625" style="1803"/>
    <col min="15627" max="15628" width="16" style="1803" bestFit="1" customWidth="1"/>
    <col min="15629" max="15872" width="9.140625" style="1803"/>
    <col min="15873" max="15873" width="4.7109375" style="1803" customWidth="1"/>
    <col min="15874" max="15874" width="6.140625" style="1803" customWidth="1"/>
    <col min="15875" max="15875" width="10.28515625" style="1803" customWidth="1"/>
    <col min="15876" max="15876" width="40.42578125" style="1803" customWidth="1"/>
    <col min="15877" max="15877" width="10.42578125" style="1803" customWidth="1"/>
    <col min="15878" max="15878" width="15.85546875" style="1803" customWidth="1"/>
    <col min="15879" max="15879" width="13.85546875" style="1803" customWidth="1"/>
    <col min="15880" max="15880" width="6.42578125" style="1803" customWidth="1"/>
    <col min="15881" max="15881" width="14.28515625" style="1803" bestFit="1" customWidth="1"/>
    <col min="15882" max="15882" width="9.140625" style="1803"/>
    <col min="15883" max="15884" width="16" style="1803" bestFit="1" customWidth="1"/>
    <col min="15885" max="16128" width="9.140625" style="1803"/>
    <col min="16129" max="16129" width="4.7109375" style="1803" customWidth="1"/>
    <col min="16130" max="16130" width="6.140625" style="1803" customWidth="1"/>
    <col min="16131" max="16131" width="10.28515625" style="1803" customWidth="1"/>
    <col min="16132" max="16132" width="40.42578125" style="1803" customWidth="1"/>
    <col min="16133" max="16133" width="10.42578125" style="1803" customWidth="1"/>
    <col min="16134" max="16134" width="15.85546875" style="1803" customWidth="1"/>
    <col min="16135" max="16135" width="13.85546875" style="1803" customWidth="1"/>
    <col min="16136" max="16136" width="6.42578125" style="1803" customWidth="1"/>
    <col min="16137" max="16137" width="14.28515625" style="1803" bestFit="1" customWidth="1"/>
    <col min="16138" max="16138" width="9.140625" style="1803"/>
    <col min="16139" max="16140" width="16" style="1803" bestFit="1" customWidth="1"/>
    <col min="16141" max="16384" width="9.140625" style="1803"/>
  </cols>
  <sheetData>
    <row r="1" spans="1:8" ht="39" customHeight="1" thickBot="1" x14ac:dyDescent="0.25">
      <c r="A1" s="2753" t="s">
        <v>941</v>
      </c>
      <c r="B1" s="2753"/>
      <c r="C1" s="2753"/>
      <c r="D1" s="2753"/>
      <c r="E1" s="2753"/>
      <c r="F1" s="2753"/>
      <c r="G1" s="2753"/>
      <c r="H1" s="2753"/>
    </row>
    <row r="2" spans="1:8" ht="18" x14ac:dyDescent="0.25">
      <c r="A2" s="1807"/>
      <c r="B2" s="1831"/>
      <c r="C2" s="1831"/>
      <c r="D2" s="1831"/>
      <c r="E2" s="1831"/>
      <c r="F2" s="1831"/>
      <c r="G2" s="1831"/>
      <c r="H2" s="1876" t="s">
        <v>942</v>
      </c>
    </row>
    <row r="3" spans="1:8" ht="18" x14ac:dyDescent="0.25">
      <c r="A3" s="1705" t="s">
        <v>367</v>
      </c>
      <c r="B3" s="1831"/>
      <c r="C3" s="1801" t="s">
        <v>347</v>
      </c>
      <c r="D3" s="1831"/>
      <c r="E3" s="1831"/>
      <c r="F3" s="1831"/>
      <c r="G3" s="1831"/>
      <c r="H3" s="1876"/>
    </row>
    <row r="4" spans="1:8" ht="18" x14ac:dyDescent="0.25">
      <c r="A4" s="1807"/>
      <c r="B4" s="1831"/>
      <c r="C4" s="1801" t="s">
        <v>348</v>
      </c>
      <c r="D4" s="1831"/>
      <c r="E4" s="1831"/>
      <c r="F4" s="1831"/>
      <c r="G4" s="1831"/>
      <c r="H4" s="1876"/>
    </row>
    <row r="5" spans="1:8" ht="18" x14ac:dyDescent="0.25">
      <c r="A5" s="1806" t="s">
        <v>943</v>
      </c>
      <c r="B5" s="1831"/>
      <c r="C5" s="1831"/>
      <c r="D5" s="1831"/>
      <c r="E5" s="1831"/>
      <c r="F5" s="1831"/>
      <c r="G5" s="1831"/>
      <c r="H5" s="1876"/>
    </row>
    <row r="7" spans="1:8" ht="15.75" thickBot="1" x14ac:dyDescent="0.3">
      <c r="A7" s="1808" t="s">
        <v>250</v>
      </c>
      <c r="H7" s="1892" t="s">
        <v>161</v>
      </c>
    </row>
    <row r="8" spans="1:8" s="1638" customFormat="1" ht="25.5" thickTop="1" thickBot="1" x14ac:dyDescent="0.25">
      <c r="A8" s="1809" t="s">
        <v>162</v>
      </c>
      <c r="B8" s="1810" t="s">
        <v>761</v>
      </c>
      <c r="C8" s="1810" t="s">
        <v>377</v>
      </c>
      <c r="D8" s="1811" t="s">
        <v>164</v>
      </c>
      <c r="E8" s="1833" t="s">
        <v>632</v>
      </c>
      <c r="F8" s="1833" t="s">
        <v>633</v>
      </c>
      <c r="G8" s="1834" t="s">
        <v>882</v>
      </c>
      <c r="H8" s="1835" t="s">
        <v>883</v>
      </c>
    </row>
    <row r="9" spans="1:8" s="1638" customFormat="1" ht="13.5" thickTop="1" thickBot="1" x14ac:dyDescent="0.25">
      <c r="A9" s="1643">
        <v>1</v>
      </c>
      <c r="B9" s="1642">
        <v>2</v>
      </c>
      <c r="C9" s="1642">
        <v>3</v>
      </c>
      <c r="D9" s="1642">
        <v>4</v>
      </c>
      <c r="E9" s="1641">
        <v>5</v>
      </c>
      <c r="F9" s="1641">
        <v>6</v>
      </c>
      <c r="G9" s="1877">
        <v>7</v>
      </c>
      <c r="H9" s="1901" t="s">
        <v>61</v>
      </c>
    </row>
    <row r="10" spans="1:8" ht="45.75" thickTop="1" x14ac:dyDescent="0.2">
      <c r="A10" s="1896">
        <v>3299</v>
      </c>
      <c r="B10" s="1903">
        <v>5213</v>
      </c>
      <c r="C10" s="1906">
        <v>32133006</v>
      </c>
      <c r="D10" s="1855" t="s">
        <v>1261</v>
      </c>
      <c r="E10" s="1832">
        <v>0</v>
      </c>
      <c r="F10" s="1832">
        <v>34</v>
      </c>
      <c r="G10" s="1832">
        <v>34</v>
      </c>
      <c r="H10" s="1819">
        <f t="shared" ref="H10:H26" si="0">G10/F10*100</f>
        <v>100</v>
      </c>
    </row>
    <row r="11" spans="1:8" ht="45" x14ac:dyDescent="0.2">
      <c r="A11" s="1896">
        <v>3299</v>
      </c>
      <c r="B11" s="1903">
        <v>5213</v>
      </c>
      <c r="C11" s="1906">
        <v>32533006</v>
      </c>
      <c r="D11" s="1836" t="s">
        <v>1261</v>
      </c>
      <c r="E11" s="1845">
        <v>0</v>
      </c>
      <c r="F11" s="1845">
        <v>194</v>
      </c>
      <c r="G11" s="1845">
        <v>194</v>
      </c>
      <c r="H11" s="1821">
        <f t="shared" si="0"/>
        <v>100</v>
      </c>
    </row>
    <row r="12" spans="1:8" ht="30" hidden="1" x14ac:dyDescent="0.2">
      <c r="A12" s="1896">
        <v>3299</v>
      </c>
      <c r="B12" s="1903">
        <v>5221</v>
      </c>
      <c r="C12" s="1906">
        <v>32133006</v>
      </c>
      <c r="D12" s="1836" t="s">
        <v>1317</v>
      </c>
      <c r="E12" s="1845">
        <v>0</v>
      </c>
      <c r="F12" s="1845"/>
      <c r="G12" s="1845"/>
      <c r="H12" s="1821" t="e">
        <f t="shared" si="0"/>
        <v>#DIV/0!</v>
      </c>
    </row>
    <row r="13" spans="1:8" ht="30" hidden="1" x14ac:dyDescent="0.2">
      <c r="A13" s="1896">
        <v>3299</v>
      </c>
      <c r="B13" s="1903">
        <v>5221</v>
      </c>
      <c r="C13" s="1906">
        <v>32533006</v>
      </c>
      <c r="D13" s="1836" t="s">
        <v>1317</v>
      </c>
      <c r="E13" s="1845">
        <v>0</v>
      </c>
      <c r="F13" s="1845"/>
      <c r="G13" s="1845"/>
      <c r="H13" s="1821" t="e">
        <f t="shared" si="0"/>
        <v>#DIV/0!</v>
      </c>
    </row>
    <row r="14" spans="1:8" ht="30" hidden="1" x14ac:dyDescent="0.2">
      <c r="A14" s="1896">
        <v>3299</v>
      </c>
      <c r="B14" s="1903">
        <v>5222</v>
      </c>
      <c r="C14" s="1906">
        <v>32133006</v>
      </c>
      <c r="D14" s="1836" t="s">
        <v>221</v>
      </c>
      <c r="E14" s="1845">
        <v>0</v>
      </c>
      <c r="F14" s="1845"/>
      <c r="G14" s="1845"/>
      <c r="H14" s="1821" t="e">
        <f t="shared" si="0"/>
        <v>#DIV/0!</v>
      </c>
    </row>
    <row r="15" spans="1:8" ht="30" hidden="1" x14ac:dyDescent="0.2">
      <c r="A15" s="1896">
        <v>3299</v>
      </c>
      <c r="B15" s="1903">
        <v>5222</v>
      </c>
      <c r="C15" s="1906">
        <v>32533006</v>
      </c>
      <c r="D15" s="1836" t="s">
        <v>221</v>
      </c>
      <c r="E15" s="1845">
        <v>0</v>
      </c>
      <c r="F15" s="1845"/>
      <c r="G15" s="1845"/>
      <c r="H15" s="1821" t="e">
        <f t="shared" si="0"/>
        <v>#DIV/0!</v>
      </c>
    </row>
    <row r="16" spans="1:8" ht="15" x14ac:dyDescent="0.2">
      <c r="A16" s="1896">
        <v>3299</v>
      </c>
      <c r="B16" s="1903">
        <v>5901</v>
      </c>
      <c r="C16" s="1906">
        <v>32133006</v>
      </c>
      <c r="D16" s="1836" t="s">
        <v>602</v>
      </c>
      <c r="E16" s="1845">
        <v>0</v>
      </c>
      <c r="F16" s="1845">
        <v>789</v>
      </c>
      <c r="G16" s="1845">
        <v>0</v>
      </c>
      <c r="H16" s="1821">
        <f t="shared" si="0"/>
        <v>0</v>
      </c>
    </row>
    <row r="17" spans="1:9" ht="15" x14ac:dyDescent="0.2">
      <c r="A17" s="1896">
        <v>3299</v>
      </c>
      <c r="B17" s="1903">
        <v>5901</v>
      </c>
      <c r="C17" s="1906">
        <v>32533006</v>
      </c>
      <c r="D17" s="1836" t="s">
        <v>602</v>
      </c>
      <c r="E17" s="1845">
        <v>0</v>
      </c>
      <c r="F17" s="1845">
        <v>4474</v>
      </c>
      <c r="G17" s="1845">
        <v>0</v>
      </c>
      <c r="H17" s="1821">
        <f t="shared" si="0"/>
        <v>0</v>
      </c>
    </row>
    <row r="18" spans="1:9" ht="45" hidden="1" x14ac:dyDescent="0.2">
      <c r="A18" s="1896">
        <v>3299</v>
      </c>
      <c r="B18" s="1903">
        <v>5901</v>
      </c>
      <c r="C18" s="1906">
        <v>32133006</v>
      </c>
      <c r="D18" s="1836" t="s">
        <v>87</v>
      </c>
      <c r="E18" s="1845">
        <v>0</v>
      </c>
      <c r="F18" s="1845">
        <v>0</v>
      </c>
      <c r="G18" s="1845">
        <v>0</v>
      </c>
      <c r="H18" s="1821" t="e">
        <f t="shared" si="0"/>
        <v>#DIV/0!</v>
      </c>
    </row>
    <row r="19" spans="1:9" ht="45" hidden="1" x14ac:dyDescent="0.2">
      <c r="A19" s="1896">
        <v>3299</v>
      </c>
      <c r="B19" s="1903">
        <v>5901</v>
      </c>
      <c r="C19" s="1906">
        <v>32533006</v>
      </c>
      <c r="D19" s="1836" t="s">
        <v>87</v>
      </c>
      <c r="E19" s="1845">
        <v>0</v>
      </c>
      <c r="F19" s="1845">
        <v>0</v>
      </c>
      <c r="G19" s="1845">
        <v>0</v>
      </c>
      <c r="H19" s="1821" t="e">
        <f t="shared" si="0"/>
        <v>#DIV/0!</v>
      </c>
    </row>
    <row r="20" spans="1:9" ht="30" hidden="1" x14ac:dyDescent="0.2">
      <c r="A20" s="1896">
        <v>3299</v>
      </c>
      <c r="B20" s="1903">
        <v>5901</v>
      </c>
      <c r="C20" s="1906">
        <v>32133006</v>
      </c>
      <c r="D20" s="1836" t="s">
        <v>1140</v>
      </c>
      <c r="E20" s="1845">
        <v>0</v>
      </c>
      <c r="F20" s="1845"/>
      <c r="G20" s="1845"/>
      <c r="H20" s="1821" t="e">
        <f t="shared" si="0"/>
        <v>#DIV/0!</v>
      </c>
    </row>
    <row r="21" spans="1:9" ht="30" hidden="1" x14ac:dyDescent="0.2">
      <c r="A21" s="1896">
        <v>3299</v>
      </c>
      <c r="B21" s="1903">
        <v>5901</v>
      </c>
      <c r="C21" s="1906">
        <v>32533006</v>
      </c>
      <c r="D21" s="1836" t="s">
        <v>1140</v>
      </c>
      <c r="E21" s="1845">
        <v>0</v>
      </c>
      <c r="F21" s="1845"/>
      <c r="G21" s="1845"/>
      <c r="H21" s="1821" t="e">
        <f t="shared" si="0"/>
        <v>#DIV/0!</v>
      </c>
    </row>
    <row r="22" spans="1:9" ht="15" x14ac:dyDescent="0.2">
      <c r="A22" s="1896">
        <v>3299</v>
      </c>
      <c r="B22" s="1903">
        <v>5909</v>
      </c>
      <c r="C22" s="1906">
        <v>0</v>
      </c>
      <c r="D22" s="1836" t="s">
        <v>651</v>
      </c>
      <c r="E22" s="1845">
        <v>0</v>
      </c>
      <c r="F22" s="1845">
        <v>20</v>
      </c>
      <c r="G22" s="1845">
        <v>20</v>
      </c>
      <c r="H22" s="1821">
        <f t="shared" si="0"/>
        <v>100</v>
      </c>
    </row>
    <row r="23" spans="1:9" ht="15" x14ac:dyDescent="0.2">
      <c r="A23" s="1896">
        <v>3299</v>
      </c>
      <c r="B23" s="1903">
        <v>6901</v>
      </c>
      <c r="C23" s="1906">
        <v>32133006</v>
      </c>
      <c r="D23" s="1836" t="s">
        <v>428</v>
      </c>
      <c r="E23" s="1845">
        <v>0</v>
      </c>
      <c r="F23" s="1845">
        <v>252</v>
      </c>
      <c r="G23" s="1845">
        <v>0</v>
      </c>
      <c r="H23" s="1821">
        <f t="shared" si="0"/>
        <v>0</v>
      </c>
    </row>
    <row r="24" spans="1:9" ht="15" x14ac:dyDescent="0.2">
      <c r="A24" s="1896">
        <v>3299</v>
      </c>
      <c r="B24" s="1903">
        <v>6901</v>
      </c>
      <c r="C24" s="1906">
        <v>32533006</v>
      </c>
      <c r="D24" s="1836" t="s">
        <v>428</v>
      </c>
      <c r="E24" s="1845">
        <v>0</v>
      </c>
      <c r="F24" s="1845">
        <v>1430</v>
      </c>
      <c r="G24" s="1845">
        <v>0</v>
      </c>
      <c r="H24" s="1821">
        <f t="shared" si="0"/>
        <v>0</v>
      </c>
    </row>
    <row r="25" spans="1:9" ht="15.75" thickBot="1" x14ac:dyDescent="0.25">
      <c r="A25" s="1896">
        <v>6402</v>
      </c>
      <c r="B25" s="1903">
        <v>5363</v>
      </c>
      <c r="C25" s="1906">
        <v>19</v>
      </c>
      <c r="D25" s="1836" t="s">
        <v>1542</v>
      </c>
      <c r="E25" s="1845">
        <v>0</v>
      </c>
      <c r="F25" s="1845">
        <v>91</v>
      </c>
      <c r="G25" s="1845">
        <v>91</v>
      </c>
      <c r="H25" s="1827">
        <f t="shared" si="0"/>
        <v>100</v>
      </c>
    </row>
    <row r="26" spans="1:9" s="1828" customFormat="1" ht="16.5" thickTop="1" thickBot="1" x14ac:dyDescent="0.3">
      <c r="A26" s="2751" t="s">
        <v>763</v>
      </c>
      <c r="B26" s="2752"/>
      <c r="C26" s="2752"/>
      <c r="D26" s="2752"/>
      <c r="E26" s="1818">
        <f>SUM(E10:E24)</f>
        <v>0</v>
      </c>
      <c r="F26" s="1818">
        <f>SUM(F10:F25)</f>
        <v>7284</v>
      </c>
      <c r="G26" s="1818">
        <f>SUM(G10:G25)</f>
        <v>339</v>
      </c>
      <c r="H26" s="1827">
        <f t="shared" si="0"/>
        <v>4.6540362438220759</v>
      </c>
      <c r="I26" s="1910"/>
    </row>
    <row r="27" spans="1:9" ht="13.5" thickTop="1" x14ac:dyDescent="0.2">
      <c r="I27" s="1829"/>
    </row>
    <row r="28" spans="1:9" ht="15" hidden="1" x14ac:dyDescent="0.25">
      <c r="A28" s="1808" t="s">
        <v>1622</v>
      </c>
      <c r="D28" s="1802"/>
      <c r="E28" s="1803"/>
      <c r="H28" s="1829"/>
      <c r="I28" s="1829"/>
    </row>
    <row r="29" spans="1:9" ht="15" hidden="1" x14ac:dyDescent="0.25">
      <c r="A29" s="1808" t="s">
        <v>989</v>
      </c>
      <c r="D29" s="1802"/>
      <c r="E29" s="1803"/>
      <c r="H29" s="1892" t="s">
        <v>161</v>
      </c>
      <c r="I29" s="1829"/>
    </row>
    <row r="30" spans="1:9" ht="25.5" hidden="1" thickTop="1" thickBot="1" x14ac:dyDescent="0.25">
      <c r="A30" s="1809" t="s">
        <v>162</v>
      </c>
      <c r="B30" s="1810" t="s">
        <v>761</v>
      </c>
      <c r="C30" s="1810" t="s">
        <v>377</v>
      </c>
      <c r="D30" s="1811" t="s">
        <v>164</v>
      </c>
      <c r="E30" s="1833" t="s">
        <v>632</v>
      </c>
      <c r="F30" s="1833" t="s">
        <v>633</v>
      </c>
      <c r="G30" s="1834" t="s">
        <v>882</v>
      </c>
      <c r="H30" s="1835" t="s">
        <v>883</v>
      </c>
      <c r="I30" s="1829"/>
    </row>
    <row r="31" spans="1:9" ht="14.25" hidden="1" thickTop="1" thickBot="1" x14ac:dyDescent="0.25">
      <c r="A31" s="1643">
        <v>1</v>
      </c>
      <c r="B31" s="1642">
        <v>2</v>
      </c>
      <c r="C31" s="1642">
        <v>3</v>
      </c>
      <c r="D31" s="1642">
        <v>5</v>
      </c>
      <c r="E31" s="1641">
        <v>6</v>
      </c>
      <c r="F31" s="1641">
        <v>7</v>
      </c>
      <c r="G31" s="1877">
        <v>8</v>
      </c>
      <c r="H31" s="1814" t="s">
        <v>762</v>
      </c>
      <c r="I31" s="1829"/>
    </row>
    <row r="32" spans="1:9" ht="30.75" hidden="1" thickTop="1" x14ac:dyDescent="0.2">
      <c r="A32" s="1896">
        <v>3299</v>
      </c>
      <c r="B32" s="1903">
        <v>5336</v>
      </c>
      <c r="C32" s="1903">
        <v>32133006</v>
      </c>
      <c r="D32" s="1836" t="s">
        <v>1263</v>
      </c>
      <c r="E32" s="1832">
        <v>0</v>
      </c>
      <c r="F32" s="1832"/>
      <c r="G32" s="1888"/>
      <c r="H32" s="1819" t="e">
        <f>G32/F32*100</f>
        <v>#DIV/0!</v>
      </c>
      <c r="I32" s="1829"/>
    </row>
    <row r="33" spans="1:9" ht="30" hidden="1" x14ac:dyDescent="0.2">
      <c r="A33" s="1896">
        <v>3299</v>
      </c>
      <c r="B33" s="1903">
        <v>5336</v>
      </c>
      <c r="C33" s="1903">
        <v>32533006</v>
      </c>
      <c r="D33" s="1836" t="s">
        <v>1263</v>
      </c>
      <c r="E33" s="1845">
        <v>0</v>
      </c>
      <c r="F33" s="1845"/>
      <c r="G33" s="1885"/>
      <c r="H33" s="1821" t="e">
        <f>G33/F33*100</f>
        <v>#DIV/0!</v>
      </c>
      <c r="I33" s="1829"/>
    </row>
    <row r="34" spans="1:9" ht="30" hidden="1" x14ac:dyDescent="0.2">
      <c r="A34" s="1896">
        <v>3299</v>
      </c>
      <c r="B34" s="1903">
        <v>6351</v>
      </c>
      <c r="C34" s="1903">
        <v>32133006</v>
      </c>
      <c r="D34" s="1836" t="s">
        <v>1277</v>
      </c>
      <c r="E34" s="1845">
        <v>0</v>
      </c>
      <c r="F34" s="1845">
        <v>0</v>
      </c>
      <c r="G34" s="1885">
        <v>0</v>
      </c>
      <c r="H34" s="1821" t="e">
        <f>G34/F34*100</f>
        <v>#DIV/0!</v>
      </c>
      <c r="I34" s="1829"/>
    </row>
    <row r="35" spans="1:9" ht="30" hidden="1" x14ac:dyDescent="0.2">
      <c r="A35" s="1896">
        <v>3299</v>
      </c>
      <c r="B35" s="1903">
        <v>6351</v>
      </c>
      <c r="C35" s="1903">
        <v>32533006</v>
      </c>
      <c r="D35" s="1836" t="s">
        <v>1277</v>
      </c>
      <c r="E35" s="1845">
        <v>0</v>
      </c>
      <c r="F35" s="1845">
        <v>0</v>
      </c>
      <c r="G35" s="1885">
        <v>0</v>
      </c>
      <c r="H35" s="1821" t="e">
        <f>G35/F35*100</f>
        <v>#DIV/0!</v>
      </c>
      <c r="I35" s="1829"/>
    </row>
    <row r="36" spans="1:9" ht="16.5" hidden="1" thickTop="1" thickBot="1" x14ac:dyDescent="0.3">
      <c r="A36" s="1837" t="s">
        <v>763</v>
      </c>
      <c r="B36" s="1838"/>
      <c r="C36" s="1838"/>
      <c r="D36" s="1839"/>
      <c r="E36" s="1818">
        <f>SUM(E32:E35)</f>
        <v>0</v>
      </c>
      <c r="F36" s="1818">
        <f>SUM(F32:F35)</f>
        <v>0</v>
      </c>
      <c r="G36" s="1818">
        <f>SUM(G32:G35)</f>
        <v>0</v>
      </c>
      <c r="H36" s="1822" t="e">
        <f>G36/F36*100</f>
        <v>#DIV/0!</v>
      </c>
      <c r="I36" s="1829"/>
    </row>
    <row r="37" spans="1:9" hidden="1" x14ac:dyDescent="0.2">
      <c r="I37" s="1829"/>
    </row>
    <row r="38" spans="1:9" ht="15" hidden="1" x14ac:dyDescent="0.25">
      <c r="A38" s="1808" t="s">
        <v>1120</v>
      </c>
      <c r="D38" s="1802"/>
      <c r="E38" s="1803"/>
      <c r="H38" s="1829"/>
      <c r="I38" s="1829"/>
    </row>
    <row r="39" spans="1:9" ht="15" hidden="1" x14ac:dyDescent="0.25">
      <c r="A39" s="1808" t="s">
        <v>990</v>
      </c>
      <c r="D39" s="1802"/>
      <c r="E39" s="1803"/>
      <c r="H39" s="1892" t="s">
        <v>161</v>
      </c>
      <c r="I39" s="1829"/>
    </row>
    <row r="40" spans="1:9" ht="25.5" hidden="1" thickTop="1" thickBot="1" x14ac:dyDescent="0.25">
      <c r="A40" s="1809" t="s">
        <v>162</v>
      </c>
      <c r="B40" s="1810" t="s">
        <v>761</v>
      </c>
      <c r="C40" s="1810" t="s">
        <v>377</v>
      </c>
      <c r="D40" s="1811" t="s">
        <v>164</v>
      </c>
      <c r="E40" s="1833" t="s">
        <v>632</v>
      </c>
      <c r="F40" s="1833" t="s">
        <v>633</v>
      </c>
      <c r="G40" s="1834" t="s">
        <v>882</v>
      </c>
      <c r="H40" s="1835" t="s">
        <v>883</v>
      </c>
      <c r="I40" s="1829"/>
    </row>
    <row r="41" spans="1:9" ht="14.25" hidden="1" thickTop="1" thickBot="1" x14ac:dyDescent="0.25">
      <c r="A41" s="1643">
        <v>1</v>
      </c>
      <c r="B41" s="1642">
        <v>2</v>
      </c>
      <c r="C41" s="1642">
        <v>3</v>
      </c>
      <c r="D41" s="1642">
        <v>5</v>
      </c>
      <c r="E41" s="1641">
        <v>6</v>
      </c>
      <c r="F41" s="1641">
        <v>7</v>
      </c>
      <c r="G41" s="1877">
        <v>8</v>
      </c>
      <c r="H41" s="1814" t="s">
        <v>762</v>
      </c>
      <c r="I41" s="1829"/>
    </row>
    <row r="42" spans="1:9" ht="30.75" hidden="1" thickTop="1" x14ac:dyDescent="0.2">
      <c r="A42" s="1896">
        <v>3299</v>
      </c>
      <c r="B42" s="1923">
        <v>5336</v>
      </c>
      <c r="C42" s="1903">
        <v>32133006</v>
      </c>
      <c r="D42" s="1836" t="s">
        <v>1263</v>
      </c>
      <c r="E42" s="1832">
        <v>0</v>
      </c>
      <c r="F42" s="1832"/>
      <c r="G42" s="1888"/>
      <c r="H42" s="1819" t="e">
        <f>G42/F42*100</f>
        <v>#DIV/0!</v>
      </c>
      <c r="I42" s="1829"/>
    </row>
    <row r="43" spans="1:9" ht="30" hidden="1" x14ac:dyDescent="0.2">
      <c r="A43" s="1896">
        <v>3299</v>
      </c>
      <c r="B43" s="1923">
        <v>5336</v>
      </c>
      <c r="C43" s="1903">
        <v>32533006</v>
      </c>
      <c r="D43" s="1836" t="s">
        <v>1263</v>
      </c>
      <c r="E43" s="1845">
        <v>0</v>
      </c>
      <c r="F43" s="1845"/>
      <c r="G43" s="1885"/>
      <c r="H43" s="1821" t="e">
        <f>G43/F43*100</f>
        <v>#DIV/0!</v>
      </c>
      <c r="I43" s="1829"/>
    </row>
    <row r="44" spans="1:9" ht="16.5" hidden="1" thickTop="1" thickBot="1" x14ac:dyDescent="0.3">
      <c r="A44" s="1837" t="s">
        <v>763</v>
      </c>
      <c r="B44" s="1838"/>
      <c r="C44" s="1838"/>
      <c r="D44" s="1839"/>
      <c r="E44" s="1818">
        <f>SUM(E42:E43)</f>
        <v>0</v>
      </c>
      <c r="F44" s="1818">
        <f>SUM(F42:F43)</f>
        <v>0</v>
      </c>
      <c r="G44" s="1818">
        <f>SUM(G42:G43)</f>
        <v>0</v>
      </c>
      <c r="H44" s="1822" t="e">
        <f>G44/F44*100</f>
        <v>#DIV/0!</v>
      </c>
      <c r="I44" s="1829"/>
    </row>
    <row r="45" spans="1:9" hidden="1" x14ac:dyDescent="0.2">
      <c r="I45" s="1829"/>
    </row>
    <row r="46" spans="1:9" hidden="1" x14ac:dyDescent="0.2">
      <c r="I46" s="1829"/>
    </row>
    <row r="47" spans="1:9" hidden="1" x14ac:dyDescent="0.2">
      <c r="I47" s="1829"/>
    </row>
    <row r="48" spans="1:9" hidden="1" x14ac:dyDescent="0.2">
      <c r="I48" s="1829"/>
    </row>
    <row r="49" spans="1:9" hidden="1" x14ac:dyDescent="0.2">
      <c r="I49" s="1829"/>
    </row>
    <row r="50" spans="1:9" hidden="1" x14ac:dyDescent="0.2">
      <c r="I50" s="1829"/>
    </row>
    <row r="51" spans="1:9" hidden="1" x14ac:dyDescent="0.2">
      <c r="I51" s="1829"/>
    </row>
    <row r="52" spans="1:9" hidden="1" x14ac:dyDescent="0.2">
      <c r="I52" s="1829"/>
    </row>
    <row r="53" spans="1:9" ht="15" hidden="1" x14ac:dyDescent="0.25">
      <c r="A53" s="1808" t="s">
        <v>1623</v>
      </c>
      <c r="D53" s="1802"/>
      <c r="E53" s="1803"/>
      <c r="H53" s="1829"/>
      <c r="I53" s="1829"/>
    </row>
    <row r="54" spans="1:9" ht="15" hidden="1" x14ac:dyDescent="0.25">
      <c r="A54" s="1808" t="s">
        <v>1382</v>
      </c>
      <c r="D54" s="1802"/>
      <c r="E54" s="1803"/>
      <c r="H54" s="1892" t="s">
        <v>161</v>
      </c>
      <c r="I54" s="1829"/>
    </row>
    <row r="55" spans="1:9" ht="25.5" hidden="1" thickTop="1" thickBot="1" x14ac:dyDescent="0.25">
      <c r="A55" s="1809" t="s">
        <v>162</v>
      </c>
      <c r="B55" s="1810" t="s">
        <v>761</v>
      </c>
      <c r="C55" s="1810" t="s">
        <v>377</v>
      </c>
      <c r="D55" s="1811" t="s">
        <v>164</v>
      </c>
      <c r="E55" s="1833" t="s">
        <v>632</v>
      </c>
      <c r="F55" s="1833" t="s">
        <v>633</v>
      </c>
      <c r="G55" s="1834" t="s">
        <v>882</v>
      </c>
      <c r="H55" s="1835" t="s">
        <v>883</v>
      </c>
      <c r="I55" s="1829"/>
    </row>
    <row r="56" spans="1:9" ht="14.25" hidden="1" thickTop="1" thickBot="1" x14ac:dyDescent="0.25">
      <c r="A56" s="1643">
        <v>1</v>
      </c>
      <c r="B56" s="1642">
        <v>2</v>
      </c>
      <c r="C56" s="1642">
        <v>3</v>
      </c>
      <c r="D56" s="1642">
        <v>5</v>
      </c>
      <c r="E56" s="1641">
        <v>6</v>
      </c>
      <c r="F56" s="1641">
        <v>7</v>
      </c>
      <c r="G56" s="1877">
        <v>8</v>
      </c>
      <c r="H56" s="1814" t="s">
        <v>762</v>
      </c>
      <c r="I56" s="1829"/>
    </row>
    <row r="57" spans="1:9" ht="30.75" hidden="1" thickTop="1" x14ac:dyDescent="0.2">
      <c r="A57" s="1896">
        <v>3299</v>
      </c>
      <c r="B57" s="1923">
        <v>5336</v>
      </c>
      <c r="C57" s="1903">
        <v>32133006</v>
      </c>
      <c r="D57" s="1836" t="s">
        <v>1263</v>
      </c>
      <c r="E57" s="1832">
        <v>0</v>
      </c>
      <c r="F57" s="1832"/>
      <c r="G57" s="1888"/>
      <c r="H57" s="1819" t="e">
        <f>G57/F57*100</f>
        <v>#DIV/0!</v>
      </c>
      <c r="I57" s="1829"/>
    </row>
    <row r="58" spans="1:9" ht="30" hidden="1" x14ac:dyDescent="0.2">
      <c r="A58" s="1896">
        <v>3299</v>
      </c>
      <c r="B58" s="1923">
        <v>5336</v>
      </c>
      <c r="C58" s="1903">
        <v>32533006</v>
      </c>
      <c r="D58" s="1836" t="s">
        <v>1263</v>
      </c>
      <c r="E58" s="1845">
        <v>0</v>
      </c>
      <c r="F58" s="1845"/>
      <c r="G58" s="1885"/>
      <c r="H58" s="1821" t="e">
        <f>G58/F58*100</f>
        <v>#DIV/0!</v>
      </c>
      <c r="I58" s="1829"/>
    </row>
    <row r="59" spans="1:9" ht="16.5" hidden="1" thickTop="1" thickBot="1" x14ac:dyDescent="0.3">
      <c r="A59" s="1837" t="s">
        <v>763</v>
      </c>
      <c r="B59" s="1838"/>
      <c r="C59" s="1838"/>
      <c r="D59" s="1839"/>
      <c r="E59" s="1818">
        <f>SUM(E57:E58)</f>
        <v>0</v>
      </c>
      <c r="F59" s="1818">
        <f>SUM(F57:F58)</f>
        <v>0</v>
      </c>
      <c r="G59" s="1818">
        <f>SUM(G57:G58)</f>
        <v>0</v>
      </c>
      <c r="H59" s="1822" t="e">
        <f>G59/F59*100</f>
        <v>#DIV/0!</v>
      </c>
      <c r="I59" s="1829"/>
    </row>
    <row r="60" spans="1:9" ht="11.25" hidden="1" customHeight="1" thickTop="1" x14ac:dyDescent="0.2">
      <c r="I60" s="1829"/>
    </row>
    <row r="61" spans="1:9" ht="15" hidden="1" x14ac:dyDescent="0.25">
      <c r="A61" s="1808" t="s">
        <v>54</v>
      </c>
      <c r="D61" s="1802"/>
      <c r="E61" s="1803"/>
      <c r="H61" s="1829"/>
      <c r="I61" s="1829"/>
    </row>
    <row r="62" spans="1:9" ht="15" hidden="1" x14ac:dyDescent="0.25">
      <c r="A62" s="1808" t="s">
        <v>991</v>
      </c>
      <c r="D62" s="1802"/>
      <c r="E62" s="1803"/>
      <c r="H62" s="1892" t="s">
        <v>161</v>
      </c>
      <c r="I62" s="1829"/>
    </row>
    <row r="63" spans="1:9" ht="25.5" hidden="1" thickTop="1" thickBot="1" x14ac:dyDescent="0.25">
      <c r="A63" s="1809" t="s">
        <v>162</v>
      </c>
      <c r="B63" s="1810" t="s">
        <v>761</v>
      </c>
      <c r="C63" s="1810" t="s">
        <v>377</v>
      </c>
      <c r="D63" s="1811" t="s">
        <v>164</v>
      </c>
      <c r="E63" s="1833" t="s">
        <v>632</v>
      </c>
      <c r="F63" s="1833" t="s">
        <v>633</v>
      </c>
      <c r="G63" s="1834" t="s">
        <v>882</v>
      </c>
      <c r="H63" s="1835" t="s">
        <v>883</v>
      </c>
      <c r="I63" s="1829"/>
    </row>
    <row r="64" spans="1:9" ht="14.25" hidden="1" thickTop="1" thickBot="1" x14ac:dyDescent="0.25">
      <c r="A64" s="1643">
        <v>1</v>
      </c>
      <c r="B64" s="1642">
        <v>2</v>
      </c>
      <c r="C64" s="1642">
        <v>3</v>
      </c>
      <c r="D64" s="1642">
        <v>5</v>
      </c>
      <c r="E64" s="1641">
        <v>6</v>
      </c>
      <c r="F64" s="1641">
        <v>7</v>
      </c>
      <c r="G64" s="1877">
        <v>8</v>
      </c>
      <c r="H64" s="1814" t="s">
        <v>762</v>
      </c>
      <c r="I64" s="1829"/>
    </row>
    <row r="65" spans="1:9" ht="30.75" hidden="1" thickTop="1" x14ac:dyDescent="0.2">
      <c r="A65" s="1896">
        <v>3299</v>
      </c>
      <c r="B65" s="1923">
        <v>5336</v>
      </c>
      <c r="C65" s="1903">
        <v>32133006</v>
      </c>
      <c r="D65" s="1836" t="s">
        <v>1263</v>
      </c>
      <c r="E65" s="1832">
        <v>0</v>
      </c>
      <c r="F65" s="1832">
        <v>58</v>
      </c>
      <c r="G65" s="1888">
        <v>58</v>
      </c>
      <c r="H65" s="1819">
        <f>G65/F65*100</f>
        <v>100</v>
      </c>
      <c r="I65" s="1829"/>
    </row>
    <row r="66" spans="1:9" ht="30" hidden="1" x14ac:dyDescent="0.2">
      <c r="A66" s="1896">
        <v>3299</v>
      </c>
      <c r="B66" s="1923">
        <v>5336</v>
      </c>
      <c r="C66" s="1903">
        <v>32533006</v>
      </c>
      <c r="D66" s="1836" t="s">
        <v>1263</v>
      </c>
      <c r="E66" s="1845">
        <v>0</v>
      </c>
      <c r="F66" s="1845">
        <v>327</v>
      </c>
      <c r="G66" s="1885">
        <v>327</v>
      </c>
      <c r="H66" s="1821">
        <f>G66/F66*100</f>
        <v>100</v>
      </c>
      <c r="I66" s="1829"/>
    </row>
    <row r="67" spans="1:9" ht="30" hidden="1" x14ac:dyDescent="0.2">
      <c r="A67" s="1896">
        <v>3299</v>
      </c>
      <c r="B67" s="1923">
        <v>6351</v>
      </c>
      <c r="C67" s="1903">
        <v>32133006</v>
      </c>
      <c r="D67" s="1919" t="s">
        <v>1277</v>
      </c>
      <c r="E67" s="1845">
        <v>0</v>
      </c>
      <c r="F67" s="1845">
        <v>12</v>
      </c>
      <c r="G67" s="1885">
        <v>12</v>
      </c>
      <c r="H67" s="1821">
        <f>G67/F67*100</f>
        <v>100</v>
      </c>
      <c r="I67" s="1829"/>
    </row>
    <row r="68" spans="1:9" ht="30" hidden="1" x14ac:dyDescent="0.2">
      <c r="A68" s="1896">
        <v>3299</v>
      </c>
      <c r="B68" s="1923">
        <v>6351</v>
      </c>
      <c r="C68" s="1903">
        <v>32533006</v>
      </c>
      <c r="D68" s="1919" t="s">
        <v>1277</v>
      </c>
      <c r="E68" s="1845">
        <v>0</v>
      </c>
      <c r="F68" s="1845">
        <v>66</v>
      </c>
      <c r="G68" s="1885">
        <v>66</v>
      </c>
      <c r="H68" s="1821">
        <f>G68/F68*100</f>
        <v>100</v>
      </c>
      <c r="I68" s="1829"/>
    </row>
    <row r="69" spans="1:9" ht="16.5" hidden="1" thickTop="1" thickBot="1" x14ac:dyDescent="0.3">
      <c r="A69" s="1837" t="s">
        <v>763</v>
      </c>
      <c r="B69" s="1838"/>
      <c r="C69" s="1838"/>
      <c r="D69" s="1839"/>
      <c r="E69" s="1818">
        <f>SUM(E65:E66)</f>
        <v>0</v>
      </c>
      <c r="F69" s="1818">
        <f>SUM(F65:F68)</f>
        <v>463</v>
      </c>
      <c r="G69" s="1818">
        <f>SUM(G65:G68)</f>
        <v>463</v>
      </c>
      <c r="H69" s="1822">
        <f>G69/F69*100</f>
        <v>100</v>
      </c>
      <c r="I69" s="1829"/>
    </row>
    <row r="70" spans="1:9" ht="7.5" hidden="1" customHeight="1" thickTop="1" x14ac:dyDescent="0.2">
      <c r="I70" s="1829"/>
    </row>
    <row r="71" spans="1:9" ht="15" hidden="1" x14ac:dyDescent="0.25">
      <c r="A71" s="1808" t="s">
        <v>1624</v>
      </c>
      <c r="D71" s="1802"/>
      <c r="E71" s="1803"/>
      <c r="H71" s="1829"/>
      <c r="I71" s="1829"/>
    </row>
    <row r="72" spans="1:9" ht="15" hidden="1" x14ac:dyDescent="0.25">
      <c r="A72" s="1808" t="s">
        <v>992</v>
      </c>
      <c r="D72" s="1802"/>
      <c r="E72" s="1803"/>
      <c r="H72" s="1892" t="s">
        <v>161</v>
      </c>
      <c r="I72" s="1829"/>
    </row>
    <row r="73" spans="1:9" ht="25.5" hidden="1" thickTop="1" thickBot="1" x14ac:dyDescent="0.25">
      <c r="A73" s="1809" t="s">
        <v>162</v>
      </c>
      <c r="B73" s="1810" t="s">
        <v>761</v>
      </c>
      <c r="C73" s="1810" t="s">
        <v>377</v>
      </c>
      <c r="D73" s="1811" t="s">
        <v>164</v>
      </c>
      <c r="E73" s="1833" t="s">
        <v>632</v>
      </c>
      <c r="F73" s="1833" t="s">
        <v>633</v>
      </c>
      <c r="G73" s="1834" t="s">
        <v>882</v>
      </c>
      <c r="H73" s="1835" t="s">
        <v>883</v>
      </c>
      <c r="I73" s="1829"/>
    </row>
    <row r="74" spans="1:9" ht="14.25" hidden="1" thickTop="1" thickBot="1" x14ac:dyDescent="0.25">
      <c r="A74" s="1643">
        <v>1</v>
      </c>
      <c r="B74" s="1642">
        <v>2</v>
      </c>
      <c r="C74" s="1642">
        <v>3</v>
      </c>
      <c r="D74" s="1642">
        <v>5</v>
      </c>
      <c r="E74" s="1641">
        <v>6</v>
      </c>
      <c r="F74" s="1641">
        <v>7</v>
      </c>
      <c r="G74" s="1877">
        <v>8</v>
      </c>
      <c r="H74" s="1814" t="s">
        <v>762</v>
      </c>
      <c r="I74" s="1829"/>
    </row>
    <row r="75" spans="1:9" ht="30.75" hidden="1" thickTop="1" x14ac:dyDescent="0.2">
      <c r="A75" s="1896">
        <v>3299</v>
      </c>
      <c r="B75" s="1923">
        <v>5336</v>
      </c>
      <c r="C75" s="1903">
        <v>32133006</v>
      </c>
      <c r="D75" s="1836" t="s">
        <v>1263</v>
      </c>
      <c r="E75" s="1832">
        <v>0</v>
      </c>
      <c r="F75" s="1832"/>
      <c r="G75" s="1888"/>
      <c r="H75" s="1819" t="e">
        <f>G75/F75*100</f>
        <v>#DIV/0!</v>
      </c>
      <c r="I75" s="1829"/>
    </row>
    <row r="76" spans="1:9" ht="30" hidden="1" x14ac:dyDescent="0.2">
      <c r="A76" s="1896">
        <v>3299</v>
      </c>
      <c r="B76" s="1923">
        <v>5336</v>
      </c>
      <c r="C76" s="1903">
        <v>32533006</v>
      </c>
      <c r="D76" s="1836" t="s">
        <v>1263</v>
      </c>
      <c r="E76" s="1845">
        <v>0</v>
      </c>
      <c r="F76" s="1845"/>
      <c r="G76" s="1885"/>
      <c r="H76" s="1821" t="e">
        <f>G76/F76*100</f>
        <v>#DIV/0!</v>
      </c>
      <c r="I76" s="1829"/>
    </row>
    <row r="77" spans="1:9" ht="16.5" hidden="1" thickTop="1" thickBot="1" x14ac:dyDescent="0.3">
      <c r="A77" s="1837" t="s">
        <v>763</v>
      </c>
      <c r="B77" s="1838"/>
      <c r="C77" s="1838"/>
      <c r="D77" s="1839"/>
      <c r="E77" s="1818">
        <f>SUM(E75:E76)</f>
        <v>0</v>
      </c>
      <c r="F77" s="1818">
        <f>SUM(F75:F76)</f>
        <v>0</v>
      </c>
      <c r="G77" s="1818">
        <f>SUM(G75:G76)</f>
        <v>0</v>
      </c>
      <c r="H77" s="1822" t="e">
        <f>G77/F77*100</f>
        <v>#DIV/0!</v>
      </c>
      <c r="I77" s="1829"/>
    </row>
    <row r="78" spans="1:9" hidden="1" x14ac:dyDescent="0.2">
      <c r="I78" s="1829"/>
    </row>
    <row r="79" spans="1:9" ht="15" hidden="1" x14ac:dyDescent="0.25">
      <c r="A79" s="1808" t="s">
        <v>336</v>
      </c>
      <c r="D79" s="1802"/>
      <c r="E79" s="1803"/>
      <c r="H79" s="1829"/>
      <c r="I79" s="1829"/>
    </row>
    <row r="80" spans="1:9" ht="15" hidden="1" x14ac:dyDescent="0.25">
      <c r="A80" s="1808" t="s">
        <v>1141</v>
      </c>
      <c r="D80" s="1802"/>
      <c r="E80" s="1803"/>
      <c r="H80" s="1892" t="s">
        <v>161</v>
      </c>
      <c r="I80" s="1829"/>
    </row>
    <row r="81" spans="1:9" ht="25.5" hidden="1" thickTop="1" thickBot="1" x14ac:dyDescent="0.25">
      <c r="A81" s="1809" t="s">
        <v>162</v>
      </c>
      <c r="B81" s="1810" t="s">
        <v>761</v>
      </c>
      <c r="C81" s="1810" t="s">
        <v>377</v>
      </c>
      <c r="D81" s="1811" t="s">
        <v>164</v>
      </c>
      <c r="E81" s="1833" t="s">
        <v>632</v>
      </c>
      <c r="F81" s="1833" t="s">
        <v>633</v>
      </c>
      <c r="G81" s="1834" t="s">
        <v>882</v>
      </c>
      <c r="H81" s="1835" t="s">
        <v>883</v>
      </c>
      <c r="I81" s="1829"/>
    </row>
    <row r="82" spans="1:9" ht="14.25" hidden="1" thickTop="1" thickBot="1" x14ac:dyDescent="0.25">
      <c r="A82" s="1643">
        <v>1</v>
      </c>
      <c r="B82" s="1642">
        <v>2</v>
      </c>
      <c r="C82" s="1642">
        <v>3</v>
      </c>
      <c r="D82" s="1642">
        <v>5</v>
      </c>
      <c r="E82" s="1641">
        <v>6</v>
      </c>
      <c r="F82" s="1641">
        <v>7</v>
      </c>
      <c r="G82" s="1877">
        <v>8</v>
      </c>
      <c r="H82" s="1814" t="s">
        <v>762</v>
      </c>
      <c r="I82" s="1829"/>
    </row>
    <row r="83" spans="1:9" ht="30.75" hidden="1" thickTop="1" x14ac:dyDescent="0.2">
      <c r="A83" s="1896">
        <v>3299</v>
      </c>
      <c r="B83" s="1923">
        <v>5336</v>
      </c>
      <c r="C83" s="1903">
        <v>32133006</v>
      </c>
      <c r="D83" s="1836" t="s">
        <v>1263</v>
      </c>
      <c r="E83" s="1832">
        <v>0</v>
      </c>
      <c r="F83" s="1832"/>
      <c r="G83" s="1888"/>
      <c r="H83" s="1819" t="e">
        <f>G83/F83*100</f>
        <v>#DIV/0!</v>
      </c>
      <c r="I83" s="1829"/>
    </row>
    <row r="84" spans="1:9" ht="30" hidden="1" x14ac:dyDescent="0.2">
      <c r="A84" s="1896">
        <v>3299</v>
      </c>
      <c r="B84" s="1923">
        <v>5336</v>
      </c>
      <c r="C84" s="1903">
        <v>32533006</v>
      </c>
      <c r="D84" s="1836" t="s">
        <v>1263</v>
      </c>
      <c r="E84" s="1845">
        <v>0</v>
      </c>
      <c r="F84" s="1845"/>
      <c r="G84" s="1885"/>
      <c r="H84" s="1821" t="e">
        <f>G84/F84*100</f>
        <v>#DIV/0!</v>
      </c>
      <c r="I84" s="1829"/>
    </row>
    <row r="85" spans="1:9" ht="30" hidden="1" x14ac:dyDescent="0.2">
      <c r="A85" s="1896">
        <v>3299</v>
      </c>
      <c r="B85" s="1903">
        <v>6351</v>
      </c>
      <c r="C85" s="1903">
        <v>32133006</v>
      </c>
      <c r="D85" s="1836" t="s">
        <v>1277</v>
      </c>
      <c r="E85" s="1845">
        <v>0</v>
      </c>
      <c r="F85" s="1845">
        <v>0</v>
      </c>
      <c r="G85" s="1885">
        <v>0</v>
      </c>
      <c r="H85" s="1821" t="e">
        <f>G85/F85*100</f>
        <v>#DIV/0!</v>
      </c>
      <c r="I85" s="1829"/>
    </row>
    <row r="86" spans="1:9" ht="30" hidden="1" x14ac:dyDescent="0.2">
      <c r="A86" s="1896">
        <v>3299</v>
      </c>
      <c r="B86" s="1903">
        <v>6351</v>
      </c>
      <c r="C86" s="1903">
        <v>32533006</v>
      </c>
      <c r="D86" s="1836" t="s">
        <v>1277</v>
      </c>
      <c r="E86" s="1845">
        <v>0</v>
      </c>
      <c r="F86" s="1845">
        <v>0</v>
      </c>
      <c r="G86" s="1885">
        <v>0</v>
      </c>
      <c r="H86" s="1821" t="e">
        <f>G86/F86*100</f>
        <v>#DIV/0!</v>
      </c>
      <c r="I86" s="1829"/>
    </row>
    <row r="87" spans="1:9" ht="16.5" hidden="1" thickTop="1" thickBot="1" x14ac:dyDescent="0.3">
      <c r="A87" s="1837" t="s">
        <v>763</v>
      </c>
      <c r="B87" s="1838"/>
      <c r="C87" s="1838"/>
      <c r="D87" s="1839"/>
      <c r="E87" s="1818">
        <f>SUM(E83:E86)</f>
        <v>0</v>
      </c>
      <c r="F87" s="1818">
        <f>SUM(F83:F86)</f>
        <v>0</v>
      </c>
      <c r="G87" s="1818">
        <f>SUM(G83:G86)</f>
        <v>0</v>
      </c>
      <c r="H87" s="1822" t="e">
        <f>G87/F87*100</f>
        <v>#DIV/0!</v>
      </c>
      <c r="I87" s="1829"/>
    </row>
    <row r="88" spans="1:9" ht="10.5" hidden="1" customHeight="1" thickTop="1" x14ac:dyDescent="0.2">
      <c r="I88" s="1829"/>
    </row>
    <row r="89" spans="1:9" ht="15" hidden="1" x14ac:dyDescent="0.25">
      <c r="A89" s="1808" t="s">
        <v>1625</v>
      </c>
      <c r="D89" s="1802"/>
      <c r="E89" s="1803"/>
      <c r="H89" s="1829"/>
      <c r="I89" s="1829"/>
    </row>
    <row r="90" spans="1:9" ht="15" hidden="1" x14ac:dyDescent="0.25">
      <c r="A90" s="1808" t="s">
        <v>993</v>
      </c>
      <c r="D90" s="1802"/>
      <c r="E90" s="1803"/>
      <c r="H90" s="1892" t="s">
        <v>161</v>
      </c>
      <c r="I90" s="1829"/>
    </row>
    <row r="91" spans="1:9" ht="25.5" hidden="1" thickTop="1" thickBot="1" x14ac:dyDescent="0.25">
      <c r="A91" s="1809" t="s">
        <v>162</v>
      </c>
      <c r="B91" s="1810" t="s">
        <v>761</v>
      </c>
      <c r="C91" s="1810" t="s">
        <v>377</v>
      </c>
      <c r="D91" s="1811" t="s">
        <v>164</v>
      </c>
      <c r="E91" s="1833" t="s">
        <v>632</v>
      </c>
      <c r="F91" s="1833" t="s">
        <v>633</v>
      </c>
      <c r="G91" s="1834" t="s">
        <v>882</v>
      </c>
      <c r="H91" s="1835" t="s">
        <v>883</v>
      </c>
      <c r="I91" s="1829"/>
    </row>
    <row r="92" spans="1:9" ht="14.25" hidden="1" thickTop="1" thickBot="1" x14ac:dyDescent="0.25">
      <c r="A92" s="1643">
        <v>1</v>
      </c>
      <c r="B92" s="1642">
        <v>2</v>
      </c>
      <c r="C92" s="1642">
        <v>3</v>
      </c>
      <c r="D92" s="1642">
        <v>5</v>
      </c>
      <c r="E92" s="1641">
        <v>6</v>
      </c>
      <c r="F92" s="1641">
        <v>7</v>
      </c>
      <c r="G92" s="1877">
        <v>8</v>
      </c>
      <c r="H92" s="1814" t="s">
        <v>762</v>
      </c>
      <c r="I92" s="1829"/>
    </row>
    <row r="93" spans="1:9" ht="30.75" hidden="1" thickTop="1" x14ac:dyDescent="0.2">
      <c r="A93" s="1896">
        <v>3299</v>
      </c>
      <c r="B93" s="1923">
        <v>5336</v>
      </c>
      <c r="C93" s="1903">
        <v>32133006</v>
      </c>
      <c r="D93" s="1836" t="s">
        <v>1263</v>
      </c>
      <c r="E93" s="1832">
        <v>0</v>
      </c>
      <c r="F93" s="1832"/>
      <c r="G93" s="1888"/>
      <c r="H93" s="1819" t="e">
        <f>G93/F93*100</f>
        <v>#DIV/0!</v>
      </c>
      <c r="I93" s="1829"/>
    </row>
    <row r="94" spans="1:9" ht="30" hidden="1" x14ac:dyDescent="0.2">
      <c r="A94" s="1896">
        <v>3299</v>
      </c>
      <c r="B94" s="1923">
        <v>5336</v>
      </c>
      <c r="C94" s="1903">
        <v>32533006</v>
      </c>
      <c r="D94" s="1836" t="s">
        <v>1263</v>
      </c>
      <c r="E94" s="1845">
        <v>0</v>
      </c>
      <c r="F94" s="1845"/>
      <c r="G94" s="1885"/>
      <c r="H94" s="1821" t="e">
        <f>G94/F94*100</f>
        <v>#DIV/0!</v>
      </c>
      <c r="I94" s="1829"/>
    </row>
    <row r="95" spans="1:9" ht="30" hidden="1" x14ac:dyDescent="0.2">
      <c r="A95" s="1896">
        <v>3299</v>
      </c>
      <c r="B95" s="1903">
        <v>6351</v>
      </c>
      <c r="C95" s="1903">
        <v>32133006</v>
      </c>
      <c r="D95" s="1836" t="s">
        <v>1277</v>
      </c>
      <c r="E95" s="1845">
        <v>0</v>
      </c>
      <c r="F95" s="1845">
        <v>0</v>
      </c>
      <c r="G95" s="1885">
        <v>0</v>
      </c>
      <c r="H95" s="1821" t="e">
        <f>G95/F95*100</f>
        <v>#DIV/0!</v>
      </c>
      <c r="I95" s="1829"/>
    </row>
    <row r="96" spans="1:9" ht="30" hidden="1" x14ac:dyDescent="0.2">
      <c r="A96" s="1896">
        <v>3299</v>
      </c>
      <c r="B96" s="1903">
        <v>6351</v>
      </c>
      <c r="C96" s="1903">
        <v>32533006</v>
      </c>
      <c r="D96" s="1836" t="s">
        <v>1277</v>
      </c>
      <c r="E96" s="1845">
        <v>0</v>
      </c>
      <c r="F96" s="1845">
        <v>0</v>
      </c>
      <c r="G96" s="1885">
        <v>0</v>
      </c>
      <c r="H96" s="1821" t="e">
        <f>G96/F96*100</f>
        <v>#DIV/0!</v>
      </c>
      <c r="I96" s="1829"/>
    </row>
    <row r="97" spans="1:9" ht="16.5" hidden="1" thickTop="1" thickBot="1" x14ac:dyDescent="0.3">
      <c r="A97" s="1837" t="s">
        <v>763</v>
      </c>
      <c r="B97" s="1838"/>
      <c r="C97" s="1838"/>
      <c r="D97" s="1839"/>
      <c r="E97" s="1818">
        <f>SUM(E93:E96)</f>
        <v>0</v>
      </c>
      <c r="F97" s="1818">
        <f>SUM(F93:F96)</f>
        <v>0</v>
      </c>
      <c r="G97" s="1818">
        <f>SUM(G93:G96)</f>
        <v>0</v>
      </c>
      <c r="H97" s="1822" t="e">
        <f>G97/F97*100</f>
        <v>#DIV/0!</v>
      </c>
      <c r="I97" s="1829"/>
    </row>
    <row r="98" spans="1:9" ht="8.25" hidden="1" customHeight="1" thickTop="1" x14ac:dyDescent="0.2">
      <c r="I98" s="1829"/>
    </row>
    <row r="99" spans="1:9" ht="15" hidden="1" x14ac:dyDescent="0.25">
      <c r="A99" s="1808" t="s">
        <v>994</v>
      </c>
      <c r="D99" s="1802"/>
      <c r="E99" s="1803"/>
      <c r="H99" s="1829"/>
      <c r="I99" s="1829"/>
    </row>
    <row r="100" spans="1:9" ht="15" hidden="1" x14ac:dyDescent="0.25">
      <c r="A100" s="1808" t="s">
        <v>191</v>
      </c>
      <c r="D100" s="1802"/>
      <c r="E100" s="1803"/>
      <c r="H100" s="1829" t="s">
        <v>161</v>
      </c>
      <c r="I100" s="1829"/>
    </row>
    <row r="101" spans="1:9" ht="25.5" hidden="1" thickTop="1" thickBot="1" x14ac:dyDescent="0.25">
      <c r="A101" s="1809" t="s">
        <v>162</v>
      </c>
      <c r="B101" s="1810" t="s">
        <v>761</v>
      </c>
      <c r="C101" s="1810" t="s">
        <v>377</v>
      </c>
      <c r="D101" s="1811" t="s">
        <v>164</v>
      </c>
      <c r="E101" s="1833" t="s">
        <v>632</v>
      </c>
      <c r="F101" s="1833" t="s">
        <v>633</v>
      </c>
      <c r="G101" s="1834" t="s">
        <v>882</v>
      </c>
      <c r="H101" s="1835" t="s">
        <v>883</v>
      </c>
      <c r="I101" s="1829"/>
    </row>
    <row r="102" spans="1:9" ht="14.25" hidden="1" thickTop="1" thickBot="1" x14ac:dyDescent="0.25">
      <c r="A102" s="1643">
        <v>1</v>
      </c>
      <c r="B102" s="1642">
        <v>2</v>
      </c>
      <c r="C102" s="1642">
        <v>3</v>
      </c>
      <c r="D102" s="1642">
        <v>5</v>
      </c>
      <c r="E102" s="1641">
        <v>6</v>
      </c>
      <c r="F102" s="1641">
        <v>7</v>
      </c>
      <c r="G102" s="1877">
        <v>8</v>
      </c>
      <c r="H102" s="1814" t="s">
        <v>762</v>
      </c>
      <c r="I102" s="1829"/>
    </row>
    <row r="103" spans="1:9" ht="30.75" hidden="1" thickTop="1" x14ac:dyDescent="0.2">
      <c r="A103" s="1896">
        <v>3299</v>
      </c>
      <c r="B103" s="1923">
        <v>5336</v>
      </c>
      <c r="C103" s="1903">
        <v>32133006</v>
      </c>
      <c r="D103" s="1919" t="s">
        <v>1375</v>
      </c>
      <c r="E103" s="1832">
        <v>0</v>
      </c>
      <c r="F103" s="1832">
        <v>0</v>
      </c>
      <c r="G103" s="1888">
        <v>0</v>
      </c>
      <c r="H103" s="1819" t="e">
        <f>G103/F103*100</f>
        <v>#DIV/0!</v>
      </c>
      <c r="I103" s="1829"/>
    </row>
    <row r="104" spans="1:9" ht="30" hidden="1" x14ac:dyDescent="0.2">
      <c r="A104" s="1896">
        <v>3299</v>
      </c>
      <c r="B104" s="1923">
        <v>5336</v>
      </c>
      <c r="C104" s="1903">
        <v>32533006</v>
      </c>
      <c r="D104" s="1836" t="s">
        <v>1263</v>
      </c>
      <c r="E104" s="1845">
        <v>0</v>
      </c>
      <c r="F104" s="1845">
        <v>0</v>
      </c>
      <c r="G104" s="1885">
        <v>0</v>
      </c>
      <c r="H104" s="1821" t="e">
        <f>G104/F104*100</f>
        <v>#DIV/0!</v>
      </c>
      <c r="I104" s="1829"/>
    </row>
    <row r="105" spans="1:9" ht="16.5" hidden="1" thickTop="1" thickBot="1" x14ac:dyDescent="0.3">
      <c r="A105" s="1837" t="s">
        <v>763</v>
      </c>
      <c r="B105" s="1838"/>
      <c r="C105" s="1838"/>
      <c r="D105" s="1839"/>
      <c r="E105" s="1818">
        <f>SUM(E103:E104)</f>
        <v>0</v>
      </c>
      <c r="F105" s="1818">
        <f>SUM(F103:F104)</f>
        <v>0</v>
      </c>
      <c r="G105" s="1818">
        <f>SUM(G103:G104)</f>
        <v>0</v>
      </c>
      <c r="H105" s="1822" t="e">
        <f>G105/F105*100</f>
        <v>#DIV/0!</v>
      </c>
      <c r="I105" s="1829"/>
    </row>
    <row r="106" spans="1:9" ht="15" hidden="1" x14ac:dyDescent="0.25">
      <c r="A106" s="1848"/>
      <c r="B106" s="1848"/>
      <c r="C106" s="1848"/>
      <c r="D106" s="1848"/>
      <c r="E106" s="1824"/>
      <c r="F106" s="1824"/>
      <c r="G106" s="1824"/>
      <c r="H106" s="1849"/>
      <c r="I106" s="1829"/>
    </row>
    <row r="107" spans="1:9" ht="15" hidden="1" x14ac:dyDescent="0.25">
      <c r="A107" s="1924" t="s">
        <v>1626</v>
      </c>
      <c r="B107" s="1924"/>
      <c r="C107" s="1924"/>
      <c r="D107" s="1924"/>
      <c r="E107" s="1924"/>
      <c r="F107" s="1925"/>
      <c r="G107" s="1925"/>
      <c r="H107" s="1925"/>
      <c r="I107" s="1925"/>
    </row>
    <row r="108" spans="1:9" ht="15" hidden="1" x14ac:dyDescent="0.25">
      <c r="A108" s="1924" t="s">
        <v>1381</v>
      </c>
      <c r="B108" s="1924"/>
      <c r="C108" s="1926"/>
      <c r="D108" s="1926"/>
      <c r="E108" s="1927"/>
      <c r="F108" s="1925"/>
      <c r="G108" s="1925"/>
      <c r="H108" s="1928" t="s">
        <v>161</v>
      </c>
      <c r="I108" s="1925"/>
    </row>
    <row r="109" spans="1:9" ht="25.5" hidden="1" thickTop="1" thickBot="1" x14ac:dyDescent="0.25">
      <c r="A109" s="1929" t="s">
        <v>162</v>
      </c>
      <c r="B109" s="1930" t="s">
        <v>761</v>
      </c>
      <c r="C109" s="1930" t="s">
        <v>377</v>
      </c>
      <c r="D109" s="1931" t="s">
        <v>164</v>
      </c>
      <c r="E109" s="1932" t="s">
        <v>632</v>
      </c>
      <c r="F109" s="1932" t="s">
        <v>633</v>
      </c>
      <c r="G109" s="1933" t="s">
        <v>882</v>
      </c>
      <c r="H109" s="1934" t="s">
        <v>883</v>
      </c>
      <c r="I109" s="1925"/>
    </row>
    <row r="110" spans="1:9" ht="13.5" hidden="1" thickBot="1" x14ac:dyDescent="0.25">
      <c r="A110" s="1935">
        <v>1</v>
      </c>
      <c r="B110" s="1936">
        <v>2</v>
      </c>
      <c r="C110" s="1936">
        <v>3</v>
      </c>
      <c r="D110" s="1936">
        <v>5</v>
      </c>
      <c r="E110" s="1937">
        <v>6</v>
      </c>
      <c r="F110" s="1937">
        <v>7</v>
      </c>
      <c r="G110" s="1938">
        <v>8</v>
      </c>
      <c r="H110" s="1939" t="s">
        <v>762</v>
      </c>
      <c r="I110" s="1925"/>
    </row>
    <row r="111" spans="1:9" ht="30" hidden="1" x14ac:dyDescent="0.2">
      <c r="A111" s="1940">
        <v>3299</v>
      </c>
      <c r="B111" s="1941">
        <v>5336</v>
      </c>
      <c r="C111" s="1941">
        <v>32133006</v>
      </c>
      <c r="D111" s="1836" t="s">
        <v>1263</v>
      </c>
      <c r="E111" s="1942">
        <v>0</v>
      </c>
      <c r="F111" s="1942"/>
      <c r="G111" s="1943"/>
      <c r="H111" s="1944">
        <v>88.6</v>
      </c>
      <c r="I111" s="1925"/>
    </row>
    <row r="112" spans="1:9" ht="30" hidden="1" x14ac:dyDescent="0.2">
      <c r="A112" s="1940">
        <v>3299</v>
      </c>
      <c r="B112" s="1941">
        <v>5336</v>
      </c>
      <c r="C112" s="1941">
        <v>32533006</v>
      </c>
      <c r="D112" s="1836" t="s">
        <v>1263</v>
      </c>
      <c r="E112" s="1942">
        <v>0</v>
      </c>
      <c r="F112" s="1942"/>
      <c r="G112" s="1943"/>
      <c r="H112" s="1944">
        <v>89.1</v>
      </c>
      <c r="I112" s="1925"/>
    </row>
    <row r="113" spans="1:9" ht="16.5" hidden="1" thickTop="1" thickBot="1" x14ac:dyDescent="0.3">
      <c r="A113" s="1945" t="s">
        <v>763</v>
      </c>
      <c r="B113" s="1946"/>
      <c r="C113" s="1946"/>
      <c r="D113" s="1947"/>
      <c r="E113" s="1948">
        <v>0</v>
      </c>
      <c r="F113" s="1948">
        <f>SUM(F111:F112)</f>
        <v>0</v>
      </c>
      <c r="G113" s="1948">
        <f>SUM(G111:G112)</f>
        <v>0</v>
      </c>
      <c r="H113" s="1949">
        <v>89</v>
      </c>
      <c r="I113" s="1925"/>
    </row>
    <row r="114" spans="1:9" ht="15" hidden="1" x14ac:dyDescent="0.25">
      <c r="A114" s="1808" t="s">
        <v>1142</v>
      </c>
      <c r="D114" s="1802"/>
      <c r="E114" s="1803"/>
      <c r="H114" s="1829"/>
      <c r="I114" s="1829"/>
    </row>
    <row r="115" spans="1:9" ht="15" hidden="1" x14ac:dyDescent="0.25">
      <c r="A115" s="1808" t="s">
        <v>1143</v>
      </c>
      <c r="D115" s="1802"/>
      <c r="E115" s="1803"/>
      <c r="H115" s="1829" t="s">
        <v>161</v>
      </c>
      <c r="I115" s="1829"/>
    </row>
    <row r="116" spans="1:9" ht="25.5" hidden="1" thickTop="1" thickBot="1" x14ac:dyDescent="0.25">
      <c r="A116" s="1809" t="s">
        <v>162</v>
      </c>
      <c r="B116" s="1810" t="s">
        <v>761</v>
      </c>
      <c r="C116" s="1810" t="s">
        <v>377</v>
      </c>
      <c r="D116" s="1811" t="s">
        <v>164</v>
      </c>
      <c r="E116" s="1833" t="s">
        <v>632</v>
      </c>
      <c r="F116" s="1833" t="s">
        <v>633</v>
      </c>
      <c r="G116" s="1834" t="s">
        <v>882</v>
      </c>
      <c r="H116" s="1835" t="s">
        <v>883</v>
      </c>
      <c r="I116" s="1829"/>
    </row>
    <row r="117" spans="1:9" ht="14.25" hidden="1" thickTop="1" thickBot="1" x14ac:dyDescent="0.25">
      <c r="A117" s="1643">
        <v>1</v>
      </c>
      <c r="B117" s="1642">
        <v>2</v>
      </c>
      <c r="C117" s="1642">
        <v>3</v>
      </c>
      <c r="D117" s="1642">
        <v>5</v>
      </c>
      <c r="E117" s="1641">
        <v>6</v>
      </c>
      <c r="F117" s="1641">
        <v>7</v>
      </c>
      <c r="G117" s="1877">
        <v>8</v>
      </c>
      <c r="H117" s="1814" t="s">
        <v>762</v>
      </c>
      <c r="I117" s="1829"/>
    </row>
    <row r="118" spans="1:9" ht="30.75" hidden="1" thickTop="1" x14ac:dyDescent="0.2">
      <c r="A118" s="1896">
        <v>3299</v>
      </c>
      <c r="B118" s="1923">
        <v>5336</v>
      </c>
      <c r="C118" s="1903">
        <v>32133006</v>
      </c>
      <c r="D118" s="1919" t="s">
        <v>1375</v>
      </c>
      <c r="E118" s="1832">
        <v>0</v>
      </c>
      <c r="F118" s="1832">
        <v>0</v>
      </c>
      <c r="G118" s="1888">
        <v>0</v>
      </c>
      <c r="H118" s="1819" t="e">
        <f>G118/F118*100</f>
        <v>#DIV/0!</v>
      </c>
      <c r="I118" s="1829"/>
    </row>
    <row r="119" spans="1:9" ht="30" hidden="1" x14ac:dyDescent="0.2">
      <c r="A119" s="1896">
        <v>3299</v>
      </c>
      <c r="B119" s="1923">
        <v>5336</v>
      </c>
      <c r="C119" s="1903">
        <v>32533006</v>
      </c>
      <c r="D119" s="1836" t="s">
        <v>1263</v>
      </c>
      <c r="E119" s="1845">
        <v>0</v>
      </c>
      <c r="F119" s="1845">
        <v>0</v>
      </c>
      <c r="G119" s="1885">
        <v>0</v>
      </c>
      <c r="H119" s="1821" t="e">
        <f>G119/F119*100</f>
        <v>#DIV/0!</v>
      </c>
      <c r="I119" s="1829"/>
    </row>
    <row r="120" spans="1:9" ht="16.5" hidden="1" thickTop="1" thickBot="1" x14ac:dyDescent="0.3">
      <c r="A120" s="1837" t="s">
        <v>763</v>
      </c>
      <c r="B120" s="1838"/>
      <c r="C120" s="1838"/>
      <c r="D120" s="1839"/>
      <c r="E120" s="1818">
        <f>SUM(E118:E119)</f>
        <v>0</v>
      </c>
      <c r="F120" s="1818">
        <f>SUM(F118:F119)</f>
        <v>0</v>
      </c>
      <c r="G120" s="1818">
        <f>SUM(G118:G119)</f>
        <v>0</v>
      </c>
      <c r="H120" s="1822" t="e">
        <f>G120/F120*100</f>
        <v>#DIV/0!</v>
      </c>
      <c r="I120" s="1829"/>
    </row>
    <row r="121" spans="1:9" hidden="1" x14ac:dyDescent="0.2">
      <c r="I121" s="1829"/>
    </row>
    <row r="122" spans="1:9" ht="15" hidden="1" x14ac:dyDescent="0.25">
      <c r="A122" s="1808" t="s">
        <v>995</v>
      </c>
      <c r="D122" s="1802"/>
      <c r="E122" s="1803"/>
      <c r="H122" s="1829"/>
      <c r="I122" s="1829"/>
    </row>
    <row r="123" spans="1:9" ht="15" hidden="1" x14ac:dyDescent="0.25">
      <c r="A123" s="1808" t="s">
        <v>1144</v>
      </c>
      <c r="D123" s="1802"/>
      <c r="E123" s="1803"/>
      <c r="H123" s="1829" t="s">
        <v>161</v>
      </c>
      <c r="I123" s="1829"/>
    </row>
    <row r="124" spans="1:9" ht="25.5" hidden="1" thickTop="1" thickBot="1" x14ac:dyDescent="0.25">
      <c r="A124" s="1809" t="s">
        <v>162</v>
      </c>
      <c r="B124" s="1810" t="s">
        <v>761</v>
      </c>
      <c r="C124" s="1810" t="s">
        <v>377</v>
      </c>
      <c r="D124" s="1811" t="s">
        <v>164</v>
      </c>
      <c r="E124" s="1833" t="s">
        <v>632</v>
      </c>
      <c r="F124" s="1833" t="s">
        <v>633</v>
      </c>
      <c r="G124" s="1834" t="s">
        <v>882</v>
      </c>
      <c r="H124" s="1835" t="s">
        <v>883</v>
      </c>
      <c r="I124" s="1829"/>
    </row>
    <row r="125" spans="1:9" ht="14.25" hidden="1" thickTop="1" thickBot="1" x14ac:dyDescent="0.25">
      <c r="A125" s="1643">
        <v>1</v>
      </c>
      <c r="B125" s="1642">
        <v>2</v>
      </c>
      <c r="C125" s="1642">
        <v>3</v>
      </c>
      <c r="D125" s="1642">
        <v>5</v>
      </c>
      <c r="E125" s="1641">
        <v>6</v>
      </c>
      <c r="F125" s="1641">
        <v>7</v>
      </c>
      <c r="G125" s="1877">
        <v>8</v>
      </c>
      <c r="H125" s="1814" t="s">
        <v>762</v>
      </c>
      <c r="I125" s="1829"/>
    </row>
    <row r="126" spans="1:9" ht="30.75" hidden="1" thickTop="1" x14ac:dyDescent="0.2">
      <c r="A126" s="1896">
        <v>3299</v>
      </c>
      <c r="B126" s="1923">
        <v>5336</v>
      </c>
      <c r="C126" s="1903">
        <v>32133006</v>
      </c>
      <c r="D126" s="1919" t="s">
        <v>1375</v>
      </c>
      <c r="E126" s="1832">
        <v>0</v>
      </c>
      <c r="F126" s="1832">
        <v>0</v>
      </c>
      <c r="G126" s="1888">
        <v>0</v>
      </c>
      <c r="H126" s="1819" t="e">
        <f>G126/F126*100</f>
        <v>#DIV/0!</v>
      </c>
      <c r="I126" s="1829"/>
    </row>
    <row r="127" spans="1:9" ht="30" hidden="1" x14ac:dyDescent="0.2">
      <c r="A127" s="1896">
        <v>3299</v>
      </c>
      <c r="B127" s="1923">
        <v>5336</v>
      </c>
      <c r="C127" s="1903">
        <v>32533006</v>
      </c>
      <c r="D127" s="1836" t="s">
        <v>1263</v>
      </c>
      <c r="E127" s="1845">
        <v>0</v>
      </c>
      <c r="F127" s="1845">
        <v>0</v>
      </c>
      <c r="G127" s="1885">
        <v>0</v>
      </c>
      <c r="H127" s="1821" t="e">
        <f>G127/F127*100</f>
        <v>#DIV/0!</v>
      </c>
      <c r="I127" s="1829"/>
    </row>
    <row r="128" spans="1:9" ht="16.5" hidden="1" customHeight="1" thickTop="1" thickBot="1" x14ac:dyDescent="0.3">
      <c r="A128" s="1837" t="s">
        <v>763</v>
      </c>
      <c r="B128" s="1838"/>
      <c r="C128" s="1838"/>
      <c r="D128" s="1839"/>
      <c r="E128" s="1818">
        <f>SUM(E126:E127)</f>
        <v>0</v>
      </c>
      <c r="F128" s="1818">
        <f>SUM(F126:F127)</f>
        <v>0</v>
      </c>
      <c r="G128" s="1818">
        <f>SUM(G126:G127)</f>
        <v>0</v>
      </c>
      <c r="H128" s="1822" t="e">
        <f>G128/F128*100</f>
        <v>#DIV/0!</v>
      </c>
      <c r="I128" s="1829"/>
    </row>
    <row r="129" spans="1:9" ht="15" hidden="1" customHeight="1" thickTop="1" x14ac:dyDescent="0.2">
      <c r="I129" s="1829"/>
    </row>
    <row r="130" spans="1:9" ht="15" hidden="1" customHeight="1" thickTop="1" x14ac:dyDescent="0.25">
      <c r="A130" s="1808" t="s">
        <v>996</v>
      </c>
      <c r="D130" s="1802"/>
      <c r="E130" s="1803"/>
      <c r="H130" s="1829"/>
      <c r="I130" s="1829"/>
    </row>
    <row r="131" spans="1:9" ht="15" hidden="1" customHeight="1" thickBot="1" x14ac:dyDescent="0.3">
      <c r="A131" s="1808" t="s">
        <v>997</v>
      </c>
      <c r="D131" s="1802"/>
      <c r="E131" s="1803"/>
      <c r="H131" s="1892" t="s">
        <v>161</v>
      </c>
      <c r="I131" s="1829"/>
    </row>
    <row r="132" spans="1:9" ht="25.5" hidden="1" customHeight="1" thickTop="1" thickBot="1" x14ac:dyDescent="0.25">
      <c r="A132" s="1809" t="s">
        <v>162</v>
      </c>
      <c r="B132" s="1810" t="s">
        <v>761</v>
      </c>
      <c r="C132" s="1810" t="s">
        <v>377</v>
      </c>
      <c r="D132" s="1811" t="s">
        <v>164</v>
      </c>
      <c r="E132" s="1833" t="s">
        <v>632</v>
      </c>
      <c r="F132" s="1833" t="s">
        <v>633</v>
      </c>
      <c r="G132" s="1834" t="s">
        <v>882</v>
      </c>
      <c r="H132" s="1835" t="s">
        <v>883</v>
      </c>
      <c r="I132" s="1829"/>
    </row>
    <row r="133" spans="1:9" ht="15" hidden="1" customHeight="1" thickTop="1" thickBot="1" x14ac:dyDescent="0.25">
      <c r="A133" s="1643">
        <v>1</v>
      </c>
      <c r="B133" s="1642">
        <v>2</v>
      </c>
      <c r="C133" s="1642">
        <v>3</v>
      </c>
      <c r="D133" s="1642">
        <v>5</v>
      </c>
      <c r="E133" s="1641">
        <v>6</v>
      </c>
      <c r="F133" s="1641">
        <v>7</v>
      </c>
      <c r="G133" s="1877">
        <v>8</v>
      </c>
      <c r="H133" s="1814" t="s">
        <v>762</v>
      </c>
      <c r="I133" s="1829"/>
    </row>
    <row r="134" spans="1:9" ht="30.75" hidden="1" customHeight="1" thickTop="1" x14ac:dyDescent="0.2">
      <c r="A134" s="1896">
        <v>3299</v>
      </c>
      <c r="B134" s="1923">
        <v>5336</v>
      </c>
      <c r="C134" s="1903">
        <v>32133006</v>
      </c>
      <c r="D134" s="1836" t="s">
        <v>1263</v>
      </c>
      <c r="E134" s="1832">
        <v>0</v>
      </c>
      <c r="F134" s="1832"/>
      <c r="G134" s="1888"/>
      <c r="H134" s="1819" t="e">
        <f>G134/F134*100</f>
        <v>#DIV/0!</v>
      </c>
      <c r="I134" s="1829"/>
    </row>
    <row r="135" spans="1:9" ht="30.75" hidden="1" customHeight="1" thickBot="1" x14ac:dyDescent="0.25">
      <c r="A135" s="1896">
        <v>3299</v>
      </c>
      <c r="B135" s="1923">
        <v>5336</v>
      </c>
      <c r="C135" s="1903">
        <v>32533006</v>
      </c>
      <c r="D135" s="1836" t="s">
        <v>1263</v>
      </c>
      <c r="E135" s="1845">
        <v>0</v>
      </c>
      <c r="F135" s="1845"/>
      <c r="G135" s="1885"/>
      <c r="H135" s="1821" t="e">
        <f>G135/F135*100</f>
        <v>#DIV/0!</v>
      </c>
      <c r="I135" s="1829"/>
    </row>
    <row r="136" spans="1:9" ht="16.5" hidden="1" customHeight="1" thickTop="1" thickBot="1" x14ac:dyDescent="0.3">
      <c r="A136" s="1837" t="s">
        <v>763</v>
      </c>
      <c r="B136" s="1838"/>
      <c r="C136" s="1838"/>
      <c r="D136" s="1839"/>
      <c r="E136" s="1818">
        <f>SUM(E134:E135)</f>
        <v>0</v>
      </c>
      <c r="F136" s="1818">
        <f>SUM(F134:F135)</f>
        <v>0</v>
      </c>
      <c r="G136" s="1818">
        <f>SUM(G134:G135)</f>
        <v>0</v>
      </c>
      <c r="H136" s="1822" t="e">
        <f>G136/F136*100</f>
        <v>#DIV/0!</v>
      </c>
      <c r="I136" s="1829"/>
    </row>
    <row r="137" spans="1:9" ht="15" hidden="1" customHeight="1" thickTop="1" x14ac:dyDescent="0.2">
      <c r="I137" s="1829"/>
    </row>
    <row r="138" spans="1:9" ht="15" hidden="1" customHeight="1" x14ac:dyDescent="0.25">
      <c r="A138" s="1808" t="s">
        <v>998</v>
      </c>
      <c r="D138" s="1802"/>
      <c r="E138" s="1803"/>
      <c r="H138" s="1829"/>
      <c r="I138" s="1829"/>
    </row>
    <row r="139" spans="1:9" ht="15" hidden="1" customHeight="1" thickBot="1" x14ac:dyDescent="0.3">
      <c r="A139" s="1808" t="s">
        <v>999</v>
      </c>
      <c r="D139" s="1802"/>
      <c r="E139" s="1803"/>
      <c r="H139" s="1829" t="s">
        <v>161</v>
      </c>
      <c r="I139" s="1829"/>
    </row>
    <row r="140" spans="1:9" ht="25.5" hidden="1" customHeight="1" thickTop="1" thickBot="1" x14ac:dyDescent="0.25">
      <c r="A140" s="1809" t="s">
        <v>162</v>
      </c>
      <c r="B140" s="1810" t="s">
        <v>761</v>
      </c>
      <c r="C140" s="1810" t="s">
        <v>377</v>
      </c>
      <c r="D140" s="1811" t="s">
        <v>164</v>
      </c>
      <c r="E140" s="1833" t="s">
        <v>632</v>
      </c>
      <c r="F140" s="1833" t="s">
        <v>633</v>
      </c>
      <c r="G140" s="1834" t="s">
        <v>882</v>
      </c>
      <c r="H140" s="1835" t="s">
        <v>883</v>
      </c>
      <c r="I140" s="1829"/>
    </row>
    <row r="141" spans="1:9" ht="15" hidden="1" customHeight="1" thickTop="1" thickBot="1" x14ac:dyDescent="0.25">
      <c r="A141" s="1643">
        <v>1</v>
      </c>
      <c r="B141" s="1642">
        <v>2</v>
      </c>
      <c r="C141" s="1642">
        <v>3</v>
      </c>
      <c r="D141" s="1642">
        <v>5</v>
      </c>
      <c r="E141" s="1641">
        <v>6</v>
      </c>
      <c r="F141" s="1641">
        <v>7</v>
      </c>
      <c r="G141" s="1877">
        <v>8</v>
      </c>
      <c r="H141" s="1814" t="s">
        <v>762</v>
      </c>
      <c r="I141" s="1829"/>
    </row>
    <row r="142" spans="1:9" ht="42.75" hidden="1" customHeight="1" thickTop="1" x14ac:dyDescent="0.2">
      <c r="A142" s="1896">
        <v>3299</v>
      </c>
      <c r="B142" s="1903">
        <v>5213</v>
      </c>
      <c r="C142" s="1903">
        <v>32133006</v>
      </c>
      <c r="D142" s="1836" t="s">
        <v>1000</v>
      </c>
      <c r="E142" s="1832">
        <v>0</v>
      </c>
      <c r="F142" s="1832">
        <v>0</v>
      </c>
      <c r="G142" s="1888">
        <v>0</v>
      </c>
      <c r="H142" s="1819" t="e">
        <f>G142/F142*100</f>
        <v>#DIV/0!</v>
      </c>
      <c r="I142" s="1829"/>
    </row>
    <row r="143" spans="1:9" ht="47.25" hidden="1" customHeight="1" thickBot="1" x14ac:dyDescent="0.25">
      <c r="A143" s="1896">
        <v>3299</v>
      </c>
      <c r="B143" s="1903">
        <v>5213</v>
      </c>
      <c r="C143" s="1903">
        <v>32533006</v>
      </c>
      <c r="D143" s="1836" t="s">
        <v>1000</v>
      </c>
      <c r="E143" s="1845">
        <v>0</v>
      </c>
      <c r="F143" s="1845">
        <v>0</v>
      </c>
      <c r="G143" s="1885">
        <v>0</v>
      </c>
      <c r="H143" s="1821" t="e">
        <f>G143/F143*100</f>
        <v>#DIV/0!</v>
      </c>
      <c r="I143" s="1829"/>
    </row>
    <row r="144" spans="1:9" ht="16.5" hidden="1" customHeight="1" thickTop="1" thickBot="1" x14ac:dyDescent="0.3">
      <c r="A144" s="1837" t="s">
        <v>763</v>
      </c>
      <c r="B144" s="1838"/>
      <c r="C144" s="1838"/>
      <c r="D144" s="1839"/>
      <c r="E144" s="1818">
        <f>SUM(E142:E143)</f>
        <v>0</v>
      </c>
      <c r="F144" s="1818">
        <f>SUM(F142:F143)</f>
        <v>0</v>
      </c>
      <c r="G144" s="1818">
        <f>SUM(G142:G143)</f>
        <v>0</v>
      </c>
      <c r="H144" s="1822" t="e">
        <f>G144/F144*100</f>
        <v>#DIV/0!</v>
      </c>
      <c r="I144" s="1829"/>
    </row>
    <row r="145" spans="1:9" ht="15" hidden="1" customHeight="1" thickTop="1" x14ac:dyDescent="0.2">
      <c r="I145" s="1829"/>
    </row>
    <row r="146" spans="1:9" ht="15" hidden="1" customHeight="1" x14ac:dyDescent="0.25">
      <c r="A146" s="1808" t="s">
        <v>1380</v>
      </c>
      <c r="B146" s="1924"/>
      <c r="C146" s="1924"/>
      <c r="D146" s="1924"/>
      <c r="E146" s="1924"/>
      <c r="F146" s="1925"/>
      <c r="G146" s="1925"/>
      <c r="H146" s="1925"/>
      <c r="I146" s="1925"/>
    </row>
    <row r="147" spans="1:9" ht="15" hidden="1" customHeight="1" thickBot="1" x14ac:dyDescent="0.3">
      <c r="A147" s="1924" t="s">
        <v>1379</v>
      </c>
      <c r="B147" s="1924"/>
      <c r="C147" s="1926"/>
      <c r="D147" s="1926"/>
      <c r="E147" s="1927"/>
      <c r="F147" s="1925"/>
      <c r="G147" s="1925"/>
      <c r="H147" s="1928" t="s">
        <v>161</v>
      </c>
      <c r="I147" s="1925"/>
    </row>
    <row r="148" spans="1:9" ht="27.75" hidden="1" customHeight="1" thickTop="1" thickBot="1" x14ac:dyDescent="0.25">
      <c r="A148" s="1929" t="s">
        <v>162</v>
      </c>
      <c r="B148" s="1930" t="s">
        <v>761</v>
      </c>
      <c r="C148" s="1930" t="s">
        <v>377</v>
      </c>
      <c r="D148" s="1931" t="s">
        <v>164</v>
      </c>
      <c r="E148" s="1932" t="s">
        <v>632</v>
      </c>
      <c r="F148" s="1932" t="s">
        <v>633</v>
      </c>
      <c r="G148" s="1933" t="s">
        <v>882</v>
      </c>
      <c r="H148" s="1934" t="s">
        <v>883</v>
      </c>
      <c r="I148" s="1925"/>
    </row>
    <row r="149" spans="1:9" ht="15" hidden="1" customHeight="1" thickTop="1" thickBot="1" x14ac:dyDescent="0.25">
      <c r="A149" s="1935">
        <v>1</v>
      </c>
      <c r="B149" s="1936">
        <v>2</v>
      </c>
      <c r="C149" s="1936">
        <v>3</v>
      </c>
      <c r="D149" s="1936">
        <v>5</v>
      </c>
      <c r="E149" s="1937">
        <v>6</v>
      </c>
      <c r="F149" s="1937">
        <v>7</v>
      </c>
      <c r="G149" s="1938">
        <v>8</v>
      </c>
      <c r="H149" s="1939" t="s">
        <v>762</v>
      </c>
      <c r="I149" s="1925"/>
    </row>
    <row r="150" spans="1:9" ht="30.75" hidden="1" customHeight="1" thickTop="1" x14ac:dyDescent="0.2">
      <c r="A150" s="1940">
        <v>3299</v>
      </c>
      <c r="B150" s="1941">
        <v>5221</v>
      </c>
      <c r="C150" s="1941">
        <v>32133006</v>
      </c>
      <c r="D150" s="1950" t="s">
        <v>1317</v>
      </c>
      <c r="E150" s="1942">
        <v>0</v>
      </c>
      <c r="F150" s="1942"/>
      <c r="G150" s="1943"/>
      <c r="H150" s="1944">
        <v>84.8</v>
      </c>
      <c r="I150" s="1925"/>
    </row>
    <row r="151" spans="1:9" ht="30.75" hidden="1" customHeight="1" thickBot="1" x14ac:dyDescent="0.25">
      <c r="A151" s="1940">
        <v>3299</v>
      </c>
      <c r="B151" s="1941">
        <v>5221</v>
      </c>
      <c r="C151" s="1941">
        <v>32533006</v>
      </c>
      <c r="D151" s="1950" t="s">
        <v>1317</v>
      </c>
      <c r="E151" s="1942">
        <v>0</v>
      </c>
      <c r="F151" s="1942"/>
      <c r="G151" s="1943"/>
      <c r="H151" s="1944">
        <v>84.9</v>
      </c>
      <c r="I151" s="1925"/>
    </row>
    <row r="152" spans="1:9" ht="15" hidden="1" customHeight="1" thickTop="1" thickBot="1" x14ac:dyDescent="0.3">
      <c r="A152" s="1945" t="s">
        <v>763</v>
      </c>
      <c r="B152" s="1946"/>
      <c r="C152" s="1946"/>
      <c r="D152" s="1947"/>
      <c r="E152" s="1948">
        <v>0</v>
      </c>
      <c r="F152" s="1948">
        <f>SUM(F150:F151)</f>
        <v>0</v>
      </c>
      <c r="G152" s="1948">
        <f>SUM(G150:G151)</f>
        <v>0</v>
      </c>
      <c r="H152" s="1949">
        <v>84.9</v>
      </c>
      <c r="I152" s="1925"/>
    </row>
    <row r="153" spans="1:9" ht="15" hidden="1" customHeight="1" thickTop="1" x14ac:dyDescent="0.2">
      <c r="I153" s="1829"/>
    </row>
    <row r="154" spans="1:9" ht="15" hidden="1" customHeight="1" x14ac:dyDescent="0.25">
      <c r="A154" s="1808" t="s">
        <v>1378</v>
      </c>
      <c r="B154" s="1924"/>
      <c r="C154" s="1924"/>
      <c r="D154" s="1924"/>
      <c r="E154" s="1924"/>
      <c r="F154" s="1925"/>
      <c r="G154" s="1925"/>
      <c r="H154" s="1925"/>
      <c r="I154" s="1925"/>
    </row>
    <row r="155" spans="1:9" ht="15" hidden="1" customHeight="1" thickBot="1" x14ac:dyDescent="0.3">
      <c r="A155" s="1924" t="s">
        <v>1377</v>
      </c>
      <c r="B155" s="1924"/>
      <c r="C155" s="1926"/>
      <c r="D155" s="1926"/>
      <c r="E155" s="1927"/>
      <c r="F155" s="1925"/>
      <c r="G155" s="1925"/>
      <c r="H155" s="1928" t="s">
        <v>161</v>
      </c>
      <c r="I155" s="1925"/>
    </row>
    <row r="156" spans="1:9" ht="27.75" hidden="1" customHeight="1" thickTop="1" thickBot="1" x14ac:dyDescent="0.25">
      <c r="A156" s="1929" t="s">
        <v>162</v>
      </c>
      <c r="B156" s="1930" t="s">
        <v>761</v>
      </c>
      <c r="C156" s="1930" t="s">
        <v>377</v>
      </c>
      <c r="D156" s="1931" t="s">
        <v>164</v>
      </c>
      <c r="E156" s="1932" t="s">
        <v>632</v>
      </c>
      <c r="F156" s="1932" t="s">
        <v>633</v>
      </c>
      <c r="G156" s="1933" t="s">
        <v>882</v>
      </c>
      <c r="H156" s="1934" t="s">
        <v>883</v>
      </c>
      <c r="I156" s="1925"/>
    </row>
    <row r="157" spans="1:9" ht="15" hidden="1" customHeight="1" thickTop="1" thickBot="1" x14ac:dyDescent="0.25">
      <c r="A157" s="1935">
        <v>1</v>
      </c>
      <c r="B157" s="1936">
        <v>2</v>
      </c>
      <c r="C157" s="1936">
        <v>3</v>
      </c>
      <c r="D157" s="1936">
        <v>5</v>
      </c>
      <c r="E157" s="1937">
        <v>6</v>
      </c>
      <c r="F157" s="1937">
        <v>7</v>
      </c>
      <c r="G157" s="1938">
        <v>8</v>
      </c>
      <c r="H157" s="1939" t="s">
        <v>762</v>
      </c>
      <c r="I157" s="1925"/>
    </row>
    <row r="158" spans="1:9" ht="30.75" hidden="1" customHeight="1" thickTop="1" x14ac:dyDescent="0.2">
      <c r="A158" s="1940">
        <v>3299</v>
      </c>
      <c r="B158" s="1941">
        <v>5221</v>
      </c>
      <c r="C158" s="1941">
        <v>32133006</v>
      </c>
      <c r="D158" s="1950" t="s">
        <v>1317</v>
      </c>
      <c r="E158" s="1942">
        <v>0</v>
      </c>
      <c r="F158" s="1942"/>
      <c r="G158" s="1943"/>
      <c r="H158" s="1944">
        <v>84.8</v>
      </c>
      <c r="I158" s="1925"/>
    </row>
    <row r="159" spans="1:9" ht="30.75" hidden="1" customHeight="1" thickBot="1" x14ac:dyDescent="0.25">
      <c r="A159" s="1940">
        <v>3299</v>
      </c>
      <c r="B159" s="1941">
        <v>5221</v>
      </c>
      <c r="C159" s="1941">
        <v>32533006</v>
      </c>
      <c r="D159" s="1950" t="s">
        <v>1317</v>
      </c>
      <c r="E159" s="1942">
        <v>0</v>
      </c>
      <c r="F159" s="1942"/>
      <c r="G159" s="1943"/>
      <c r="H159" s="1944">
        <v>84.9</v>
      </c>
      <c r="I159" s="1925"/>
    </row>
    <row r="160" spans="1:9" ht="15" hidden="1" customHeight="1" thickTop="1" thickBot="1" x14ac:dyDescent="0.3">
      <c r="A160" s="1945" t="s">
        <v>763</v>
      </c>
      <c r="B160" s="1946"/>
      <c r="C160" s="1946"/>
      <c r="D160" s="1947"/>
      <c r="E160" s="1948">
        <v>0</v>
      </c>
      <c r="F160" s="1948">
        <f>SUM(F158:F159)</f>
        <v>0</v>
      </c>
      <c r="G160" s="1948">
        <f>SUM(G158:G159)</f>
        <v>0</v>
      </c>
      <c r="H160" s="1949">
        <v>84.9</v>
      </c>
      <c r="I160" s="1925"/>
    </row>
    <row r="161" spans="1:9" ht="15" hidden="1" customHeight="1" thickTop="1" x14ac:dyDescent="0.2">
      <c r="I161" s="1829"/>
    </row>
    <row r="162" spans="1:9" ht="15" hidden="1" customHeight="1" x14ac:dyDescent="0.25">
      <c r="A162" s="1808" t="s">
        <v>1001</v>
      </c>
      <c r="D162" s="1802"/>
      <c r="E162" s="1803"/>
      <c r="H162" s="1829"/>
      <c r="I162" s="1829"/>
    </row>
    <row r="163" spans="1:9" ht="15" hidden="1" customHeight="1" thickBot="1" x14ac:dyDescent="0.3">
      <c r="A163" s="1808" t="s">
        <v>966</v>
      </c>
      <c r="D163" s="1802"/>
      <c r="E163" s="1803"/>
      <c r="H163" s="1892" t="s">
        <v>161</v>
      </c>
      <c r="I163" s="1829"/>
    </row>
    <row r="164" spans="1:9" ht="25.5" hidden="1" customHeight="1" thickTop="1" thickBot="1" x14ac:dyDescent="0.25">
      <c r="A164" s="1809" t="s">
        <v>162</v>
      </c>
      <c r="B164" s="1810" t="s">
        <v>761</v>
      </c>
      <c r="C164" s="1810" t="s">
        <v>377</v>
      </c>
      <c r="D164" s="1811" t="s">
        <v>164</v>
      </c>
      <c r="E164" s="1833" t="s">
        <v>632</v>
      </c>
      <c r="F164" s="1833" t="s">
        <v>633</v>
      </c>
      <c r="G164" s="1834" t="s">
        <v>882</v>
      </c>
      <c r="H164" s="1835" t="s">
        <v>883</v>
      </c>
      <c r="I164" s="1829"/>
    </row>
    <row r="165" spans="1:9" ht="15" hidden="1" customHeight="1" thickTop="1" thickBot="1" x14ac:dyDescent="0.25">
      <c r="A165" s="1643">
        <v>1</v>
      </c>
      <c r="B165" s="1642">
        <v>2</v>
      </c>
      <c r="C165" s="1642">
        <v>3</v>
      </c>
      <c r="D165" s="1642">
        <v>5</v>
      </c>
      <c r="E165" s="1641">
        <v>6</v>
      </c>
      <c r="F165" s="1641">
        <v>7</v>
      </c>
      <c r="G165" s="1877">
        <v>8</v>
      </c>
      <c r="H165" s="1814" t="s">
        <v>762</v>
      </c>
      <c r="I165" s="1829"/>
    </row>
    <row r="166" spans="1:9" ht="42.75" hidden="1" customHeight="1" thickTop="1" x14ac:dyDescent="0.2">
      <c r="A166" s="1896">
        <v>3299</v>
      </c>
      <c r="B166" s="1903">
        <v>5213</v>
      </c>
      <c r="C166" s="1903">
        <v>32133006</v>
      </c>
      <c r="D166" s="1836" t="s">
        <v>1000</v>
      </c>
      <c r="E166" s="1832">
        <v>0</v>
      </c>
      <c r="F166" s="1832"/>
      <c r="G166" s="1888"/>
      <c r="H166" s="1819" t="e">
        <f>G166/F166*100</f>
        <v>#DIV/0!</v>
      </c>
      <c r="I166" s="1829"/>
    </row>
    <row r="167" spans="1:9" ht="47.25" hidden="1" customHeight="1" thickBot="1" x14ac:dyDescent="0.25">
      <c r="A167" s="1896">
        <v>3299</v>
      </c>
      <c r="B167" s="1903">
        <v>5213</v>
      </c>
      <c r="C167" s="1903">
        <v>32533006</v>
      </c>
      <c r="D167" s="1836" t="s">
        <v>1000</v>
      </c>
      <c r="E167" s="1845">
        <v>0</v>
      </c>
      <c r="F167" s="1845"/>
      <c r="G167" s="1885"/>
      <c r="H167" s="1821" t="e">
        <f>G167/F167*100</f>
        <v>#DIV/0!</v>
      </c>
      <c r="I167" s="1829"/>
    </row>
    <row r="168" spans="1:9" ht="47.25" hidden="1" customHeight="1" x14ac:dyDescent="0.2">
      <c r="A168" s="1951">
        <v>3299</v>
      </c>
      <c r="B168" s="1952">
        <v>6313</v>
      </c>
      <c r="C168" s="1903">
        <v>32133006</v>
      </c>
      <c r="D168" s="1915" t="s">
        <v>1002</v>
      </c>
      <c r="E168" s="1845">
        <v>0</v>
      </c>
      <c r="F168" s="1845">
        <v>0</v>
      </c>
      <c r="G168" s="1885">
        <v>0</v>
      </c>
      <c r="H168" s="1821" t="e">
        <f>G168/F168*100</f>
        <v>#DIV/0!</v>
      </c>
      <c r="I168" s="1829"/>
    </row>
    <row r="169" spans="1:9" ht="47.25" hidden="1" customHeight="1" thickBot="1" x14ac:dyDescent="0.25">
      <c r="A169" s="1951">
        <v>3299</v>
      </c>
      <c r="B169" s="1917">
        <v>6313</v>
      </c>
      <c r="C169" s="1953">
        <v>32533006</v>
      </c>
      <c r="D169" s="1841" t="s">
        <v>1002</v>
      </c>
      <c r="E169" s="1845">
        <v>0</v>
      </c>
      <c r="F169" s="1845">
        <v>0</v>
      </c>
      <c r="G169" s="1885">
        <v>0</v>
      </c>
      <c r="H169" s="1821" t="e">
        <f>G169/F169*100</f>
        <v>#DIV/0!</v>
      </c>
      <c r="I169" s="1829"/>
    </row>
    <row r="170" spans="1:9" ht="16.5" hidden="1" customHeight="1" thickTop="1" thickBot="1" x14ac:dyDescent="0.3">
      <c r="A170" s="1837" t="s">
        <v>763</v>
      </c>
      <c r="B170" s="1838"/>
      <c r="C170" s="1838"/>
      <c r="D170" s="1839"/>
      <c r="E170" s="1818">
        <f>SUM(E166:E167)</f>
        <v>0</v>
      </c>
      <c r="F170" s="1818">
        <f>SUM(F166:F169)</f>
        <v>0</v>
      </c>
      <c r="G170" s="1818">
        <f>SUM(G166:G169)</f>
        <v>0</v>
      </c>
      <c r="H170" s="1822" t="e">
        <f>G170/F170*100</f>
        <v>#DIV/0!</v>
      </c>
      <c r="I170" s="1829"/>
    </row>
    <row r="171" spans="1:9" ht="15" hidden="1" customHeight="1" thickTop="1" x14ac:dyDescent="0.2">
      <c r="I171" s="1829"/>
    </row>
    <row r="172" spans="1:9" ht="15" hidden="1" customHeight="1" x14ac:dyDescent="0.25">
      <c r="A172" s="1808" t="s">
        <v>1627</v>
      </c>
      <c r="D172" s="1802"/>
      <c r="E172" s="1803"/>
      <c r="H172" s="1829"/>
      <c r="I172" s="1829"/>
    </row>
    <row r="173" spans="1:9" ht="15" hidden="1" customHeight="1" thickBot="1" x14ac:dyDescent="0.3">
      <c r="A173" s="1808" t="s">
        <v>1003</v>
      </c>
      <c r="D173" s="1802"/>
      <c r="E173" s="1803"/>
      <c r="H173" s="1892" t="s">
        <v>161</v>
      </c>
      <c r="I173" s="1829"/>
    </row>
    <row r="174" spans="1:9" ht="25.5" hidden="1" customHeight="1" thickTop="1" thickBot="1" x14ac:dyDescent="0.25">
      <c r="A174" s="1809" t="s">
        <v>162</v>
      </c>
      <c r="B174" s="1810" t="s">
        <v>761</v>
      </c>
      <c r="C174" s="1810" t="s">
        <v>377</v>
      </c>
      <c r="D174" s="1811" t="s">
        <v>164</v>
      </c>
      <c r="E174" s="1833" t="s">
        <v>632</v>
      </c>
      <c r="F174" s="1833" t="s">
        <v>633</v>
      </c>
      <c r="G174" s="1834" t="s">
        <v>882</v>
      </c>
      <c r="H174" s="1835" t="s">
        <v>883</v>
      </c>
      <c r="I174" s="1829"/>
    </row>
    <row r="175" spans="1:9" ht="15" hidden="1" customHeight="1" thickTop="1" thickBot="1" x14ac:dyDescent="0.25">
      <c r="A175" s="1643">
        <v>1</v>
      </c>
      <c r="B175" s="1642">
        <v>2</v>
      </c>
      <c r="C175" s="1642">
        <v>3</v>
      </c>
      <c r="D175" s="1642">
        <v>5</v>
      </c>
      <c r="E175" s="1641">
        <v>6</v>
      </c>
      <c r="F175" s="1641">
        <v>7</v>
      </c>
      <c r="G175" s="1877">
        <v>8</v>
      </c>
      <c r="H175" s="1814" t="s">
        <v>762</v>
      </c>
      <c r="I175" s="1829"/>
    </row>
    <row r="176" spans="1:9" ht="30.75" hidden="1" customHeight="1" thickTop="1" x14ac:dyDescent="0.2">
      <c r="A176" s="1896">
        <v>3299</v>
      </c>
      <c r="B176" s="1903">
        <v>5221</v>
      </c>
      <c r="C176" s="1903">
        <v>32133006</v>
      </c>
      <c r="D176" s="1836" t="s">
        <v>1317</v>
      </c>
      <c r="E176" s="1832">
        <v>0</v>
      </c>
      <c r="F176" s="1832"/>
      <c r="G176" s="1888"/>
      <c r="H176" s="1819" t="e">
        <f>G176/F176*100</f>
        <v>#DIV/0!</v>
      </c>
      <c r="I176" s="1829"/>
    </row>
    <row r="177" spans="1:9" ht="30.75" hidden="1" customHeight="1" thickBot="1" x14ac:dyDescent="0.25">
      <c r="A177" s="1896">
        <v>3299</v>
      </c>
      <c r="B177" s="1903">
        <v>5221</v>
      </c>
      <c r="C177" s="1903">
        <v>32533006</v>
      </c>
      <c r="D177" s="1836" t="s">
        <v>1317</v>
      </c>
      <c r="E177" s="1845">
        <v>0</v>
      </c>
      <c r="F177" s="1845"/>
      <c r="G177" s="1885"/>
      <c r="H177" s="1821" t="e">
        <f>G177/F177*100</f>
        <v>#DIV/0!</v>
      </c>
      <c r="I177" s="1829"/>
    </row>
    <row r="178" spans="1:9" ht="15" hidden="1" customHeight="1" thickTop="1" thickBot="1" x14ac:dyDescent="0.3">
      <c r="A178" s="1837" t="s">
        <v>763</v>
      </c>
      <c r="B178" s="1838"/>
      <c r="C178" s="1838"/>
      <c r="D178" s="1839"/>
      <c r="E178" s="1818">
        <f>SUM(E176:E177)</f>
        <v>0</v>
      </c>
      <c r="F178" s="1818">
        <f>SUM(F176:F177)</f>
        <v>0</v>
      </c>
      <c r="G178" s="1818">
        <f>SUM(G176:G177)</f>
        <v>0</v>
      </c>
      <c r="H178" s="1822" t="e">
        <f>G178/F178*100</f>
        <v>#DIV/0!</v>
      </c>
      <c r="I178" s="1829"/>
    </row>
    <row r="179" spans="1:9" ht="15" hidden="1" customHeight="1" thickTop="1" x14ac:dyDescent="0.2">
      <c r="I179" s="1829"/>
    </row>
    <row r="180" spans="1:9" ht="15" hidden="1" customHeight="1" x14ac:dyDescent="0.25">
      <c r="A180" s="1808" t="s">
        <v>1628</v>
      </c>
      <c r="D180" s="1802"/>
      <c r="E180" s="1803"/>
      <c r="H180" s="1829"/>
      <c r="I180" s="1829"/>
    </row>
    <row r="181" spans="1:9" ht="15" hidden="1" customHeight="1" thickBot="1" x14ac:dyDescent="0.3">
      <c r="A181" s="1808" t="s">
        <v>1004</v>
      </c>
      <c r="D181" s="1802"/>
      <c r="E181" s="1803"/>
      <c r="H181" s="1892" t="s">
        <v>161</v>
      </c>
      <c r="I181" s="1829"/>
    </row>
    <row r="182" spans="1:9" ht="25.5" hidden="1" customHeight="1" thickTop="1" thickBot="1" x14ac:dyDescent="0.25">
      <c r="A182" s="1809" t="s">
        <v>162</v>
      </c>
      <c r="B182" s="1810" t="s">
        <v>761</v>
      </c>
      <c r="C182" s="1810" t="s">
        <v>377</v>
      </c>
      <c r="D182" s="1811" t="s">
        <v>164</v>
      </c>
      <c r="E182" s="1833" t="s">
        <v>632</v>
      </c>
      <c r="F182" s="1833" t="s">
        <v>633</v>
      </c>
      <c r="G182" s="1834" t="s">
        <v>882</v>
      </c>
      <c r="H182" s="1835" t="s">
        <v>883</v>
      </c>
      <c r="I182" s="1829"/>
    </row>
    <row r="183" spans="1:9" ht="15" hidden="1" customHeight="1" thickTop="1" thickBot="1" x14ac:dyDescent="0.25">
      <c r="A183" s="1643">
        <v>1</v>
      </c>
      <c r="B183" s="1642">
        <v>2</v>
      </c>
      <c r="C183" s="1642">
        <v>3</v>
      </c>
      <c r="D183" s="1642">
        <v>5</v>
      </c>
      <c r="E183" s="1641">
        <v>6</v>
      </c>
      <c r="F183" s="1641">
        <v>7</v>
      </c>
      <c r="G183" s="1877">
        <v>8</v>
      </c>
      <c r="H183" s="1814" t="s">
        <v>762</v>
      </c>
      <c r="I183" s="1829"/>
    </row>
    <row r="184" spans="1:9" ht="30.75" hidden="1" customHeight="1" thickTop="1" x14ac:dyDescent="0.2">
      <c r="A184" s="1896">
        <v>3299</v>
      </c>
      <c r="B184" s="1903">
        <v>5222</v>
      </c>
      <c r="C184" s="1903">
        <v>32133006</v>
      </c>
      <c r="D184" s="1836" t="s">
        <v>221</v>
      </c>
      <c r="E184" s="1832">
        <v>0</v>
      </c>
      <c r="F184" s="1832"/>
      <c r="G184" s="1888"/>
      <c r="H184" s="1819" t="e">
        <f>G184/F184*100</f>
        <v>#DIV/0!</v>
      </c>
      <c r="I184" s="1829"/>
    </row>
    <row r="185" spans="1:9" ht="30.75" hidden="1" customHeight="1" thickBot="1" x14ac:dyDescent="0.25">
      <c r="A185" s="1896">
        <v>3299</v>
      </c>
      <c r="B185" s="1903">
        <v>5222</v>
      </c>
      <c r="C185" s="1903">
        <v>32533006</v>
      </c>
      <c r="D185" s="1836" t="s">
        <v>221</v>
      </c>
      <c r="E185" s="1845">
        <v>0</v>
      </c>
      <c r="F185" s="1845"/>
      <c r="G185" s="1885"/>
      <c r="H185" s="1821" t="e">
        <f>G185/F185*100</f>
        <v>#DIV/0!</v>
      </c>
      <c r="I185" s="1829"/>
    </row>
    <row r="186" spans="1:9" ht="15" hidden="1" customHeight="1" thickTop="1" thickBot="1" x14ac:dyDescent="0.3">
      <c r="A186" s="1837" t="s">
        <v>763</v>
      </c>
      <c r="B186" s="1838"/>
      <c r="C186" s="1838"/>
      <c r="D186" s="1839"/>
      <c r="E186" s="1818">
        <f>SUM(E184:E185)</f>
        <v>0</v>
      </c>
      <c r="F186" s="1818">
        <f>SUM(F184:F185)</f>
        <v>0</v>
      </c>
      <c r="G186" s="1818">
        <f>SUM(G184:G185)</f>
        <v>0</v>
      </c>
      <c r="H186" s="1822" t="e">
        <f>G186/F186*100</f>
        <v>#DIV/0!</v>
      </c>
      <c r="I186" s="1829"/>
    </row>
    <row r="187" spans="1:9" ht="15" hidden="1" customHeight="1" thickTop="1" x14ac:dyDescent="0.2">
      <c r="I187" s="1829"/>
    </row>
    <row r="188" spans="1:9" ht="15" hidden="1" customHeight="1" x14ac:dyDescent="0.25">
      <c r="A188" s="1808" t="s">
        <v>228</v>
      </c>
      <c r="D188" s="1802"/>
      <c r="E188" s="1803"/>
      <c r="H188" s="1829"/>
      <c r="I188" s="1829"/>
    </row>
    <row r="189" spans="1:9" ht="15" hidden="1" customHeight="1" thickBot="1" x14ac:dyDescent="0.3">
      <c r="A189" s="1808" t="s">
        <v>229</v>
      </c>
      <c r="D189" s="1802"/>
      <c r="E189" s="1803"/>
      <c r="H189" s="1829" t="s">
        <v>161</v>
      </c>
      <c r="I189" s="1829"/>
    </row>
    <row r="190" spans="1:9" ht="25.5" hidden="1" customHeight="1" thickTop="1" thickBot="1" x14ac:dyDescent="0.25">
      <c r="A190" s="1809" t="s">
        <v>162</v>
      </c>
      <c r="B190" s="1810" t="s">
        <v>761</v>
      </c>
      <c r="C190" s="1810" t="s">
        <v>377</v>
      </c>
      <c r="D190" s="1811" t="s">
        <v>164</v>
      </c>
      <c r="E190" s="1833" t="s">
        <v>632</v>
      </c>
      <c r="F190" s="1833" t="s">
        <v>633</v>
      </c>
      <c r="G190" s="1834" t="s">
        <v>882</v>
      </c>
      <c r="H190" s="1835" t="s">
        <v>883</v>
      </c>
      <c r="I190" s="1829"/>
    </row>
    <row r="191" spans="1:9" ht="15" hidden="1" customHeight="1" thickTop="1" thickBot="1" x14ac:dyDescent="0.25">
      <c r="A191" s="1643">
        <v>1</v>
      </c>
      <c r="B191" s="1642">
        <v>2</v>
      </c>
      <c r="C191" s="1642">
        <v>3</v>
      </c>
      <c r="D191" s="1642">
        <v>5</v>
      </c>
      <c r="E191" s="1641">
        <v>6</v>
      </c>
      <c r="F191" s="1641">
        <v>7</v>
      </c>
      <c r="G191" s="1877">
        <v>8</v>
      </c>
      <c r="H191" s="1814" t="s">
        <v>762</v>
      </c>
      <c r="I191" s="1829"/>
    </row>
    <row r="192" spans="1:9" ht="15" hidden="1" customHeight="1" thickTop="1" x14ac:dyDescent="0.25">
      <c r="A192" s="1815">
        <v>3299</v>
      </c>
      <c r="B192" s="1816">
        <v>5321</v>
      </c>
      <c r="C192" s="1816">
        <v>32133006</v>
      </c>
      <c r="D192" s="1886" t="s">
        <v>1201</v>
      </c>
      <c r="E192" s="1832">
        <v>0</v>
      </c>
      <c r="F192" s="1832">
        <v>0</v>
      </c>
      <c r="G192" s="1888">
        <v>0</v>
      </c>
      <c r="H192" s="1819" t="e">
        <f>G192/F192*100</f>
        <v>#DIV/0!</v>
      </c>
      <c r="I192" s="1829"/>
    </row>
    <row r="193" spans="1:9" ht="15" hidden="1" customHeight="1" thickBot="1" x14ac:dyDescent="0.3">
      <c r="A193" s="1815">
        <v>3299</v>
      </c>
      <c r="B193" s="1816">
        <v>5321</v>
      </c>
      <c r="C193" s="1816">
        <v>32533006</v>
      </c>
      <c r="D193" s="1886" t="s">
        <v>1201</v>
      </c>
      <c r="E193" s="1845">
        <v>0</v>
      </c>
      <c r="F193" s="1845">
        <v>0</v>
      </c>
      <c r="G193" s="1885">
        <v>0</v>
      </c>
      <c r="H193" s="1821" t="e">
        <f>G193/F193*100</f>
        <v>#DIV/0!</v>
      </c>
      <c r="I193" s="1829"/>
    </row>
    <row r="194" spans="1:9" ht="15" hidden="1" customHeight="1" thickTop="1" thickBot="1" x14ac:dyDescent="0.3">
      <c r="A194" s="1837" t="s">
        <v>763</v>
      </c>
      <c r="B194" s="1838"/>
      <c r="C194" s="1838"/>
      <c r="D194" s="1839"/>
      <c r="E194" s="1818">
        <f>SUM(E192:E193)</f>
        <v>0</v>
      </c>
      <c r="F194" s="1818">
        <f>SUM(F192:F193)</f>
        <v>0</v>
      </c>
      <c r="G194" s="1818">
        <f>SUM(G192:G193)</f>
        <v>0</v>
      </c>
      <c r="H194" s="1822" t="e">
        <f>G194/F194*100</f>
        <v>#DIV/0!</v>
      </c>
      <c r="I194" s="1829"/>
    </row>
    <row r="195" spans="1:9" ht="15" hidden="1" customHeight="1" thickTop="1" x14ac:dyDescent="0.2">
      <c r="I195" s="1829"/>
    </row>
    <row r="196" spans="1:9" ht="15" hidden="1" customHeight="1" x14ac:dyDescent="0.25">
      <c r="A196" s="1808" t="s">
        <v>981</v>
      </c>
      <c r="D196" s="1802"/>
      <c r="E196" s="1803"/>
      <c r="H196" s="1829"/>
      <c r="I196" s="1829"/>
    </row>
    <row r="197" spans="1:9" ht="15" hidden="1" customHeight="1" thickBot="1" x14ac:dyDescent="0.3">
      <c r="A197" s="1808" t="s">
        <v>982</v>
      </c>
      <c r="D197" s="1802"/>
      <c r="E197" s="1803"/>
      <c r="H197" s="1892" t="s">
        <v>161</v>
      </c>
      <c r="I197" s="1829"/>
    </row>
    <row r="198" spans="1:9" ht="25.5" hidden="1" customHeight="1" thickTop="1" thickBot="1" x14ac:dyDescent="0.25">
      <c r="A198" s="1809" t="s">
        <v>162</v>
      </c>
      <c r="B198" s="1810" t="s">
        <v>761</v>
      </c>
      <c r="C198" s="1810" t="s">
        <v>377</v>
      </c>
      <c r="D198" s="1811" t="s">
        <v>164</v>
      </c>
      <c r="E198" s="1833" t="s">
        <v>632</v>
      </c>
      <c r="F198" s="1833" t="s">
        <v>633</v>
      </c>
      <c r="G198" s="1834" t="s">
        <v>882</v>
      </c>
      <c r="H198" s="1835" t="s">
        <v>883</v>
      </c>
      <c r="I198" s="1829"/>
    </row>
    <row r="199" spans="1:9" ht="15" hidden="1" customHeight="1" thickTop="1" thickBot="1" x14ac:dyDescent="0.25">
      <c r="A199" s="1643">
        <v>1</v>
      </c>
      <c r="B199" s="1642">
        <v>2</v>
      </c>
      <c r="C199" s="1642">
        <v>3</v>
      </c>
      <c r="D199" s="1642">
        <v>5</v>
      </c>
      <c r="E199" s="1641">
        <v>6</v>
      </c>
      <c r="F199" s="1641">
        <v>7</v>
      </c>
      <c r="G199" s="1877">
        <v>8</v>
      </c>
      <c r="H199" s="1814" t="s">
        <v>762</v>
      </c>
      <c r="I199" s="1829"/>
    </row>
    <row r="200" spans="1:9" ht="15" hidden="1" customHeight="1" thickTop="1" x14ac:dyDescent="0.25">
      <c r="A200" s="1815">
        <v>3299</v>
      </c>
      <c r="B200" s="1816">
        <v>5321</v>
      </c>
      <c r="C200" s="1816">
        <v>32133006</v>
      </c>
      <c r="D200" s="1886" t="s">
        <v>1201</v>
      </c>
      <c r="E200" s="1832">
        <v>0</v>
      </c>
      <c r="F200" s="1832"/>
      <c r="G200" s="1888"/>
      <c r="H200" s="1819" t="e">
        <f>G200/F200*100</f>
        <v>#DIV/0!</v>
      </c>
      <c r="I200" s="1829"/>
    </row>
    <row r="201" spans="1:9" ht="15" hidden="1" customHeight="1" thickBot="1" x14ac:dyDescent="0.3">
      <c r="A201" s="1815">
        <v>3299</v>
      </c>
      <c r="B201" s="1816">
        <v>5321</v>
      </c>
      <c r="C201" s="1816">
        <v>32533006</v>
      </c>
      <c r="D201" s="1886" t="s">
        <v>1201</v>
      </c>
      <c r="E201" s="1845">
        <v>0</v>
      </c>
      <c r="F201" s="1845"/>
      <c r="G201" s="1885"/>
      <c r="H201" s="1821" t="e">
        <f>G201/F201*100</f>
        <v>#DIV/0!</v>
      </c>
      <c r="I201" s="1829"/>
    </row>
    <row r="202" spans="1:9" ht="15" hidden="1" customHeight="1" x14ac:dyDescent="0.25">
      <c r="A202" s="1815">
        <v>3299</v>
      </c>
      <c r="B202" s="1858">
        <v>6341</v>
      </c>
      <c r="C202" s="1816">
        <v>32133006</v>
      </c>
      <c r="D202" s="1954" t="s">
        <v>248</v>
      </c>
      <c r="E202" s="1845">
        <v>0</v>
      </c>
      <c r="F202" s="1845">
        <v>0</v>
      </c>
      <c r="G202" s="1885">
        <v>0</v>
      </c>
      <c r="H202" s="1821" t="e">
        <f>G202/F202*100</f>
        <v>#DIV/0!</v>
      </c>
      <c r="I202" s="1829"/>
    </row>
    <row r="203" spans="1:9" ht="15" hidden="1" customHeight="1" thickBot="1" x14ac:dyDescent="0.3">
      <c r="A203" s="1847">
        <v>3299</v>
      </c>
      <c r="B203" s="1826">
        <v>6341</v>
      </c>
      <c r="C203" s="1826">
        <v>32533006</v>
      </c>
      <c r="D203" s="1954" t="s">
        <v>248</v>
      </c>
      <c r="E203" s="1845">
        <v>0</v>
      </c>
      <c r="F203" s="1845">
        <v>0</v>
      </c>
      <c r="G203" s="1885">
        <v>0</v>
      </c>
      <c r="H203" s="1821" t="e">
        <f>G203/F203*100</f>
        <v>#DIV/0!</v>
      </c>
      <c r="I203" s="1829"/>
    </row>
    <row r="204" spans="1:9" ht="15" hidden="1" customHeight="1" thickTop="1" thickBot="1" x14ac:dyDescent="0.3">
      <c r="A204" s="1837" t="s">
        <v>763</v>
      </c>
      <c r="B204" s="1838"/>
      <c r="C204" s="1838"/>
      <c r="D204" s="1839"/>
      <c r="E204" s="1818">
        <f>SUM(E200:E201)</f>
        <v>0</v>
      </c>
      <c r="F204" s="1818">
        <f>SUM(F200:F203)</f>
        <v>0</v>
      </c>
      <c r="G204" s="1818">
        <f>SUM(G200:G203)</f>
        <v>0</v>
      </c>
      <c r="H204" s="1822" t="e">
        <f>G204/F204*100</f>
        <v>#DIV/0!</v>
      </c>
      <c r="I204" s="1829"/>
    </row>
    <row r="205" spans="1:9" ht="15" hidden="1" customHeight="1" thickTop="1" x14ac:dyDescent="0.2">
      <c r="I205" s="1829"/>
    </row>
    <row r="206" spans="1:9" ht="15" hidden="1" x14ac:dyDescent="0.25">
      <c r="A206" s="1808" t="s">
        <v>1005</v>
      </c>
      <c r="D206" s="1802"/>
      <c r="E206" s="1803"/>
      <c r="H206" s="1829"/>
      <c r="I206" s="1829"/>
    </row>
    <row r="207" spans="1:9" ht="15" hidden="1" x14ac:dyDescent="0.25">
      <c r="A207" s="1808" t="s">
        <v>1006</v>
      </c>
      <c r="D207" s="1802"/>
      <c r="E207" s="1803"/>
      <c r="H207" s="1892" t="s">
        <v>161</v>
      </c>
      <c r="I207" s="1829"/>
    </row>
    <row r="208" spans="1:9" ht="25.5" hidden="1" thickTop="1" thickBot="1" x14ac:dyDescent="0.25">
      <c r="A208" s="1809" t="s">
        <v>162</v>
      </c>
      <c r="B208" s="1810" t="s">
        <v>761</v>
      </c>
      <c r="C208" s="1810" t="s">
        <v>377</v>
      </c>
      <c r="D208" s="1811" t="s">
        <v>164</v>
      </c>
      <c r="E208" s="1833" t="s">
        <v>632</v>
      </c>
      <c r="F208" s="1833" t="s">
        <v>633</v>
      </c>
      <c r="G208" s="1834" t="s">
        <v>882</v>
      </c>
      <c r="H208" s="1835" t="s">
        <v>883</v>
      </c>
      <c r="I208" s="1829"/>
    </row>
    <row r="209" spans="1:9" ht="14.25" hidden="1" thickTop="1" thickBot="1" x14ac:dyDescent="0.25">
      <c r="A209" s="1643">
        <v>1</v>
      </c>
      <c r="B209" s="1642">
        <v>2</v>
      </c>
      <c r="C209" s="1642">
        <v>3</v>
      </c>
      <c r="D209" s="1642">
        <v>5</v>
      </c>
      <c r="E209" s="1641">
        <v>6</v>
      </c>
      <c r="F209" s="1641">
        <v>7</v>
      </c>
      <c r="G209" s="1877">
        <v>8</v>
      </c>
      <c r="H209" s="1814" t="s">
        <v>762</v>
      </c>
      <c r="I209" s="1829"/>
    </row>
    <row r="210" spans="1:9" ht="15.75" hidden="1" thickTop="1" x14ac:dyDescent="0.25">
      <c r="A210" s="1815">
        <v>3299</v>
      </c>
      <c r="B210" s="1816">
        <v>5321</v>
      </c>
      <c r="C210" s="1816">
        <v>32133006</v>
      </c>
      <c r="D210" s="1886" t="s">
        <v>1201</v>
      </c>
      <c r="E210" s="1832">
        <v>0</v>
      </c>
      <c r="F210" s="1832"/>
      <c r="G210" s="1888"/>
      <c r="H210" s="1819" t="e">
        <f>G210/F210*100</f>
        <v>#DIV/0!</v>
      </c>
      <c r="I210" s="1829"/>
    </row>
    <row r="211" spans="1:9" ht="15" hidden="1" x14ac:dyDescent="0.25">
      <c r="A211" s="1815">
        <v>3299</v>
      </c>
      <c r="B211" s="1816">
        <v>5321</v>
      </c>
      <c r="C211" s="1816">
        <v>32533006</v>
      </c>
      <c r="D211" s="1886" t="s">
        <v>1201</v>
      </c>
      <c r="E211" s="1845">
        <v>0</v>
      </c>
      <c r="F211" s="1845"/>
      <c r="G211" s="1885"/>
      <c r="H211" s="1821" t="e">
        <f>G211/F211*100</f>
        <v>#DIV/0!</v>
      </c>
      <c r="I211" s="1829"/>
    </row>
    <row r="212" spans="1:9" ht="16.5" hidden="1" thickTop="1" thickBot="1" x14ac:dyDescent="0.3">
      <c r="A212" s="1837" t="s">
        <v>763</v>
      </c>
      <c r="B212" s="1838"/>
      <c r="C212" s="1838"/>
      <c r="D212" s="1839"/>
      <c r="E212" s="1818">
        <f>SUM(E210:E211)</f>
        <v>0</v>
      </c>
      <c r="F212" s="1818">
        <f>SUM(F210:F211)</f>
        <v>0</v>
      </c>
      <c r="G212" s="1818">
        <f>SUM(G210:G211)</f>
        <v>0</v>
      </c>
      <c r="H212" s="1822" t="e">
        <f>G212/F212*100</f>
        <v>#DIV/0!</v>
      </c>
      <c r="I212" s="1829"/>
    </row>
    <row r="213" spans="1:9" ht="15" hidden="1" customHeight="1" thickTop="1" x14ac:dyDescent="0.2">
      <c r="I213" s="1829"/>
    </row>
    <row r="214" spans="1:9" ht="15" hidden="1" x14ac:dyDescent="0.25">
      <c r="A214" s="1808" t="s">
        <v>1007</v>
      </c>
      <c r="D214" s="1802"/>
      <c r="E214" s="1803"/>
      <c r="H214" s="1829"/>
      <c r="I214" s="1829"/>
    </row>
    <row r="215" spans="1:9" ht="15" hidden="1" x14ac:dyDescent="0.25">
      <c r="A215" s="1808" t="s">
        <v>1145</v>
      </c>
      <c r="D215" s="1802"/>
      <c r="E215" s="1803"/>
      <c r="H215" s="1892" t="s">
        <v>161</v>
      </c>
      <c r="I215" s="1829"/>
    </row>
    <row r="216" spans="1:9" ht="25.5" hidden="1" thickTop="1" thickBot="1" x14ac:dyDescent="0.25">
      <c r="A216" s="1809" t="s">
        <v>162</v>
      </c>
      <c r="B216" s="1810" t="s">
        <v>761</v>
      </c>
      <c r="C216" s="1810" t="s">
        <v>377</v>
      </c>
      <c r="D216" s="1811" t="s">
        <v>164</v>
      </c>
      <c r="E216" s="1833" t="s">
        <v>632</v>
      </c>
      <c r="F216" s="1833" t="s">
        <v>633</v>
      </c>
      <c r="G216" s="1834" t="s">
        <v>882</v>
      </c>
      <c r="H216" s="1835" t="s">
        <v>883</v>
      </c>
      <c r="I216" s="1829"/>
    </row>
    <row r="217" spans="1:9" ht="14.25" hidden="1" thickTop="1" thickBot="1" x14ac:dyDescent="0.25">
      <c r="A217" s="1643">
        <v>1</v>
      </c>
      <c r="B217" s="1642">
        <v>2</v>
      </c>
      <c r="C217" s="1642">
        <v>3</v>
      </c>
      <c r="D217" s="1642">
        <v>5</v>
      </c>
      <c r="E217" s="1641">
        <v>6</v>
      </c>
      <c r="F217" s="1641">
        <v>7</v>
      </c>
      <c r="G217" s="1877">
        <v>8</v>
      </c>
      <c r="H217" s="1814" t="s">
        <v>762</v>
      </c>
      <c r="I217" s="1829"/>
    </row>
    <row r="218" spans="1:9" ht="15.75" hidden="1" thickTop="1" x14ac:dyDescent="0.25">
      <c r="A218" s="1815">
        <v>3299</v>
      </c>
      <c r="B218" s="1816">
        <v>5321</v>
      </c>
      <c r="C218" s="1816">
        <v>32133006</v>
      </c>
      <c r="D218" s="1886" t="s">
        <v>1201</v>
      </c>
      <c r="E218" s="1832">
        <v>0</v>
      </c>
      <c r="F218" s="1832"/>
      <c r="G218" s="1888"/>
      <c r="H218" s="1819" t="e">
        <f>G218/F218*100</f>
        <v>#DIV/0!</v>
      </c>
      <c r="I218" s="1829"/>
    </row>
    <row r="219" spans="1:9" ht="15" hidden="1" x14ac:dyDescent="0.25">
      <c r="A219" s="1815">
        <v>3299</v>
      </c>
      <c r="B219" s="1816">
        <v>5321</v>
      </c>
      <c r="C219" s="1816">
        <v>32533006</v>
      </c>
      <c r="D219" s="1886" t="s">
        <v>1201</v>
      </c>
      <c r="E219" s="1845">
        <v>0</v>
      </c>
      <c r="F219" s="1845"/>
      <c r="G219" s="1885"/>
      <c r="H219" s="1821" t="e">
        <f>G219/F219*100</f>
        <v>#DIV/0!</v>
      </c>
      <c r="I219" s="1829"/>
    </row>
    <row r="220" spans="1:9" ht="15" hidden="1" x14ac:dyDescent="0.25">
      <c r="A220" s="1890">
        <v>3299</v>
      </c>
      <c r="B220" s="1955">
        <v>6341</v>
      </c>
      <c r="C220" s="1955">
        <v>32133006</v>
      </c>
      <c r="D220" s="1886" t="s">
        <v>248</v>
      </c>
      <c r="E220" s="1845">
        <v>0</v>
      </c>
      <c r="F220" s="1845">
        <v>0</v>
      </c>
      <c r="G220" s="1885">
        <v>0</v>
      </c>
      <c r="H220" s="1821" t="e">
        <f>G220/F220*100</f>
        <v>#DIV/0!</v>
      </c>
      <c r="I220" s="1829"/>
    </row>
    <row r="221" spans="1:9" ht="15.75" hidden="1" thickBot="1" x14ac:dyDescent="0.3">
      <c r="A221" s="1890">
        <v>3299</v>
      </c>
      <c r="B221" s="1859">
        <v>6341</v>
      </c>
      <c r="C221" s="1826">
        <v>32533006</v>
      </c>
      <c r="D221" s="1954" t="s">
        <v>248</v>
      </c>
      <c r="E221" s="1845">
        <v>0</v>
      </c>
      <c r="F221" s="1845">
        <v>0</v>
      </c>
      <c r="G221" s="1885">
        <v>0</v>
      </c>
      <c r="H221" s="1821" t="e">
        <f>G221/F221*100</f>
        <v>#DIV/0!</v>
      </c>
      <c r="I221" s="1829"/>
    </row>
    <row r="222" spans="1:9" ht="16.5" hidden="1" thickTop="1" thickBot="1" x14ac:dyDescent="0.3">
      <c r="A222" s="1837" t="s">
        <v>763</v>
      </c>
      <c r="B222" s="1838"/>
      <c r="C222" s="1838"/>
      <c r="D222" s="1839"/>
      <c r="E222" s="1818">
        <f>SUM(E218:E219)</f>
        <v>0</v>
      </c>
      <c r="F222" s="1818">
        <f>SUM(F218:F221)</f>
        <v>0</v>
      </c>
      <c r="G222" s="1818">
        <f>SUM(G218:G221)</f>
        <v>0</v>
      </c>
      <c r="H222" s="1822" t="e">
        <f>G222/F222*100</f>
        <v>#DIV/0!</v>
      </c>
      <c r="I222" s="1829"/>
    </row>
    <row r="223" spans="1:9" hidden="1" x14ac:dyDescent="0.2">
      <c r="I223" s="1829"/>
    </row>
    <row r="224" spans="1:9" hidden="1" x14ac:dyDescent="0.2">
      <c r="I224" s="1829"/>
    </row>
    <row r="225" spans="1:12" hidden="1" x14ac:dyDescent="0.2">
      <c r="I225" s="1829"/>
    </row>
    <row r="226" spans="1:12" hidden="1" x14ac:dyDescent="0.2">
      <c r="I226" s="1829"/>
    </row>
    <row r="227" spans="1:12" hidden="1" x14ac:dyDescent="0.2">
      <c r="I227" s="1829"/>
    </row>
    <row r="228" spans="1:12" hidden="1" x14ac:dyDescent="0.2">
      <c r="I228" s="1829"/>
    </row>
    <row r="229" spans="1:12" hidden="1" x14ac:dyDescent="0.2">
      <c r="I229" s="1829"/>
    </row>
    <row r="230" spans="1:12" x14ac:dyDescent="0.2">
      <c r="I230" s="1829"/>
    </row>
    <row r="231" spans="1:12" x14ac:dyDescent="0.2">
      <c r="I231" s="1829"/>
    </row>
    <row r="232" spans="1:12" ht="16.5" x14ac:dyDescent="0.25">
      <c r="A232" s="1860" t="s">
        <v>465</v>
      </c>
      <c r="B232" s="1861"/>
      <c r="C232" s="1862"/>
      <c r="D232" s="1863"/>
      <c r="E232" s="1864">
        <f>SUM(E233:E235)</f>
        <v>0</v>
      </c>
      <c r="F232" s="1864">
        <f>F233+F234+F235+F236</f>
        <v>7284</v>
      </c>
      <c r="G232" s="1864">
        <f>G233+G234+G235+G236</f>
        <v>339</v>
      </c>
      <c r="H232" s="1884">
        <f>G232/F232*100</f>
        <v>4.6540362438220759</v>
      </c>
      <c r="J232" s="1866">
        <f>J233+J234+J235</f>
        <v>0</v>
      </c>
      <c r="K232" s="1866">
        <f>K233+K234+K235</f>
        <v>7284459.8900000006</v>
      </c>
      <c r="L232" s="1866">
        <f>L233+L234+L235</f>
        <v>338718.69</v>
      </c>
    </row>
    <row r="233" spans="1:12" ht="15" x14ac:dyDescent="0.2">
      <c r="A233" s="1600" t="s">
        <v>263</v>
      </c>
      <c r="B233" s="1603"/>
      <c r="C233" s="1598"/>
      <c r="D233" s="1867"/>
      <c r="E233" s="1601">
        <f>E10+E11+E16+E17+E25+E22</f>
        <v>0</v>
      </c>
      <c r="F233" s="1601">
        <f t="shared" ref="F233:G233" si="1">F10+F11+F16+F17+F25+F22</f>
        <v>5602</v>
      </c>
      <c r="G233" s="1601">
        <f t="shared" si="1"/>
        <v>339</v>
      </c>
      <c r="H233" s="1883">
        <f>G233/F233*100</f>
        <v>6.0514102106390579</v>
      </c>
      <c r="J233" s="1868">
        <v>0</v>
      </c>
      <c r="K233" s="1868">
        <v>5602119.1200000001</v>
      </c>
      <c r="L233" s="1868">
        <v>338718.69</v>
      </c>
    </row>
    <row r="234" spans="1:12" ht="15" x14ac:dyDescent="0.2">
      <c r="A234" s="1600" t="s">
        <v>264</v>
      </c>
      <c r="B234" s="1599"/>
      <c r="C234" s="1598"/>
      <c r="D234" s="1869"/>
      <c r="E234" s="1601">
        <f>E23+E24</f>
        <v>0</v>
      </c>
      <c r="F234" s="1601">
        <f t="shared" ref="F234:G234" si="2">F23+F24</f>
        <v>1682</v>
      </c>
      <c r="G234" s="1601">
        <f t="shared" si="2"/>
        <v>0</v>
      </c>
      <c r="H234" s="1883">
        <f>G234/F234*100</f>
        <v>0</v>
      </c>
      <c r="J234" s="1868">
        <v>0</v>
      </c>
      <c r="K234" s="1868">
        <v>1682340.77</v>
      </c>
      <c r="L234" s="1868">
        <v>0</v>
      </c>
    </row>
    <row r="235" spans="1:12" ht="15" x14ac:dyDescent="0.2">
      <c r="A235" s="1600" t="s">
        <v>466</v>
      </c>
      <c r="B235" s="1599"/>
      <c r="C235" s="1598"/>
      <c r="D235" s="1869"/>
      <c r="E235" s="1601">
        <v>0</v>
      </c>
      <c r="F235" s="1601">
        <v>0</v>
      </c>
      <c r="G235" s="1601">
        <v>0</v>
      </c>
      <c r="H235" s="1883">
        <v>0</v>
      </c>
      <c r="J235" s="1868">
        <v>0</v>
      </c>
      <c r="K235" s="1868">
        <v>0</v>
      </c>
      <c r="L235" s="1868">
        <v>0</v>
      </c>
    </row>
    <row r="236" spans="1:12" ht="15" x14ac:dyDescent="0.2">
      <c r="A236" s="1600"/>
      <c r="B236" s="1599"/>
      <c r="C236" s="1598"/>
      <c r="D236" s="1869"/>
      <c r="E236" s="1601"/>
      <c r="F236" s="1601"/>
      <c r="G236" s="1601"/>
      <c r="H236" s="1597"/>
    </row>
    <row r="237" spans="1:12" ht="91.5" customHeight="1" thickBot="1" x14ac:dyDescent="0.4">
      <c r="A237" s="2741" t="s">
        <v>944</v>
      </c>
      <c r="B237" s="2756"/>
      <c r="C237" s="2756"/>
      <c r="D237" s="2756"/>
      <c r="E237" s="1591">
        <f>SUM(E232)</f>
        <v>0</v>
      </c>
      <c r="F237" s="1591">
        <f>SUM(F232)</f>
        <v>7284</v>
      </c>
      <c r="G237" s="1591">
        <f>SUM(G232)</f>
        <v>339</v>
      </c>
      <c r="H237" s="1590">
        <f>(G237/F237)*100</f>
        <v>4.6540362438220759</v>
      </c>
    </row>
    <row r="238" spans="1:12" ht="13.5" thickTop="1" x14ac:dyDescent="0.2"/>
    <row r="359" spans="1:5" ht="13.5" thickBot="1" x14ac:dyDescent="0.25">
      <c r="A359" s="1840"/>
      <c r="B359" s="1840"/>
      <c r="C359" s="1840"/>
      <c r="D359" s="1911"/>
      <c r="E359" s="1912"/>
    </row>
    <row r="360" spans="1:5" ht="13.5" thickTop="1" x14ac:dyDescent="0.2">
      <c r="A360" s="1858"/>
      <c r="B360" s="1858"/>
      <c r="C360" s="1858"/>
      <c r="D360" s="1850"/>
      <c r="E360" s="1913"/>
    </row>
    <row r="361" spans="1:5" x14ac:dyDescent="0.2">
      <c r="D361" s="1803" t="e">
        <f>#REF!+#REF!</f>
        <v>#REF!</v>
      </c>
    </row>
  </sheetData>
  <mergeCells count="3">
    <mergeCell ref="A1:H1"/>
    <mergeCell ref="A26:D26"/>
    <mergeCell ref="A237:D237"/>
  </mergeCells>
  <pageMargins left="0.98425196850393704" right="0.78740157480314965" top="0.98425196850393704" bottom="0.98425196850393704" header="0.51181102362204722" footer="0.51181102362204722"/>
  <pageSetup paperSize="9" scale="65" firstPageNumber="139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50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5" style="1802" customWidth="1"/>
    <col min="2" max="2" width="6.140625" style="1802" customWidth="1"/>
    <col min="3" max="3" width="10.28515625" style="1802" customWidth="1"/>
    <col min="4" max="4" width="40.42578125" style="1803" customWidth="1"/>
    <col min="5" max="5" width="10.42578125" style="1829" customWidth="1"/>
    <col min="6" max="6" width="15.85546875" style="1829" customWidth="1"/>
    <col min="7" max="7" width="13.85546875" style="1829" customWidth="1"/>
    <col min="8" max="8" width="8" style="1803" customWidth="1"/>
    <col min="9" max="9" width="14.28515625" style="1803" bestFit="1" customWidth="1"/>
    <col min="10" max="10" width="9.28515625" style="1803" bestFit="1" customWidth="1"/>
    <col min="11" max="11" width="16.140625" style="1803" bestFit="1" customWidth="1"/>
    <col min="12" max="12" width="16" style="1803" bestFit="1" customWidth="1"/>
    <col min="13" max="256" width="9.140625" style="1803"/>
    <col min="257" max="257" width="4.7109375" style="1803" customWidth="1"/>
    <col min="258" max="258" width="6.140625" style="1803" customWidth="1"/>
    <col min="259" max="259" width="10.28515625" style="1803" customWidth="1"/>
    <col min="260" max="260" width="40.42578125" style="1803" customWidth="1"/>
    <col min="261" max="261" width="10.42578125" style="1803" customWidth="1"/>
    <col min="262" max="262" width="15.85546875" style="1803" customWidth="1"/>
    <col min="263" max="263" width="13.85546875" style="1803" customWidth="1"/>
    <col min="264" max="264" width="6.42578125" style="1803" customWidth="1"/>
    <col min="265" max="265" width="14.28515625" style="1803" bestFit="1" customWidth="1"/>
    <col min="266" max="266" width="9.28515625" style="1803" bestFit="1" customWidth="1"/>
    <col min="267" max="267" width="16.140625" style="1803" bestFit="1" customWidth="1"/>
    <col min="268" max="268" width="16" style="1803" bestFit="1" customWidth="1"/>
    <col min="269" max="512" width="9.140625" style="1803"/>
    <col min="513" max="513" width="4.7109375" style="1803" customWidth="1"/>
    <col min="514" max="514" width="6.140625" style="1803" customWidth="1"/>
    <col min="515" max="515" width="10.28515625" style="1803" customWidth="1"/>
    <col min="516" max="516" width="40.42578125" style="1803" customWidth="1"/>
    <col min="517" max="517" width="10.42578125" style="1803" customWidth="1"/>
    <col min="518" max="518" width="15.85546875" style="1803" customWidth="1"/>
    <col min="519" max="519" width="13.85546875" style="1803" customWidth="1"/>
    <col min="520" max="520" width="6.42578125" style="1803" customWidth="1"/>
    <col min="521" max="521" width="14.28515625" style="1803" bestFit="1" customWidth="1"/>
    <col min="522" max="522" width="9.28515625" style="1803" bestFit="1" customWidth="1"/>
    <col min="523" max="523" width="16.140625" style="1803" bestFit="1" customWidth="1"/>
    <col min="524" max="524" width="16" style="1803" bestFit="1" customWidth="1"/>
    <col min="525" max="768" width="9.140625" style="1803"/>
    <col min="769" max="769" width="4.7109375" style="1803" customWidth="1"/>
    <col min="770" max="770" width="6.140625" style="1803" customWidth="1"/>
    <col min="771" max="771" width="10.28515625" style="1803" customWidth="1"/>
    <col min="772" max="772" width="40.42578125" style="1803" customWidth="1"/>
    <col min="773" max="773" width="10.42578125" style="1803" customWidth="1"/>
    <col min="774" max="774" width="15.85546875" style="1803" customWidth="1"/>
    <col min="775" max="775" width="13.85546875" style="1803" customWidth="1"/>
    <col min="776" max="776" width="6.42578125" style="1803" customWidth="1"/>
    <col min="777" max="777" width="14.28515625" style="1803" bestFit="1" customWidth="1"/>
    <col min="778" max="778" width="9.28515625" style="1803" bestFit="1" customWidth="1"/>
    <col min="779" max="779" width="16.140625" style="1803" bestFit="1" customWidth="1"/>
    <col min="780" max="780" width="16" style="1803" bestFit="1" customWidth="1"/>
    <col min="781" max="1024" width="9.140625" style="1803"/>
    <col min="1025" max="1025" width="4.7109375" style="1803" customWidth="1"/>
    <col min="1026" max="1026" width="6.140625" style="1803" customWidth="1"/>
    <col min="1027" max="1027" width="10.28515625" style="1803" customWidth="1"/>
    <col min="1028" max="1028" width="40.42578125" style="1803" customWidth="1"/>
    <col min="1029" max="1029" width="10.42578125" style="1803" customWidth="1"/>
    <col min="1030" max="1030" width="15.85546875" style="1803" customWidth="1"/>
    <col min="1031" max="1031" width="13.85546875" style="1803" customWidth="1"/>
    <col min="1032" max="1032" width="6.42578125" style="1803" customWidth="1"/>
    <col min="1033" max="1033" width="14.28515625" style="1803" bestFit="1" customWidth="1"/>
    <col min="1034" max="1034" width="9.28515625" style="1803" bestFit="1" customWidth="1"/>
    <col min="1035" max="1035" width="16.140625" style="1803" bestFit="1" customWidth="1"/>
    <col min="1036" max="1036" width="16" style="1803" bestFit="1" customWidth="1"/>
    <col min="1037" max="1280" width="9.140625" style="1803"/>
    <col min="1281" max="1281" width="4.7109375" style="1803" customWidth="1"/>
    <col min="1282" max="1282" width="6.140625" style="1803" customWidth="1"/>
    <col min="1283" max="1283" width="10.28515625" style="1803" customWidth="1"/>
    <col min="1284" max="1284" width="40.42578125" style="1803" customWidth="1"/>
    <col min="1285" max="1285" width="10.42578125" style="1803" customWidth="1"/>
    <col min="1286" max="1286" width="15.85546875" style="1803" customWidth="1"/>
    <col min="1287" max="1287" width="13.85546875" style="1803" customWidth="1"/>
    <col min="1288" max="1288" width="6.42578125" style="1803" customWidth="1"/>
    <col min="1289" max="1289" width="14.28515625" style="1803" bestFit="1" customWidth="1"/>
    <col min="1290" max="1290" width="9.28515625" style="1803" bestFit="1" customWidth="1"/>
    <col min="1291" max="1291" width="16.140625" style="1803" bestFit="1" customWidth="1"/>
    <col min="1292" max="1292" width="16" style="1803" bestFit="1" customWidth="1"/>
    <col min="1293" max="1536" width="9.140625" style="1803"/>
    <col min="1537" max="1537" width="4.7109375" style="1803" customWidth="1"/>
    <col min="1538" max="1538" width="6.140625" style="1803" customWidth="1"/>
    <col min="1539" max="1539" width="10.28515625" style="1803" customWidth="1"/>
    <col min="1540" max="1540" width="40.42578125" style="1803" customWidth="1"/>
    <col min="1541" max="1541" width="10.42578125" style="1803" customWidth="1"/>
    <col min="1542" max="1542" width="15.85546875" style="1803" customWidth="1"/>
    <col min="1543" max="1543" width="13.85546875" style="1803" customWidth="1"/>
    <col min="1544" max="1544" width="6.42578125" style="1803" customWidth="1"/>
    <col min="1545" max="1545" width="14.28515625" style="1803" bestFit="1" customWidth="1"/>
    <col min="1546" max="1546" width="9.28515625" style="1803" bestFit="1" customWidth="1"/>
    <col min="1547" max="1547" width="16.140625" style="1803" bestFit="1" customWidth="1"/>
    <col min="1548" max="1548" width="16" style="1803" bestFit="1" customWidth="1"/>
    <col min="1549" max="1792" width="9.140625" style="1803"/>
    <col min="1793" max="1793" width="4.7109375" style="1803" customWidth="1"/>
    <col min="1794" max="1794" width="6.140625" style="1803" customWidth="1"/>
    <col min="1795" max="1795" width="10.28515625" style="1803" customWidth="1"/>
    <col min="1796" max="1796" width="40.42578125" style="1803" customWidth="1"/>
    <col min="1797" max="1797" width="10.42578125" style="1803" customWidth="1"/>
    <col min="1798" max="1798" width="15.85546875" style="1803" customWidth="1"/>
    <col min="1799" max="1799" width="13.85546875" style="1803" customWidth="1"/>
    <col min="1800" max="1800" width="6.42578125" style="1803" customWidth="1"/>
    <col min="1801" max="1801" width="14.28515625" style="1803" bestFit="1" customWidth="1"/>
    <col min="1802" max="1802" width="9.28515625" style="1803" bestFit="1" customWidth="1"/>
    <col min="1803" max="1803" width="16.140625" style="1803" bestFit="1" customWidth="1"/>
    <col min="1804" max="1804" width="16" style="1803" bestFit="1" customWidth="1"/>
    <col min="1805" max="2048" width="9.140625" style="1803"/>
    <col min="2049" max="2049" width="4.7109375" style="1803" customWidth="1"/>
    <col min="2050" max="2050" width="6.140625" style="1803" customWidth="1"/>
    <col min="2051" max="2051" width="10.28515625" style="1803" customWidth="1"/>
    <col min="2052" max="2052" width="40.42578125" style="1803" customWidth="1"/>
    <col min="2053" max="2053" width="10.42578125" style="1803" customWidth="1"/>
    <col min="2054" max="2054" width="15.85546875" style="1803" customWidth="1"/>
    <col min="2055" max="2055" width="13.85546875" style="1803" customWidth="1"/>
    <col min="2056" max="2056" width="6.42578125" style="1803" customWidth="1"/>
    <col min="2057" max="2057" width="14.28515625" style="1803" bestFit="1" customWidth="1"/>
    <col min="2058" max="2058" width="9.28515625" style="1803" bestFit="1" customWidth="1"/>
    <col min="2059" max="2059" width="16.140625" style="1803" bestFit="1" customWidth="1"/>
    <col min="2060" max="2060" width="16" style="1803" bestFit="1" customWidth="1"/>
    <col min="2061" max="2304" width="9.140625" style="1803"/>
    <col min="2305" max="2305" width="4.7109375" style="1803" customWidth="1"/>
    <col min="2306" max="2306" width="6.140625" style="1803" customWidth="1"/>
    <col min="2307" max="2307" width="10.28515625" style="1803" customWidth="1"/>
    <col min="2308" max="2308" width="40.42578125" style="1803" customWidth="1"/>
    <col min="2309" max="2309" width="10.42578125" style="1803" customWidth="1"/>
    <col min="2310" max="2310" width="15.85546875" style="1803" customWidth="1"/>
    <col min="2311" max="2311" width="13.85546875" style="1803" customWidth="1"/>
    <col min="2312" max="2312" width="6.42578125" style="1803" customWidth="1"/>
    <col min="2313" max="2313" width="14.28515625" style="1803" bestFit="1" customWidth="1"/>
    <col min="2314" max="2314" width="9.28515625" style="1803" bestFit="1" customWidth="1"/>
    <col min="2315" max="2315" width="16.140625" style="1803" bestFit="1" customWidth="1"/>
    <col min="2316" max="2316" width="16" style="1803" bestFit="1" customWidth="1"/>
    <col min="2317" max="2560" width="9.140625" style="1803"/>
    <col min="2561" max="2561" width="4.7109375" style="1803" customWidth="1"/>
    <col min="2562" max="2562" width="6.140625" style="1803" customWidth="1"/>
    <col min="2563" max="2563" width="10.28515625" style="1803" customWidth="1"/>
    <col min="2564" max="2564" width="40.42578125" style="1803" customWidth="1"/>
    <col min="2565" max="2565" width="10.42578125" style="1803" customWidth="1"/>
    <col min="2566" max="2566" width="15.85546875" style="1803" customWidth="1"/>
    <col min="2567" max="2567" width="13.85546875" style="1803" customWidth="1"/>
    <col min="2568" max="2568" width="6.42578125" style="1803" customWidth="1"/>
    <col min="2569" max="2569" width="14.28515625" style="1803" bestFit="1" customWidth="1"/>
    <col min="2570" max="2570" width="9.28515625" style="1803" bestFit="1" customWidth="1"/>
    <col min="2571" max="2571" width="16.140625" style="1803" bestFit="1" customWidth="1"/>
    <col min="2572" max="2572" width="16" style="1803" bestFit="1" customWidth="1"/>
    <col min="2573" max="2816" width="9.140625" style="1803"/>
    <col min="2817" max="2817" width="4.7109375" style="1803" customWidth="1"/>
    <col min="2818" max="2818" width="6.140625" style="1803" customWidth="1"/>
    <col min="2819" max="2819" width="10.28515625" style="1803" customWidth="1"/>
    <col min="2820" max="2820" width="40.42578125" style="1803" customWidth="1"/>
    <col min="2821" max="2821" width="10.42578125" style="1803" customWidth="1"/>
    <col min="2822" max="2822" width="15.85546875" style="1803" customWidth="1"/>
    <col min="2823" max="2823" width="13.85546875" style="1803" customWidth="1"/>
    <col min="2824" max="2824" width="6.42578125" style="1803" customWidth="1"/>
    <col min="2825" max="2825" width="14.28515625" style="1803" bestFit="1" customWidth="1"/>
    <col min="2826" max="2826" width="9.28515625" style="1803" bestFit="1" customWidth="1"/>
    <col min="2827" max="2827" width="16.140625" style="1803" bestFit="1" customWidth="1"/>
    <col min="2828" max="2828" width="16" style="1803" bestFit="1" customWidth="1"/>
    <col min="2829" max="3072" width="9.140625" style="1803"/>
    <col min="3073" max="3073" width="4.7109375" style="1803" customWidth="1"/>
    <col min="3074" max="3074" width="6.140625" style="1803" customWidth="1"/>
    <col min="3075" max="3075" width="10.28515625" style="1803" customWidth="1"/>
    <col min="3076" max="3076" width="40.42578125" style="1803" customWidth="1"/>
    <col min="3077" max="3077" width="10.42578125" style="1803" customWidth="1"/>
    <col min="3078" max="3078" width="15.85546875" style="1803" customWidth="1"/>
    <col min="3079" max="3079" width="13.85546875" style="1803" customWidth="1"/>
    <col min="3080" max="3080" width="6.42578125" style="1803" customWidth="1"/>
    <col min="3081" max="3081" width="14.28515625" style="1803" bestFit="1" customWidth="1"/>
    <col min="3082" max="3082" width="9.28515625" style="1803" bestFit="1" customWidth="1"/>
    <col min="3083" max="3083" width="16.140625" style="1803" bestFit="1" customWidth="1"/>
    <col min="3084" max="3084" width="16" style="1803" bestFit="1" customWidth="1"/>
    <col min="3085" max="3328" width="9.140625" style="1803"/>
    <col min="3329" max="3329" width="4.7109375" style="1803" customWidth="1"/>
    <col min="3330" max="3330" width="6.140625" style="1803" customWidth="1"/>
    <col min="3331" max="3331" width="10.28515625" style="1803" customWidth="1"/>
    <col min="3332" max="3332" width="40.42578125" style="1803" customWidth="1"/>
    <col min="3333" max="3333" width="10.42578125" style="1803" customWidth="1"/>
    <col min="3334" max="3334" width="15.85546875" style="1803" customWidth="1"/>
    <col min="3335" max="3335" width="13.85546875" style="1803" customWidth="1"/>
    <col min="3336" max="3336" width="6.42578125" style="1803" customWidth="1"/>
    <col min="3337" max="3337" width="14.28515625" style="1803" bestFit="1" customWidth="1"/>
    <col min="3338" max="3338" width="9.28515625" style="1803" bestFit="1" customWidth="1"/>
    <col min="3339" max="3339" width="16.140625" style="1803" bestFit="1" customWidth="1"/>
    <col min="3340" max="3340" width="16" style="1803" bestFit="1" customWidth="1"/>
    <col min="3341" max="3584" width="9.140625" style="1803"/>
    <col min="3585" max="3585" width="4.7109375" style="1803" customWidth="1"/>
    <col min="3586" max="3586" width="6.140625" style="1803" customWidth="1"/>
    <col min="3587" max="3587" width="10.28515625" style="1803" customWidth="1"/>
    <col min="3588" max="3588" width="40.42578125" style="1803" customWidth="1"/>
    <col min="3589" max="3589" width="10.42578125" style="1803" customWidth="1"/>
    <col min="3590" max="3590" width="15.85546875" style="1803" customWidth="1"/>
    <col min="3591" max="3591" width="13.85546875" style="1803" customWidth="1"/>
    <col min="3592" max="3592" width="6.42578125" style="1803" customWidth="1"/>
    <col min="3593" max="3593" width="14.28515625" style="1803" bestFit="1" customWidth="1"/>
    <col min="3594" max="3594" width="9.28515625" style="1803" bestFit="1" customWidth="1"/>
    <col min="3595" max="3595" width="16.140625" style="1803" bestFit="1" customWidth="1"/>
    <col min="3596" max="3596" width="16" style="1803" bestFit="1" customWidth="1"/>
    <col min="3597" max="3840" width="9.140625" style="1803"/>
    <col min="3841" max="3841" width="4.7109375" style="1803" customWidth="1"/>
    <col min="3842" max="3842" width="6.140625" style="1803" customWidth="1"/>
    <col min="3843" max="3843" width="10.28515625" style="1803" customWidth="1"/>
    <col min="3844" max="3844" width="40.42578125" style="1803" customWidth="1"/>
    <col min="3845" max="3845" width="10.42578125" style="1803" customWidth="1"/>
    <col min="3846" max="3846" width="15.85546875" style="1803" customWidth="1"/>
    <col min="3847" max="3847" width="13.85546875" style="1803" customWidth="1"/>
    <col min="3848" max="3848" width="6.42578125" style="1803" customWidth="1"/>
    <col min="3849" max="3849" width="14.28515625" style="1803" bestFit="1" customWidth="1"/>
    <col min="3850" max="3850" width="9.28515625" style="1803" bestFit="1" customWidth="1"/>
    <col min="3851" max="3851" width="16.140625" style="1803" bestFit="1" customWidth="1"/>
    <col min="3852" max="3852" width="16" style="1803" bestFit="1" customWidth="1"/>
    <col min="3853" max="4096" width="9.140625" style="1803"/>
    <col min="4097" max="4097" width="4.7109375" style="1803" customWidth="1"/>
    <col min="4098" max="4098" width="6.140625" style="1803" customWidth="1"/>
    <col min="4099" max="4099" width="10.28515625" style="1803" customWidth="1"/>
    <col min="4100" max="4100" width="40.42578125" style="1803" customWidth="1"/>
    <col min="4101" max="4101" width="10.42578125" style="1803" customWidth="1"/>
    <col min="4102" max="4102" width="15.85546875" style="1803" customWidth="1"/>
    <col min="4103" max="4103" width="13.85546875" style="1803" customWidth="1"/>
    <col min="4104" max="4104" width="6.42578125" style="1803" customWidth="1"/>
    <col min="4105" max="4105" width="14.28515625" style="1803" bestFit="1" customWidth="1"/>
    <col min="4106" max="4106" width="9.28515625" style="1803" bestFit="1" customWidth="1"/>
    <col min="4107" max="4107" width="16.140625" style="1803" bestFit="1" customWidth="1"/>
    <col min="4108" max="4108" width="16" style="1803" bestFit="1" customWidth="1"/>
    <col min="4109" max="4352" width="9.140625" style="1803"/>
    <col min="4353" max="4353" width="4.7109375" style="1803" customWidth="1"/>
    <col min="4354" max="4354" width="6.140625" style="1803" customWidth="1"/>
    <col min="4355" max="4355" width="10.28515625" style="1803" customWidth="1"/>
    <col min="4356" max="4356" width="40.42578125" style="1803" customWidth="1"/>
    <col min="4357" max="4357" width="10.42578125" style="1803" customWidth="1"/>
    <col min="4358" max="4358" width="15.85546875" style="1803" customWidth="1"/>
    <col min="4359" max="4359" width="13.85546875" style="1803" customWidth="1"/>
    <col min="4360" max="4360" width="6.42578125" style="1803" customWidth="1"/>
    <col min="4361" max="4361" width="14.28515625" style="1803" bestFit="1" customWidth="1"/>
    <col min="4362" max="4362" width="9.28515625" style="1803" bestFit="1" customWidth="1"/>
    <col min="4363" max="4363" width="16.140625" style="1803" bestFit="1" customWidth="1"/>
    <col min="4364" max="4364" width="16" style="1803" bestFit="1" customWidth="1"/>
    <col min="4365" max="4608" width="9.140625" style="1803"/>
    <col min="4609" max="4609" width="4.7109375" style="1803" customWidth="1"/>
    <col min="4610" max="4610" width="6.140625" style="1803" customWidth="1"/>
    <col min="4611" max="4611" width="10.28515625" style="1803" customWidth="1"/>
    <col min="4612" max="4612" width="40.42578125" style="1803" customWidth="1"/>
    <col min="4613" max="4613" width="10.42578125" style="1803" customWidth="1"/>
    <col min="4614" max="4614" width="15.85546875" style="1803" customWidth="1"/>
    <col min="4615" max="4615" width="13.85546875" style="1803" customWidth="1"/>
    <col min="4616" max="4616" width="6.42578125" style="1803" customWidth="1"/>
    <col min="4617" max="4617" width="14.28515625" style="1803" bestFit="1" customWidth="1"/>
    <col min="4618" max="4618" width="9.28515625" style="1803" bestFit="1" customWidth="1"/>
    <col min="4619" max="4619" width="16.140625" style="1803" bestFit="1" customWidth="1"/>
    <col min="4620" max="4620" width="16" style="1803" bestFit="1" customWidth="1"/>
    <col min="4621" max="4864" width="9.140625" style="1803"/>
    <col min="4865" max="4865" width="4.7109375" style="1803" customWidth="1"/>
    <col min="4866" max="4866" width="6.140625" style="1803" customWidth="1"/>
    <col min="4867" max="4867" width="10.28515625" style="1803" customWidth="1"/>
    <col min="4868" max="4868" width="40.42578125" style="1803" customWidth="1"/>
    <col min="4869" max="4869" width="10.42578125" style="1803" customWidth="1"/>
    <col min="4870" max="4870" width="15.85546875" style="1803" customWidth="1"/>
    <col min="4871" max="4871" width="13.85546875" style="1803" customWidth="1"/>
    <col min="4872" max="4872" width="6.42578125" style="1803" customWidth="1"/>
    <col min="4873" max="4873" width="14.28515625" style="1803" bestFit="1" customWidth="1"/>
    <col min="4874" max="4874" width="9.28515625" style="1803" bestFit="1" customWidth="1"/>
    <col min="4875" max="4875" width="16.140625" style="1803" bestFit="1" customWidth="1"/>
    <col min="4876" max="4876" width="16" style="1803" bestFit="1" customWidth="1"/>
    <col min="4877" max="5120" width="9.140625" style="1803"/>
    <col min="5121" max="5121" width="4.7109375" style="1803" customWidth="1"/>
    <col min="5122" max="5122" width="6.140625" style="1803" customWidth="1"/>
    <col min="5123" max="5123" width="10.28515625" style="1803" customWidth="1"/>
    <col min="5124" max="5124" width="40.42578125" style="1803" customWidth="1"/>
    <col min="5125" max="5125" width="10.42578125" style="1803" customWidth="1"/>
    <col min="5126" max="5126" width="15.85546875" style="1803" customWidth="1"/>
    <col min="5127" max="5127" width="13.85546875" style="1803" customWidth="1"/>
    <col min="5128" max="5128" width="6.42578125" style="1803" customWidth="1"/>
    <col min="5129" max="5129" width="14.28515625" style="1803" bestFit="1" customWidth="1"/>
    <col min="5130" max="5130" width="9.28515625" style="1803" bestFit="1" customWidth="1"/>
    <col min="5131" max="5131" width="16.140625" style="1803" bestFit="1" customWidth="1"/>
    <col min="5132" max="5132" width="16" style="1803" bestFit="1" customWidth="1"/>
    <col min="5133" max="5376" width="9.140625" style="1803"/>
    <col min="5377" max="5377" width="4.7109375" style="1803" customWidth="1"/>
    <col min="5378" max="5378" width="6.140625" style="1803" customWidth="1"/>
    <col min="5379" max="5379" width="10.28515625" style="1803" customWidth="1"/>
    <col min="5380" max="5380" width="40.42578125" style="1803" customWidth="1"/>
    <col min="5381" max="5381" width="10.42578125" style="1803" customWidth="1"/>
    <col min="5382" max="5382" width="15.85546875" style="1803" customWidth="1"/>
    <col min="5383" max="5383" width="13.85546875" style="1803" customWidth="1"/>
    <col min="5384" max="5384" width="6.42578125" style="1803" customWidth="1"/>
    <col min="5385" max="5385" width="14.28515625" style="1803" bestFit="1" customWidth="1"/>
    <col min="5386" max="5386" width="9.28515625" style="1803" bestFit="1" customWidth="1"/>
    <col min="5387" max="5387" width="16.140625" style="1803" bestFit="1" customWidth="1"/>
    <col min="5388" max="5388" width="16" style="1803" bestFit="1" customWidth="1"/>
    <col min="5389" max="5632" width="9.140625" style="1803"/>
    <col min="5633" max="5633" width="4.7109375" style="1803" customWidth="1"/>
    <col min="5634" max="5634" width="6.140625" style="1803" customWidth="1"/>
    <col min="5635" max="5635" width="10.28515625" style="1803" customWidth="1"/>
    <col min="5636" max="5636" width="40.42578125" style="1803" customWidth="1"/>
    <col min="5637" max="5637" width="10.42578125" style="1803" customWidth="1"/>
    <col min="5638" max="5638" width="15.85546875" style="1803" customWidth="1"/>
    <col min="5639" max="5639" width="13.85546875" style="1803" customWidth="1"/>
    <col min="5640" max="5640" width="6.42578125" style="1803" customWidth="1"/>
    <col min="5641" max="5641" width="14.28515625" style="1803" bestFit="1" customWidth="1"/>
    <col min="5642" max="5642" width="9.28515625" style="1803" bestFit="1" customWidth="1"/>
    <col min="5643" max="5643" width="16.140625" style="1803" bestFit="1" customWidth="1"/>
    <col min="5644" max="5644" width="16" style="1803" bestFit="1" customWidth="1"/>
    <col min="5645" max="5888" width="9.140625" style="1803"/>
    <col min="5889" max="5889" width="4.7109375" style="1803" customWidth="1"/>
    <col min="5890" max="5890" width="6.140625" style="1803" customWidth="1"/>
    <col min="5891" max="5891" width="10.28515625" style="1803" customWidth="1"/>
    <col min="5892" max="5892" width="40.42578125" style="1803" customWidth="1"/>
    <col min="5893" max="5893" width="10.42578125" style="1803" customWidth="1"/>
    <col min="5894" max="5894" width="15.85546875" style="1803" customWidth="1"/>
    <col min="5895" max="5895" width="13.85546875" style="1803" customWidth="1"/>
    <col min="5896" max="5896" width="6.42578125" style="1803" customWidth="1"/>
    <col min="5897" max="5897" width="14.28515625" style="1803" bestFit="1" customWidth="1"/>
    <col min="5898" max="5898" width="9.28515625" style="1803" bestFit="1" customWidth="1"/>
    <col min="5899" max="5899" width="16.140625" style="1803" bestFit="1" customWidth="1"/>
    <col min="5900" max="5900" width="16" style="1803" bestFit="1" customWidth="1"/>
    <col min="5901" max="6144" width="9.140625" style="1803"/>
    <col min="6145" max="6145" width="4.7109375" style="1803" customWidth="1"/>
    <col min="6146" max="6146" width="6.140625" style="1803" customWidth="1"/>
    <col min="6147" max="6147" width="10.28515625" style="1803" customWidth="1"/>
    <col min="6148" max="6148" width="40.42578125" style="1803" customWidth="1"/>
    <col min="6149" max="6149" width="10.42578125" style="1803" customWidth="1"/>
    <col min="6150" max="6150" width="15.85546875" style="1803" customWidth="1"/>
    <col min="6151" max="6151" width="13.85546875" style="1803" customWidth="1"/>
    <col min="6152" max="6152" width="6.42578125" style="1803" customWidth="1"/>
    <col min="6153" max="6153" width="14.28515625" style="1803" bestFit="1" customWidth="1"/>
    <col min="6154" max="6154" width="9.28515625" style="1803" bestFit="1" customWidth="1"/>
    <col min="6155" max="6155" width="16.140625" style="1803" bestFit="1" customWidth="1"/>
    <col min="6156" max="6156" width="16" style="1803" bestFit="1" customWidth="1"/>
    <col min="6157" max="6400" width="9.140625" style="1803"/>
    <col min="6401" max="6401" width="4.7109375" style="1803" customWidth="1"/>
    <col min="6402" max="6402" width="6.140625" style="1803" customWidth="1"/>
    <col min="6403" max="6403" width="10.28515625" style="1803" customWidth="1"/>
    <col min="6404" max="6404" width="40.42578125" style="1803" customWidth="1"/>
    <col min="6405" max="6405" width="10.42578125" style="1803" customWidth="1"/>
    <col min="6406" max="6406" width="15.85546875" style="1803" customWidth="1"/>
    <col min="6407" max="6407" width="13.85546875" style="1803" customWidth="1"/>
    <col min="6408" max="6408" width="6.42578125" style="1803" customWidth="1"/>
    <col min="6409" max="6409" width="14.28515625" style="1803" bestFit="1" customWidth="1"/>
    <col min="6410" max="6410" width="9.28515625" style="1803" bestFit="1" customWidth="1"/>
    <col min="6411" max="6411" width="16.140625" style="1803" bestFit="1" customWidth="1"/>
    <col min="6412" max="6412" width="16" style="1803" bestFit="1" customWidth="1"/>
    <col min="6413" max="6656" width="9.140625" style="1803"/>
    <col min="6657" max="6657" width="4.7109375" style="1803" customWidth="1"/>
    <col min="6658" max="6658" width="6.140625" style="1803" customWidth="1"/>
    <col min="6659" max="6659" width="10.28515625" style="1803" customWidth="1"/>
    <col min="6660" max="6660" width="40.42578125" style="1803" customWidth="1"/>
    <col min="6661" max="6661" width="10.42578125" style="1803" customWidth="1"/>
    <col min="6662" max="6662" width="15.85546875" style="1803" customWidth="1"/>
    <col min="6663" max="6663" width="13.85546875" style="1803" customWidth="1"/>
    <col min="6664" max="6664" width="6.42578125" style="1803" customWidth="1"/>
    <col min="6665" max="6665" width="14.28515625" style="1803" bestFit="1" customWidth="1"/>
    <col min="6666" max="6666" width="9.28515625" style="1803" bestFit="1" customWidth="1"/>
    <col min="6667" max="6667" width="16.140625" style="1803" bestFit="1" customWidth="1"/>
    <col min="6668" max="6668" width="16" style="1803" bestFit="1" customWidth="1"/>
    <col min="6669" max="6912" width="9.140625" style="1803"/>
    <col min="6913" max="6913" width="4.7109375" style="1803" customWidth="1"/>
    <col min="6914" max="6914" width="6.140625" style="1803" customWidth="1"/>
    <col min="6915" max="6915" width="10.28515625" style="1803" customWidth="1"/>
    <col min="6916" max="6916" width="40.42578125" style="1803" customWidth="1"/>
    <col min="6917" max="6917" width="10.42578125" style="1803" customWidth="1"/>
    <col min="6918" max="6918" width="15.85546875" style="1803" customWidth="1"/>
    <col min="6919" max="6919" width="13.85546875" style="1803" customWidth="1"/>
    <col min="6920" max="6920" width="6.42578125" style="1803" customWidth="1"/>
    <col min="6921" max="6921" width="14.28515625" style="1803" bestFit="1" customWidth="1"/>
    <col min="6922" max="6922" width="9.28515625" style="1803" bestFit="1" customWidth="1"/>
    <col min="6923" max="6923" width="16.140625" style="1803" bestFit="1" customWidth="1"/>
    <col min="6924" max="6924" width="16" style="1803" bestFit="1" customWidth="1"/>
    <col min="6925" max="7168" width="9.140625" style="1803"/>
    <col min="7169" max="7169" width="4.7109375" style="1803" customWidth="1"/>
    <col min="7170" max="7170" width="6.140625" style="1803" customWidth="1"/>
    <col min="7171" max="7171" width="10.28515625" style="1803" customWidth="1"/>
    <col min="7172" max="7172" width="40.42578125" style="1803" customWidth="1"/>
    <col min="7173" max="7173" width="10.42578125" style="1803" customWidth="1"/>
    <col min="7174" max="7174" width="15.85546875" style="1803" customWidth="1"/>
    <col min="7175" max="7175" width="13.85546875" style="1803" customWidth="1"/>
    <col min="7176" max="7176" width="6.42578125" style="1803" customWidth="1"/>
    <col min="7177" max="7177" width="14.28515625" style="1803" bestFit="1" customWidth="1"/>
    <col min="7178" max="7178" width="9.28515625" style="1803" bestFit="1" customWidth="1"/>
    <col min="7179" max="7179" width="16.140625" style="1803" bestFit="1" customWidth="1"/>
    <col min="7180" max="7180" width="16" style="1803" bestFit="1" customWidth="1"/>
    <col min="7181" max="7424" width="9.140625" style="1803"/>
    <col min="7425" max="7425" width="4.7109375" style="1803" customWidth="1"/>
    <col min="7426" max="7426" width="6.140625" style="1803" customWidth="1"/>
    <col min="7427" max="7427" width="10.28515625" style="1803" customWidth="1"/>
    <col min="7428" max="7428" width="40.42578125" style="1803" customWidth="1"/>
    <col min="7429" max="7429" width="10.42578125" style="1803" customWidth="1"/>
    <col min="7430" max="7430" width="15.85546875" style="1803" customWidth="1"/>
    <col min="7431" max="7431" width="13.85546875" style="1803" customWidth="1"/>
    <col min="7432" max="7432" width="6.42578125" style="1803" customWidth="1"/>
    <col min="7433" max="7433" width="14.28515625" style="1803" bestFit="1" customWidth="1"/>
    <col min="7434" max="7434" width="9.28515625" style="1803" bestFit="1" customWidth="1"/>
    <col min="7435" max="7435" width="16.140625" style="1803" bestFit="1" customWidth="1"/>
    <col min="7436" max="7436" width="16" style="1803" bestFit="1" customWidth="1"/>
    <col min="7437" max="7680" width="9.140625" style="1803"/>
    <col min="7681" max="7681" width="4.7109375" style="1803" customWidth="1"/>
    <col min="7682" max="7682" width="6.140625" style="1803" customWidth="1"/>
    <col min="7683" max="7683" width="10.28515625" style="1803" customWidth="1"/>
    <col min="7684" max="7684" width="40.42578125" style="1803" customWidth="1"/>
    <col min="7685" max="7685" width="10.42578125" style="1803" customWidth="1"/>
    <col min="7686" max="7686" width="15.85546875" style="1803" customWidth="1"/>
    <col min="7687" max="7687" width="13.85546875" style="1803" customWidth="1"/>
    <col min="7688" max="7688" width="6.42578125" style="1803" customWidth="1"/>
    <col min="7689" max="7689" width="14.28515625" style="1803" bestFit="1" customWidth="1"/>
    <col min="7690" max="7690" width="9.28515625" style="1803" bestFit="1" customWidth="1"/>
    <col min="7691" max="7691" width="16.140625" style="1803" bestFit="1" customWidth="1"/>
    <col min="7692" max="7692" width="16" style="1803" bestFit="1" customWidth="1"/>
    <col min="7693" max="7936" width="9.140625" style="1803"/>
    <col min="7937" max="7937" width="4.7109375" style="1803" customWidth="1"/>
    <col min="7938" max="7938" width="6.140625" style="1803" customWidth="1"/>
    <col min="7939" max="7939" width="10.28515625" style="1803" customWidth="1"/>
    <col min="7940" max="7940" width="40.42578125" style="1803" customWidth="1"/>
    <col min="7941" max="7941" width="10.42578125" style="1803" customWidth="1"/>
    <col min="7942" max="7942" width="15.85546875" style="1803" customWidth="1"/>
    <col min="7943" max="7943" width="13.85546875" style="1803" customWidth="1"/>
    <col min="7944" max="7944" width="6.42578125" style="1803" customWidth="1"/>
    <col min="7945" max="7945" width="14.28515625" style="1803" bestFit="1" customWidth="1"/>
    <col min="7946" max="7946" width="9.28515625" style="1803" bestFit="1" customWidth="1"/>
    <col min="7947" max="7947" width="16.140625" style="1803" bestFit="1" customWidth="1"/>
    <col min="7948" max="7948" width="16" style="1803" bestFit="1" customWidth="1"/>
    <col min="7949" max="8192" width="9.140625" style="1803"/>
    <col min="8193" max="8193" width="4.7109375" style="1803" customWidth="1"/>
    <col min="8194" max="8194" width="6.140625" style="1803" customWidth="1"/>
    <col min="8195" max="8195" width="10.28515625" style="1803" customWidth="1"/>
    <col min="8196" max="8196" width="40.42578125" style="1803" customWidth="1"/>
    <col min="8197" max="8197" width="10.42578125" style="1803" customWidth="1"/>
    <col min="8198" max="8198" width="15.85546875" style="1803" customWidth="1"/>
    <col min="8199" max="8199" width="13.85546875" style="1803" customWidth="1"/>
    <col min="8200" max="8200" width="6.42578125" style="1803" customWidth="1"/>
    <col min="8201" max="8201" width="14.28515625" style="1803" bestFit="1" customWidth="1"/>
    <col min="8202" max="8202" width="9.28515625" style="1803" bestFit="1" customWidth="1"/>
    <col min="8203" max="8203" width="16.140625" style="1803" bestFit="1" customWidth="1"/>
    <col min="8204" max="8204" width="16" style="1803" bestFit="1" customWidth="1"/>
    <col min="8205" max="8448" width="9.140625" style="1803"/>
    <col min="8449" max="8449" width="4.7109375" style="1803" customWidth="1"/>
    <col min="8450" max="8450" width="6.140625" style="1803" customWidth="1"/>
    <col min="8451" max="8451" width="10.28515625" style="1803" customWidth="1"/>
    <col min="8452" max="8452" width="40.42578125" style="1803" customWidth="1"/>
    <col min="8453" max="8453" width="10.42578125" style="1803" customWidth="1"/>
    <col min="8454" max="8454" width="15.85546875" style="1803" customWidth="1"/>
    <col min="8455" max="8455" width="13.85546875" style="1803" customWidth="1"/>
    <col min="8456" max="8456" width="6.42578125" style="1803" customWidth="1"/>
    <col min="8457" max="8457" width="14.28515625" style="1803" bestFit="1" customWidth="1"/>
    <col min="8458" max="8458" width="9.28515625" style="1803" bestFit="1" customWidth="1"/>
    <col min="8459" max="8459" width="16.140625" style="1803" bestFit="1" customWidth="1"/>
    <col min="8460" max="8460" width="16" style="1803" bestFit="1" customWidth="1"/>
    <col min="8461" max="8704" width="9.140625" style="1803"/>
    <col min="8705" max="8705" width="4.7109375" style="1803" customWidth="1"/>
    <col min="8706" max="8706" width="6.140625" style="1803" customWidth="1"/>
    <col min="8707" max="8707" width="10.28515625" style="1803" customWidth="1"/>
    <col min="8708" max="8708" width="40.42578125" style="1803" customWidth="1"/>
    <col min="8709" max="8709" width="10.42578125" style="1803" customWidth="1"/>
    <col min="8710" max="8710" width="15.85546875" style="1803" customWidth="1"/>
    <col min="8711" max="8711" width="13.85546875" style="1803" customWidth="1"/>
    <col min="8712" max="8712" width="6.42578125" style="1803" customWidth="1"/>
    <col min="8713" max="8713" width="14.28515625" style="1803" bestFit="1" customWidth="1"/>
    <col min="8714" max="8714" width="9.28515625" style="1803" bestFit="1" customWidth="1"/>
    <col min="8715" max="8715" width="16.140625" style="1803" bestFit="1" customWidth="1"/>
    <col min="8716" max="8716" width="16" style="1803" bestFit="1" customWidth="1"/>
    <col min="8717" max="8960" width="9.140625" style="1803"/>
    <col min="8961" max="8961" width="4.7109375" style="1803" customWidth="1"/>
    <col min="8962" max="8962" width="6.140625" style="1803" customWidth="1"/>
    <col min="8963" max="8963" width="10.28515625" style="1803" customWidth="1"/>
    <col min="8964" max="8964" width="40.42578125" style="1803" customWidth="1"/>
    <col min="8965" max="8965" width="10.42578125" style="1803" customWidth="1"/>
    <col min="8966" max="8966" width="15.85546875" style="1803" customWidth="1"/>
    <col min="8967" max="8967" width="13.85546875" style="1803" customWidth="1"/>
    <col min="8968" max="8968" width="6.42578125" style="1803" customWidth="1"/>
    <col min="8969" max="8969" width="14.28515625" style="1803" bestFit="1" customWidth="1"/>
    <col min="8970" max="8970" width="9.28515625" style="1803" bestFit="1" customWidth="1"/>
    <col min="8971" max="8971" width="16.140625" style="1803" bestFit="1" customWidth="1"/>
    <col min="8972" max="8972" width="16" style="1803" bestFit="1" customWidth="1"/>
    <col min="8973" max="9216" width="9.140625" style="1803"/>
    <col min="9217" max="9217" width="4.7109375" style="1803" customWidth="1"/>
    <col min="9218" max="9218" width="6.140625" style="1803" customWidth="1"/>
    <col min="9219" max="9219" width="10.28515625" style="1803" customWidth="1"/>
    <col min="9220" max="9220" width="40.42578125" style="1803" customWidth="1"/>
    <col min="9221" max="9221" width="10.42578125" style="1803" customWidth="1"/>
    <col min="9222" max="9222" width="15.85546875" style="1803" customWidth="1"/>
    <col min="9223" max="9223" width="13.85546875" style="1803" customWidth="1"/>
    <col min="9224" max="9224" width="6.42578125" style="1803" customWidth="1"/>
    <col min="9225" max="9225" width="14.28515625" style="1803" bestFit="1" customWidth="1"/>
    <col min="9226" max="9226" width="9.28515625" style="1803" bestFit="1" customWidth="1"/>
    <col min="9227" max="9227" width="16.140625" style="1803" bestFit="1" customWidth="1"/>
    <col min="9228" max="9228" width="16" style="1803" bestFit="1" customWidth="1"/>
    <col min="9229" max="9472" width="9.140625" style="1803"/>
    <col min="9473" max="9473" width="4.7109375" style="1803" customWidth="1"/>
    <col min="9474" max="9474" width="6.140625" style="1803" customWidth="1"/>
    <col min="9475" max="9475" width="10.28515625" style="1803" customWidth="1"/>
    <col min="9476" max="9476" width="40.42578125" style="1803" customWidth="1"/>
    <col min="9477" max="9477" width="10.42578125" style="1803" customWidth="1"/>
    <col min="9478" max="9478" width="15.85546875" style="1803" customWidth="1"/>
    <col min="9479" max="9479" width="13.85546875" style="1803" customWidth="1"/>
    <col min="9480" max="9480" width="6.42578125" style="1803" customWidth="1"/>
    <col min="9481" max="9481" width="14.28515625" style="1803" bestFit="1" customWidth="1"/>
    <col min="9482" max="9482" width="9.28515625" style="1803" bestFit="1" customWidth="1"/>
    <col min="9483" max="9483" width="16.140625" style="1803" bestFit="1" customWidth="1"/>
    <col min="9484" max="9484" width="16" style="1803" bestFit="1" customWidth="1"/>
    <col min="9485" max="9728" width="9.140625" style="1803"/>
    <col min="9729" max="9729" width="4.7109375" style="1803" customWidth="1"/>
    <col min="9730" max="9730" width="6.140625" style="1803" customWidth="1"/>
    <col min="9731" max="9731" width="10.28515625" style="1803" customWidth="1"/>
    <col min="9732" max="9732" width="40.42578125" style="1803" customWidth="1"/>
    <col min="9733" max="9733" width="10.42578125" style="1803" customWidth="1"/>
    <col min="9734" max="9734" width="15.85546875" style="1803" customWidth="1"/>
    <col min="9735" max="9735" width="13.85546875" style="1803" customWidth="1"/>
    <col min="9736" max="9736" width="6.42578125" style="1803" customWidth="1"/>
    <col min="9737" max="9737" width="14.28515625" style="1803" bestFit="1" customWidth="1"/>
    <col min="9738" max="9738" width="9.28515625" style="1803" bestFit="1" customWidth="1"/>
    <col min="9739" max="9739" width="16.140625" style="1803" bestFit="1" customWidth="1"/>
    <col min="9740" max="9740" width="16" style="1803" bestFit="1" customWidth="1"/>
    <col min="9741" max="9984" width="9.140625" style="1803"/>
    <col min="9985" max="9985" width="4.7109375" style="1803" customWidth="1"/>
    <col min="9986" max="9986" width="6.140625" style="1803" customWidth="1"/>
    <col min="9987" max="9987" width="10.28515625" style="1803" customWidth="1"/>
    <col min="9988" max="9988" width="40.42578125" style="1803" customWidth="1"/>
    <col min="9989" max="9989" width="10.42578125" style="1803" customWidth="1"/>
    <col min="9990" max="9990" width="15.85546875" style="1803" customWidth="1"/>
    <col min="9991" max="9991" width="13.85546875" style="1803" customWidth="1"/>
    <col min="9992" max="9992" width="6.42578125" style="1803" customWidth="1"/>
    <col min="9993" max="9993" width="14.28515625" style="1803" bestFit="1" customWidth="1"/>
    <col min="9994" max="9994" width="9.28515625" style="1803" bestFit="1" customWidth="1"/>
    <col min="9995" max="9995" width="16.140625" style="1803" bestFit="1" customWidth="1"/>
    <col min="9996" max="9996" width="16" style="1803" bestFit="1" customWidth="1"/>
    <col min="9997" max="10240" width="9.140625" style="1803"/>
    <col min="10241" max="10241" width="4.7109375" style="1803" customWidth="1"/>
    <col min="10242" max="10242" width="6.140625" style="1803" customWidth="1"/>
    <col min="10243" max="10243" width="10.28515625" style="1803" customWidth="1"/>
    <col min="10244" max="10244" width="40.42578125" style="1803" customWidth="1"/>
    <col min="10245" max="10245" width="10.42578125" style="1803" customWidth="1"/>
    <col min="10246" max="10246" width="15.85546875" style="1803" customWidth="1"/>
    <col min="10247" max="10247" width="13.85546875" style="1803" customWidth="1"/>
    <col min="10248" max="10248" width="6.42578125" style="1803" customWidth="1"/>
    <col min="10249" max="10249" width="14.28515625" style="1803" bestFit="1" customWidth="1"/>
    <col min="10250" max="10250" width="9.28515625" style="1803" bestFit="1" customWidth="1"/>
    <col min="10251" max="10251" width="16.140625" style="1803" bestFit="1" customWidth="1"/>
    <col min="10252" max="10252" width="16" style="1803" bestFit="1" customWidth="1"/>
    <col min="10253" max="10496" width="9.140625" style="1803"/>
    <col min="10497" max="10497" width="4.7109375" style="1803" customWidth="1"/>
    <col min="10498" max="10498" width="6.140625" style="1803" customWidth="1"/>
    <col min="10499" max="10499" width="10.28515625" style="1803" customWidth="1"/>
    <col min="10500" max="10500" width="40.42578125" style="1803" customWidth="1"/>
    <col min="10501" max="10501" width="10.42578125" style="1803" customWidth="1"/>
    <col min="10502" max="10502" width="15.85546875" style="1803" customWidth="1"/>
    <col min="10503" max="10503" width="13.85546875" style="1803" customWidth="1"/>
    <col min="10504" max="10504" width="6.42578125" style="1803" customWidth="1"/>
    <col min="10505" max="10505" width="14.28515625" style="1803" bestFit="1" customWidth="1"/>
    <col min="10506" max="10506" width="9.28515625" style="1803" bestFit="1" customWidth="1"/>
    <col min="10507" max="10507" width="16.140625" style="1803" bestFit="1" customWidth="1"/>
    <col min="10508" max="10508" width="16" style="1803" bestFit="1" customWidth="1"/>
    <col min="10509" max="10752" width="9.140625" style="1803"/>
    <col min="10753" max="10753" width="4.7109375" style="1803" customWidth="1"/>
    <col min="10754" max="10754" width="6.140625" style="1803" customWidth="1"/>
    <col min="10755" max="10755" width="10.28515625" style="1803" customWidth="1"/>
    <col min="10756" max="10756" width="40.42578125" style="1803" customWidth="1"/>
    <col min="10757" max="10757" width="10.42578125" style="1803" customWidth="1"/>
    <col min="10758" max="10758" width="15.85546875" style="1803" customWidth="1"/>
    <col min="10759" max="10759" width="13.85546875" style="1803" customWidth="1"/>
    <col min="10760" max="10760" width="6.42578125" style="1803" customWidth="1"/>
    <col min="10761" max="10761" width="14.28515625" style="1803" bestFit="1" customWidth="1"/>
    <col min="10762" max="10762" width="9.28515625" style="1803" bestFit="1" customWidth="1"/>
    <col min="10763" max="10763" width="16.140625" style="1803" bestFit="1" customWidth="1"/>
    <col min="10764" max="10764" width="16" style="1803" bestFit="1" customWidth="1"/>
    <col min="10765" max="11008" width="9.140625" style="1803"/>
    <col min="11009" max="11009" width="4.7109375" style="1803" customWidth="1"/>
    <col min="11010" max="11010" width="6.140625" style="1803" customWidth="1"/>
    <col min="11011" max="11011" width="10.28515625" style="1803" customWidth="1"/>
    <col min="11012" max="11012" width="40.42578125" style="1803" customWidth="1"/>
    <col min="11013" max="11013" width="10.42578125" style="1803" customWidth="1"/>
    <col min="11014" max="11014" width="15.85546875" style="1803" customWidth="1"/>
    <col min="11015" max="11015" width="13.85546875" style="1803" customWidth="1"/>
    <col min="11016" max="11016" width="6.42578125" style="1803" customWidth="1"/>
    <col min="11017" max="11017" width="14.28515625" style="1803" bestFit="1" customWidth="1"/>
    <col min="11018" max="11018" width="9.28515625" style="1803" bestFit="1" customWidth="1"/>
    <col min="11019" max="11019" width="16.140625" style="1803" bestFit="1" customWidth="1"/>
    <col min="11020" max="11020" width="16" style="1803" bestFit="1" customWidth="1"/>
    <col min="11021" max="11264" width="9.140625" style="1803"/>
    <col min="11265" max="11265" width="4.7109375" style="1803" customWidth="1"/>
    <col min="11266" max="11266" width="6.140625" style="1803" customWidth="1"/>
    <col min="11267" max="11267" width="10.28515625" style="1803" customWidth="1"/>
    <col min="11268" max="11268" width="40.42578125" style="1803" customWidth="1"/>
    <col min="11269" max="11269" width="10.42578125" style="1803" customWidth="1"/>
    <col min="11270" max="11270" width="15.85546875" style="1803" customWidth="1"/>
    <col min="11271" max="11271" width="13.85546875" style="1803" customWidth="1"/>
    <col min="11272" max="11272" width="6.42578125" style="1803" customWidth="1"/>
    <col min="11273" max="11273" width="14.28515625" style="1803" bestFit="1" customWidth="1"/>
    <col min="11274" max="11274" width="9.28515625" style="1803" bestFit="1" customWidth="1"/>
    <col min="11275" max="11275" width="16.140625" style="1803" bestFit="1" customWidth="1"/>
    <col min="11276" max="11276" width="16" style="1803" bestFit="1" customWidth="1"/>
    <col min="11277" max="11520" width="9.140625" style="1803"/>
    <col min="11521" max="11521" width="4.7109375" style="1803" customWidth="1"/>
    <col min="11522" max="11522" width="6.140625" style="1803" customWidth="1"/>
    <col min="11523" max="11523" width="10.28515625" style="1803" customWidth="1"/>
    <col min="11524" max="11524" width="40.42578125" style="1803" customWidth="1"/>
    <col min="11525" max="11525" width="10.42578125" style="1803" customWidth="1"/>
    <col min="11526" max="11526" width="15.85546875" style="1803" customWidth="1"/>
    <col min="11527" max="11527" width="13.85546875" style="1803" customWidth="1"/>
    <col min="11528" max="11528" width="6.42578125" style="1803" customWidth="1"/>
    <col min="11529" max="11529" width="14.28515625" style="1803" bestFit="1" customWidth="1"/>
    <col min="11530" max="11530" width="9.28515625" style="1803" bestFit="1" customWidth="1"/>
    <col min="11531" max="11531" width="16.140625" style="1803" bestFit="1" customWidth="1"/>
    <col min="11532" max="11532" width="16" style="1803" bestFit="1" customWidth="1"/>
    <col min="11533" max="11776" width="9.140625" style="1803"/>
    <col min="11777" max="11777" width="4.7109375" style="1803" customWidth="1"/>
    <col min="11778" max="11778" width="6.140625" style="1803" customWidth="1"/>
    <col min="11779" max="11779" width="10.28515625" style="1803" customWidth="1"/>
    <col min="11780" max="11780" width="40.42578125" style="1803" customWidth="1"/>
    <col min="11781" max="11781" width="10.42578125" style="1803" customWidth="1"/>
    <col min="11782" max="11782" width="15.85546875" style="1803" customWidth="1"/>
    <col min="11783" max="11783" width="13.85546875" style="1803" customWidth="1"/>
    <col min="11784" max="11784" width="6.42578125" style="1803" customWidth="1"/>
    <col min="11785" max="11785" width="14.28515625" style="1803" bestFit="1" customWidth="1"/>
    <col min="11786" max="11786" width="9.28515625" style="1803" bestFit="1" customWidth="1"/>
    <col min="11787" max="11787" width="16.140625" style="1803" bestFit="1" customWidth="1"/>
    <col min="11788" max="11788" width="16" style="1803" bestFit="1" customWidth="1"/>
    <col min="11789" max="12032" width="9.140625" style="1803"/>
    <col min="12033" max="12033" width="4.7109375" style="1803" customWidth="1"/>
    <col min="12034" max="12034" width="6.140625" style="1803" customWidth="1"/>
    <col min="12035" max="12035" width="10.28515625" style="1803" customWidth="1"/>
    <col min="12036" max="12036" width="40.42578125" style="1803" customWidth="1"/>
    <col min="12037" max="12037" width="10.42578125" style="1803" customWidth="1"/>
    <col min="12038" max="12038" width="15.85546875" style="1803" customWidth="1"/>
    <col min="12039" max="12039" width="13.85546875" style="1803" customWidth="1"/>
    <col min="12040" max="12040" width="6.42578125" style="1803" customWidth="1"/>
    <col min="12041" max="12041" width="14.28515625" style="1803" bestFit="1" customWidth="1"/>
    <col min="12042" max="12042" width="9.28515625" style="1803" bestFit="1" customWidth="1"/>
    <col min="12043" max="12043" width="16.140625" style="1803" bestFit="1" customWidth="1"/>
    <col min="12044" max="12044" width="16" style="1803" bestFit="1" customWidth="1"/>
    <col min="12045" max="12288" width="9.140625" style="1803"/>
    <col min="12289" max="12289" width="4.7109375" style="1803" customWidth="1"/>
    <col min="12290" max="12290" width="6.140625" style="1803" customWidth="1"/>
    <col min="12291" max="12291" width="10.28515625" style="1803" customWidth="1"/>
    <col min="12292" max="12292" width="40.42578125" style="1803" customWidth="1"/>
    <col min="12293" max="12293" width="10.42578125" style="1803" customWidth="1"/>
    <col min="12294" max="12294" width="15.85546875" style="1803" customWidth="1"/>
    <col min="12295" max="12295" width="13.85546875" style="1803" customWidth="1"/>
    <col min="12296" max="12296" width="6.42578125" style="1803" customWidth="1"/>
    <col min="12297" max="12297" width="14.28515625" style="1803" bestFit="1" customWidth="1"/>
    <col min="12298" max="12298" width="9.28515625" style="1803" bestFit="1" customWidth="1"/>
    <col min="12299" max="12299" width="16.140625" style="1803" bestFit="1" customWidth="1"/>
    <col min="12300" max="12300" width="16" style="1803" bestFit="1" customWidth="1"/>
    <col min="12301" max="12544" width="9.140625" style="1803"/>
    <col min="12545" max="12545" width="4.7109375" style="1803" customWidth="1"/>
    <col min="12546" max="12546" width="6.140625" style="1803" customWidth="1"/>
    <col min="12547" max="12547" width="10.28515625" style="1803" customWidth="1"/>
    <col min="12548" max="12548" width="40.42578125" style="1803" customWidth="1"/>
    <col min="12549" max="12549" width="10.42578125" style="1803" customWidth="1"/>
    <col min="12550" max="12550" width="15.85546875" style="1803" customWidth="1"/>
    <col min="12551" max="12551" width="13.85546875" style="1803" customWidth="1"/>
    <col min="12552" max="12552" width="6.42578125" style="1803" customWidth="1"/>
    <col min="12553" max="12553" width="14.28515625" style="1803" bestFit="1" customWidth="1"/>
    <col min="12554" max="12554" width="9.28515625" style="1803" bestFit="1" customWidth="1"/>
    <col min="12555" max="12555" width="16.140625" style="1803" bestFit="1" customWidth="1"/>
    <col min="12556" max="12556" width="16" style="1803" bestFit="1" customWidth="1"/>
    <col min="12557" max="12800" width="9.140625" style="1803"/>
    <col min="12801" max="12801" width="4.7109375" style="1803" customWidth="1"/>
    <col min="12802" max="12802" width="6.140625" style="1803" customWidth="1"/>
    <col min="12803" max="12803" width="10.28515625" style="1803" customWidth="1"/>
    <col min="12804" max="12804" width="40.42578125" style="1803" customWidth="1"/>
    <col min="12805" max="12805" width="10.42578125" style="1803" customWidth="1"/>
    <col min="12806" max="12806" width="15.85546875" style="1803" customWidth="1"/>
    <col min="12807" max="12807" width="13.85546875" style="1803" customWidth="1"/>
    <col min="12808" max="12808" width="6.42578125" style="1803" customWidth="1"/>
    <col min="12809" max="12809" width="14.28515625" style="1803" bestFit="1" customWidth="1"/>
    <col min="12810" max="12810" width="9.28515625" style="1803" bestFit="1" customWidth="1"/>
    <col min="12811" max="12811" width="16.140625" style="1803" bestFit="1" customWidth="1"/>
    <col min="12812" max="12812" width="16" style="1803" bestFit="1" customWidth="1"/>
    <col min="12813" max="13056" width="9.140625" style="1803"/>
    <col min="13057" max="13057" width="4.7109375" style="1803" customWidth="1"/>
    <col min="13058" max="13058" width="6.140625" style="1803" customWidth="1"/>
    <col min="13059" max="13059" width="10.28515625" style="1803" customWidth="1"/>
    <col min="13060" max="13060" width="40.42578125" style="1803" customWidth="1"/>
    <col min="13061" max="13061" width="10.42578125" style="1803" customWidth="1"/>
    <col min="13062" max="13062" width="15.85546875" style="1803" customWidth="1"/>
    <col min="13063" max="13063" width="13.85546875" style="1803" customWidth="1"/>
    <col min="13064" max="13064" width="6.42578125" style="1803" customWidth="1"/>
    <col min="13065" max="13065" width="14.28515625" style="1803" bestFit="1" customWidth="1"/>
    <col min="13066" max="13066" width="9.28515625" style="1803" bestFit="1" customWidth="1"/>
    <col min="13067" max="13067" width="16.140625" style="1803" bestFit="1" customWidth="1"/>
    <col min="13068" max="13068" width="16" style="1803" bestFit="1" customWidth="1"/>
    <col min="13069" max="13312" width="9.140625" style="1803"/>
    <col min="13313" max="13313" width="4.7109375" style="1803" customWidth="1"/>
    <col min="13314" max="13314" width="6.140625" style="1803" customWidth="1"/>
    <col min="13315" max="13315" width="10.28515625" style="1803" customWidth="1"/>
    <col min="13316" max="13316" width="40.42578125" style="1803" customWidth="1"/>
    <col min="13317" max="13317" width="10.42578125" style="1803" customWidth="1"/>
    <col min="13318" max="13318" width="15.85546875" style="1803" customWidth="1"/>
    <col min="13319" max="13319" width="13.85546875" style="1803" customWidth="1"/>
    <col min="13320" max="13320" width="6.42578125" style="1803" customWidth="1"/>
    <col min="13321" max="13321" width="14.28515625" style="1803" bestFit="1" customWidth="1"/>
    <col min="13322" max="13322" width="9.28515625" style="1803" bestFit="1" customWidth="1"/>
    <col min="13323" max="13323" width="16.140625" style="1803" bestFit="1" customWidth="1"/>
    <col min="13324" max="13324" width="16" style="1803" bestFit="1" customWidth="1"/>
    <col min="13325" max="13568" width="9.140625" style="1803"/>
    <col min="13569" max="13569" width="4.7109375" style="1803" customWidth="1"/>
    <col min="13570" max="13570" width="6.140625" style="1803" customWidth="1"/>
    <col min="13571" max="13571" width="10.28515625" style="1803" customWidth="1"/>
    <col min="13572" max="13572" width="40.42578125" style="1803" customWidth="1"/>
    <col min="13573" max="13573" width="10.42578125" style="1803" customWidth="1"/>
    <col min="13574" max="13574" width="15.85546875" style="1803" customWidth="1"/>
    <col min="13575" max="13575" width="13.85546875" style="1803" customWidth="1"/>
    <col min="13576" max="13576" width="6.42578125" style="1803" customWidth="1"/>
    <col min="13577" max="13577" width="14.28515625" style="1803" bestFit="1" customWidth="1"/>
    <col min="13578" max="13578" width="9.28515625" style="1803" bestFit="1" customWidth="1"/>
    <col min="13579" max="13579" width="16.140625" style="1803" bestFit="1" customWidth="1"/>
    <col min="13580" max="13580" width="16" style="1803" bestFit="1" customWidth="1"/>
    <col min="13581" max="13824" width="9.140625" style="1803"/>
    <col min="13825" max="13825" width="4.7109375" style="1803" customWidth="1"/>
    <col min="13826" max="13826" width="6.140625" style="1803" customWidth="1"/>
    <col min="13827" max="13827" width="10.28515625" style="1803" customWidth="1"/>
    <col min="13828" max="13828" width="40.42578125" style="1803" customWidth="1"/>
    <col min="13829" max="13829" width="10.42578125" style="1803" customWidth="1"/>
    <col min="13830" max="13830" width="15.85546875" style="1803" customWidth="1"/>
    <col min="13831" max="13831" width="13.85546875" style="1803" customWidth="1"/>
    <col min="13832" max="13832" width="6.42578125" style="1803" customWidth="1"/>
    <col min="13833" max="13833" width="14.28515625" style="1803" bestFit="1" customWidth="1"/>
    <col min="13834" max="13834" width="9.28515625" style="1803" bestFit="1" customWidth="1"/>
    <col min="13835" max="13835" width="16.140625" style="1803" bestFit="1" customWidth="1"/>
    <col min="13836" max="13836" width="16" style="1803" bestFit="1" customWidth="1"/>
    <col min="13837" max="14080" width="9.140625" style="1803"/>
    <col min="14081" max="14081" width="4.7109375" style="1803" customWidth="1"/>
    <col min="14082" max="14082" width="6.140625" style="1803" customWidth="1"/>
    <col min="14083" max="14083" width="10.28515625" style="1803" customWidth="1"/>
    <col min="14084" max="14084" width="40.42578125" style="1803" customWidth="1"/>
    <col min="14085" max="14085" width="10.42578125" style="1803" customWidth="1"/>
    <col min="14086" max="14086" width="15.85546875" style="1803" customWidth="1"/>
    <col min="14087" max="14087" width="13.85546875" style="1803" customWidth="1"/>
    <col min="14088" max="14088" width="6.42578125" style="1803" customWidth="1"/>
    <col min="14089" max="14089" width="14.28515625" style="1803" bestFit="1" customWidth="1"/>
    <col min="14090" max="14090" width="9.28515625" style="1803" bestFit="1" customWidth="1"/>
    <col min="14091" max="14091" width="16.140625" style="1803" bestFit="1" customWidth="1"/>
    <col min="14092" max="14092" width="16" style="1803" bestFit="1" customWidth="1"/>
    <col min="14093" max="14336" width="9.140625" style="1803"/>
    <col min="14337" max="14337" width="4.7109375" style="1803" customWidth="1"/>
    <col min="14338" max="14338" width="6.140625" style="1803" customWidth="1"/>
    <col min="14339" max="14339" width="10.28515625" style="1803" customWidth="1"/>
    <col min="14340" max="14340" width="40.42578125" style="1803" customWidth="1"/>
    <col min="14341" max="14341" width="10.42578125" style="1803" customWidth="1"/>
    <col min="14342" max="14342" width="15.85546875" style="1803" customWidth="1"/>
    <col min="14343" max="14343" width="13.85546875" style="1803" customWidth="1"/>
    <col min="14344" max="14344" width="6.42578125" style="1803" customWidth="1"/>
    <col min="14345" max="14345" width="14.28515625" style="1803" bestFit="1" customWidth="1"/>
    <col min="14346" max="14346" width="9.28515625" style="1803" bestFit="1" customWidth="1"/>
    <col min="14347" max="14347" width="16.140625" style="1803" bestFit="1" customWidth="1"/>
    <col min="14348" max="14348" width="16" style="1803" bestFit="1" customWidth="1"/>
    <col min="14349" max="14592" width="9.140625" style="1803"/>
    <col min="14593" max="14593" width="4.7109375" style="1803" customWidth="1"/>
    <col min="14594" max="14594" width="6.140625" style="1803" customWidth="1"/>
    <col min="14595" max="14595" width="10.28515625" style="1803" customWidth="1"/>
    <col min="14596" max="14596" width="40.42578125" style="1803" customWidth="1"/>
    <col min="14597" max="14597" width="10.42578125" style="1803" customWidth="1"/>
    <col min="14598" max="14598" width="15.85546875" style="1803" customWidth="1"/>
    <col min="14599" max="14599" width="13.85546875" style="1803" customWidth="1"/>
    <col min="14600" max="14600" width="6.42578125" style="1803" customWidth="1"/>
    <col min="14601" max="14601" width="14.28515625" style="1803" bestFit="1" customWidth="1"/>
    <col min="14602" max="14602" width="9.28515625" style="1803" bestFit="1" customWidth="1"/>
    <col min="14603" max="14603" width="16.140625" style="1803" bestFit="1" customWidth="1"/>
    <col min="14604" max="14604" width="16" style="1803" bestFit="1" customWidth="1"/>
    <col min="14605" max="14848" width="9.140625" style="1803"/>
    <col min="14849" max="14849" width="4.7109375" style="1803" customWidth="1"/>
    <col min="14850" max="14850" width="6.140625" style="1803" customWidth="1"/>
    <col min="14851" max="14851" width="10.28515625" style="1803" customWidth="1"/>
    <col min="14852" max="14852" width="40.42578125" style="1803" customWidth="1"/>
    <col min="14853" max="14853" width="10.42578125" style="1803" customWidth="1"/>
    <col min="14854" max="14854" width="15.85546875" style="1803" customWidth="1"/>
    <col min="14855" max="14855" width="13.85546875" style="1803" customWidth="1"/>
    <col min="14856" max="14856" width="6.42578125" style="1803" customWidth="1"/>
    <col min="14857" max="14857" width="14.28515625" style="1803" bestFit="1" customWidth="1"/>
    <col min="14858" max="14858" width="9.28515625" style="1803" bestFit="1" customWidth="1"/>
    <col min="14859" max="14859" width="16.140625" style="1803" bestFit="1" customWidth="1"/>
    <col min="14860" max="14860" width="16" style="1803" bestFit="1" customWidth="1"/>
    <col min="14861" max="15104" width="9.140625" style="1803"/>
    <col min="15105" max="15105" width="4.7109375" style="1803" customWidth="1"/>
    <col min="15106" max="15106" width="6.140625" style="1803" customWidth="1"/>
    <col min="15107" max="15107" width="10.28515625" style="1803" customWidth="1"/>
    <col min="15108" max="15108" width="40.42578125" style="1803" customWidth="1"/>
    <col min="15109" max="15109" width="10.42578125" style="1803" customWidth="1"/>
    <col min="15110" max="15110" width="15.85546875" style="1803" customWidth="1"/>
    <col min="15111" max="15111" width="13.85546875" style="1803" customWidth="1"/>
    <col min="15112" max="15112" width="6.42578125" style="1803" customWidth="1"/>
    <col min="15113" max="15113" width="14.28515625" style="1803" bestFit="1" customWidth="1"/>
    <col min="15114" max="15114" width="9.28515625" style="1803" bestFit="1" customWidth="1"/>
    <col min="15115" max="15115" width="16.140625" style="1803" bestFit="1" customWidth="1"/>
    <col min="15116" max="15116" width="16" style="1803" bestFit="1" customWidth="1"/>
    <col min="15117" max="15360" width="9.140625" style="1803"/>
    <col min="15361" max="15361" width="4.7109375" style="1803" customWidth="1"/>
    <col min="15362" max="15362" width="6.140625" style="1803" customWidth="1"/>
    <col min="15363" max="15363" width="10.28515625" style="1803" customWidth="1"/>
    <col min="15364" max="15364" width="40.42578125" style="1803" customWidth="1"/>
    <col min="15365" max="15365" width="10.42578125" style="1803" customWidth="1"/>
    <col min="15366" max="15366" width="15.85546875" style="1803" customWidth="1"/>
    <col min="15367" max="15367" width="13.85546875" style="1803" customWidth="1"/>
    <col min="15368" max="15368" width="6.42578125" style="1803" customWidth="1"/>
    <col min="15369" max="15369" width="14.28515625" style="1803" bestFit="1" customWidth="1"/>
    <col min="15370" max="15370" width="9.28515625" style="1803" bestFit="1" customWidth="1"/>
    <col min="15371" max="15371" width="16.140625" style="1803" bestFit="1" customWidth="1"/>
    <col min="15372" max="15372" width="16" style="1803" bestFit="1" customWidth="1"/>
    <col min="15373" max="15616" width="9.140625" style="1803"/>
    <col min="15617" max="15617" width="4.7109375" style="1803" customWidth="1"/>
    <col min="15618" max="15618" width="6.140625" style="1803" customWidth="1"/>
    <col min="15619" max="15619" width="10.28515625" style="1803" customWidth="1"/>
    <col min="15620" max="15620" width="40.42578125" style="1803" customWidth="1"/>
    <col min="15621" max="15621" width="10.42578125" style="1803" customWidth="1"/>
    <col min="15622" max="15622" width="15.85546875" style="1803" customWidth="1"/>
    <col min="15623" max="15623" width="13.85546875" style="1803" customWidth="1"/>
    <col min="15624" max="15624" width="6.42578125" style="1803" customWidth="1"/>
    <col min="15625" max="15625" width="14.28515625" style="1803" bestFit="1" customWidth="1"/>
    <col min="15626" max="15626" width="9.28515625" style="1803" bestFit="1" customWidth="1"/>
    <col min="15627" max="15627" width="16.140625" style="1803" bestFit="1" customWidth="1"/>
    <col min="15628" max="15628" width="16" style="1803" bestFit="1" customWidth="1"/>
    <col min="15629" max="15872" width="9.140625" style="1803"/>
    <col min="15873" max="15873" width="4.7109375" style="1803" customWidth="1"/>
    <col min="15874" max="15874" width="6.140625" style="1803" customWidth="1"/>
    <col min="15875" max="15875" width="10.28515625" style="1803" customWidth="1"/>
    <col min="15876" max="15876" width="40.42578125" style="1803" customWidth="1"/>
    <col min="15877" max="15877" width="10.42578125" style="1803" customWidth="1"/>
    <col min="15878" max="15878" width="15.85546875" style="1803" customWidth="1"/>
    <col min="15879" max="15879" width="13.85546875" style="1803" customWidth="1"/>
    <col min="15880" max="15880" width="6.42578125" style="1803" customWidth="1"/>
    <col min="15881" max="15881" width="14.28515625" style="1803" bestFit="1" customWidth="1"/>
    <col min="15882" max="15882" width="9.28515625" style="1803" bestFit="1" customWidth="1"/>
    <col min="15883" max="15883" width="16.140625" style="1803" bestFit="1" customWidth="1"/>
    <col min="15884" max="15884" width="16" style="1803" bestFit="1" customWidth="1"/>
    <col min="15885" max="16128" width="9.140625" style="1803"/>
    <col min="16129" max="16129" width="4.7109375" style="1803" customWidth="1"/>
    <col min="16130" max="16130" width="6.140625" style="1803" customWidth="1"/>
    <col min="16131" max="16131" width="10.28515625" style="1803" customWidth="1"/>
    <col min="16132" max="16132" width="40.42578125" style="1803" customWidth="1"/>
    <col min="16133" max="16133" width="10.42578125" style="1803" customWidth="1"/>
    <col min="16134" max="16134" width="15.85546875" style="1803" customWidth="1"/>
    <col min="16135" max="16135" width="13.85546875" style="1803" customWidth="1"/>
    <col min="16136" max="16136" width="6.42578125" style="1803" customWidth="1"/>
    <col min="16137" max="16137" width="14.28515625" style="1803" bestFit="1" customWidth="1"/>
    <col min="16138" max="16138" width="9.28515625" style="1803" bestFit="1" customWidth="1"/>
    <col min="16139" max="16139" width="16.140625" style="1803" bestFit="1" customWidth="1"/>
    <col min="16140" max="16140" width="16" style="1803" bestFit="1" customWidth="1"/>
    <col min="16141" max="16384" width="9.140625" style="1803"/>
  </cols>
  <sheetData>
    <row r="1" spans="1:8" ht="38.25" customHeight="1" thickBot="1" x14ac:dyDescent="0.25">
      <c r="A1" s="2753" t="s">
        <v>748</v>
      </c>
      <c r="B1" s="2753"/>
      <c r="C1" s="2753"/>
      <c r="D1" s="2753"/>
      <c r="E1" s="2753"/>
      <c r="F1" s="2753"/>
      <c r="G1" s="2753"/>
      <c r="H1" s="2753"/>
    </row>
    <row r="2" spans="1:8" ht="18" x14ac:dyDescent="0.25">
      <c r="A2" s="1807"/>
      <c r="B2" s="1831"/>
      <c r="C2" s="1831"/>
      <c r="D2" s="1831"/>
      <c r="E2" s="1831"/>
      <c r="F2" s="1831"/>
      <c r="G2" s="1831"/>
      <c r="H2" s="1876" t="s">
        <v>749</v>
      </c>
    </row>
    <row r="3" spans="1:8" ht="18" x14ac:dyDescent="0.25">
      <c r="A3" s="1705" t="s">
        <v>367</v>
      </c>
      <c r="B3" s="1831"/>
      <c r="C3" s="1801" t="s">
        <v>347</v>
      </c>
      <c r="D3" s="1831"/>
      <c r="E3" s="1831"/>
      <c r="F3" s="1831"/>
      <c r="G3" s="1831"/>
      <c r="H3" s="1876"/>
    </row>
    <row r="4" spans="1:8" ht="18" x14ac:dyDescent="0.25">
      <c r="A4" s="1807"/>
      <c r="B4" s="1831"/>
      <c r="C4" s="1801" t="s">
        <v>348</v>
      </c>
      <c r="D4" s="1831"/>
      <c r="E4" s="1831"/>
      <c r="F4" s="1831"/>
      <c r="G4" s="1831"/>
      <c r="H4" s="1876"/>
    </row>
    <row r="5" spans="1:8" ht="18" x14ac:dyDescent="0.25">
      <c r="A5" s="1806" t="s">
        <v>750</v>
      </c>
      <c r="B5" s="1831"/>
      <c r="C5" s="1831"/>
      <c r="D5" s="1831"/>
      <c r="E5" s="1831"/>
      <c r="F5" s="1831"/>
      <c r="G5" s="1831"/>
      <c r="H5" s="1876"/>
    </row>
    <row r="7" spans="1:8" ht="15.75" thickBot="1" x14ac:dyDescent="0.3">
      <c r="A7" s="1808" t="s">
        <v>250</v>
      </c>
      <c r="H7" s="1892" t="s">
        <v>161</v>
      </c>
    </row>
    <row r="8" spans="1:8" s="1638" customFormat="1" ht="25.5" thickTop="1" thickBot="1" x14ac:dyDescent="0.25">
      <c r="A8" s="1809" t="s">
        <v>162</v>
      </c>
      <c r="B8" s="1810" t="s">
        <v>761</v>
      </c>
      <c r="C8" s="1810" t="s">
        <v>377</v>
      </c>
      <c r="D8" s="1811" t="s">
        <v>164</v>
      </c>
      <c r="E8" s="1833" t="s">
        <v>632</v>
      </c>
      <c r="F8" s="1833" t="s">
        <v>633</v>
      </c>
      <c r="G8" s="1834" t="s">
        <v>882</v>
      </c>
      <c r="H8" s="1835" t="s">
        <v>883</v>
      </c>
    </row>
    <row r="9" spans="1:8" s="1638" customFormat="1" ht="13.5" thickTop="1" thickBot="1" x14ac:dyDescent="0.25">
      <c r="A9" s="1643">
        <v>1</v>
      </c>
      <c r="B9" s="1642">
        <v>2</v>
      </c>
      <c r="C9" s="1642">
        <v>3</v>
      </c>
      <c r="D9" s="1642">
        <v>4</v>
      </c>
      <c r="E9" s="1641">
        <v>5</v>
      </c>
      <c r="F9" s="1641">
        <v>6</v>
      </c>
      <c r="G9" s="1877">
        <v>7</v>
      </c>
      <c r="H9" s="1901" t="s">
        <v>61</v>
      </c>
    </row>
    <row r="10" spans="1:8" ht="45.75" hidden="1" thickTop="1" x14ac:dyDescent="0.2">
      <c r="A10" s="1896">
        <v>3299</v>
      </c>
      <c r="B10" s="1903">
        <v>5213</v>
      </c>
      <c r="C10" s="1906">
        <v>32133006</v>
      </c>
      <c r="D10" s="1855" t="s">
        <v>1261</v>
      </c>
      <c r="E10" s="1832">
        <v>0</v>
      </c>
      <c r="F10" s="1832"/>
      <c r="G10" s="1832"/>
      <c r="H10" s="1819" t="e">
        <f t="shared" ref="H10:H34" si="0">G10/F10*100</f>
        <v>#DIV/0!</v>
      </c>
    </row>
    <row r="11" spans="1:8" ht="45.75" hidden="1" thickTop="1" x14ac:dyDescent="0.2">
      <c r="A11" s="1896">
        <v>3299</v>
      </c>
      <c r="B11" s="1903">
        <v>5213</v>
      </c>
      <c r="C11" s="1906">
        <v>32533006</v>
      </c>
      <c r="D11" s="1836" t="s">
        <v>1261</v>
      </c>
      <c r="E11" s="1845">
        <v>0</v>
      </c>
      <c r="F11" s="1845"/>
      <c r="G11" s="1845"/>
      <c r="H11" s="1821" t="e">
        <f t="shared" si="0"/>
        <v>#DIV/0!</v>
      </c>
    </row>
    <row r="12" spans="1:8" ht="30.75" hidden="1" thickTop="1" x14ac:dyDescent="0.2">
      <c r="A12" s="1896">
        <v>3299</v>
      </c>
      <c r="B12" s="1903">
        <v>5221</v>
      </c>
      <c r="C12" s="1906">
        <v>32133006</v>
      </c>
      <c r="D12" s="1836" t="s">
        <v>1317</v>
      </c>
      <c r="E12" s="1845">
        <v>0</v>
      </c>
      <c r="F12" s="1845"/>
      <c r="G12" s="1845"/>
      <c r="H12" s="1821" t="e">
        <f t="shared" si="0"/>
        <v>#DIV/0!</v>
      </c>
    </row>
    <row r="13" spans="1:8" ht="30.75" hidden="1" thickTop="1" x14ac:dyDescent="0.2">
      <c r="A13" s="1896">
        <v>3299</v>
      </c>
      <c r="B13" s="1903">
        <v>5221</v>
      </c>
      <c r="C13" s="1906">
        <v>32533006</v>
      </c>
      <c r="D13" s="1836" t="s">
        <v>1317</v>
      </c>
      <c r="E13" s="1845">
        <v>0</v>
      </c>
      <c r="F13" s="1845"/>
      <c r="G13" s="1845"/>
      <c r="H13" s="1821" t="e">
        <f t="shared" si="0"/>
        <v>#DIV/0!</v>
      </c>
    </row>
    <row r="14" spans="1:8" ht="30.75" hidden="1" thickTop="1" x14ac:dyDescent="0.2">
      <c r="A14" s="1896">
        <v>3299</v>
      </c>
      <c r="B14" s="1903">
        <v>5222</v>
      </c>
      <c r="C14" s="1906">
        <v>32133006</v>
      </c>
      <c r="D14" s="1836" t="s">
        <v>221</v>
      </c>
      <c r="E14" s="1845">
        <v>0</v>
      </c>
      <c r="F14" s="1845"/>
      <c r="G14" s="1845"/>
      <c r="H14" s="1821" t="e">
        <f t="shared" si="0"/>
        <v>#DIV/0!</v>
      </c>
    </row>
    <row r="15" spans="1:8" ht="30.75" hidden="1" thickTop="1" x14ac:dyDescent="0.2">
      <c r="A15" s="1896">
        <v>3299</v>
      </c>
      <c r="B15" s="1903">
        <v>5222</v>
      </c>
      <c r="C15" s="1906">
        <v>32533006</v>
      </c>
      <c r="D15" s="1836" t="s">
        <v>221</v>
      </c>
      <c r="E15" s="1845">
        <v>0</v>
      </c>
      <c r="F15" s="1845"/>
      <c r="G15" s="1845"/>
      <c r="H15" s="1821" t="e">
        <f t="shared" si="0"/>
        <v>#DIV/0!</v>
      </c>
    </row>
    <row r="16" spans="1:8" ht="30.75" hidden="1" thickTop="1" x14ac:dyDescent="0.2">
      <c r="A16" s="1896">
        <v>3299</v>
      </c>
      <c r="B16" s="1903">
        <v>5223</v>
      </c>
      <c r="C16" s="1906">
        <v>32133006</v>
      </c>
      <c r="D16" s="1836" t="s">
        <v>829</v>
      </c>
      <c r="E16" s="1845">
        <v>0</v>
      </c>
      <c r="F16" s="1845"/>
      <c r="G16" s="1845"/>
      <c r="H16" s="1821" t="e">
        <f t="shared" si="0"/>
        <v>#DIV/0!</v>
      </c>
    </row>
    <row r="17" spans="1:8" ht="30.75" hidden="1" thickTop="1" x14ac:dyDescent="0.2">
      <c r="A17" s="1896">
        <v>3299</v>
      </c>
      <c r="B17" s="1903">
        <v>5223</v>
      </c>
      <c r="C17" s="1906">
        <v>32533006</v>
      </c>
      <c r="D17" s="1836" t="s">
        <v>829</v>
      </c>
      <c r="E17" s="1845">
        <v>0</v>
      </c>
      <c r="F17" s="1845"/>
      <c r="G17" s="1845"/>
      <c r="H17" s="1821" t="e">
        <f t="shared" si="0"/>
        <v>#DIV/0!</v>
      </c>
    </row>
    <row r="18" spans="1:8" ht="15.95" hidden="1" customHeight="1" x14ac:dyDescent="0.2">
      <c r="A18" s="1896">
        <v>3299</v>
      </c>
      <c r="B18" s="1903">
        <v>5332</v>
      </c>
      <c r="C18" s="1906">
        <v>32133006</v>
      </c>
      <c r="D18" s="1836" t="s">
        <v>619</v>
      </c>
      <c r="E18" s="1845">
        <v>0</v>
      </c>
      <c r="F18" s="1845"/>
      <c r="G18" s="1845"/>
      <c r="H18" s="1821" t="e">
        <f t="shared" si="0"/>
        <v>#DIV/0!</v>
      </c>
    </row>
    <row r="19" spans="1:8" ht="15.95" hidden="1" customHeight="1" x14ac:dyDescent="0.2">
      <c r="A19" s="1896">
        <v>3299</v>
      </c>
      <c r="B19" s="1903">
        <v>5332</v>
      </c>
      <c r="C19" s="1906">
        <v>32533006</v>
      </c>
      <c r="D19" s="1836" t="s">
        <v>619</v>
      </c>
      <c r="E19" s="1845">
        <v>0</v>
      </c>
      <c r="F19" s="1845"/>
      <c r="G19" s="1845"/>
      <c r="H19" s="1821" t="e">
        <f t="shared" si="0"/>
        <v>#DIV/0!</v>
      </c>
    </row>
    <row r="20" spans="1:8" ht="15.75" thickTop="1" x14ac:dyDescent="0.2">
      <c r="A20" s="1896">
        <v>3299</v>
      </c>
      <c r="B20" s="1903">
        <v>5901</v>
      </c>
      <c r="C20" s="1906">
        <v>32133006</v>
      </c>
      <c r="D20" s="1836" t="s">
        <v>602</v>
      </c>
      <c r="E20" s="1845">
        <v>0</v>
      </c>
      <c r="F20" s="1845">
        <v>1401</v>
      </c>
      <c r="G20" s="1845">
        <v>0</v>
      </c>
      <c r="H20" s="1821">
        <f t="shared" si="0"/>
        <v>0</v>
      </c>
    </row>
    <row r="21" spans="1:8" ht="15" x14ac:dyDescent="0.2">
      <c r="A21" s="1896">
        <v>3299</v>
      </c>
      <c r="B21" s="1903">
        <v>5901</v>
      </c>
      <c r="C21" s="1906">
        <v>32533006</v>
      </c>
      <c r="D21" s="1836" t="s">
        <v>602</v>
      </c>
      <c r="E21" s="1845">
        <v>0</v>
      </c>
      <c r="F21" s="1845">
        <v>7940</v>
      </c>
      <c r="G21" s="1845">
        <v>0</v>
      </c>
      <c r="H21" s="1821">
        <f t="shared" si="0"/>
        <v>0</v>
      </c>
    </row>
    <row r="22" spans="1:8" ht="45" hidden="1" x14ac:dyDescent="0.2">
      <c r="A22" s="1896">
        <v>3299</v>
      </c>
      <c r="B22" s="1903">
        <v>6313</v>
      </c>
      <c r="C22" s="1906">
        <v>32133006</v>
      </c>
      <c r="D22" s="1836" t="s">
        <v>87</v>
      </c>
      <c r="E22" s="1845">
        <v>0</v>
      </c>
      <c r="F22" s="1845">
        <v>0</v>
      </c>
      <c r="G22" s="1845">
        <v>0</v>
      </c>
      <c r="H22" s="1821" t="e">
        <f t="shared" si="0"/>
        <v>#DIV/0!</v>
      </c>
    </row>
    <row r="23" spans="1:8" ht="45" hidden="1" x14ac:dyDescent="0.2">
      <c r="A23" s="1896">
        <v>3299</v>
      </c>
      <c r="B23" s="1903">
        <v>6313</v>
      </c>
      <c r="C23" s="1906">
        <v>32533006</v>
      </c>
      <c r="D23" s="1836" t="s">
        <v>87</v>
      </c>
      <c r="E23" s="1845">
        <v>0</v>
      </c>
      <c r="F23" s="1845">
        <v>0</v>
      </c>
      <c r="G23" s="1845">
        <v>0</v>
      </c>
      <c r="H23" s="1821" t="e">
        <f t="shared" si="0"/>
        <v>#DIV/0!</v>
      </c>
    </row>
    <row r="24" spans="1:8" ht="30" hidden="1" x14ac:dyDescent="0.2">
      <c r="A24" s="1896">
        <v>3299</v>
      </c>
      <c r="B24" s="1903">
        <v>6321</v>
      </c>
      <c r="C24" s="1906">
        <v>32133006</v>
      </c>
      <c r="D24" s="1836" t="s">
        <v>1140</v>
      </c>
      <c r="E24" s="1845">
        <v>0</v>
      </c>
      <c r="F24" s="1845">
        <v>0</v>
      </c>
      <c r="G24" s="1845">
        <v>0</v>
      </c>
      <c r="H24" s="1821" t="e">
        <f t="shared" si="0"/>
        <v>#DIV/0!</v>
      </c>
    </row>
    <row r="25" spans="1:8" ht="30" hidden="1" x14ac:dyDescent="0.2">
      <c r="A25" s="1896">
        <v>3299</v>
      </c>
      <c r="B25" s="1903">
        <v>6321</v>
      </c>
      <c r="C25" s="1906">
        <v>32533006</v>
      </c>
      <c r="D25" s="1836" t="s">
        <v>1140</v>
      </c>
      <c r="E25" s="1845">
        <v>0</v>
      </c>
      <c r="F25" s="1845">
        <v>0</v>
      </c>
      <c r="G25" s="1845">
        <v>0</v>
      </c>
      <c r="H25" s="1821" t="e">
        <f t="shared" si="0"/>
        <v>#DIV/0!</v>
      </c>
    </row>
    <row r="26" spans="1:8" ht="30" hidden="1" x14ac:dyDescent="0.2">
      <c r="A26" s="1896">
        <v>3299</v>
      </c>
      <c r="B26" s="1903">
        <v>6322</v>
      </c>
      <c r="C26" s="1906">
        <v>32133006</v>
      </c>
      <c r="D26" s="1836" t="s">
        <v>1146</v>
      </c>
      <c r="E26" s="1845">
        <v>0</v>
      </c>
      <c r="F26" s="1845">
        <v>0</v>
      </c>
      <c r="G26" s="1845">
        <v>0</v>
      </c>
      <c r="H26" s="1821" t="e">
        <f t="shared" si="0"/>
        <v>#DIV/0!</v>
      </c>
    </row>
    <row r="27" spans="1:8" ht="30" hidden="1" x14ac:dyDescent="0.2">
      <c r="A27" s="1896">
        <v>3299</v>
      </c>
      <c r="B27" s="1903">
        <v>6322</v>
      </c>
      <c r="C27" s="1906">
        <v>32533006</v>
      </c>
      <c r="D27" s="1836" t="s">
        <v>1146</v>
      </c>
      <c r="E27" s="1845">
        <v>0</v>
      </c>
      <c r="F27" s="1845">
        <v>0</v>
      </c>
      <c r="G27" s="1845">
        <v>0</v>
      </c>
      <c r="H27" s="1821" t="e">
        <f t="shared" si="0"/>
        <v>#DIV/0!</v>
      </c>
    </row>
    <row r="28" spans="1:8" ht="15" hidden="1" x14ac:dyDescent="0.2">
      <c r="A28" s="1896">
        <v>3299</v>
      </c>
      <c r="B28" s="1903">
        <v>6352</v>
      </c>
      <c r="C28" s="1906">
        <v>32133006</v>
      </c>
      <c r="D28" s="1836" t="s">
        <v>187</v>
      </c>
      <c r="E28" s="1845">
        <v>0</v>
      </c>
      <c r="F28" s="1845">
        <v>0</v>
      </c>
      <c r="G28" s="1845">
        <v>0</v>
      </c>
      <c r="H28" s="1821" t="e">
        <f t="shared" si="0"/>
        <v>#DIV/0!</v>
      </c>
    </row>
    <row r="29" spans="1:8" ht="15" hidden="1" x14ac:dyDescent="0.2">
      <c r="A29" s="1896">
        <v>3299</v>
      </c>
      <c r="B29" s="1903">
        <v>6352</v>
      </c>
      <c r="C29" s="1906">
        <v>32533006</v>
      </c>
      <c r="D29" s="1836" t="s">
        <v>187</v>
      </c>
      <c r="E29" s="1845">
        <v>0</v>
      </c>
      <c r="F29" s="1845">
        <v>0</v>
      </c>
      <c r="G29" s="1845">
        <v>0</v>
      </c>
      <c r="H29" s="1821" t="e">
        <f t="shared" si="0"/>
        <v>#DIV/0!</v>
      </c>
    </row>
    <row r="30" spans="1:8" ht="15" x14ac:dyDescent="0.2">
      <c r="A30" s="1896">
        <v>3299</v>
      </c>
      <c r="B30" s="1903">
        <v>5909</v>
      </c>
      <c r="C30" s="1906">
        <v>0</v>
      </c>
      <c r="D30" s="1836" t="s">
        <v>651</v>
      </c>
      <c r="E30" s="1845">
        <v>0</v>
      </c>
      <c r="F30" s="1845">
        <v>1</v>
      </c>
      <c r="G30" s="1845">
        <v>1</v>
      </c>
      <c r="H30" s="1821">
        <f t="shared" si="0"/>
        <v>100</v>
      </c>
    </row>
    <row r="31" spans="1:8" ht="15" x14ac:dyDescent="0.2">
      <c r="A31" s="1896">
        <v>3299</v>
      </c>
      <c r="B31" s="1903">
        <v>6901</v>
      </c>
      <c r="C31" s="1906">
        <v>32133006</v>
      </c>
      <c r="D31" s="1836" t="s">
        <v>428</v>
      </c>
      <c r="E31" s="1845">
        <v>0</v>
      </c>
      <c r="F31" s="1845">
        <v>395</v>
      </c>
      <c r="G31" s="1845">
        <v>0</v>
      </c>
      <c r="H31" s="1821">
        <f t="shared" si="0"/>
        <v>0</v>
      </c>
    </row>
    <row r="32" spans="1:8" ht="15" x14ac:dyDescent="0.2">
      <c r="A32" s="1896">
        <v>3299</v>
      </c>
      <c r="B32" s="1903">
        <v>6901</v>
      </c>
      <c r="C32" s="1906">
        <v>32533006</v>
      </c>
      <c r="D32" s="1836" t="s">
        <v>428</v>
      </c>
      <c r="E32" s="1845">
        <v>0</v>
      </c>
      <c r="F32" s="1845">
        <v>2241</v>
      </c>
      <c r="G32" s="1845">
        <v>0</v>
      </c>
      <c r="H32" s="1821">
        <f t="shared" si="0"/>
        <v>0</v>
      </c>
    </row>
    <row r="33" spans="1:9" ht="15.75" thickBot="1" x14ac:dyDescent="0.25">
      <c r="A33" s="1896">
        <v>6402</v>
      </c>
      <c r="B33" s="1903">
        <v>5363</v>
      </c>
      <c r="C33" s="1906">
        <v>19</v>
      </c>
      <c r="D33" s="1836" t="s">
        <v>1542</v>
      </c>
      <c r="E33" s="1845">
        <v>0</v>
      </c>
      <c r="F33" s="1845">
        <v>593</v>
      </c>
      <c r="G33" s="1845">
        <v>593</v>
      </c>
      <c r="H33" s="1827">
        <f t="shared" si="0"/>
        <v>100</v>
      </c>
    </row>
    <row r="34" spans="1:9" s="1828" customFormat="1" ht="16.5" thickTop="1" thickBot="1" x14ac:dyDescent="0.3">
      <c r="A34" s="2751" t="s">
        <v>763</v>
      </c>
      <c r="B34" s="2752"/>
      <c r="C34" s="2752"/>
      <c r="D34" s="2752"/>
      <c r="E34" s="1818">
        <f>SUM(E10:E32)</f>
        <v>0</v>
      </c>
      <c r="F34" s="1818">
        <f>SUM(F10:F33)</f>
        <v>12571</v>
      </c>
      <c r="G34" s="1818">
        <f>SUM(G10:G33)</f>
        <v>594</v>
      </c>
      <c r="H34" s="1827">
        <f t="shared" si="0"/>
        <v>4.7251610850369898</v>
      </c>
      <c r="I34" s="1910"/>
    </row>
    <row r="35" spans="1:9" ht="13.5" thickTop="1" x14ac:dyDescent="0.2">
      <c r="I35" s="1829"/>
    </row>
    <row r="36" spans="1:9" hidden="1" x14ac:dyDescent="0.2">
      <c r="I36" s="1829"/>
    </row>
    <row r="37" spans="1:9" ht="15" hidden="1" x14ac:dyDescent="0.25">
      <c r="A37" s="1808" t="s">
        <v>1008</v>
      </c>
      <c r="D37" s="1802"/>
      <c r="E37" s="1803"/>
      <c r="H37" s="1829"/>
      <c r="I37" s="1829"/>
    </row>
    <row r="38" spans="1:9" ht="15" hidden="1" x14ac:dyDescent="0.25">
      <c r="A38" s="1808" t="s">
        <v>188</v>
      </c>
      <c r="D38" s="1802"/>
      <c r="E38" s="1803"/>
      <c r="H38" s="1892" t="s">
        <v>161</v>
      </c>
      <c r="I38" s="1829"/>
    </row>
    <row r="39" spans="1:9" ht="25.5" hidden="1" thickTop="1" thickBot="1" x14ac:dyDescent="0.25">
      <c r="A39" s="1809" t="s">
        <v>162</v>
      </c>
      <c r="B39" s="1810" t="s">
        <v>761</v>
      </c>
      <c r="C39" s="1810" t="s">
        <v>377</v>
      </c>
      <c r="D39" s="1811" t="s">
        <v>164</v>
      </c>
      <c r="E39" s="1833" t="s">
        <v>632</v>
      </c>
      <c r="F39" s="1833" t="s">
        <v>633</v>
      </c>
      <c r="G39" s="1834" t="s">
        <v>882</v>
      </c>
      <c r="H39" s="1835" t="s">
        <v>883</v>
      </c>
      <c r="I39" s="1829"/>
    </row>
    <row r="40" spans="1:9" ht="14.25" hidden="1" thickTop="1" thickBot="1" x14ac:dyDescent="0.25">
      <c r="A40" s="1643">
        <v>1</v>
      </c>
      <c r="B40" s="1642">
        <v>2</v>
      </c>
      <c r="C40" s="1642">
        <v>3</v>
      </c>
      <c r="D40" s="1642">
        <v>5</v>
      </c>
      <c r="E40" s="1641">
        <v>6</v>
      </c>
      <c r="F40" s="1641">
        <v>7</v>
      </c>
      <c r="G40" s="1877">
        <v>8</v>
      </c>
      <c r="H40" s="1814" t="s">
        <v>762</v>
      </c>
      <c r="I40" s="1829"/>
    </row>
    <row r="41" spans="1:9" ht="30.75" hidden="1" thickTop="1" x14ac:dyDescent="0.2">
      <c r="A41" s="1896">
        <v>3299</v>
      </c>
      <c r="B41" s="1903">
        <v>5336</v>
      </c>
      <c r="C41" s="1903">
        <v>32133006</v>
      </c>
      <c r="D41" s="1836" t="s">
        <v>1263</v>
      </c>
      <c r="E41" s="1832">
        <v>0</v>
      </c>
      <c r="F41" s="1832"/>
      <c r="G41" s="1888"/>
      <c r="H41" s="1819" t="e">
        <f>G41/F41*100</f>
        <v>#DIV/0!</v>
      </c>
      <c r="I41" s="1829"/>
    </row>
    <row r="42" spans="1:9" ht="30" hidden="1" x14ac:dyDescent="0.2">
      <c r="A42" s="1896">
        <v>3299</v>
      </c>
      <c r="B42" s="1923">
        <v>5336</v>
      </c>
      <c r="C42" s="1903">
        <v>32533006</v>
      </c>
      <c r="D42" s="1836" t="s">
        <v>1263</v>
      </c>
      <c r="E42" s="1845">
        <v>0</v>
      </c>
      <c r="F42" s="1845"/>
      <c r="G42" s="1885"/>
      <c r="H42" s="1821" t="e">
        <f>G42/F42*100</f>
        <v>#DIV/0!</v>
      </c>
      <c r="I42" s="1829"/>
    </row>
    <row r="43" spans="1:9" ht="30" hidden="1" x14ac:dyDescent="0.2">
      <c r="A43" s="1896">
        <v>3299</v>
      </c>
      <c r="B43" s="1903">
        <v>6351</v>
      </c>
      <c r="C43" s="1903">
        <v>32133006</v>
      </c>
      <c r="D43" s="1836" t="s">
        <v>1277</v>
      </c>
      <c r="E43" s="1845">
        <v>0</v>
      </c>
      <c r="F43" s="1845">
        <v>0</v>
      </c>
      <c r="G43" s="1885">
        <v>0</v>
      </c>
      <c r="H43" s="1821" t="e">
        <f>G43/F43*100</f>
        <v>#DIV/0!</v>
      </c>
      <c r="I43" s="1829"/>
    </row>
    <row r="44" spans="1:9" ht="30" hidden="1" x14ac:dyDescent="0.2">
      <c r="A44" s="1896">
        <v>3299</v>
      </c>
      <c r="B44" s="1903">
        <v>6351</v>
      </c>
      <c r="C44" s="1903">
        <v>32533006</v>
      </c>
      <c r="D44" s="1836" t="s">
        <v>1277</v>
      </c>
      <c r="E44" s="1845">
        <v>0</v>
      </c>
      <c r="F44" s="1845">
        <v>0</v>
      </c>
      <c r="G44" s="1885">
        <v>0</v>
      </c>
      <c r="H44" s="1821" t="e">
        <f>G44/F44*100</f>
        <v>#DIV/0!</v>
      </c>
      <c r="I44" s="1829"/>
    </row>
    <row r="45" spans="1:9" ht="16.5" hidden="1" thickTop="1" thickBot="1" x14ac:dyDescent="0.3">
      <c r="A45" s="1837" t="s">
        <v>763</v>
      </c>
      <c r="B45" s="1838"/>
      <c r="C45" s="1838"/>
      <c r="D45" s="1839"/>
      <c r="E45" s="1818">
        <f>SUM(E41:E44)</f>
        <v>0</v>
      </c>
      <c r="F45" s="1818">
        <f>SUM(F41:F44)</f>
        <v>0</v>
      </c>
      <c r="G45" s="1818">
        <f>SUM(G41:G44)</f>
        <v>0</v>
      </c>
      <c r="H45" s="1822" t="e">
        <f>G45/F45*100</f>
        <v>#DIV/0!</v>
      </c>
      <c r="I45" s="1829"/>
    </row>
    <row r="46" spans="1:9" hidden="1" x14ac:dyDescent="0.2">
      <c r="I46" s="1829"/>
    </row>
    <row r="47" spans="1:9" ht="15" hidden="1" x14ac:dyDescent="0.25">
      <c r="A47" s="1808" t="s">
        <v>1304</v>
      </c>
      <c r="D47" s="1802"/>
      <c r="E47" s="1803"/>
      <c r="H47" s="1829"/>
      <c r="I47" s="1829"/>
    </row>
    <row r="48" spans="1:9" ht="15" hidden="1" x14ac:dyDescent="0.25">
      <c r="A48" s="1808" t="s">
        <v>1376</v>
      </c>
      <c r="D48" s="1802"/>
      <c r="E48" s="1803"/>
      <c r="H48" s="1892" t="s">
        <v>161</v>
      </c>
      <c r="I48" s="1829"/>
    </row>
    <row r="49" spans="1:9" ht="25.5" hidden="1" thickTop="1" thickBot="1" x14ac:dyDescent="0.25">
      <c r="A49" s="1809" t="s">
        <v>162</v>
      </c>
      <c r="B49" s="1810" t="s">
        <v>761</v>
      </c>
      <c r="C49" s="1810" t="s">
        <v>377</v>
      </c>
      <c r="D49" s="1811" t="s">
        <v>164</v>
      </c>
      <c r="E49" s="1833" t="s">
        <v>632</v>
      </c>
      <c r="F49" s="1833" t="s">
        <v>633</v>
      </c>
      <c r="G49" s="1834" t="s">
        <v>882</v>
      </c>
      <c r="H49" s="1835" t="s">
        <v>883</v>
      </c>
      <c r="I49" s="1829"/>
    </row>
    <row r="50" spans="1:9" ht="14.25" hidden="1" thickTop="1" thickBot="1" x14ac:dyDescent="0.25">
      <c r="A50" s="1643">
        <v>1</v>
      </c>
      <c r="B50" s="1642">
        <v>2</v>
      </c>
      <c r="C50" s="1642">
        <v>3</v>
      </c>
      <c r="D50" s="1642">
        <v>5</v>
      </c>
      <c r="E50" s="1641">
        <v>6</v>
      </c>
      <c r="F50" s="1641">
        <v>7</v>
      </c>
      <c r="G50" s="1877">
        <v>8</v>
      </c>
      <c r="H50" s="1814" t="s">
        <v>762</v>
      </c>
      <c r="I50" s="1829"/>
    </row>
    <row r="51" spans="1:9" ht="30.75" hidden="1" thickTop="1" x14ac:dyDescent="0.2">
      <c r="A51" s="1896">
        <v>3299</v>
      </c>
      <c r="B51" s="1903">
        <v>5336</v>
      </c>
      <c r="C51" s="1903">
        <v>32133006</v>
      </c>
      <c r="D51" s="1836" t="s">
        <v>1263</v>
      </c>
      <c r="E51" s="1832">
        <v>0</v>
      </c>
      <c r="F51" s="1832"/>
      <c r="G51" s="1888"/>
      <c r="H51" s="1819" t="e">
        <f>G51/F51*100</f>
        <v>#DIV/0!</v>
      </c>
      <c r="I51" s="1829"/>
    </row>
    <row r="52" spans="1:9" ht="30" hidden="1" x14ac:dyDescent="0.2">
      <c r="A52" s="1896">
        <v>3299</v>
      </c>
      <c r="B52" s="1923">
        <v>5336</v>
      </c>
      <c r="C52" s="1903">
        <v>32533006</v>
      </c>
      <c r="D52" s="1836" t="s">
        <v>1263</v>
      </c>
      <c r="E52" s="1845">
        <v>0</v>
      </c>
      <c r="F52" s="1845"/>
      <c r="G52" s="1885"/>
      <c r="H52" s="1821" t="e">
        <f>G52/F52*100</f>
        <v>#DIV/0!</v>
      </c>
      <c r="I52" s="1829"/>
    </row>
    <row r="53" spans="1:9" ht="30" hidden="1" x14ac:dyDescent="0.2">
      <c r="A53" s="1896">
        <v>3299</v>
      </c>
      <c r="B53" s="1903">
        <v>6351</v>
      </c>
      <c r="C53" s="1903">
        <v>32133006</v>
      </c>
      <c r="D53" s="1836" t="s">
        <v>1277</v>
      </c>
      <c r="E53" s="1845">
        <v>0</v>
      </c>
      <c r="F53" s="1845">
        <v>0</v>
      </c>
      <c r="G53" s="1885">
        <v>0</v>
      </c>
      <c r="H53" s="1821" t="e">
        <f>G53/F53*100</f>
        <v>#DIV/0!</v>
      </c>
      <c r="I53" s="1829"/>
    </row>
    <row r="54" spans="1:9" ht="30" hidden="1" x14ac:dyDescent="0.2">
      <c r="A54" s="1896">
        <v>3299</v>
      </c>
      <c r="B54" s="1903">
        <v>6351</v>
      </c>
      <c r="C54" s="1903">
        <v>32533006</v>
      </c>
      <c r="D54" s="1836" t="s">
        <v>1277</v>
      </c>
      <c r="E54" s="1845">
        <v>0</v>
      </c>
      <c r="F54" s="1845">
        <v>0</v>
      </c>
      <c r="G54" s="1885">
        <v>0</v>
      </c>
      <c r="H54" s="1821" t="e">
        <f>G54/F54*100</f>
        <v>#DIV/0!</v>
      </c>
      <c r="I54" s="1829"/>
    </row>
    <row r="55" spans="1:9" ht="16.5" hidden="1" thickTop="1" thickBot="1" x14ac:dyDescent="0.3">
      <c r="A55" s="1837" t="s">
        <v>763</v>
      </c>
      <c r="B55" s="1838"/>
      <c r="C55" s="1838"/>
      <c r="D55" s="1839"/>
      <c r="E55" s="1818">
        <f>SUM(E51:E54)</f>
        <v>0</v>
      </c>
      <c r="F55" s="1818">
        <f>SUM(F51:F54)</f>
        <v>0</v>
      </c>
      <c r="G55" s="1818">
        <f>SUM(G51:G54)</f>
        <v>0</v>
      </c>
      <c r="H55" s="1822" t="e">
        <f>G55/F55*100</f>
        <v>#DIV/0!</v>
      </c>
      <c r="I55" s="1829"/>
    </row>
    <row r="56" spans="1:9" hidden="1" x14ac:dyDescent="0.2">
      <c r="I56" s="1829"/>
    </row>
    <row r="57" spans="1:9" ht="15" hidden="1" x14ac:dyDescent="0.25">
      <c r="A57" s="1808" t="s">
        <v>1614</v>
      </c>
      <c r="D57" s="1802"/>
      <c r="E57" s="1803"/>
      <c r="H57" s="1829"/>
      <c r="I57" s="1829"/>
    </row>
    <row r="58" spans="1:9" ht="15" hidden="1" x14ac:dyDescent="0.25">
      <c r="A58" s="1808" t="s">
        <v>1262</v>
      </c>
      <c r="D58" s="1802"/>
      <c r="E58" s="1803"/>
      <c r="H58" s="1892" t="s">
        <v>161</v>
      </c>
      <c r="I58" s="1829"/>
    </row>
    <row r="59" spans="1:9" ht="25.5" hidden="1" thickTop="1" thickBot="1" x14ac:dyDescent="0.25">
      <c r="A59" s="1809" t="s">
        <v>162</v>
      </c>
      <c r="B59" s="1810" t="s">
        <v>761</v>
      </c>
      <c r="C59" s="1810" t="s">
        <v>377</v>
      </c>
      <c r="D59" s="1811" t="s">
        <v>164</v>
      </c>
      <c r="E59" s="1833" t="s">
        <v>632</v>
      </c>
      <c r="F59" s="1833" t="s">
        <v>633</v>
      </c>
      <c r="G59" s="1834" t="s">
        <v>882</v>
      </c>
      <c r="H59" s="1835" t="s">
        <v>883</v>
      </c>
      <c r="I59" s="1829"/>
    </row>
    <row r="60" spans="1:9" ht="14.25" hidden="1" thickTop="1" thickBot="1" x14ac:dyDescent="0.25">
      <c r="A60" s="1643">
        <v>1</v>
      </c>
      <c r="B60" s="1642">
        <v>2</v>
      </c>
      <c r="C60" s="1642">
        <v>3</v>
      </c>
      <c r="D60" s="1642">
        <v>5</v>
      </c>
      <c r="E60" s="1641">
        <v>6</v>
      </c>
      <c r="F60" s="1641">
        <v>7</v>
      </c>
      <c r="G60" s="1877">
        <v>8</v>
      </c>
      <c r="H60" s="1814" t="s">
        <v>762</v>
      </c>
      <c r="I60" s="1829"/>
    </row>
    <row r="61" spans="1:9" ht="30.75" hidden="1" thickTop="1" x14ac:dyDescent="0.2">
      <c r="A61" s="1896">
        <v>3299</v>
      </c>
      <c r="B61" s="1923">
        <v>5336</v>
      </c>
      <c r="C61" s="1903">
        <v>32133006</v>
      </c>
      <c r="D61" s="1836" t="s">
        <v>1263</v>
      </c>
      <c r="E61" s="1832">
        <v>0</v>
      </c>
      <c r="F61" s="1832"/>
      <c r="G61" s="1888"/>
      <c r="H61" s="1819" t="e">
        <f>G61/F61*100</f>
        <v>#DIV/0!</v>
      </c>
      <c r="I61" s="1829"/>
    </row>
    <row r="62" spans="1:9" ht="30" hidden="1" x14ac:dyDescent="0.2">
      <c r="A62" s="1896">
        <v>3299</v>
      </c>
      <c r="B62" s="1923">
        <v>5336</v>
      </c>
      <c r="C62" s="1903">
        <v>32533006</v>
      </c>
      <c r="D62" s="1836" t="s">
        <v>1263</v>
      </c>
      <c r="E62" s="1845">
        <v>0</v>
      </c>
      <c r="F62" s="1845"/>
      <c r="G62" s="1885"/>
      <c r="H62" s="1821" t="e">
        <f>G62/F62*100</f>
        <v>#DIV/0!</v>
      </c>
      <c r="I62" s="1829"/>
    </row>
    <row r="63" spans="1:9" ht="30" hidden="1" x14ac:dyDescent="0.2">
      <c r="A63" s="1896">
        <v>3299</v>
      </c>
      <c r="B63" s="1903">
        <v>6351</v>
      </c>
      <c r="C63" s="1903">
        <v>32133006</v>
      </c>
      <c r="D63" s="1836" t="s">
        <v>1277</v>
      </c>
      <c r="E63" s="1845">
        <v>0</v>
      </c>
      <c r="F63" s="1845">
        <v>0</v>
      </c>
      <c r="G63" s="1885">
        <v>0</v>
      </c>
      <c r="H63" s="1821" t="e">
        <f>G63/F63*100</f>
        <v>#DIV/0!</v>
      </c>
      <c r="I63" s="1829"/>
    </row>
    <row r="64" spans="1:9" ht="30" hidden="1" x14ac:dyDescent="0.2">
      <c r="A64" s="1896">
        <v>3299</v>
      </c>
      <c r="B64" s="1903">
        <v>6351</v>
      </c>
      <c r="C64" s="1903">
        <v>32533006</v>
      </c>
      <c r="D64" s="1836" t="s">
        <v>1277</v>
      </c>
      <c r="E64" s="1845">
        <v>0</v>
      </c>
      <c r="F64" s="1845">
        <v>0</v>
      </c>
      <c r="G64" s="1885">
        <v>0</v>
      </c>
      <c r="H64" s="1821" t="e">
        <f>G64/F64*100</f>
        <v>#DIV/0!</v>
      </c>
      <c r="I64" s="1829"/>
    </row>
    <row r="65" spans="1:9" ht="16.5" hidden="1" thickTop="1" thickBot="1" x14ac:dyDescent="0.3">
      <c r="A65" s="1837" t="s">
        <v>763</v>
      </c>
      <c r="B65" s="1838"/>
      <c r="C65" s="1838"/>
      <c r="D65" s="1839"/>
      <c r="E65" s="1818">
        <f>SUM(E61:E64)</f>
        <v>0</v>
      </c>
      <c r="F65" s="1818">
        <f>SUM(F61:F64)</f>
        <v>0</v>
      </c>
      <c r="G65" s="1818">
        <f>SUM(G61:G64)</f>
        <v>0</v>
      </c>
      <c r="H65" s="1822" t="e">
        <f>G65/F65*100</f>
        <v>#DIV/0!</v>
      </c>
      <c r="I65" s="1829"/>
    </row>
    <row r="66" spans="1:9" hidden="1" x14ac:dyDescent="0.2">
      <c r="I66" s="1829"/>
    </row>
    <row r="67" spans="1:9" ht="15" hidden="1" x14ac:dyDescent="0.25">
      <c r="A67" s="1808" t="s">
        <v>1629</v>
      </c>
      <c r="D67" s="1802"/>
      <c r="E67" s="1803"/>
      <c r="H67" s="1829"/>
      <c r="I67" s="1829"/>
    </row>
    <row r="68" spans="1:9" ht="15" hidden="1" x14ac:dyDescent="0.25">
      <c r="A68" s="1808" t="s">
        <v>1265</v>
      </c>
      <c r="D68" s="1802"/>
      <c r="E68" s="1803"/>
      <c r="H68" s="1892" t="s">
        <v>161</v>
      </c>
      <c r="I68" s="1829"/>
    </row>
    <row r="69" spans="1:9" ht="25.5" hidden="1" thickTop="1" thickBot="1" x14ac:dyDescent="0.25">
      <c r="A69" s="1809" t="s">
        <v>162</v>
      </c>
      <c r="B69" s="1810" t="s">
        <v>761</v>
      </c>
      <c r="C69" s="1810" t="s">
        <v>377</v>
      </c>
      <c r="D69" s="1811" t="s">
        <v>164</v>
      </c>
      <c r="E69" s="1833" t="s">
        <v>632</v>
      </c>
      <c r="F69" s="1833" t="s">
        <v>633</v>
      </c>
      <c r="G69" s="1834" t="s">
        <v>882</v>
      </c>
      <c r="H69" s="1835" t="s">
        <v>883</v>
      </c>
      <c r="I69" s="1829"/>
    </row>
    <row r="70" spans="1:9" ht="14.25" hidden="1" thickTop="1" thickBot="1" x14ac:dyDescent="0.25">
      <c r="A70" s="1643">
        <v>1</v>
      </c>
      <c r="B70" s="1642">
        <v>2</v>
      </c>
      <c r="C70" s="1642">
        <v>3</v>
      </c>
      <c r="D70" s="1642">
        <v>5</v>
      </c>
      <c r="E70" s="1641">
        <v>6</v>
      </c>
      <c r="F70" s="1641">
        <v>7</v>
      </c>
      <c r="G70" s="1877">
        <v>8</v>
      </c>
      <c r="H70" s="1814" t="s">
        <v>762</v>
      </c>
      <c r="I70" s="1829"/>
    </row>
    <row r="71" spans="1:9" ht="30.75" hidden="1" thickTop="1" x14ac:dyDescent="0.2">
      <c r="A71" s="1896">
        <v>3299</v>
      </c>
      <c r="B71" s="1923">
        <v>5336</v>
      </c>
      <c r="C71" s="1903">
        <v>32133006</v>
      </c>
      <c r="D71" s="1836" t="s">
        <v>1263</v>
      </c>
      <c r="E71" s="1832">
        <v>0</v>
      </c>
      <c r="F71" s="1832"/>
      <c r="G71" s="1888"/>
      <c r="H71" s="1819" t="e">
        <f>G71/F71*100</f>
        <v>#DIV/0!</v>
      </c>
      <c r="I71" s="1829"/>
    </row>
    <row r="72" spans="1:9" ht="30" hidden="1" x14ac:dyDescent="0.2">
      <c r="A72" s="1896">
        <v>3299</v>
      </c>
      <c r="B72" s="1923">
        <v>5336</v>
      </c>
      <c r="C72" s="1903">
        <v>32533006</v>
      </c>
      <c r="D72" s="1836" t="s">
        <v>1263</v>
      </c>
      <c r="E72" s="1845">
        <v>0</v>
      </c>
      <c r="F72" s="1845"/>
      <c r="G72" s="1885"/>
      <c r="H72" s="1821" t="e">
        <f>G72/F72*100</f>
        <v>#DIV/0!</v>
      </c>
      <c r="I72" s="1829"/>
    </row>
    <row r="73" spans="1:9" ht="30" hidden="1" x14ac:dyDescent="0.2">
      <c r="A73" s="1896">
        <v>3299</v>
      </c>
      <c r="B73" s="1903">
        <v>6351</v>
      </c>
      <c r="C73" s="1903">
        <v>32133006</v>
      </c>
      <c r="D73" s="1836" t="s">
        <v>1277</v>
      </c>
      <c r="E73" s="1845">
        <v>0</v>
      </c>
      <c r="F73" s="1845">
        <v>0</v>
      </c>
      <c r="G73" s="1885">
        <v>0</v>
      </c>
      <c r="H73" s="1821" t="e">
        <f>G73/F73*100</f>
        <v>#DIV/0!</v>
      </c>
      <c r="I73" s="1829"/>
    </row>
    <row r="74" spans="1:9" ht="30" hidden="1" x14ac:dyDescent="0.2">
      <c r="A74" s="1896">
        <v>3299</v>
      </c>
      <c r="B74" s="1903">
        <v>6351</v>
      </c>
      <c r="C74" s="1903">
        <v>32533006</v>
      </c>
      <c r="D74" s="1836" t="s">
        <v>1277</v>
      </c>
      <c r="E74" s="1845">
        <v>0</v>
      </c>
      <c r="F74" s="1845">
        <v>0</v>
      </c>
      <c r="G74" s="1885">
        <v>0</v>
      </c>
      <c r="H74" s="1821" t="e">
        <f>G74/F74*100</f>
        <v>#DIV/0!</v>
      </c>
      <c r="I74" s="1829"/>
    </row>
    <row r="75" spans="1:9" ht="16.5" hidden="1" thickTop="1" thickBot="1" x14ac:dyDescent="0.3">
      <c r="A75" s="1837" t="s">
        <v>763</v>
      </c>
      <c r="B75" s="1838"/>
      <c r="C75" s="1838"/>
      <c r="D75" s="1839"/>
      <c r="E75" s="1818">
        <f>SUM(E71:E74)</f>
        <v>0</v>
      </c>
      <c r="F75" s="1818">
        <f>SUM(F71:F74)</f>
        <v>0</v>
      </c>
      <c r="G75" s="1818">
        <f>SUM(G71:G74)</f>
        <v>0</v>
      </c>
      <c r="H75" s="1822" t="e">
        <f>G75/F75*100</f>
        <v>#DIV/0!</v>
      </c>
      <c r="I75" s="1829"/>
    </row>
    <row r="76" spans="1:9" hidden="1" x14ac:dyDescent="0.2">
      <c r="I76" s="1829"/>
    </row>
    <row r="77" spans="1:9" ht="15" hidden="1" x14ac:dyDescent="0.25">
      <c r="A77" s="1808" t="s">
        <v>1552</v>
      </c>
      <c r="D77" s="1802"/>
      <c r="E77" s="1803"/>
      <c r="H77" s="1829"/>
      <c r="I77" s="1829"/>
    </row>
    <row r="78" spans="1:9" ht="15" hidden="1" x14ac:dyDescent="0.25">
      <c r="A78" s="1808" t="s">
        <v>1266</v>
      </c>
      <c r="D78" s="1802"/>
      <c r="E78" s="1803"/>
      <c r="H78" s="1892" t="s">
        <v>161</v>
      </c>
      <c r="I78" s="1829"/>
    </row>
    <row r="79" spans="1:9" ht="25.5" hidden="1" thickTop="1" thickBot="1" x14ac:dyDescent="0.25">
      <c r="A79" s="1809" t="s">
        <v>162</v>
      </c>
      <c r="B79" s="1810" t="s">
        <v>761</v>
      </c>
      <c r="C79" s="1810" t="s">
        <v>377</v>
      </c>
      <c r="D79" s="1811" t="s">
        <v>164</v>
      </c>
      <c r="E79" s="1833" t="s">
        <v>632</v>
      </c>
      <c r="F79" s="1833" t="s">
        <v>633</v>
      </c>
      <c r="G79" s="1834" t="s">
        <v>882</v>
      </c>
      <c r="H79" s="1835" t="s">
        <v>883</v>
      </c>
      <c r="I79" s="1829"/>
    </row>
    <row r="80" spans="1:9" ht="14.25" hidden="1" thickTop="1" thickBot="1" x14ac:dyDescent="0.25">
      <c r="A80" s="1643">
        <v>1</v>
      </c>
      <c r="B80" s="1642">
        <v>2</v>
      </c>
      <c r="C80" s="1642">
        <v>3</v>
      </c>
      <c r="D80" s="1642">
        <v>5</v>
      </c>
      <c r="E80" s="1641">
        <v>6</v>
      </c>
      <c r="F80" s="1641">
        <v>7</v>
      </c>
      <c r="G80" s="1877">
        <v>8</v>
      </c>
      <c r="H80" s="1814" t="s">
        <v>762</v>
      </c>
      <c r="I80" s="1829"/>
    </row>
    <row r="81" spans="1:9" ht="30.75" hidden="1" thickTop="1" x14ac:dyDescent="0.2">
      <c r="A81" s="1896">
        <v>3299</v>
      </c>
      <c r="B81" s="1923">
        <v>5336</v>
      </c>
      <c r="C81" s="1903">
        <v>32133006</v>
      </c>
      <c r="D81" s="1836" t="s">
        <v>1263</v>
      </c>
      <c r="E81" s="1832">
        <v>0</v>
      </c>
      <c r="F81" s="1832"/>
      <c r="G81" s="1888"/>
      <c r="H81" s="1819" t="e">
        <f>G81/F81*100</f>
        <v>#DIV/0!</v>
      </c>
      <c r="I81" s="1829"/>
    </row>
    <row r="82" spans="1:9" ht="30" hidden="1" x14ac:dyDescent="0.2">
      <c r="A82" s="1896">
        <v>3299</v>
      </c>
      <c r="B82" s="1923">
        <v>5336</v>
      </c>
      <c r="C82" s="1903">
        <v>32533006</v>
      </c>
      <c r="D82" s="1836" t="s">
        <v>1263</v>
      </c>
      <c r="E82" s="1845">
        <v>0</v>
      </c>
      <c r="F82" s="1845"/>
      <c r="G82" s="1885"/>
      <c r="H82" s="1821" t="e">
        <f>G82/F82*100</f>
        <v>#DIV/0!</v>
      </c>
      <c r="I82" s="1829"/>
    </row>
    <row r="83" spans="1:9" ht="30" hidden="1" x14ac:dyDescent="0.2">
      <c r="A83" s="1896">
        <v>3299</v>
      </c>
      <c r="B83" s="1903">
        <v>6351</v>
      </c>
      <c r="C83" s="1903">
        <v>32133006</v>
      </c>
      <c r="D83" s="1836" t="s">
        <v>1277</v>
      </c>
      <c r="E83" s="1845">
        <v>0</v>
      </c>
      <c r="F83" s="1845">
        <v>0</v>
      </c>
      <c r="G83" s="1885">
        <v>0</v>
      </c>
      <c r="H83" s="1821" t="e">
        <f>G83/F83*100</f>
        <v>#DIV/0!</v>
      </c>
      <c r="I83" s="1829"/>
    </row>
    <row r="84" spans="1:9" ht="30" hidden="1" x14ac:dyDescent="0.2">
      <c r="A84" s="1896">
        <v>3299</v>
      </c>
      <c r="B84" s="1903">
        <v>6351</v>
      </c>
      <c r="C84" s="1903">
        <v>32533006</v>
      </c>
      <c r="D84" s="1836" t="s">
        <v>1277</v>
      </c>
      <c r="E84" s="1845">
        <v>0</v>
      </c>
      <c r="F84" s="1845">
        <v>0</v>
      </c>
      <c r="G84" s="1885">
        <v>0</v>
      </c>
      <c r="H84" s="1821" t="e">
        <f>G84/F84*100</f>
        <v>#DIV/0!</v>
      </c>
      <c r="I84" s="1829"/>
    </row>
    <row r="85" spans="1:9" ht="16.5" hidden="1" thickTop="1" thickBot="1" x14ac:dyDescent="0.3">
      <c r="A85" s="1837" t="s">
        <v>763</v>
      </c>
      <c r="B85" s="1838"/>
      <c r="C85" s="1838"/>
      <c r="D85" s="1839"/>
      <c r="E85" s="1818">
        <f>SUM(E81:E84)</f>
        <v>0</v>
      </c>
      <c r="F85" s="1818">
        <f>SUM(F81:F84)</f>
        <v>0</v>
      </c>
      <c r="G85" s="1818">
        <f>SUM(G81:G84)</f>
        <v>0</v>
      </c>
      <c r="H85" s="1822" t="e">
        <f>G85/F85*100</f>
        <v>#DIV/0!</v>
      </c>
      <c r="I85" s="1829"/>
    </row>
    <row r="86" spans="1:9" hidden="1" x14ac:dyDescent="0.2">
      <c r="I86" s="1829"/>
    </row>
    <row r="87" spans="1:9" hidden="1" x14ac:dyDescent="0.2">
      <c r="I87" s="1829"/>
    </row>
    <row r="88" spans="1:9" ht="15" hidden="1" x14ac:dyDescent="0.25">
      <c r="A88" s="1808" t="s">
        <v>1269</v>
      </c>
      <c r="D88" s="1802"/>
      <c r="E88" s="1803"/>
      <c r="H88" s="1829"/>
      <c r="I88" s="1829"/>
    </row>
    <row r="89" spans="1:9" ht="15" hidden="1" x14ac:dyDescent="0.25">
      <c r="A89" s="1808" t="s">
        <v>1270</v>
      </c>
      <c r="D89" s="1802"/>
      <c r="E89" s="1803"/>
      <c r="H89" s="1829" t="s">
        <v>161</v>
      </c>
      <c r="I89" s="1829"/>
    </row>
    <row r="90" spans="1:9" ht="25.5" hidden="1" thickTop="1" thickBot="1" x14ac:dyDescent="0.25">
      <c r="A90" s="1809" t="s">
        <v>162</v>
      </c>
      <c r="B90" s="1810" t="s">
        <v>761</v>
      </c>
      <c r="C90" s="1810" t="s">
        <v>377</v>
      </c>
      <c r="D90" s="1811" t="s">
        <v>164</v>
      </c>
      <c r="E90" s="1833" t="s">
        <v>632</v>
      </c>
      <c r="F90" s="1833" t="s">
        <v>633</v>
      </c>
      <c r="G90" s="1834" t="s">
        <v>882</v>
      </c>
      <c r="H90" s="1835" t="s">
        <v>883</v>
      </c>
      <c r="I90" s="1829"/>
    </row>
    <row r="91" spans="1:9" ht="14.25" hidden="1" thickTop="1" thickBot="1" x14ac:dyDescent="0.25">
      <c r="A91" s="1643">
        <v>1</v>
      </c>
      <c r="B91" s="1642">
        <v>2</v>
      </c>
      <c r="C91" s="1642">
        <v>3</v>
      </c>
      <c r="D91" s="1642">
        <v>5</v>
      </c>
      <c r="E91" s="1641">
        <v>6</v>
      </c>
      <c r="F91" s="1641">
        <v>7</v>
      </c>
      <c r="G91" s="1877">
        <v>8</v>
      </c>
      <c r="H91" s="1814" t="s">
        <v>762</v>
      </c>
      <c r="I91" s="1829"/>
    </row>
    <row r="92" spans="1:9" ht="30.75" hidden="1" thickTop="1" x14ac:dyDescent="0.2">
      <c r="A92" s="1896">
        <v>3299</v>
      </c>
      <c r="B92" s="1923">
        <v>5336</v>
      </c>
      <c r="C92" s="1903">
        <v>32133006</v>
      </c>
      <c r="D92" s="1919" t="s">
        <v>1375</v>
      </c>
      <c r="E92" s="1832">
        <v>0</v>
      </c>
      <c r="F92" s="1832">
        <v>0</v>
      </c>
      <c r="G92" s="1888">
        <v>0</v>
      </c>
      <c r="H92" s="1819" t="e">
        <f>G92/F92*100</f>
        <v>#DIV/0!</v>
      </c>
      <c r="I92" s="1829"/>
    </row>
    <row r="93" spans="1:9" ht="30" hidden="1" x14ac:dyDescent="0.2">
      <c r="A93" s="1896">
        <v>3299</v>
      </c>
      <c r="B93" s="1923">
        <v>5336</v>
      </c>
      <c r="C93" s="1903">
        <v>32533006</v>
      </c>
      <c r="D93" s="1919" t="s">
        <v>1375</v>
      </c>
      <c r="E93" s="1845">
        <v>0</v>
      </c>
      <c r="F93" s="1845">
        <v>0</v>
      </c>
      <c r="G93" s="1885">
        <v>0</v>
      </c>
      <c r="H93" s="1821" t="e">
        <f>G93/F93*100</f>
        <v>#DIV/0!</v>
      </c>
      <c r="I93" s="1829"/>
    </row>
    <row r="94" spans="1:9" ht="30" hidden="1" x14ac:dyDescent="0.2">
      <c r="A94" s="1896">
        <v>3299</v>
      </c>
      <c r="B94" s="1903">
        <v>6351</v>
      </c>
      <c r="C94" s="1903">
        <v>32133006</v>
      </c>
      <c r="D94" s="1836" t="s">
        <v>1277</v>
      </c>
      <c r="E94" s="1845">
        <v>0</v>
      </c>
      <c r="F94" s="1845">
        <v>0</v>
      </c>
      <c r="G94" s="1885">
        <v>0</v>
      </c>
      <c r="H94" s="1821" t="e">
        <f>G94/F94*100</f>
        <v>#DIV/0!</v>
      </c>
      <c r="I94" s="1829"/>
    </row>
    <row r="95" spans="1:9" ht="30" hidden="1" x14ac:dyDescent="0.2">
      <c r="A95" s="1896">
        <v>3299</v>
      </c>
      <c r="B95" s="1903">
        <v>6351</v>
      </c>
      <c r="C95" s="1903">
        <v>32533006</v>
      </c>
      <c r="D95" s="1836" t="s">
        <v>1277</v>
      </c>
      <c r="E95" s="1845">
        <v>0</v>
      </c>
      <c r="F95" s="1845">
        <v>0</v>
      </c>
      <c r="G95" s="1885">
        <v>0</v>
      </c>
      <c r="H95" s="1821" t="e">
        <f>G95/F95*100</f>
        <v>#DIV/0!</v>
      </c>
      <c r="I95" s="1829"/>
    </row>
    <row r="96" spans="1:9" ht="16.5" hidden="1" thickTop="1" thickBot="1" x14ac:dyDescent="0.3">
      <c r="A96" s="1837" t="s">
        <v>763</v>
      </c>
      <c r="B96" s="1838"/>
      <c r="C96" s="1838"/>
      <c r="D96" s="1839"/>
      <c r="E96" s="1818">
        <f>SUM(E92:E95)</f>
        <v>0</v>
      </c>
      <c r="F96" s="1818">
        <f>SUM(F92:F95)</f>
        <v>0</v>
      </c>
      <c r="G96" s="1818">
        <f>SUM(G92:G95)</f>
        <v>0</v>
      </c>
      <c r="H96" s="1822" t="e">
        <f>G96/F96*100</f>
        <v>#DIV/0!</v>
      </c>
      <c r="I96" s="1829"/>
    </row>
    <row r="97" spans="1:9" hidden="1" x14ac:dyDescent="0.2">
      <c r="I97" s="1829"/>
    </row>
    <row r="98" spans="1:9" ht="15" hidden="1" x14ac:dyDescent="0.25">
      <c r="A98" s="1808" t="s">
        <v>1009</v>
      </c>
      <c r="D98" s="1802"/>
      <c r="E98" s="1803"/>
      <c r="H98" s="1829"/>
      <c r="I98" s="1829"/>
    </row>
    <row r="99" spans="1:9" ht="15" hidden="1" x14ac:dyDescent="0.25">
      <c r="A99" s="1808" t="s">
        <v>1272</v>
      </c>
      <c r="D99" s="1802"/>
      <c r="E99" s="1803"/>
      <c r="H99" s="1892" t="s">
        <v>161</v>
      </c>
      <c r="I99" s="1829"/>
    </row>
    <row r="100" spans="1:9" ht="25.5" hidden="1" thickTop="1" thickBot="1" x14ac:dyDescent="0.25">
      <c r="A100" s="1809" t="s">
        <v>162</v>
      </c>
      <c r="B100" s="1810" t="s">
        <v>761</v>
      </c>
      <c r="C100" s="1810" t="s">
        <v>377</v>
      </c>
      <c r="D100" s="1811" t="s">
        <v>164</v>
      </c>
      <c r="E100" s="1833" t="s">
        <v>632</v>
      </c>
      <c r="F100" s="1833" t="s">
        <v>633</v>
      </c>
      <c r="G100" s="1834" t="s">
        <v>882</v>
      </c>
      <c r="H100" s="1835" t="s">
        <v>883</v>
      </c>
      <c r="I100" s="1829"/>
    </row>
    <row r="101" spans="1:9" ht="14.25" hidden="1" thickTop="1" thickBot="1" x14ac:dyDescent="0.25">
      <c r="A101" s="1643">
        <v>1</v>
      </c>
      <c r="B101" s="1642">
        <v>2</v>
      </c>
      <c r="C101" s="1642">
        <v>3</v>
      </c>
      <c r="D101" s="1642">
        <v>5</v>
      </c>
      <c r="E101" s="1641">
        <v>6</v>
      </c>
      <c r="F101" s="1641">
        <v>7</v>
      </c>
      <c r="G101" s="1877">
        <v>8</v>
      </c>
      <c r="H101" s="1814" t="s">
        <v>762</v>
      </c>
      <c r="I101" s="1829"/>
    </row>
    <row r="102" spans="1:9" ht="30.75" hidden="1" thickTop="1" x14ac:dyDescent="0.2">
      <c r="A102" s="1896">
        <v>3299</v>
      </c>
      <c r="B102" s="1923">
        <v>5336</v>
      </c>
      <c r="C102" s="1903">
        <v>32133006</v>
      </c>
      <c r="D102" s="1836" t="s">
        <v>1263</v>
      </c>
      <c r="E102" s="1832">
        <v>0</v>
      </c>
      <c r="F102" s="1832"/>
      <c r="G102" s="1888"/>
      <c r="H102" s="1819" t="e">
        <f>G102/F102*100</f>
        <v>#DIV/0!</v>
      </c>
      <c r="I102" s="1829"/>
    </row>
    <row r="103" spans="1:9" ht="30" hidden="1" x14ac:dyDescent="0.2">
      <c r="A103" s="1896">
        <v>3299</v>
      </c>
      <c r="B103" s="1923">
        <v>5336</v>
      </c>
      <c r="C103" s="1903">
        <v>32533006</v>
      </c>
      <c r="D103" s="1836" t="s">
        <v>1263</v>
      </c>
      <c r="E103" s="1845">
        <v>0</v>
      </c>
      <c r="F103" s="1845"/>
      <c r="G103" s="1885"/>
      <c r="H103" s="1821" t="e">
        <f>G103/F103*100</f>
        <v>#DIV/0!</v>
      </c>
      <c r="I103" s="1829"/>
    </row>
    <row r="104" spans="1:9" ht="30" hidden="1" x14ac:dyDescent="0.2">
      <c r="A104" s="1896">
        <v>3299</v>
      </c>
      <c r="B104" s="1903">
        <v>6351</v>
      </c>
      <c r="C104" s="1903">
        <v>32133006</v>
      </c>
      <c r="D104" s="1836" t="s">
        <v>1277</v>
      </c>
      <c r="E104" s="1845">
        <v>0</v>
      </c>
      <c r="F104" s="1845">
        <v>0</v>
      </c>
      <c r="G104" s="1885">
        <v>0</v>
      </c>
      <c r="H104" s="1821" t="e">
        <f>G104/F104*100</f>
        <v>#DIV/0!</v>
      </c>
      <c r="I104" s="1829"/>
    </row>
    <row r="105" spans="1:9" ht="30" hidden="1" x14ac:dyDescent="0.2">
      <c r="A105" s="1896">
        <v>3299</v>
      </c>
      <c r="B105" s="1903">
        <v>6351</v>
      </c>
      <c r="C105" s="1903">
        <v>32533006</v>
      </c>
      <c r="D105" s="1836" t="s">
        <v>1277</v>
      </c>
      <c r="E105" s="1845">
        <v>0</v>
      </c>
      <c r="F105" s="1845">
        <v>0</v>
      </c>
      <c r="G105" s="1885">
        <v>0</v>
      </c>
      <c r="H105" s="1821" t="e">
        <f>G105/F105*100</f>
        <v>#DIV/0!</v>
      </c>
      <c r="I105" s="1829"/>
    </row>
    <row r="106" spans="1:9" ht="16.5" hidden="1" thickTop="1" thickBot="1" x14ac:dyDescent="0.3">
      <c r="A106" s="1837" t="s">
        <v>763</v>
      </c>
      <c r="B106" s="1838"/>
      <c r="C106" s="1838"/>
      <c r="D106" s="1839"/>
      <c r="E106" s="1818">
        <f>SUM(E102:E105)</f>
        <v>0</v>
      </c>
      <c r="F106" s="1818">
        <f>SUM(F102:F105)</f>
        <v>0</v>
      </c>
      <c r="G106" s="1818">
        <f>SUM(G102:G105)</f>
        <v>0</v>
      </c>
      <c r="H106" s="1822" t="e">
        <f>G106/F106*100</f>
        <v>#DIV/0!</v>
      </c>
      <c r="I106" s="1829"/>
    </row>
    <row r="107" spans="1:9" hidden="1" x14ac:dyDescent="0.2">
      <c r="I107" s="1829"/>
    </row>
    <row r="108" spans="1:9" ht="15" hidden="1" x14ac:dyDescent="0.25">
      <c r="A108" s="1924" t="s">
        <v>1384</v>
      </c>
      <c r="B108" s="1924"/>
      <c r="C108" s="1924"/>
      <c r="D108" s="1924"/>
      <c r="E108" s="1927"/>
      <c r="F108" s="1925"/>
      <c r="G108" s="1925"/>
      <c r="H108" s="1925"/>
      <c r="I108" s="1925"/>
    </row>
    <row r="109" spans="1:9" ht="15" hidden="1" x14ac:dyDescent="0.25">
      <c r="A109" s="1924" t="s">
        <v>1383</v>
      </c>
      <c r="B109" s="1924"/>
      <c r="C109" s="1926"/>
      <c r="D109" s="1926"/>
      <c r="E109" s="1927"/>
      <c r="F109" s="1925"/>
      <c r="G109" s="1925"/>
      <c r="H109" s="1928" t="s">
        <v>161</v>
      </c>
      <c r="I109" s="1925"/>
    </row>
    <row r="110" spans="1:9" ht="25.5" hidden="1" thickTop="1" thickBot="1" x14ac:dyDescent="0.25">
      <c r="A110" s="1929" t="s">
        <v>162</v>
      </c>
      <c r="B110" s="1930" t="s">
        <v>761</v>
      </c>
      <c r="C110" s="1930" t="s">
        <v>377</v>
      </c>
      <c r="D110" s="1931" t="s">
        <v>164</v>
      </c>
      <c r="E110" s="1932" t="s">
        <v>632</v>
      </c>
      <c r="F110" s="1932" t="s">
        <v>633</v>
      </c>
      <c r="G110" s="1933" t="s">
        <v>882</v>
      </c>
      <c r="H110" s="1934" t="s">
        <v>883</v>
      </c>
      <c r="I110" s="1925"/>
    </row>
    <row r="111" spans="1:9" ht="13.5" hidden="1" thickBot="1" x14ac:dyDescent="0.25">
      <c r="A111" s="1935">
        <v>1</v>
      </c>
      <c r="B111" s="1936">
        <v>2</v>
      </c>
      <c r="C111" s="1936">
        <v>3</v>
      </c>
      <c r="D111" s="1936">
        <v>5</v>
      </c>
      <c r="E111" s="1937">
        <v>6</v>
      </c>
      <c r="F111" s="1937">
        <v>7</v>
      </c>
      <c r="G111" s="1938">
        <v>8</v>
      </c>
      <c r="H111" s="1939" t="s">
        <v>762</v>
      </c>
      <c r="I111" s="1925"/>
    </row>
    <row r="112" spans="1:9" ht="30" hidden="1" x14ac:dyDescent="0.2">
      <c r="A112" s="1940">
        <v>3299</v>
      </c>
      <c r="B112" s="1941">
        <v>5336</v>
      </c>
      <c r="C112" s="1941">
        <v>32133006</v>
      </c>
      <c r="D112" s="1836" t="s">
        <v>1263</v>
      </c>
      <c r="E112" s="1942">
        <v>0</v>
      </c>
      <c r="F112" s="1942"/>
      <c r="G112" s="1943"/>
      <c r="H112" s="1944">
        <v>100</v>
      </c>
      <c r="I112" s="1925"/>
    </row>
    <row r="113" spans="1:9" ht="30" hidden="1" x14ac:dyDescent="0.2">
      <c r="A113" s="1940">
        <v>3299</v>
      </c>
      <c r="B113" s="1923">
        <v>5336</v>
      </c>
      <c r="C113" s="1941">
        <v>32533006</v>
      </c>
      <c r="D113" s="1836" t="s">
        <v>1263</v>
      </c>
      <c r="E113" s="1942">
        <v>0</v>
      </c>
      <c r="F113" s="1942"/>
      <c r="G113" s="1943"/>
      <c r="H113" s="1944">
        <v>99.8</v>
      </c>
      <c r="I113" s="1925"/>
    </row>
    <row r="114" spans="1:9" ht="30" hidden="1" x14ac:dyDescent="0.2">
      <c r="A114" s="1940">
        <v>3299</v>
      </c>
      <c r="B114" s="1923">
        <v>6351</v>
      </c>
      <c r="C114" s="1956">
        <v>32133006</v>
      </c>
      <c r="D114" s="1919" t="s">
        <v>1277</v>
      </c>
      <c r="E114" s="1942">
        <v>0</v>
      </c>
      <c r="F114" s="1942"/>
      <c r="G114" s="1957"/>
      <c r="H114" s="1944">
        <v>99.8</v>
      </c>
      <c r="I114" s="1925"/>
    </row>
    <row r="115" spans="1:9" ht="30.75" hidden="1" thickBot="1" x14ac:dyDescent="0.25">
      <c r="A115" s="1958">
        <v>3299</v>
      </c>
      <c r="B115" s="1959">
        <v>6351</v>
      </c>
      <c r="C115" s="1956">
        <v>32533006</v>
      </c>
      <c r="D115" s="1919" t="s">
        <v>1277</v>
      </c>
      <c r="E115" s="1942">
        <v>0</v>
      </c>
      <c r="F115" s="1942"/>
      <c r="G115" s="1960"/>
      <c r="H115" s="1944">
        <v>99.8</v>
      </c>
      <c r="I115" s="1925"/>
    </row>
    <row r="116" spans="1:9" ht="16.5" hidden="1" thickTop="1" thickBot="1" x14ac:dyDescent="0.3">
      <c r="A116" s="1945" t="s">
        <v>763</v>
      </c>
      <c r="B116" s="1946"/>
      <c r="C116" s="1946"/>
      <c r="D116" s="1947"/>
      <c r="E116" s="1948">
        <v>0</v>
      </c>
      <c r="F116" s="1948">
        <f>SUM(F112:F115)</f>
        <v>0</v>
      </c>
      <c r="G116" s="1948">
        <f>SUM(G112:G115)</f>
        <v>0</v>
      </c>
      <c r="H116" s="1949">
        <v>99.9</v>
      </c>
      <c r="I116" s="1925"/>
    </row>
    <row r="117" spans="1:9" hidden="1" x14ac:dyDescent="0.2">
      <c r="I117" s="1829"/>
    </row>
    <row r="118" spans="1:9" ht="15" hidden="1" x14ac:dyDescent="0.25">
      <c r="A118" s="1808" t="s">
        <v>1615</v>
      </c>
      <c r="D118" s="1802"/>
      <c r="E118" s="1803"/>
      <c r="H118" s="1829"/>
      <c r="I118" s="1829"/>
    </row>
    <row r="119" spans="1:9" ht="15" hidden="1" x14ac:dyDescent="0.25">
      <c r="A119" s="1808" t="s">
        <v>189</v>
      </c>
      <c r="D119" s="1802"/>
      <c r="E119" s="1803"/>
      <c r="H119" s="1892" t="s">
        <v>161</v>
      </c>
      <c r="I119" s="1829"/>
    </row>
    <row r="120" spans="1:9" ht="25.5" hidden="1" thickTop="1" thickBot="1" x14ac:dyDescent="0.25">
      <c r="A120" s="1809" t="s">
        <v>162</v>
      </c>
      <c r="B120" s="1810" t="s">
        <v>761</v>
      </c>
      <c r="C120" s="1810" t="s">
        <v>377</v>
      </c>
      <c r="D120" s="1811" t="s">
        <v>164</v>
      </c>
      <c r="E120" s="1833" t="s">
        <v>632</v>
      </c>
      <c r="F120" s="1833" t="s">
        <v>633</v>
      </c>
      <c r="G120" s="1834" t="s">
        <v>882</v>
      </c>
      <c r="H120" s="1835" t="s">
        <v>883</v>
      </c>
      <c r="I120" s="1829"/>
    </row>
    <row r="121" spans="1:9" ht="14.25" hidden="1" thickTop="1" thickBot="1" x14ac:dyDescent="0.25">
      <c r="A121" s="1643">
        <v>1</v>
      </c>
      <c r="B121" s="1642">
        <v>2</v>
      </c>
      <c r="C121" s="1642">
        <v>3</v>
      </c>
      <c r="D121" s="1642">
        <v>5</v>
      </c>
      <c r="E121" s="1641">
        <v>6</v>
      </c>
      <c r="F121" s="1641">
        <v>7</v>
      </c>
      <c r="G121" s="1877">
        <v>8</v>
      </c>
      <c r="H121" s="1814" t="s">
        <v>762</v>
      </c>
      <c r="I121" s="1829"/>
    </row>
    <row r="122" spans="1:9" ht="30.75" hidden="1" thickTop="1" x14ac:dyDescent="0.2">
      <c r="A122" s="1896">
        <v>3299</v>
      </c>
      <c r="B122" s="1923">
        <v>5336</v>
      </c>
      <c r="C122" s="1903">
        <v>32133006</v>
      </c>
      <c r="D122" s="1836" t="s">
        <v>1263</v>
      </c>
      <c r="E122" s="1832">
        <v>0</v>
      </c>
      <c r="F122" s="1832"/>
      <c r="G122" s="1888"/>
      <c r="H122" s="1819" t="e">
        <f>G122/F122*100</f>
        <v>#DIV/0!</v>
      </c>
      <c r="I122" s="1829"/>
    </row>
    <row r="123" spans="1:9" ht="30" hidden="1" x14ac:dyDescent="0.2">
      <c r="A123" s="1896">
        <v>3299</v>
      </c>
      <c r="B123" s="1923">
        <v>5336</v>
      </c>
      <c r="C123" s="1903">
        <v>32533006</v>
      </c>
      <c r="D123" s="1836" t="s">
        <v>1263</v>
      </c>
      <c r="E123" s="1845">
        <v>0</v>
      </c>
      <c r="F123" s="1845"/>
      <c r="G123" s="1885"/>
      <c r="H123" s="1821" t="e">
        <f>G123/F123*100</f>
        <v>#DIV/0!</v>
      </c>
      <c r="I123" s="1829"/>
    </row>
    <row r="124" spans="1:9" ht="30" hidden="1" x14ac:dyDescent="0.2">
      <c r="A124" s="1896">
        <v>3299</v>
      </c>
      <c r="B124" s="1903">
        <v>6351</v>
      </c>
      <c r="C124" s="1903">
        <v>32133006</v>
      </c>
      <c r="D124" s="1836" t="s">
        <v>1277</v>
      </c>
      <c r="E124" s="1845">
        <v>0</v>
      </c>
      <c r="F124" s="1845">
        <v>0</v>
      </c>
      <c r="G124" s="1885">
        <v>0</v>
      </c>
      <c r="H124" s="1821" t="e">
        <f>G124/F124*100</f>
        <v>#DIV/0!</v>
      </c>
      <c r="I124" s="1829"/>
    </row>
    <row r="125" spans="1:9" ht="30" hidden="1" x14ac:dyDescent="0.2">
      <c r="A125" s="1896">
        <v>3299</v>
      </c>
      <c r="B125" s="1903">
        <v>6351</v>
      </c>
      <c r="C125" s="1903">
        <v>32533006</v>
      </c>
      <c r="D125" s="1836" t="s">
        <v>1277</v>
      </c>
      <c r="E125" s="1845">
        <v>0</v>
      </c>
      <c r="F125" s="1845">
        <v>0</v>
      </c>
      <c r="G125" s="1885">
        <v>0</v>
      </c>
      <c r="H125" s="1821" t="e">
        <f>G125/F125*100</f>
        <v>#DIV/0!</v>
      </c>
      <c r="I125" s="1829"/>
    </row>
    <row r="126" spans="1:9" ht="16.5" hidden="1" thickTop="1" thickBot="1" x14ac:dyDescent="0.3">
      <c r="A126" s="1837" t="s">
        <v>763</v>
      </c>
      <c r="B126" s="1838"/>
      <c r="C126" s="1838"/>
      <c r="D126" s="1839"/>
      <c r="E126" s="1818">
        <f>SUM(E122:E125)</f>
        <v>0</v>
      </c>
      <c r="F126" s="1818">
        <f>SUM(F122:F125)</f>
        <v>0</v>
      </c>
      <c r="G126" s="1818">
        <f>SUM(G122:G125)</f>
        <v>0</v>
      </c>
      <c r="H126" s="1822" t="e">
        <f>G126/F126*100</f>
        <v>#DIV/0!</v>
      </c>
      <c r="I126" s="1829"/>
    </row>
    <row r="127" spans="1:9" hidden="1" x14ac:dyDescent="0.2">
      <c r="I127" s="1829"/>
    </row>
    <row r="128" spans="1:9" ht="15" hidden="1" x14ac:dyDescent="0.25">
      <c r="A128" s="1808" t="s">
        <v>190</v>
      </c>
      <c r="D128" s="1802"/>
      <c r="E128" s="1803"/>
      <c r="H128" s="1829"/>
      <c r="I128" s="1829"/>
    </row>
    <row r="129" spans="1:9" ht="15" hidden="1" x14ac:dyDescent="0.25">
      <c r="A129" s="1808" t="s">
        <v>191</v>
      </c>
      <c r="D129" s="1802"/>
      <c r="E129" s="1803"/>
      <c r="H129" s="1829" t="s">
        <v>161</v>
      </c>
      <c r="I129" s="1829"/>
    </row>
    <row r="130" spans="1:9" ht="25.5" hidden="1" thickTop="1" thickBot="1" x14ac:dyDescent="0.25">
      <c r="A130" s="1809" t="s">
        <v>162</v>
      </c>
      <c r="B130" s="1810" t="s">
        <v>761</v>
      </c>
      <c r="C130" s="1810" t="s">
        <v>377</v>
      </c>
      <c r="D130" s="1811" t="s">
        <v>164</v>
      </c>
      <c r="E130" s="1833" t="s">
        <v>632</v>
      </c>
      <c r="F130" s="1833" t="s">
        <v>633</v>
      </c>
      <c r="G130" s="1834" t="s">
        <v>882</v>
      </c>
      <c r="H130" s="1835" t="s">
        <v>883</v>
      </c>
      <c r="I130" s="1829"/>
    </row>
    <row r="131" spans="1:9" ht="14.25" hidden="1" thickTop="1" thickBot="1" x14ac:dyDescent="0.25">
      <c r="A131" s="1643">
        <v>1</v>
      </c>
      <c r="B131" s="1642">
        <v>2</v>
      </c>
      <c r="C131" s="1642">
        <v>3</v>
      </c>
      <c r="D131" s="1642">
        <v>5</v>
      </c>
      <c r="E131" s="1641">
        <v>6</v>
      </c>
      <c r="F131" s="1641">
        <v>7</v>
      </c>
      <c r="G131" s="1877">
        <v>8</v>
      </c>
      <c r="H131" s="1814" t="s">
        <v>762</v>
      </c>
      <c r="I131" s="1829"/>
    </row>
    <row r="132" spans="1:9" ht="30.75" hidden="1" thickTop="1" x14ac:dyDescent="0.2">
      <c r="A132" s="1896">
        <v>3299</v>
      </c>
      <c r="B132" s="1923">
        <v>5336</v>
      </c>
      <c r="C132" s="1903">
        <v>32133006</v>
      </c>
      <c r="D132" s="1919" t="s">
        <v>1375</v>
      </c>
      <c r="E132" s="1832">
        <v>0</v>
      </c>
      <c r="F132" s="1832">
        <v>0</v>
      </c>
      <c r="G132" s="1888">
        <v>0</v>
      </c>
      <c r="H132" s="1819" t="e">
        <f>G132/F132*100</f>
        <v>#DIV/0!</v>
      </c>
      <c r="I132" s="1829"/>
    </row>
    <row r="133" spans="1:9" ht="30" hidden="1" x14ac:dyDescent="0.2">
      <c r="A133" s="1896">
        <v>3299</v>
      </c>
      <c r="B133" s="1923">
        <v>5336</v>
      </c>
      <c r="C133" s="1903">
        <v>32533006</v>
      </c>
      <c r="D133" s="1919" t="s">
        <v>1375</v>
      </c>
      <c r="E133" s="1845">
        <v>0</v>
      </c>
      <c r="F133" s="1845">
        <v>0</v>
      </c>
      <c r="G133" s="1885">
        <v>0</v>
      </c>
      <c r="H133" s="1821" t="e">
        <f>G133/F133*100</f>
        <v>#DIV/0!</v>
      </c>
      <c r="I133" s="1829"/>
    </row>
    <row r="134" spans="1:9" ht="30" hidden="1" x14ac:dyDescent="0.2">
      <c r="A134" s="1896">
        <v>3299</v>
      </c>
      <c r="B134" s="1903">
        <v>6351</v>
      </c>
      <c r="C134" s="1903">
        <v>32133006</v>
      </c>
      <c r="D134" s="1836" t="s">
        <v>1277</v>
      </c>
      <c r="E134" s="1845">
        <v>0</v>
      </c>
      <c r="F134" s="1845">
        <v>0</v>
      </c>
      <c r="G134" s="1885">
        <v>0</v>
      </c>
      <c r="H134" s="1821" t="e">
        <f>G134/F134*100</f>
        <v>#DIV/0!</v>
      </c>
      <c r="I134" s="1829"/>
    </row>
    <row r="135" spans="1:9" ht="30" hidden="1" x14ac:dyDescent="0.2">
      <c r="A135" s="1896">
        <v>3299</v>
      </c>
      <c r="B135" s="1903">
        <v>6351</v>
      </c>
      <c r="C135" s="1903">
        <v>32533006</v>
      </c>
      <c r="D135" s="1836" t="s">
        <v>1277</v>
      </c>
      <c r="E135" s="1845">
        <v>0</v>
      </c>
      <c r="F135" s="1845">
        <v>0</v>
      </c>
      <c r="G135" s="1885">
        <v>0</v>
      </c>
      <c r="H135" s="1821" t="e">
        <f>G135/F135*100</f>
        <v>#DIV/0!</v>
      </c>
      <c r="I135" s="1829"/>
    </row>
    <row r="136" spans="1:9" ht="16.5" hidden="1" thickTop="1" thickBot="1" x14ac:dyDescent="0.3">
      <c r="A136" s="1837" t="s">
        <v>763</v>
      </c>
      <c r="B136" s="1838"/>
      <c r="C136" s="1838"/>
      <c r="D136" s="1839"/>
      <c r="E136" s="1818">
        <f>SUM(E132:E135)</f>
        <v>0</v>
      </c>
      <c r="F136" s="1818">
        <f>SUM(F132:F135)</f>
        <v>0</v>
      </c>
      <c r="G136" s="1818">
        <f>SUM(G132:G135)</f>
        <v>0</v>
      </c>
      <c r="H136" s="1822" t="e">
        <f>G136/F136*100</f>
        <v>#DIV/0!</v>
      </c>
      <c r="I136" s="1829"/>
    </row>
    <row r="137" spans="1:9" hidden="1" x14ac:dyDescent="0.2">
      <c r="I137" s="1829"/>
    </row>
    <row r="138" spans="1:9" ht="15" hidden="1" x14ac:dyDescent="0.25">
      <c r="A138" s="1808" t="s">
        <v>192</v>
      </c>
      <c r="D138" s="1802"/>
      <c r="E138" s="1803"/>
      <c r="H138" s="1829"/>
      <c r="I138" s="1829"/>
    </row>
    <row r="139" spans="1:9" ht="15" hidden="1" x14ac:dyDescent="0.25">
      <c r="A139" s="1808" t="s">
        <v>193</v>
      </c>
      <c r="D139" s="1802"/>
      <c r="E139" s="1803"/>
      <c r="H139" s="1829" t="s">
        <v>161</v>
      </c>
      <c r="I139" s="1829"/>
    </row>
    <row r="140" spans="1:9" ht="25.5" hidden="1" thickTop="1" thickBot="1" x14ac:dyDescent="0.25">
      <c r="A140" s="1809" t="s">
        <v>162</v>
      </c>
      <c r="B140" s="1810" t="s">
        <v>761</v>
      </c>
      <c r="C140" s="1810" t="s">
        <v>377</v>
      </c>
      <c r="D140" s="1811" t="s">
        <v>164</v>
      </c>
      <c r="E140" s="1833" t="s">
        <v>632</v>
      </c>
      <c r="F140" s="1833" t="s">
        <v>633</v>
      </c>
      <c r="G140" s="1834" t="s">
        <v>882</v>
      </c>
      <c r="H140" s="1835" t="s">
        <v>883</v>
      </c>
      <c r="I140" s="1829"/>
    </row>
    <row r="141" spans="1:9" ht="14.25" hidden="1" thickTop="1" thickBot="1" x14ac:dyDescent="0.25">
      <c r="A141" s="1643">
        <v>1</v>
      </c>
      <c r="B141" s="1642">
        <v>2</v>
      </c>
      <c r="C141" s="1642">
        <v>3</v>
      </c>
      <c r="D141" s="1642">
        <v>5</v>
      </c>
      <c r="E141" s="1641">
        <v>6</v>
      </c>
      <c r="F141" s="1641">
        <v>7</v>
      </c>
      <c r="G141" s="1877">
        <v>8</v>
      </c>
      <c r="H141" s="1814" t="s">
        <v>762</v>
      </c>
      <c r="I141" s="1829"/>
    </row>
    <row r="142" spans="1:9" ht="30.75" hidden="1" thickTop="1" x14ac:dyDescent="0.2">
      <c r="A142" s="1896">
        <v>3299</v>
      </c>
      <c r="B142" s="1923">
        <v>5336</v>
      </c>
      <c r="C142" s="1903">
        <v>32133006</v>
      </c>
      <c r="D142" s="1919" t="s">
        <v>1375</v>
      </c>
      <c r="E142" s="1832">
        <v>0</v>
      </c>
      <c r="F142" s="1832">
        <v>0</v>
      </c>
      <c r="G142" s="1888">
        <v>0</v>
      </c>
      <c r="H142" s="1819" t="e">
        <f>G142/F142*100</f>
        <v>#DIV/0!</v>
      </c>
      <c r="I142" s="1829"/>
    </row>
    <row r="143" spans="1:9" ht="30" hidden="1" x14ac:dyDescent="0.2">
      <c r="A143" s="1896">
        <v>3299</v>
      </c>
      <c r="B143" s="1923">
        <v>5336</v>
      </c>
      <c r="C143" s="1903">
        <v>32533006</v>
      </c>
      <c r="D143" s="1919" t="s">
        <v>1375</v>
      </c>
      <c r="E143" s="1845">
        <v>0</v>
      </c>
      <c r="F143" s="1845">
        <v>0</v>
      </c>
      <c r="G143" s="1885">
        <v>0</v>
      </c>
      <c r="H143" s="1821" t="e">
        <f>G143/F143*100</f>
        <v>#DIV/0!</v>
      </c>
      <c r="I143" s="1829"/>
    </row>
    <row r="144" spans="1:9" ht="30" hidden="1" x14ac:dyDescent="0.2">
      <c r="A144" s="1896">
        <v>3299</v>
      </c>
      <c r="B144" s="1903">
        <v>6351</v>
      </c>
      <c r="C144" s="1903">
        <v>32133006</v>
      </c>
      <c r="D144" s="1836" t="s">
        <v>1277</v>
      </c>
      <c r="E144" s="1845">
        <v>0</v>
      </c>
      <c r="F144" s="1845">
        <v>0</v>
      </c>
      <c r="G144" s="1885">
        <v>0</v>
      </c>
      <c r="H144" s="1821" t="e">
        <f>G144/F144*100</f>
        <v>#DIV/0!</v>
      </c>
      <c r="I144" s="1829"/>
    </row>
    <row r="145" spans="1:9" ht="30" hidden="1" x14ac:dyDescent="0.2">
      <c r="A145" s="1896">
        <v>3299</v>
      </c>
      <c r="B145" s="1903">
        <v>6351</v>
      </c>
      <c r="C145" s="1903">
        <v>32533006</v>
      </c>
      <c r="D145" s="1836" t="s">
        <v>1277</v>
      </c>
      <c r="E145" s="1845">
        <v>0</v>
      </c>
      <c r="F145" s="1845">
        <v>0</v>
      </c>
      <c r="G145" s="1885">
        <v>0</v>
      </c>
      <c r="H145" s="1821" t="e">
        <f>G145/F145*100</f>
        <v>#DIV/0!</v>
      </c>
      <c r="I145" s="1829"/>
    </row>
    <row r="146" spans="1:9" ht="16.5" hidden="1" thickTop="1" thickBot="1" x14ac:dyDescent="0.3">
      <c r="A146" s="1837" t="s">
        <v>763</v>
      </c>
      <c r="B146" s="1838"/>
      <c r="C146" s="1838"/>
      <c r="D146" s="1839"/>
      <c r="E146" s="1818">
        <f>SUM(E142:E145)</f>
        <v>0</v>
      </c>
      <c r="F146" s="1818">
        <f>SUM(F142:F145)</f>
        <v>0</v>
      </c>
      <c r="G146" s="1818">
        <f>SUM(G142:G145)</f>
        <v>0</v>
      </c>
      <c r="H146" s="1822" t="e">
        <f>G146/F146*100</f>
        <v>#DIV/0!</v>
      </c>
      <c r="I146" s="1829"/>
    </row>
    <row r="147" spans="1:9" hidden="1" x14ac:dyDescent="0.2">
      <c r="I147" s="1829"/>
    </row>
    <row r="148" spans="1:9" ht="15" hidden="1" x14ac:dyDescent="0.25">
      <c r="A148" s="1808" t="s">
        <v>294</v>
      </c>
      <c r="D148" s="1802"/>
      <c r="E148" s="1803"/>
      <c r="H148" s="1829"/>
      <c r="I148" s="1829"/>
    </row>
    <row r="149" spans="1:9" ht="15" hidden="1" x14ac:dyDescent="0.25">
      <c r="A149" s="1808" t="s">
        <v>1010</v>
      </c>
      <c r="D149" s="1802"/>
      <c r="E149" s="1803"/>
      <c r="H149" s="1829" t="s">
        <v>161</v>
      </c>
      <c r="I149" s="1829"/>
    </row>
    <row r="150" spans="1:9" ht="25.5" hidden="1" thickTop="1" thickBot="1" x14ac:dyDescent="0.25">
      <c r="A150" s="1809" t="s">
        <v>162</v>
      </c>
      <c r="B150" s="1810" t="s">
        <v>761</v>
      </c>
      <c r="C150" s="1810" t="s">
        <v>377</v>
      </c>
      <c r="D150" s="1811" t="s">
        <v>164</v>
      </c>
      <c r="E150" s="1833" t="s">
        <v>632</v>
      </c>
      <c r="F150" s="1833" t="s">
        <v>633</v>
      </c>
      <c r="G150" s="1834" t="s">
        <v>882</v>
      </c>
      <c r="H150" s="1835" t="s">
        <v>883</v>
      </c>
      <c r="I150" s="1829"/>
    </row>
    <row r="151" spans="1:9" ht="14.25" hidden="1" thickTop="1" thickBot="1" x14ac:dyDescent="0.25">
      <c r="A151" s="1643">
        <v>1</v>
      </c>
      <c r="B151" s="1642">
        <v>2</v>
      </c>
      <c r="C151" s="1642">
        <v>3</v>
      </c>
      <c r="D151" s="1642">
        <v>5</v>
      </c>
      <c r="E151" s="1641">
        <v>6</v>
      </c>
      <c r="F151" s="1641">
        <v>7</v>
      </c>
      <c r="G151" s="1877">
        <v>8</v>
      </c>
      <c r="H151" s="1814" t="s">
        <v>762</v>
      </c>
      <c r="I151" s="1829"/>
    </row>
    <row r="152" spans="1:9" ht="30.75" hidden="1" thickTop="1" x14ac:dyDescent="0.2">
      <c r="A152" s="1896">
        <v>3299</v>
      </c>
      <c r="B152" s="1923">
        <v>5336</v>
      </c>
      <c r="C152" s="1903">
        <v>32133006</v>
      </c>
      <c r="D152" s="1836" t="s">
        <v>1263</v>
      </c>
      <c r="E152" s="1832">
        <v>0</v>
      </c>
      <c r="F152" s="1832"/>
      <c r="G152" s="1888"/>
      <c r="H152" s="1819" t="e">
        <f>G152/F152*100</f>
        <v>#DIV/0!</v>
      </c>
      <c r="I152" s="1829"/>
    </row>
    <row r="153" spans="1:9" ht="30" hidden="1" x14ac:dyDescent="0.2">
      <c r="A153" s="1896">
        <v>3299</v>
      </c>
      <c r="B153" s="1923">
        <v>5336</v>
      </c>
      <c r="C153" s="1903">
        <v>32533006</v>
      </c>
      <c r="D153" s="1836" t="s">
        <v>1263</v>
      </c>
      <c r="E153" s="1845">
        <v>0</v>
      </c>
      <c r="F153" s="1845"/>
      <c r="G153" s="1885"/>
      <c r="H153" s="1821" t="e">
        <f>G153/F153*100</f>
        <v>#DIV/0!</v>
      </c>
      <c r="I153" s="1829"/>
    </row>
    <row r="154" spans="1:9" ht="30" hidden="1" x14ac:dyDescent="0.2">
      <c r="A154" s="1896">
        <v>3299</v>
      </c>
      <c r="B154" s="1903">
        <v>6351</v>
      </c>
      <c r="C154" s="1903">
        <v>32133006</v>
      </c>
      <c r="D154" s="1836" t="s">
        <v>1277</v>
      </c>
      <c r="E154" s="1845">
        <v>0</v>
      </c>
      <c r="F154" s="1845">
        <v>0</v>
      </c>
      <c r="G154" s="1885">
        <v>0</v>
      </c>
      <c r="H154" s="1821" t="e">
        <f>G154/F154*100</f>
        <v>#DIV/0!</v>
      </c>
      <c r="I154" s="1829"/>
    </row>
    <row r="155" spans="1:9" ht="30" hidden="1" x14ac:dyDescent="0.2">
      <c r="A155" s="1896">
        <v>3299</v>
      </c>
      <c r="B155" s="1903">
        <v>6351</v>
      </c>
      <c r="C155" s="1903">
        <v>32533006</v>
      </c>
      <c r="D155" s="1836" t="s">
        <v>1277</v>
      </c>
      <c r="E155" s="1845">
        <v>0</v>
      </c>
      <c r="F155" s="1845">
        <v>0</v>
      </c>
      <c r="G155" s="1885">
        <v>0</v>
      </c>
      <c r="H155" s="1821" t="e">
        <f>G155/F155*100</f>
        <v>#DIV/0!</v>
      </c>
      <c r="I155" s="1829"/>
    </row>
    <row r="156" spans="1:9" ht="16.5" hidden="1" thickTop="1" thickBot="1" x14ac:dyDescent="0.3">
      <c r="A156" s="1837" t="s">
        <v>763</v>
      </c>
      <c r="B156" s="1838"/>
      <c r="C156" s="1838"/>
      <c r="D156" s="1839"/>
      <c r="E156" s="1818">
        <f>SUM(E152:E155)</f>
        <v>0</v>
      </c>
      <c r="F156" s="1818">
        <f>SUM(F152:F155)</f>
        <v>0</v>
      </c>
      <c r="G156" s="1818">
        <f>SUM(G152:G155)</f>
        <v>0</v>
      </c>
      <c r="H156" s="1822" t="e">
        <f>G156/F156*100</f>
        <v>#DIV/0!</v>
      </c>
      <c r="I156" s="1829"/>
    </row>
    <row r="157" spans="1:9" hidden="1" x14ac:dyDescent="0.2">
      <c r="I157" s="1829"/>
    </row>
    <row r="158" spans="1:9" ht="15" hidden="1" x14ac:dyDescent="0.25">
      <c r="A158" s="1808" t="s">
        <v>1618</v>
      </c>
      <c r="D158" s="1802"/>
      <c r="E158" s="1803"/>
      <c r="H158" s="1829"/>
      <c r="I158" s="1829"/>
    </row>
    <row r="159" spans="1:9" ht="15" hidden="1" x14ac:dyDescent="0.25">
      <c r="A159" s="1808" t="s">
        <v>1276</v>
      </c>
      <c r="D159" s="1802"/>
      <c r="E159" s="1803"/>
      <c r="H159" s="1892" t="s">
        <v>161</v>
      </c>
      <c r="I159" s="1829"/>
    </row>
    <row r="160" spans="1:9" ht="25.5" hidden="1" thickTop="1" thickBot="1" x14ac:dyDescent="0.25">
      <c r="A160" s="1809" t="s">
        <v>162</v>
      </c>
      <c r="B160" s="1810" t="s">
        <v>761</v>
      </c>
      <c r="C160" s="1810" t="s">
        <v>377</v>
      </c>
      <c r="D160" s="1811" t="s">
        <v>164</v>
      </c>
      <c r="E160" s="1833" t="s">
        <v>632</v>
      </c>
      <c r="F160" s="1833" t="s">
        <v>633</v>
      </c>
      <c r="G160" s="1834" t="s">
        <v>882</v>
      </c>
      <c r="H160" s="1835" t="s">
        <v>883</v>
      </c>
      <c r="I160" s="1829"/>
    </row>
    <row r="161" spans="1:9" ht="14.25" hidden="1" thickTop="1" thickBot="1" x14ac:dyDescent="0.25">
      <c r="A161" s="1643">
        <v>1</v>
      </c>
      <c r="B161" s="1642">
        <v>2</v>
      </c>
      <c r="C161" s="1642">
        <v>3</v>
      </c>
      <c r="D161" s="1642">
        <v>5</v>
      </c>
      <c r="E161" s="1641">
        <v>6</v>
      </c>
      <c r="F161" s="1641">
        <v>7</v>
      </c>
      <c r="G161" s="1877">
        <v>8</v>
      </c>
      <c r="H161" s="1814" t="s">
        <v>762</v>
      </c>
      <c r="I161" s="1829"/>
    </row>
    <row r="162" spans="1:9" ht="30.75" hidden="1" thickTop="1" x14ac:dyDescent="0.2">
      <c r="A162" s="1896">
        <v>3299</v>
      </c>
      <c r="B162" s="1923">
        <v>5336</v>
      </c>
      <c r="C162" s="1903">
        <v>32133006</v>
      </c>
      <c r="D162" s="1836" t="s">
        <v>1263</v>
      </c>
      <c r="E162" s="1832">
        <v>0</v>
      </c>
      <c r="F162" s="1832"/>
      <c r="G162" s="1888"/>
      <c r="H162" s="1819" t="e">
        <f>G162/F162*100</f>
        <v>#DIV/0!</v>
      </c>
      <c r="I162" s="1829"/>
    </row>
    <row r="163" spans="1:9" ht="30" hidden="1" x14ac:dyDescent="0.2">
      <c r="A163" s="1896">
        <v>3299</v>
      </c>
      <c r="B163" s="1923">
        <v>5336</v>
      </c>
      <c r="C163" s="1903">
        <v>32533006</v>
      </c>
      <c r="D163" s="1836" t="s">
        <v>1263</v>
      </c>
      <c r="E163" s="1845">
        <v>0</v>
      </c>
      <c r="F163" s="1845"/>
      <c r="G163" s="1885"/>
      <c r="H163" s="1821" t="e">
        <f>G163/F163*100</f>
        <v>#DIV/0!</v>
      </c>
      <c r="I163" s="1829"/>
    </row>
    <row r="164" spans="1:9" ht="30" hidden="1" x14ac:dyDescent="0.2">
      <c r="A164" s="1896">
        <v>3299</v>
      </c>
      <c r="B164" s="1903">
        <v>6351</v>
      </c>
      <c r="C164" s="1903">
        <v>32133006</v>
      </c>
      <c r="D164" s="1836" t="s">
        <v>1277</v>
      </c>
      <c r="E164" s="1845">
        <v>0</v>
      </c>
      <c r="F164" s="1845">
        <v>0</v>
      </c>
      <c r="G164" s="1885">
        <v>0</v>
      </c>
      <c r="H164" s="1821" t="e">
        <f>G164/F164*100</f>
        <v>#DIV/0!</v>
      </c>
      <c r="I164" s="1829"/>
    </row>
    <row r="165" spans="1:9" ht="30" hidden="1" x14ac:dyDescent="0.2">
      <c r="A165" s="1896">
        <v>3299</v>
      </c>
      <c r="B165" s="1903">
        <v>6351</v>
      </c>
      <c r="C165" s="1903">
        <v>32533006</v>
      </c>
      <c r="D165" s="1836" t="s">
        <v>1277</v>
      </c>
      <c r="E165" s="1845">
        <v>0</v>
      </c>
      <c r="F165" s="1845">
        <v>0</v>
      </c>
      <c r="G165" s="1885">
        <v>0</v>
      </c>
      <c r="H165" s="1821" t="e">
        <f>G165/F165*100</f>
        <v>#DIV/0!</v>
      </c>
      <c r="I165" s="1829"/>
    </row>
    <row r="166" spans="1:9" ht="16.5" hidden="1" thickTop="1" thickBot="1" x14ac:dyDescent="0.3">
      <c r="A166" s="1837" t="s">
        <v>763</v>
      </c>
      <c r="B166" s="1838"/>
      <c r="C166" s="1838"/>
      <c r="D166" s="1839"/>
      <c r="E166" s="1818">
        <f>SUM(E162:E165)</f>
        <v>0</v>
      </c>
      <c r="F166" s="1818">
        <f>SUM(F162:F165)</f>
        <v>0</v>
      </c>
      <c r="G166" s="1818">
        <f>SUM(G162:G165)</f>
        <v>0</v>
      </c>
      <c r="H166" s="1822" t="e">
        <f>G166/F166*100</f>
        <v>#DIV/0!</v>
      </c>
      <c r="I166" s="1829"/>
    </row>
    <row r="167" spans="1:9" hidden="1" x14ac:dyDescent="0.2">
      <c r="I167" s="1829"/>
    </row>
    <row r="168" spans="1:9" ht="15" hidden="1" x14ac:dyDescent="0.25">
      <c r="A168" s="1808" t="s">
        <v>559</v>
      </c>
      <c r="D168" s="1802"/>
      <c r="E168" s="1803"/>
      <c r="H168" s="1829"/>
      <c r="I168" s="1829"/>
    </row>
    <row r="169" spans="1:9" ht="15" hidden="1" x14ac:dyDescent="0.25">
      <c r="A169" s="1808" t="s">
        <v>560</v>
      </c>
      <c r="D169" s="1802"/>
      <c r="E169" s="1803"/>
      <c r="H169" s="1892" t="s">
        <v>161</v>
      </c>
      <c r="I169" s="1829"/>
    </row>
    <row r="170" spans="1:9" ht="25.5" hidden="1" thickTop="1" thickBot="1" x14ac:dyDescent="0.25">
      <c r="A170" s="1809" t="s">
        <v>162</v>
      </c>
      <c r="B170" s="1810" t="s">
        <v>761</v>
      </c>
      <c r="C170" s="1810" t="s">
        <v>377</v>
      </c>
      <c r="D170" s="1811" t="s">
        <v>164</v>
      </c>
      <c r="E170" s="1833" t="s">
        <v>632</v>
      </c>
      <c r="F170" s="1833" t="s">
        <v>633</v>
      </c>
      <c r="G170" s="1834" t="s">
        <v>882</v>
      </c>
      <c r="H170" s="1835" t="s">
        <v>883</v>
      </c>
      <c r="I170" s="1829"/>
    </row>
    <row r="171" spans="1:9" ht="14.25" hidden="1" thickTop="1" thickBot="1" x14ac:dyDescent="0.25">
      <c r="A171" s="1643">
        <v>1</v>
      </c>
      <c r="B171" s="1642">
        <v>2</v>
      </c>
      <c r="C171" s="1642">
        <v>3</v>
      </c>
      <c r="D171" s="1642">
        <v>5</v>
      </c>
      <c r="E171" s="1641">
        <v>6</v>
      </c>
      <c r="F171" s="1641">
        <v>7</v>
      </c>
      <c r="G171" s="1877">
        <v>8</v>
      </c>
      <c r="H171" s="1814" t="s">
        <v>762</v>
      </c>
      <c r="I171" s="1829"/>
    </row>
    <row r="172" spans="1:9" ht="30.75" hidden="1" thickTop="1" x14ac:dyDescent="0.2">
      <c r="A172" s="1896">
        <v>3299</v>
      </c>
      <c r="B172" s="1923">
        <v>5336</v>
      </c>
      <c r="C172" s="1903">
        <v>32133006</v>
      </c>
      <c r="D172" s="1836" t="s">
        <v>1263</v>
      </c>
      <c r="E172" s="1832">
        <v>0</v>
      </c>
      <c r="F172" s="1832"/>
      <c r="G172" s="1888"/>
      <c r="H172" s="1819" t="e">
        <f>G172/F172*100</f>
        <v>#DIV/0!</v>
      </c>
      <c r="I172" s="1829"/>
    </row>
    <row r="173" spans="1:9" ht="30" hidden="1" x14ac:dyDescent="0.2">
      <c r="A173" s="1896">
        <v>3299</v>
      </c>
      <c r="B173" s="1923">
        <v>5336</v>
      </c>
      <c r="C173" s="1903">
        <v>32533006</v>
      </c>
      <c r="D173" s="1836" t="s">
        <v>1263</v>
      </c>
      <c r="E173" s="1845">
        <v>0</v>
      </c>
      <c r="F173" s="1845"/>
      <c r="G173" s="1885"/>
      <c r="H173" s="1821" t="e">
        <f>G173/F173*100</f>
        <v>#DIV/0!</v>
      </c>
      <c r="I173" s="1829"/>
    </row>
    <row r="174" spans="1:9" ht="30" hidden="1" x14ac:dyDescent="0.2">
      <c r="A174" s="1896">
        <v>3299</v>
      </c>
      <c r="B174" s="1903">
        <v>6351</v>
      </c>
      <c r="C174" s="1903">
        <v>32133006</v>
      </c>
      <c r="D174" s="1836" t="s">
        <v>1277</v>
      </c>
      <c r="E174" s="1845">
        <v>0</v>
      </c>
      <c r="F174" s="1845">
        <v>0</v>
      </c>
      <c r="G174" s="1885">
        <v>0</v>
      </c>
      <c r="H174" s="1821" t="e">
        <f>G174/F174*100</f>
        <v>#DIV/0!</v>
      </c>
      <c r="I174" s="1829"/>
    </row>
    <row r="175" spans="1:9" ht="30" hidden="1" x14ac:dyDescent="0.2">
      <c r="A175" s="1896">
        <v>3299</v>
      </c>
      <c r="B175" s="1903">
        <v>6351</v>
      </c>
      <c r="C175" s="1903">
        <v>32533006</v>
      </c>
      <c r="D175" s="1836" t="s">
        <v>1277</v>
      </c>
      <c r="E175" s="1845">
        <v>0</v>
      </c>
      <c r="F175" s="1845">
        <v>0</v>
      </c>
      <c r="G175" s="1885">
        <v>0</v>
      </c>
      <c r="H175" s="1821" t="e">
        <f>G175/F175*100</f>
        <v>#DIV/0!</v>
      </c>
      <c r="I175" s="1829"/>
    </row>
    <row r="176" spans="1:9" ht="16.5" hidden="1" thickTop="1" thickBot="1" x14ac:dyDescent="0.3">
      <c r="A176" s="1837" t="s">
        <v>763</v>
      </c>
      <c r="B176" s="1838"/>
      <c r="C176" s="1838"/>
      <c r="D176" s="1839"/>
      <c r="E176" s="1818">
        <f>SUM(E172:E175)</f>
        <v>0</v>
      </c>
      <c r="F176" s="1818">
        <f>SUM(F172:F175)</f>
        <v>0</v>
      </c>
      <c r="G176" s="1818">
        <f>SUM(G172:G175)</f>
        <v>0</v>
      </c>
      <c r="H176" s="1822" t="e">
        <f>G176/F176*100</f>
        <v>#DIV/0!</v>
      </c>
      <c r="I176" s="1829"/>
    </row>
    <row r="177" spans="1:9" hidden="1" x14ac:dyDescent="0.2">
      <c r="I177" s="1829"/>
    </row>
    <row r="178" spans="1:9" ht="15" hidden="1" x14ac:dyDescent="0.25">
      <c r="A178" s="1808" t="s">
        <v>1630</v>
      </c>
      <c r="D178" s="1802"/>
      <c r="E178" s="1803"/>
      <c r="H178" s="1829"/>
      <c r="I178" s="1829"/>
    </row>
    <row r="179" spans="1:9" ht="15" hidden="1" x14ac:dyDescent="0.25">
      <c r="A179" s="1808" t="s">
        <v>868</v>
      </c>
      <c r="D179" s="1802"/>
      <c r="E179" s="1803"/>
      <c r="H179" s="1892" t="s">
        <v>161</v>
      </c>
      <c r="I179" s="1829"/>
    </row>
    <row r="180" spans="1:9" ht="25.5" hidden="1" thickTop="1" thickBot="1" x14ac:dyDescent="0.25">
      <c r="A180" s="1809" t="s">
        <v>162</v>
      </c>
      <c r="B180" s="1810" t="s">
        <v>761</v>
      </c>
      <c r="C180" s="1810" t="s">
        <v>377</v>
      </c>
      <c r="D180" s="1811" t="s">
        <v>164</v>
      </c>
      <c r="E180" s="1833" t="s">
        <v>632</v>
      </c>
      <c r="F180" s="1833" t="s">
        <v>633</v>
      </c>
      <c r="G180" s="1834" t="s">
        <v>882</v>
      </c>
      <c r="H180" s="1835" t="s">
        <v>883</v>
      </c>
      <c r="I180" s="1829"/>
    </row>
    <row r="181" spans="1:9" ht="14.25" hidden="1" thickTop="1" thickBot="1" x14ac:dyDescent="0.25">
      <c r="A181" s="1643">
        <v>1</v>
      </c>
      <c r="B181" s="1642">
        <v>2</v>
      </c>
      <c r="C181" s="1642">
        <v>3</v>
      </c>
      <c r="D181" s="1642">
        <v>5</v>
      </c>
      <c r="E181" s="1641">
        <v>6</v>
      </c>
      <c r="F181" s="1641">
        <v>7</v>
      </c>
      <c r="G181" s="1877">
        <v>8</v>
      </c>
      <c r="H181" s="1814" t="s">
        <v>762</v>
      </c>
      <c r="I181" s="1829"/>
    </row>
    <row r="182" spans="1:9" ht="30.75" hidden="1" thickTop="1" x14ac:dyDescent="0.2">
      <c r="A182" s="1896">
        <v>3299</v>
      </c>
      <c r="B182" s="1923">
        <v>5336</v>
      </c>
      <c r="C182" s="1903">
        <v>32133006</v>
      </c>
      <c r="D182" s="1836" t="s">
        <v>1263</v>
      </c>
      <c r="E182" s="1832">
        <v>0</v>
      </c>
      <c r="F182" s="1832"/>
      <c r="G182" s="1888"/>
      <c r="H182" s="1819" t="e">
        <f>G182/F182*100</f>
        <v>#DIV/0!</v>
      </c>
      <c r="I182" s="1829"/>
    </row>
    <row r="183" spans="1:9" ht="30" hidden="1" x14ac:dyDescent="0.2">
      <c r="A183" s="1896">
        <v>3299</v>
      </c>
      <c r="B183" s="1923">
        <v>5336</v>
      </c>
      <c r="C183" s="1903">
        <v>32533006</v>
      </c>
      <c r="D183" s="1836" t="s">
        <v>1263</v>
      </c>
      <c r="E183" s="1845">
        <v>0</v>
      </c>
      <c r="F183" s="1845"/>
      <c r="G183" s="1885"/>
      <c r="H183" s="1821" t="e">
        <f>G183/F183*100</f>
        <v>#DIV/0!</v>
      </c>
      <c r="I183" s="1829"/>
    </row>
    <row r="184" spans="1:9" ht="30" hidden="1" x14ac:dyDescent="0.2">
      <c r="A184" s="1896">
        <v>3299</v>
      </c>
      <c r="B184" s="1903">
        <v>6351</v>
      </c>
      <c r="C184" s="1903">
        <v>32133006</v>
      </c>
      <c r="D184" s="1836" t="s">
        <v>1277</v>
      </c>
      <c r="E184" s="1845">
        <v>0</v>
      </c>
      <c r="F184" s="1845">
        <v>0</v>
      </c>
      <c r="G184" s="1885">
        <v>0</v>
      </c>
      <c r="H184" s="1821" t="e">
        <f>G184/F184*100</f>
        <v>#DIV/0!</v>
      </c>
      <c r="I184" s="1829"/>
    </row>
    <row r="185" spans="1:9" ht="30" hidden="1" x14ac:dyDescent="0.2">
      <c r="A185" s="1896">
        <v>3299</v>
      </c>
      <c r="B185" s="1903">
        <v>6351</v>
      </c>
      <c r="C185" s="1903">
        <v>32533006</v>
      </c>
      <c r="D185" s="1836" t="s">
        <v>1277</v>
      </c>
      <c r="E185" s="1845">
        <v>0</v>
      </c>
      <c r="F185" s="1845">
        <v>0</v>
      </c>
      <c r="G185" s="1885">
        <v>0</v>
      </c>
      <c r="H185" s="1821" t="e">
        <f>G185/F185*100</f>
        <v>#DIV/0!</v>
      </c>
      <c r="I185" s="1829"/>
    </row>
    <row r="186" spans="1:9" ht="16.5" hidden="1" thickTop="1" thickBot="1" x14ac:dyDescent="0.3">
      <c r="A186" s="1837" t="s">
        <v>763</v>
      </c>
      <c r="B186" s="1838"/>
      <c r="C186" s="1838"/>
      <c r="D186" s="1839"/>
      <c r="E186" s="1818">
        <f>SUM(E182:E185)</f>
        <v>0</v>
      </c>
      <c r="F186" s="1818">
        <f>SUM(F182:F185)</f>
        <v>0</v>
      </c>
      <c r="G186" s="1818">
        <f>SUM(G182:G185)</f>
        <v>0</v>
      </c>
      <c r="H186" s="1822" t="e">
        <f>G186/F186*100</f>
        <v>#DIV/0!</v>
      </c>
      <c r="I186" s="1829"/>
    </row>
    <row r="187" spans="1:9" hidden="1" x14ac:dyDescent="0.2">
      <c r="I187" s="1829"/>
    </row>
    <row r="188" spans="1:9" ht="15" hidden="1" x14ac:dyDescent="0.25">
      <c r="A188" s="1808" t="s">
        <v>1012</v>
      </c>
      <c r="D188" s="1802"/>
      <c r="E188" s="1803"/>
      <c r="H188" s="1829"/>
      <c r="I188" s="1829"/>
    </row>
    <row r="189" spans="1:9" ht="15" hidden="1" x14ac:dyDescent="0.25">
      <c r="A189" s="1808" t="s">
        <v>1013</v>
      </c>
      <c r="D189" s="1802"/>
      <c r="E189" s="1803"/>
      <c r="H189" s="1892" t="s">
        <v>161</v>
      </c>
      <c r="I189" s="1829"/>
    </row>
    <row r="190" spans="1:9" ht="25.5" hidden="1" thickTop="1" thickBot="1" x14ac:dyDescent="0.25">
      <c r="A190" s="1809" t="s">
        <v>162</v>
      </c>
      <c r="B190" s="1810" t="s">
        <v>761</v>
      </c>
      <c r="C190" s="1810" t="s">
        <v>377</v>
      </c>
      <c r="D190" s="1811" t="s">
        <v>164</v>
      </c>
      <c r="E190" s="1833" t="s">
        <v>632</v>
      </c>
      <c r="F190" s="1833" t="s">
        <v>633</v>
      </c>
      <c r="G190" s="1834" t="s">
        <v>882</v>
      </c>
      <c r="H190" s="1835" t="s">
        <v>883</v>
      </c>
      <c r="I190" s="1829"/>
    </row>
    <row r="191" spans="1:9" ht="14.25" hidden="1" thickTop="1" thickBot="1" x14ac:dyDescent="0.25">
      <c r="A191" s="1643">
        <v>1</v>
      </c>
      <c r="B191" s="1642">
        <v>2</v>
      </c>
      <c r="C191" s="1642">
        <v>3</v>
      </c>
      <c r="D191" s="1642">
        <v>5</v>
      </c>
      <c r="E191" s="1641">
        <v>6</v>
      </c>
      <c r="F191" s="1641">
        <v>7</v>
      </c>
      <c r="G191" s="1877">
        <v>8</v>
      </c>
      <c r="H191" s="1814" t="s">
        <v>762</v>
      </c>
      <c r="I191" s="1829"/>
    </row>
    <row r="192" spans="1:9" ht="30.75" hidden="1" thickTop="1" x14ac:dyDescent="0.2">
      <c r="A192" s="1896">
        <v>3299</v>
      </c>
      <c r="B192" s="1923">
        <v>5336</v>
      </c>
      <c r="C192" s="1903">
        <v>32133006</v>
      </c>
      <c r="D192" s="1836" t="s">
        <v>1263</v>
      </c>
      <c r="E192" s="1832">
        <v>0</v>
      </c>
      <c r="F192" s="1832"/>
      <c r="G192" s="1888"/>
      <c r="H192" s="1819" t="e">
        <f>G192/F192*100</f>
        <v>#DIV/0!</v>
      </c>
      <c r="I192" s="1829"/>
    </row>
    <row r="193" spans="1:9" ht="30" hidden="1" x14ac:dyDescent="0.2">
      <c r="A193" s="1896">
        <v>3299</v>
      </c>
      <c r="B193" s="1923">
        <v>5336</v>
      </c>
      <c r="C193" s="1903">
        <v>32533006</v>
      </c>
      <c r="D193" s="1836" t="s">
        <v>1263</v>
      </c>
      <c r="E193" s="1845">
        <v>0</v>
      </c>
      <c r="F193" s="1845"/>
      <c r="G193" s="1885"/>
      <c r="H193" s="1821" t="e">
        <f>G193/F193*100</f>
        <v>#DIV/0!</v>
      </c>
      <c r="I193" s="1829"/>
    </row>
    <row r="194" spans="1:9" ht="30" hidden="1" x14ac:dyDescent="0.2">
      <c r="A194" s="1896">
        <v>3299</v>
      </c>
      <c r="B194" s="1903">
        <v>6351</v>
      </c>
      <c r="C194" s="1903">
        <v>32133006</v>
      </c>
      <c r="D194" s="1836" t="s">
        <v>1277</v>
      </c>
      <c r="E194" s="1845">
        <v>0</v>
      </c>
      <c r="F194" s="1845">
        <v>0</v>
      </c>
      <c r="G194" s="1885">
        <v>0</v>
      </c>
      <c r="H194" s="1821" t="e">
        <f>G194/F194*100</f>
        <v>#DIV/0!</v>
      </c>
      <c r="I194" s="1829"/>
    </row>
    <row r="195" spans="1:9" ht="30" hidden="1" x14ac:dyDescent="0.2">
      <c r="A195" s="1896">
        <v>3299</v>
      </c>
      <c r="B195" s="1903">
        <v>6351</v>
      </c>
      <c r="C195" s="1903">
        <v>32533006</v>
      </c>
      <c r="D195" s="1836" t="s">
        <v>1277</v>
      </c>
      <c r="E195" s="1845">
        <v>0</v>
      </c>
      <c r="F195" s="1845">
        <v>0</v>
      </c>
      <c r="G195" s="1885">
        <v>0</v>
      </c>
      <c r="H195" s="1821" t="e">
        <f>G195/F195*100</f>
        <v>#DIV/0!</v>
      </c>
      <c r="I195" s="1829"/>
    </row>
    <row r="196" spans="1:9" ht="16.5" hidden="1" thickTop="1" thickBot="1" x14ac:dyDescent="0.3">
      <c r="A196" s="1837" t="s">
        <v>763</v>
      </c>
      <c r="B196" s="1838"/>
      <c r="C196" s="1838"/>
      <c r="D196" s="1839"/>
      <c r="E196" s="1818">
        <f>SUM(E192:E195)</f>
        <v>0</v>
      </c>
      <c r="F196" s="1818">
        <f>SUM(F192:F195)</f>
        <v>0</v>
      </c>
      <c r="G196" s="1818">
        <f>SUM(G192:G195)</f>
        <v>0</v>
      </c>
      <c r="H196" s="1822" t="e">
        <f>G196/F196*100</f>
        <v>#DIV/0!</v>
      </c>
      <c r="I196" s="1829"/>
    </row>
    <row r="197" spans="1:9" hidden="1" x14ac:dyDescent="0.2">
      <c r="I197" s="1829"/>
    </row>
    <row r="198" spans="1:9" ht="15" hidden="1" x14ac:dyDescent="0.25">
      <c r="A198" s="1808" t="s">
        <v>1619</v>
      </c>
      <c r="D198" s="1802"/>
      <c r="E198" s="1803"/>
      <c r="H198" s="1829"/>
      <c r="I198" s="1829"/>
    </row>
    <row r="199" spans="1:9" ht="15" hidden="1" x14ac:dyDescent="0.25">
      <c r="A199" s="1808" t="s">
        <v>869</v>
      </c>
      <c r="D199" s="1802"/>
      <c r="E199" s="1803"/>
      <c r="H199" s="1892" t="s">
        <v>161</v>
      </c>
      <c r="I199" s="1829"/>
    </row>
    <row r="200" spans="1:9" ht="25.5" hidden="1" thickTop="1" thickBot="1" x14ac:dyDescent="0.25">
      <c r="A200" s="1809" t="s">
        <v>162</v>
      </c>
      <c r="B200" s="1810" t="s">
        <v>761</v>
      </c>
      <c r="C200" s="1810" t="s">
        <v>377</v>
      </c>
      <c r="D200" s="1811" t="s">
        <v>164</v>
      </c>
      <c r="E200" s="1833" t="s">
        <v>632</v>
      </c>
      <c r="F200" s="1833" t="s">
        <v>633</v>
      </c>
      <c r="G200" s="1834" t="s">
        <v>882</v>
      </c>
      <c r="H200" s="1835" t="s">
        <v>883</v>
      </c>
      <c r="I200" s="1829"/>
    </row>
    <row r="201" spans="1:9" ht="14.25" hidden="1" thickTop="1" thickBot="1" x14ac:dyDescent="0.25">
      <c r="A201" s="1643">
        <v>1</v>
      </c>
      <c r="B201" s="1642">
        <v>2</v>
      </c>
      <c r="C201" s="1642">
        <v>3</v>
      </c>
      <c r="D201" s="1642">
        <v>5</v>
      </c>
      <c r="E201" s="1641">
        <v>6</v>
      </c>
      <c r="F201" s="1641">
        <v>7</v>
      </c>
      <c r="G201" s="1877">
        <v>8</v>
      </c>
      <c r="H201" s="1814" t="s">
        <v>762</v>
      </c>
      <c r="I201" s="1829"/>
    </row>
    <row r="202" spans="1:9" ht="30.75" hidden="1" thickTop="1" x14ac:dyDescent="0.2">
      <c r="A202" s="1896">
        <v>3299</v>
      </c>
      <c r="B202" s="1923">
        <v>5336</v>
      </c>
      <c r="C202" s="1903">
        <v>32133006</v>
      </c>
      <c r="D202" s="1836" t="s">
        <v>1263</v>
      </c>
      <c r="E202" s="1832">
        <v>0</v>
      </c>
      <c r="F202" s="1832"/>
      <c r="G202" s="1888"/>
      <c r="H202" s="1819" t="e">
        <f>G202/F202*100</f>
        <v>#DIV/0!</v>
      </c>
      <c r="I202" s="1829"/>
    </row>
    <row r="203" spans="1:9" ht="30" hidden="1" x14ac:dyDescent="0.2">
      <c r="A203" s="1896">
        <v>3299</v>
      </c>
      <c r="B203" s="1923">
        <v>5336</v>
      </c>
      <c r="C203" s="1903">
        <v>32533006</v>
      </c>
      <c r="D203" s="1836" t="s">
        <v>1263</v>
      </c>
      <c r="E203" s="1845">
        <v>0</v>
      </c>
      <c r="F203" s="1845"/>
      <c r="G203" s="1885"/>
      <c r="H203" s="1821" t="e">
        <f>G203/F203*100</f>
        <v>#DIV/0!</v>
      </c>
      <c r="I203" s="1829"/>
    </row>
    <row r="204" spans="1:9" ht="30" hidden="1" x14ac:dyDescent="0.2">
      <c r="A204" s="1896">
        <v>3299</v>
      </c>
      <c r="B204" s="1903">
        <v>6351</v>
      </c>
      <c r="C204" s="1903">
        <v>32133006</v>
      </c>
      <c r="D204" s="1836" t="s">
        <v>1277</v>
      </c>
      <c r="E204" s="1845">
        <v>0</v>
      </c>
      <c r="F204" s="1845">
        <v>0</v>
      </c>
      <c r="G204" s="1885">
        <v>0</v>
      </c>
      <c r="H204" s="1821" t="e">
        <f>G204/F204*100</f>
        <v>#DIV/0!</v>
      </c>
      <c r="I204" s="1829"/>
    </row>
    <row r="205" spans="1:9" ht="30" hidden="1" x14ac:dyDescent="0.2">
      <c r="A205" s="1896">
        <v>3299</v>
      </c>
      <c r="B205" s="1903">
        <v>6351</v>
      </c>
      <c r="C205" s="1903">
        <v>32533006</v>
      </c>
      <c r="D205" s="1836" t="s">
        <v>1277</v>
      </c>
      <c r="E205" s="1845">
        <v>0</v>
      </c>
      <c r="F205" s="1845">
        <v>0</v>
      </c>
      <c r="G205" s="1885">
        <v>0</v>
      </c>
      <c r="H205" s="1821" t="e">
        <f>G205/F205*100</f>
        <v>#DIV/0!</v>
      </c>
      <c r="I205" s="1829"/>
    </row>
    <row r="206" spans="1:9" ht="16.5" hidden="1" thickTop="1" thickBot="1" x14ac:dyDescent="0.3">
      <c r="A206" s="1837" t="s">
        <v>763</v>
      </c>
      <c r="B206" s="1838"/>
      <c r="C206" s="1838"/>
      <c r="D206" s="1839"/>
      <c r="E206" s="1818">
        <f>SUM(E202:E205)</f>
        <v>0</v>
      </c>
      <c r="F206" s="1818">
        <f>SUM(F202:F205)</f>
        <v>0</v>
      </c>
      <c r="G206" s="1818">
        <f>SUM(G202:G205)</f>
        <v>0</v>
      </c>
      <c r="H206" s="1822" t="e">
        <f>G206/F206*100</f>
        <v>#DIV/0!</v>
      </c>
      <c r="I206" s="1829"/>
    </row>
    <row r="207" spans="1:9" x14ac:dyDescent="0.2">
      <c r="I207" s="1829"/>
    </row>
    <row r="208" spans="1:9" ht="15" hidden="1" x14ac:dyDescent="0.25">
      <c r="A208" s="1808" t="s">
        <v>267</v>
      </c>
      <c r="D208" s="1802"/>
      <c r="E208" s="1803"/>
      <c r="H208" s="1829"/>
      <c r="I208" s="1829"/>
    </row>
    <row r="209" spans="1:12" ht="15" hidden="1" x14ac:dyDescent="0.25">
      <c r="A209" s="1808" t="s">
        <v>268</v>
      </c>
      <c r="D209" s="1802"/>
      <c r="E209" s="1803"/>
      <c r="H209" s="1829" t="s">
        <v>161</v>
      </c>
      <c r="I209" s="1829"/>
    </row>
    <row r="210" spans="1:12" ht="25.5" hidden="1" thickTop="1" thickBot="1" x14ac:dyDescent="0.25">
      <c r="A210" s="1809" t="s">
        <v>162</v>
      </c>
      <c r="B210" s="1810" t="s">
        <v>761</v>
      </c>
      <c r="C210" s="1810" t="s">
        <v>377</v>
      </c>
      <c r="D210" s="1811" t="s">
        <v>164</v>
      </c>
      <c r="E210" s="1833" t="s">
        <v>632</v>
      </c>
      <c r="F210" s="1833" t="s">
        <v>633</v>
      </c>
      <c r="G210" s="1834" t="s">
        <v>882</v>
      </c>
      <c r="H210" s="1835" t="s">
        <v>883</v>
      </c>
      <c r="I210" s="1829"/>
    </row>
    <row r="211" spans="1:12" ht="14.25" hidden="1" thickTop="1" thickBot="1" x14ac:dyDescent="0.25">
      <c r="A211" s="1643">
        <v>1</v>
      </c>
      <c r="B211" s="1642">
        <v>2</v>
      </c>
      <c r="C211" s="1642">
        <v>3</v>
      </c>
      <c r="D211" s="1642">
        <v>5</v>
      </c>
      <c r="E211" s="1641">
        <v>6</v>
      </c>
      <c r="F211" s="1641">
        <v>7</v>
      </c>
      <c r="G211" s="1877">
        <v>8</v>
      </c>
      <c r="H211" s="1814" t="s">
        <v>762</v>
      </c>
      <c r="I211" s="1829"/>
    </row>
    <row r="212" spans="1:12" ht="30.75" hidden="1" thickTop="1" x14ac:dyDescent="0.2">
      <c r="A212" s="1896">
        <v>3299</v>
      </c>
      <c r="B212" s="1903">
        <v>5222</v>
      </c>
      <c r="C212" s="1903">
        <v>32133006</v>
      </c>
      <c r="D212" s="1836" t="s">
        <v>221</v>
      </c>
      <c r="E212" s="1832">
        <v>0</v>
      </c>
      <c r="F212" s="1832">
        <v>0</v>
      </c>
      <c r="G212" s="1888">
        <v>0</v>
      </c>
      <c r="H212" s="1819" t="e">
        <f>G212/F212*100</f>
        <v>#DIV/0!</v>
      </c>
      <c r="I212" s="1829"/>
    </row>
    <row r="213" spans="1:12" ht="30" hidden="1" x14ac:dyDescent="0.2">
      <c r="A213" s="1896">
        <v>3299</v>
      </c>
      <c r="B213" s="1903">
        <v>5222</v>
      </c>
      <c r="C213" s="1903">
        <v>32533006</v>
      </c>
      <c r="D213" s="1836" t="s">
        <v>221</v>
      </c>
      <c r="E213" s="1845">
        <v>0</v>
      </c>
      <c r="F213" s="1845">
        <v>0</v>
      </c>
      <c r="G213" s="1885">
        <v>0</v>
      </c>
      <c r="H213" s="1821" t="e">
        <f>G213/F213*100</f>
        <v>#DIV/0!</v>
      </c>
      <c r="I213" s="1829"/>
    </row>
    <row r="214" spans="1:12" ht="30" hidden="1" x14ac:dyDescent="0.2">
      <c r="A214" s="1896">
        <v>3299</v>
      </c>
      <c r="B214" s="1903">
        <v>6351</v>
      </c>
      <c r="C214" s="1903">
        <v>32133006</v>
      </c>
      <c r="D214" s="1836" t="s">
        <v>1277</v>
      </c>
      <c r="E214" s="1845">
        <v>0</v>
      </c>
      <c r="F214" s="1845">
        <v>0</v>
      </c>
      <c r="G214" s="1885">
        <v>0</v>
      </c>
      <c r="H214" s="1821" t="e">
        <f>G214/F214*100</f>
        <v>#DIV/0!</v>
      </c>
      <c r="I214" s="1829"/>
    </row>
    <row r="215" spans="1:12" ht="30" hidden="1" x14ac:dyDescent="0.2">
      <c r="A215" s="1896">
        <v>3299</v>
      </c>
      <c r="B215" s="1903">
        <v>6351</v>
      </c>
      <c r="C215" s="1903">
        <v>32533006</v>
      </c>
      <c r="D215" s="1836" t="s">
        <v>1277</v>
      </c>
      <c r="E215" s="1845">
        <v>0</v>
      </c>
      <c r="F215" s="1845">
        <v>0</v>
      </c>
      <c r="G215" s="1885">
        <v>0</v>
      </c>
      <c r="H215" s="1821" t="e">
        <f>G215/F215*100</f>
        <v>#DIV/0!</v>
      </c>
      <c r="I215" s="1829"/>
    </row>
    <row r="216" spans="1:12" ht="16.5" hidden="1" thickTop="1" thickBot="1" x14ac:dyDescent="0.3">
      <c r="A216" s="1837" t="s">
        <v>763</v>
      </c>
      <c r="B216" s="1838"/>
      <c r="C216" s="1838"/>
      <c r="D216" s="1839"/>
      <c r="E216" s="1818">
        <f>SUM(E212:E215)</f>
        <v>0</v>
      </c>
      <c r="F216" s="1818">
        <f>SUM(F212:F215)</f>
        <v>0</v>
      </c>
      <c r="G216" s="1818">
        <f>SUM(G212:G215)</f>
        <v>0</v>
      </c>
      <c r="H216" s="1822" t="e">
        <f>G216/F216*100</f>
        <v>#DIV/0!</v>
      </c>
      <c r="I216" s="1829"/>
    </row>
    <row r="217" spans="1:12" hidden="1" x14ac:dyDescent="0.2">
      <c r="I217" s="1829"/>
    </row>
    <row r="218" spans="1:12" ht="4.5" customHeight="1" x14ac:dyDescent="0.2">
      <c r="I218" s="1829"/>
    </row>
    <row r="219" spans="1:12" hidden="1" x14ac:dyDescent="0.2">
      <c r="I219" s="1829"/>
    </row>
    <row r="220" spans="1:12" hidden="1" x14ac:dyDescent="0.2">
      <c r="I220" s="1829"/>
    </row>
    <row r="222" spans="1:12" ht="16.5" x14ac:dyDescent="0.25">
      <c r="A222" s="1860" t="s">
        <v>465</v>
      </c>
      <c r="B222" s="1861"/>
      <c r="C222" s="1862"/>
      <c r="D222" s="1863"/>
      <c r="E222" s="1864">
        <f>SUM(E223:E225)</f>
        <v>0</v>
      </c>
      <c r="F222" s="1864">
        <f>F223+F224+F225+F226</f>
        <v>12571</v>
      </c>
      <c r="G222" s="1864">
        <f>G223+G224+G225+G226</f>
        <v>594</v>
      </c>
      <c r="H222" s="1884">
        <f>G222/F222*100</f>
        <v>4.7251610850369898</v>
      </c>
      <c r="J222" s="1866">
        <f>J223+J224+J225</f>
        <v>0</v>
      </c>
      <c r="K222" s="1866">
        <f>K223+K224+K225</f>
        <v>12570690.16</v>
      </c>
      <c r="L222" s="1866">
        <f>L223+L224+L225</f>
        <v>593485.17000000004</v>
      </c>
    </row>
    <row r="223" spans="1:12" ht="15" x14ac:dyDescent="0.2">
      <c r="A223" s="1600" t="s">
        <v>263</v>
      </c>
      <c r="B223" s="1603"/>
      <c r="C223" s="1598"/>
      <c r="D223" s="1867"/>
      <c r="E223" s="1601">
        <f>E10+E11+E12+E13+E14+E15+E16+E17+E18+E19+E20+E21+E33+E51+E52+E61+E62+E102+E103+E112+E113+E122+E123+E182+E183+E192+E193+E202+E203</f>
        <v>0</v>
      </c>
      <c r="F223" s="1601">
        <f>F10+F11+F12+F13+F14+F15+F16+F17+F18+F19+F20+F21+F33+F51+F52+F61+F62+F102+F103+F112+F113+F122+F123+F182+F183+F192+F193+F202+F203+F30</f>
        <v>9935</v>
      </c>
      <c r="G223" s="1601">
        <f>G10+G11+G12+G13+G14+G15+G16+G17+G18+G19+G20+G21+G33+G51+G52+G61+G62+G102+G103+G112+G113+G122+G123+G182+G183+G192+G193+G202+G203+G30</f>
        <v>594</v>
      </c>
      <c r="H223" s="1883">
        <f>G223/F223*100</f>
        <v>5.9788626069451434</v>
      </c>
      <c r="J223" s="1868">
        <v>0</v>
      </c>
      <c r="K223" s="1868">
        <v>9934569.9600000009</v>
      </c>
      <c r="L223" s="1868">
        <v>593485.17000000004</v>
      </c>
    </row>
    <row r="224" spans="1:12" ht="15" x14ac:dyDescent="0.2">
      <c r="A224" s="1600" t="s">
        <v>264</v>
      </c>
      <c r="B224" s="1599"/>
      <c r="C224" s="1598"/>
      <c r="D224" s="1869"/>
      <c r="E224" s="1601">
        <f>E31+E32</f>
        <v>0</v>
      </c>
      <c r="F224" s="1601">
        <f>F31+F32</f>
        <v>2636</v>
      </c>
      <c r="G224" s="1601">
        <f>G31+G32</f>
        <v>0</v>
      </c>
      <c r="H224" s="1883">
        <v>0</v>
      </c>
      <c r="J224" s="1868">
        <v>0</v>
      </c>
      <c r="K224" s="1868">
        <v>2636120.2000000002</v>
      </c>
      <c r="L224" s="1868">
        <v>0</v>
      </c>
    </row>
    <row r="225" spans="1:12" ht="15" x14ac:dyDescent="0.2">
      <c r="A225" s="1600" t="s">
        <v>466</v>
      </c>
      <c r="B225" s="1599"/>
      <c r="C225" s="1598"/>
      <c r="D225" s="1869"/>
      <c r="E225" s="1601">
        <v>0</v>
      </c>
      <c r="F225" s="1601">
        <v>0</v>
      </c>
      <c r="G225" s="1601">
        <v>0</v>
      </c>
      <c r="H225" s="1883">
        <v>0</v>
      </c>
      <c r="J225" s="1868">
        <v>0</v>
      </c>
      <c r="K225" s="1868">
        <v>0</v>
      </c>
      <c r="L225" s="1868">
        <v>0</v>
      </c>
    </row>
    <row r="226" spans="1:12" ht="15" x14ac:dyDescent="0.2">
      <c r="A226" s="1600"/>
      <c r="B226" s="1599"/>
      <c r="C226" s="1598"/>
      <c r="D226" s="1869"/>
      <c r="E226" s="1601"/>
      <c r="F226" s="1601"/>
      <c r="G226" s="1601"/>
      <c r="H226" s="1597"/>
    </row>
    <row r="227" spans="1:12" ht="70.5" customHeight="1" thickBot="1" x14ac:dyDescent="0.4">
      <c r="A227" s="2741" t="s">
        <v>303</v>
      </c>
      <c r="B227" s="2756"/>
      <c r="C227" s="2756"/>
      <c r="D227" s="2756"/>
      <c r="E227" s="1591">
        <f>SUM(E222)</f>
        <v>0</v>
      </c>
      <c r="F227" s="1591">
        <f>SUM(F222)</f>
        <v>12571</v>
      </c>
      <c r="G227" s="1591">
        <f>SUM(G222)</f>
        <v>594</v>
      </c>
      <c r="H227" s="1590">
        <f>(G227/F227)*100</f>
        <v>4.7251610850369898</v>
      </c>
    </row>
    <row r="228" spans="1:12" ht="13.5" thickTop="1" x14ac:dyDescent="0.2"/>
    <row r="348" spans="1:5" ht="13.5" thickBot="1" x14ac:dyDescent="0.25">
      <c r="A348" s="1840"/>
      <c r="B348" s="1840"/>
      <c r="C348" s="1840"/>
      <c r="D348" s="1911"/>
      <c r="E348" s="1912"/>
    </row>
    <row r="349" spans="1:5" ht="13.5" thickTop="1" x14ac:dyDescent="0.2">
      <c r="A349" s="1858"/>
      <c r="B349" s="1858"/>
      <c r="C349" s="1858"/>
      <c r="D349" s="1850"/>
      <c r="E349" s="1913"/>
    </row>
    <row r="350" spans="1:5" x14ac:dyDescent="0.2">
      <c r="D350" s="1803" t="e">
        <f>#REF!+#REF!</f>
        <v>#REF!</v>
      </c>
    </row>
  </sheetData>
  <mergeCells count="3">
    <mergeCell ref="A1:H1"/>
    <mergeCell ref="A34:D34"/>
    <mergeCell ref="A227:D227"/>
  </mergeCells>
  <pageMargins left="0.98425196850393704" right="0.98425196850393704" top="0.98425196850393704" bottom="0.98425196850393704" header="0.51181102362204722" footer="0.51181102362204722"/>
  <pageSetup paperSize="9" scale="68" firstPageNumber="140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609"/>
  <sheetViews>
    <sheetView showGridLines="0" view="pageBreakPreview" topLeftCell="A465" zoomScaleNormal="100" zoomScaleSheetLayoutView="100" workbookViewId="0">
      <selection activeCell="I10" sqref="I10"/>
    </sheetView>
  </sheetViews>
  <sheetFormatPr defaultRowHeight="12.75" x14ac:dyDescent="0.2"/>
  <cols>
    <col min="1" max="1" width="5" style="1802" customWidth="1"/>
    <col min="2" max="2" width="6.140625" style="1802" customWidth="1"/>
    <col min="3" max="3" width="9.140625" style="1802" customWidth="1"/>
    <col min="4" max="4" width="42.140625" style="1803" customWidth="1"/>
    <col min="5" max="5" width="12.85546875" style="1829" customWidth="1"/>
    <col min="6" max="6" width="15.85546875" style="1829" customWidth="1"/>
    <col min="7" max="7" width="14.5703125" style="1829" customWidth="1"/>
    <col min="8" max="8" width="10" style="1803" customWidth="1"/>
    <col min="9" max="9" width="12.7109375" style="1803" bestFit="1" customWidth="1"/>
    <col min="10" max="10" width="20.7109375" style="1803" customWidth="1"/>
    <col min="11" max="11" width="20.140625" style="1803" customWidth="1"/>
    <col min="12" max="12" width="20.85546875" style="1803" customWidth="1"/>
    <col min="13" max="256" width="9.140625" style="1803"/>
    <col min="257" max="257" width="4.7109375" style="1803" customWidth="1"/>
    <col min="258" max="258" width="6.140625" style="1803" customWidth="1"/>
    <col min="259" max="259" width="8.7109375" style="1803" customWidth="1"/>
    <col min="260" max="260" width="42.140625" style="1803" customWidth="1"/>
    <col min="261" max="261" width="12.85546875" style="1803" customWidth="1"/>
    <col min="262" max="262" width="15.85546875" style="1803" customWidth="1"/>
    <col min="263" max="263" width="14.5703125" style="1803" customWidth="1"/>
    <col min="264" max="264" width="8.28515625" style="1803" customWidth="1"/>
    <col min="265" max="265" width="12.7109375" style="1803" bestFit="1" customWidth="1"/>
    <col min="266" max="266" width="20.7109375" style="1803" customWidth="1"/>
    <col min="267" max="267" width="20.140625" style="1803" customWidth="1"/>
    <col min="268" max="268" width="20.85546875" style="1803" customWidth="1"/>
    <col min="269" max="512" width="9.140625" style="1803"/>
    <col min="513" max="513" width="4.7109375" style="1803" customWidth="1"/>
    <col min="514" max="514" width="6.140625" style="1803" customWidth="1"/>
    <col min="515" max="515" width="8.7109375" style="1803" customWidth="1"/>
    <col min="516" max="516" width="42.140625" style="1803" customWidth="1"/>
    <col min="517" max="517" width="12.85546875" style="1803" customWidth="1"/>
    <col min="518" max="518" width="15.85546875" style="1803" customWidth="1"/>
    <col min="519" max="519" width="14.5703125" style="1803" customWidth="1"/>
    <col min="520" max="520" width="8.28515625" style="1803" customWidth="1"/>
    <col min="521" max="521" width="12.7109375" style="1803" bestFit="1" customWidth="1"/>
    <col min="522" max="522" width="20.7109375" style="1803" customWidth="1"/>
    <col min="523" max="523" width="20.140625" style="1803" customWidth="1"/>
    <col min="524" max="524" width="20.85546875" style="1803" customWidth="1"/>
    <col min="525" max="768" width="9.140625" style="1803"/>
    <col min="769" max="769" width="4.7109375" style="1803" customWidth="1"/>
    <col min="770" max="770" width="6.140625" style="1803" customWidth="1"/>
    <col min="771" max="771" width="8.7109375" style="1803" customWidth="1"/>
    <col min="772" max="772" width="42.140625" style="1803" customWidth="1"/>
    <col min="773" max="773" width="12.85546875" style="1803" customWidth="1"/>
    <col min="774" max="774" width="15.85546875" style="1803" customWidth="1"/>
    <col min="775" max="775" width="14.5703125" style="1803" customWidth="1"/>
    <col min="776" max="776" width="8.28515625" style="1803" customWidth="1"/>
    <col min="777" max="777" width="12.7109375" style="1803" bestFit="1" customWidth="1"/>
    <col min="778" max="778" width="20.7109375" style="1803" customWidth="1"/>
    <col min="779" max="779" width="20.140625" style="1803" customWidth="1"/>
    <col min="780" max="780" width="20.85546875" style="1803" customWidth="1"/>
    <col min="781" max="1024" width="9.140625" style="1803"/>
    <col min="1025" max="1025" width="4.7109375" style="1803" customWidth="1"/>
    <col min="1026" max="1026" width="6.140625" style="1803" customWidth="1"/>
    <col min="1027" max="1027" width="8.7109375" style="1803" customWidth="1"/>
    <col min="1028" max="1028" width="42.140625" style="1803" customWidth="1"/>
    <col min="1029" max="1029" width="12.85546875" style="1803" customWidth="1"/>
    <col min="1030" max="1030" width="15.85546875" style="1803" customWidth="1"/>
    <col min="1031" max="1031" width="14.5703125" style="1803" customWidth="1"/>
    <col min="1032" max="1032" width="8.28515625" style="1803" customWidth="1"/>
    <col min="1033" max="1033" width="12.7109375" style="1803" bestFit="1" customWidth="1"/>
    <col min="1034" max="1034" width="20.7109375" style="1803" customWidth="1"/>
    <col min="1035" max="1035" width="20.140625" style="1803" customWidth="1"/>
    <col min="1036" max="1036" width="20.85546875" style="1803" customWidth="1"/>
    <col min="1037" max="1280" width="9.140625" style="1803"/>
    <col min="1281" max="1281" width="4.7109375" style="1803" customWidth="1"/>
    <col min="1282" max="1282" width="6.140625" style="1803" customWidth="1"/>
    <col min="1283" max="1283" width="8.7109375" style="1803" customWidth="1"/>
    <col min="1284" max="1284" width="42.140625" style="1803" customWidth="1"/>
    <col min="1285" max="1285" width="12.85546875" style="1803" customWidth="1"/>
    <col min="1286" max="1286" width="15.85546875" style="1803" customWidth="1"/>
    <col min="1287" max="1287" width="14.5703125" style="1803" customWidth="1"/>
    <col min="1288" max="1288" width="8.28515625" style="1803" customWidth="1"/>
    <col min="1289" max="1289" width="12.7109375" style="1803" bestFit="1" customWidth="1"/>
    <col min="1290" max="1290" width="20.7109375" style="1803" customWidth="1"/>
    <col min="1291" max="1291" width="20.140625" style="1803" customWidth="1"/>
    <col min="1292" max="1292" width="20.85546875" style="1803" customWidth="1"/>
    <col min="1293" max="1536" width="9.140625" style="1803"/>
    <col min="1537" max="1537" width="4.7109375" style="1803" customWidth="1"/>
    <col min="1538" max="1538" width="6.140625" style="1803" customWidth="1"/>
    <col min="1539" max="1539" width="8.7109375" style="1803" customWidth="1"/>
    <col min="1540" max="1540" width="42.140625" style="1803" customWidth="1"/>
    <col min="1541" max="1541" width="12.85546875" style="1803" customWidth="1"/>
    <col min="1542" max="1542" width="15.85546875" style="1803" customWidth="1"/>
    <col min="1543" max="1543" width="14.5703125" style="1803" customWidth="1"/>
    <col min="1544" max="1544" width="8.28515625" style="1803" customWidth="1"/>
    <col min="1545" max="1545" width="12.7109375" style="1803" bestFit="1" customWidth="1"/>
    <col min="1546" max="1546" width="20.7109375" style="1803" customWidth="1"/>
    <col min="1547" max="1547" width="20.140625" style="1803" customWidth="1"/>
    <col min="1548" max="1548" width="20.85546875" style="1803" customWidth="1"/>
    <col min="1549" max="1792" width="9.140625" style="1803"/>
    <col min="1793" max="1793" width="4.7109375" style="1803" customWidth="1"/>
    <col min="1794" max="1794" width="6.140625" style="1803" customWidth="1"/>
    <col min="1795" max="1795" width="8.7109375" style="1803" customWidth="1"/>
    <col min="1796" max="1796" width="42.140625" style="1803" customWidth="1"/>
    <col min="1797" max="1797" width="12.85546875" style="1803" customWidth="1"/>
    <col min="1798" max="1798" width="15.85546875" style="1803" customWidth="1"/>
    <col min="1799" max="1799" width="14.5703125" style="1803" customWidth="1"/>
    <col min="1800" max="1800" width="8.28515625" style="1803" customWidth="1"/>
    <col min="1801" max="1801" width="12.7109375" style="1803" bestFit="1" customWidth="1"/>
    <col min="1802" max="1802" width="20.7109375" style="1803" customWidth="1"/>
    <col min="1803" max="1803" width="20.140625" style="1803" customWidth="1"/>
    <col min="1804" max="1804" width="20.85546875" style="1803" customWidth="1"/>
    <col min="1805" max="2048" width="9.140625" style="1803"/>
    <col min="2049" max="2049" width="4.7109375" style="1803" customWidth="1"/>
    <col min="2050" max="2050" width="6.140625" style="1803" customWidth="1"/>
    <col min="2051" max="2051" width="8.7109375" style="1803" customWidth="1"/>
    <col min="2052" max="2052" width="42.140625" style="1803" customWidth="1"/>
    <col min="2053" max="2053" width="12.85546875" style="1803" customWidth="1"/>
    <col min="2054" max="2054" width="15.85546875" style="1803" customWidth="1"/>
    <col min="2055" max="2055" width="14.5703125" style="1803" customWidth="1"/>
    <col min="2056" max="2056" width="8.28515625" style="1803" customWidth="1"/>
    <col min="2057" max="2057" width="12.7109375" style="1803" bestFit="1" customWidth="1"/>
    <col min="2058" max="2058" width="20.7109375" style="1803" customWidth="1"/>
    <col min="2059" max="2059" width="20.140625" style="1803" customWidth="1"/>
    <col min="2060" max="2060" width="20.85546875" style="1803" customWidth="1"/>
    <col min="2061" max="2304" width="9.140625" style="1803"/>
    <col min="2305" max="2305" width="4.7109375" style="1803" customWidth="1"/>
    <col min="2306" max="2306" width="6.140625" style="1803" customWidth="1"/>
    <col min="2307" max="2307" width="8.7109375" style="1803" customWidth="1"/>
    <col min="2308" max="2308" width="42.140625" style="1803" customWidth="1"/>
    <col min="2309" max="2309" width="12.85546875" style="1803" customWidth="1"/>
    <col min="2310" max="2310" width="15.85546875" style="1803" customWidth="1"/>
    <col min="2311" max="2311" width="14.5703125" style="1803" customWidth="1"/>
    <col min="2312" max="2312" width="8.28515625" style="1803" customWidth="1"/>
    <col min="2313" max="2313" width="12.7109375" style="1803" bestFit="1" customWidth="1"/>
    <col min="2314" max="2314" width="20.7109375" style="1803" customWidth="1"/>
    <col min="2315" max="2315" width="20.140625" style="1803" customWidth="1"/>
    <col min="2316" max="2316" width="20.85546875" style="1803" customWidth="1"/>
    <col min="2317" max="2560" width="9.140625" style="1803"/>
    <col min="2561" max="2561" width="4.7109375" style="1803" customWidth="1"/>
    <col min="2562" max="2562" width="6.140625" style="1803" customWidth="1"/>
    <col min="2563" max="2563" width="8.7109375" style="1803" customWidth="1"/>
    <col min="2564" max="2564" width="42.140625" style="1803" customWidth="1"/>
    <col min="2565" max="2565" width="12.85546875" style="1803" customWidth="1"/>
    <col min="2566" max="2566" width="15.85546875" style="1803" customWidth="1"/>
    <col min="2567" max="2567" width="14.5703125" style="1803" customWidth="1"/>
    <col min="2568" max="2568" width="8.28515625" style="1803" customWidth="1"/>
    <col min="2569" max="2569" width="12.7109375" style="1803" bestFit="1" customWidth="1"/>
    <col min="2570" max="2570" width="20.7109375" style="1803" customWidth="1"/>
    <col min="2571" max="2571" width="20.140625" style="1803" customWidth="1"/>
    <col min="2572" max="2572" width="20.85546875" style="1803" customWidth="1"/>
    <col min="2573" max="2816" width="9.140625" style="1803"/>
    <col min="2817" max="2817" width="4.7109375" style="1803" customWidth="1"/>
    <col min="2818" max="2818" width="6.140625" style="1803" customWidth="1"/>
    <col min="2819" max="2819" width="8.7109375" style="1803" customWidth="1"/>
    <col min="2820" max="2820" width="42.140625" style="1803" customWidth="1"/>
    <col min="2821" max="2821" width="12.85546875" style="1803" customWidth="1"/>
    <col min="2822" max="2822" width="15.85546875" style="1803" customWidth="1"/>
    <col min="2823" max="2823" width="14.5703125" style="1803" customWidth="1"/>
    <col min="2824" max="2824" width="8.28515625" style="1803" customWidth="1"/>
    <col min="2825" max="2825" width="12.7109375" style="1803" bestFit="1" customWidth="1"/>
    <col min="2826" max="2826" width="20.7109375" style="1803" customWidth="1"/>
    <col min="2827" max="2827" width="20.140625" style="1803" customWidth="1"/>
    <col min="2828" max="2828" width="20.85546875" style="1803" customWidth="1"/>
    <col min="2829" max="3072" width="9.140625" style="1803"/>
    <col min="3073" max="3073" width="4.7109375" style="1803" customWidth="1"/>
    <col min="3074" max="3074" width="6.140625" style="1803" customWidth="1"/>
    <col min="3075" max="3075" width="8.7109375" style="1803" customWidth="1"/>
    <col min="3076" max="3076" width="42.140625" style="1803" customWidth="1"/>
    <col min="3077" max="3077" width="12.85546875" style="1803" customWidth="1"/>
    <col min="3078" max="3078" width="15.85546875" style="1803" customWidth="1"/>
    <col min="3079" max="3079" width="14.5703125" style="1803" customWidth="1"/>
    <col min="3080" max="3080" width="8.28515625" style="1803" customWidth="1"/>
    <col min="3081" max="3081" width="12.7109375" style="1803" bestFit="1" customWidth="1"/>
    <col min="3082" max="3082" width="20.7109375" style="1803" customWidth="1"/>
    <col min="3083" max="3083" width="20.140625" style="1803" customWidth="1"/>
    <col min="3084" max="3084" width="20.85546875" style="1803" customWidth="1"/>
    <col min="3085" max="3328" width="9.140625" style="1803"/>
    <col min="3329" max="3329" width="4.7109375" style="1803" customWidth="1"/>
    <col min="3330" max="3330" width="6.140625" style="1803" customWidth="1"/>
    <col min="3331" max="3331" width="8.7109375" style="1803" customWidth="1"/>
    <col min="3332" max="3332" width="42.140625" style="1803" customWidth="1"/>
    <col min="3333" max="3333" width="12.85546875" style="1803" customWidth="1"/>
    <col min="3334" max="3334" width="15.85546875" style="1803" customWidth="1"/>
    <col min="3335" max="3335" width="14.5703125" style="1803" customWidth="1"/>
    <col min="3336" max="3336" width="8.28515625" style="1803" customWidth="1"/>
    <col min="3337" max="3337" width="12.7109375" style="1803" bestFit="1" customWidth="1"/>
    <col min="3338" max="3338" width="20.7109375" style="1803" customWidth="1"/>
    <col min="3339" max="3339" width="20.140625" style="1803" customWidth="1"/>
    <col min="3340" max="3340" width="20.85546875" style="1803" customWidth="1"/>
    <col min="3341" max="3584" width="9.140625" style="1803"/>
    <col min="3585" max="3585" width="4.7109375" style="1803" customWidth="1"/>
    <col min="3586" max="3586" width="6.140625" style="1803" customWidth="1"/>
    <col min="3587" max="3587" width="8.7109375" style="1803" customWidth="1"/>
    <col min="3588" max="3588" width="42.140625" style="1803" customWidth="1"/>
    <col min="3589" max="3589" width="12.85546875" style="1803" customWidth="1"/>
    <col min="3590" max="3590" width="15.85546875" style="1803" customWidth="1"/>
    <col min="3591" max="3591" width="14.5703125" style="1803" customWidth="1"/>
    <col min="3592" max="3592" width="8.28515625" style="1803" customWidth="1"/>
    <col min="3593" max="3593" width="12.7109375" style="1803" bestFit="1" customWidth="1"/>
    <col min="3594" max="3594" width="20.7109375" style="1803" customWidth="1"/>
    <col min="3595" max="3595" width="20.140625" style="1803" customWidth="1"/>
    <col min="3596" max="3596" width="20.85546875" style="1803" customWidth="1"/>
    <col min="3597" max="3840" width="9.140625" style="1803"/>
    <col min="3841" max="3841" width="4.7109375" style="1803" customWidth="1"/>
    <col min="3842" max="3842" width="6.140625" style="1803" customWidth="1"/>
    <col min="3843" max="3843" width="8.7109375" style="1803" customWidth="1"/>
    <col min="3844" max="3844" width="42.140625" style="1803" customWidth="1"/>
    <col min="3845" max="3845" width="12.85546875" style="1803" customWidth="1"/>
    <col min="3846" max="3846" width="15.85546875" style="1803" customWidth="1"/>
    <col min="3847" max="3847" width="14.5703125" style="1803" customWidth="1"/>
    <col min="3848" max="3848" width="8.28515625" style="1803" customWidth="1"/>
    <col min="3849" max="3849" width="12.7109375" style="1803" bestFit="1" customWidth="1"/>
    <col min="3850" max="3850" width="20.7109375" style="1803" customWidth="1"/>
    <col min="3851" max="3851" width="20.140625" style="1803" customWidth="1"/>
    <col min="3852" max="3852" width="20.85546875" style="1803" customWidth="1"/>
    <col min="3853" max="4096" width="9.140625" style="1803"/>
    <col min="4097" max="4097" width="4.7109375" style="1803" customWidth="1"/>
    <col min="4098" max="4098" width="6.140625" style="1803" customWidth="1"/>
    <col min="4099" max="4099" width="8.7109375" style="1803" customWidth="1"/>
    <col min="4100" max="4100" width="42.140625" style="1803" customWidth="1"/>
    <col min="4101" max="4101" width="12.85546875" style="1803" customWidth="1"/>
    <col min="4102" max="4102" width="15.85546875" style="1803" customWidth="1"/>
    <col min="4103" max="4103" width="14.5703125" style="1803" customWidth="1"/>
    <col min="4104" max="4104" width="8.28515625" style="1803" customWidth="1"/>
    <col min="4105" max="4105" width="12.7109375" style="1803" bestFit="1" customWidth="1"/>
    <col min="4106" max="4106" width="20.7109375" style="1803" customWidth="1"/>
    <col min="4107" max="4107" width="20.140625" style="1803" customWidth="1"/>
    <col min="4108" max="4108" width="20.85546875" style="1803" customWidth="1"/>
    <col min="4109" max="4352" width="9.140625" style="1803"/>
    <col min="4353" max="4353" width="4.7109375" style="1803" customWidth="1"/>
    <col min="4354" max="4354" width="6.140625" style="1803" customWidth="1"/>
    <col min="4355" max="4355" width="8.7109375" style="1803" customWidth="1"/>
    <col min="4356" max="4356" width="42.140625" style="1803" customWidth="1"/>
    <col min="4357" max="4357" width="12.85546875" style="1803" customWidth="1"/>
    <col min="4358" max="4358" width="15.85546875" style="1803" customWidth="1"/>
    <col min="4359" max="4359" width="14.5703125" style="1803" customWidth="1"/>
    <col min="4360" max="4360" width="8.28515625" style="1803" customWidth="1"/>
    <col min="4361" max="4361" width="12.7109375" style="1803" bestFit="1" customWidth="1"/>
    <col min="4362" max="4362" width="20.7109375" style="1803" customWidth="1"/>
    <col min="4363" max="4363" width="20.140625" style="1803" customWidth="1"/>
    <col min="4364" max="4364" width="20.85546875" style="1803" customWidth="1"/>
    <col min="4365" max="4608" width="9.140625" style="1803"/>
    <col min="4609" max="4609" width="4.7109375" style="1803" customWidth="1"/>
    <col min="4610" max="4610" width="6.140625" style="1803" customWidth="1"/>
    <col min="4611" max="4611" width="8.7109375" style="1803" customWidth="1"/>
    <col min="4612" max="4612" width="42.140625" style="1803" customWidth="1"/>
    <col min="4613" max="4613" width="12.85546875" style="1803" customWidth="1"/>
    <col min="4614" max="4614" width="15.85546875" style="1803" customWidth="1"/>
    <col min="4615" max="4615" width="14.5703125" style="1803" customWidth="1"/>
    <col min="4616" max="4616" width="8.28515625" style="1803" customWidth="1"/>
    <col min="4617" max="4617" width="12.7109375" style="1803" bestFit="1" customWidth="1"/>
    <col min="4618" max="4618" width="20.7109375" style="1803" customWidth="1"/>
    <col min="4619" max="4619" width="20.140625" style="1803" customWidth="1"/>
    <col min="4620" max="4620" width="20.85546875" style="1803" customWidth="1"/>
    <col min="4621" max="4864" width="9.140625" style="1803"/>
    <col min="4865" max="4865" width="4.7109375" style="1803" customWidth="1"/>
    <col min="4866" max="4866" width="6.140625" style="1803" customWidth="1"/>
    <col min="4867" max="4867" width="8.7109375" style="1803" customWidth="1"/>
    <col min="4868" max="4868" width="42.140625" style="1803" customWidth="1"/>
    <col min="4869" max="4869" width="12.85546875" style="1803" customWidth="1"/>
    <col min="4870" max="4870" width="15.85546875" style="1803" customWidth="1"/>
    <col min="4871" max="4871" width="14.5703125" style="1803" customWidth="1"/>
    <col min="4872" max="4872" width="8.28515625" style="1803" customWidth="1"/>
    <col min="4873" max="4873" width="12.7109375" style="1803" bestFit="1" customWidth="1"/>
    <col min="4874" max="4874" width="20.7109375" style="1803" customWidth="1"/>
    <col min="4875" max="4875" width="20.140625" style="1803" customWidth="1"/>
    <col min="4876" max="4876" width="20.85546875" style="1803" customWidth="1"/>
    <col min="4877" max="5120" width="9.140625" style="1803"/>
    <col min="5121" max="5121" width="4.7109375" style="1803" customWidth="1"/>
    <col min="5122" max="5122" width="6.140625" style="1803" customWidth="1"/>
    <col min="5123" max="5123" width="8.7109375" style="1803" customWidth="1"/>
    <col min="5124" max="5124" width="42.140625" style="1803" customWidth="1"/>
    <col min="5125" max="5125" width="12.85546875" style="1803" customWidth="1"/>
    <col min="5126" max="5126" width="15.85546875" style="1803" customWidth="1"/>
    <col min="5127" max="5127" width="14.5703125" style="1803" customWidth="1"/>
    <col min="5128" max="5128" width="8.28515625" style="1803" customWidth="1"/>
    <col min="5129" max="5129" width="12.7109375" style="1803" bestFit="1" customWidth="1"/>
    <col min="5130" max="5130" width="20.7109375" style="1803" customWidth="1"/>
    <col min="5131" max="5131" width="20.140625" style="1803" customWidth="1"/>
    <col min="5132" max="5132" width="20.85546875" style="1803" customWidth="1"/>
    <col min="5133" max="5376" width="9.140625" style="1803"/>
    <col min="5377" max="5377" width="4.7109375" style="1803" customWidth="1"/>
    <col min="5378" max="5378" width="6.140625" style="1803" customWidth="1"/>
    <col min="5379" max="5379" width="8.7109375" style="1803" customWidth="1"/>
    <col min="5380" max="5380" width="42.140625" style="1803" customWidth="1"/>
    <col min="5381" max="5381" width="12.85546875" style="1803" customWidth="1"/>
    <col min="5382" max="5382" width="15.85546875" style="1803" customWidth="1"/>
    <col min="5383" max="5383" width="14.5703125" style="1803" customWidth="1"/>
    <col min="5384" max="5384" width="8.28515625" style="1803" customWidth="1"/>
    <col min="5385" max="5385" width="12.7109375" style="1803" bestFit="1" customWidth="1"/>
    <col min="5386" max="5386" width="20.7109375" style="1803" customWidth="1"/>
    <col min="5387" max="5387" width="20.140625" style="1803" customWidth="1"/>
    <col min="5388" max="5388" width="20.85546875" style="1803" customWidth="1"/>
    <col min="5389" max="5632" width="9.140625" style="1803"/>
    <col min="5633" max="5633" width="4.7109375" style="1803" customWidth="1"/>
    <col min="5634" max="5634" width="6.140625" style="1803" customWidth="1"/>
    <col min="5635" max="5635" width="8.7109375" style="1803" customWidth="1"/>
    <col min="5636" max="5636" width="42.140625" style="1803" customWidth="1"/>
    <col min="5637" max="5637" width="12.85546875" style="1803" customWidth="1"/>
    <col min="5638" max="5638" width="15.85546875" style="1803" customWidth="1"/>
    <col min="5639" max="5639" width="14.5703125" style="1803" customWidth="1"/>
    <col min="5640" max="5640" width="8.28515625" style="1803" customWidth="1"/>
    <col min="5641" max="5641" width="12.7109375" style="1803" bestFit="1" customWidth="1"/>
    <col min="5642" max="5642" width="20.7109375" style="1803" customWidth="1"/>
    <col min="5643" max="5643" width="20.140625" style="1803" customWidth="1"/>
    <col min="5644" max="5644" width="20.85546875" style="1803" customWidth="1"/>
    <col min="5645" max="5888" width="9.140625" style="1803"/>
    <col min="5889" max="5889" width="4.7109375" style="1803" customWidth="1"/>
    <col min="5890" max="5890" width="6.140625" style="1803" customWidth="1"/>
    <col min="5891" max="5891" width="8.7109375" style="1803" customWidth="1"/>
    <col min="5892" max="5892" width="42.140625" style="1803" customWidth="1"/>
    <col min="5893" max="5893" width="12.85546875" style="1803" customWidth="1"/>
    <col min="5894" max="5894" width="15.85546875" style="1803" customWidth="1"/>
    <col min="5895" max="5895" width="14.5703125" style="1803" customWidth="1"/>
    <col min="5896" max="5896" width="8.28515625" style="1803" customWidth="1"/>
    <col min="5897" max="5897" width="12.7109375" style="1803" bestFit="1" customWidth="1"/>
    <col min="5898" max="5898" width="20.7109375" style="1803" customWidth="1"/>
    <col min="5899" max="5899" width="20.140625" style="1803" customWidth="1"/>
    <col min="5900" max="5900" width="20.85546875" style="1803" customWidth="1"/>
    <col min="5901" max="6144" width="9.140625" style="1803"/>
    <col min="6145" max="6145" width="4.7109375" style="1803" customWidth="1"/>
    <col min="6146" max="6146" width="6.140625" style="1803" customWidth="1"/>
    <col min="6147" max="6147" width="8.7109375" style="1803" customWidth="1"/>
    <col min="6148" max="6148" width="42.140625" style="1803" customWidth="1"/>
    <col min="6149" max="6149" width="12.85546875" style="1803" customWidth="1"/>
    <col min="6150" max="6150" width="15.85546875" style="1803" customWidth="1"/>
    <col min="6151" max="6151" width="14.5703125" style="1803" customWidth="1"/>
    <col min="6152" max="6152" width="8.28515625" style="1803" customWidth="1"/>
    <col min="6153" max="6153" width="12.7109375" style="1803" bestFit="1" customWidth="1"/>
    <col min="6154" max="6154" width="20.7109375" style="1803" customWidth="1"/>
    <col min="6155" max="6155" width="20.140625" style="1803" customWidth="1"/>
    <col min="6156" max="6156" width="20.85546875" style="1803" customWidth="1"/>
    <col min="6157" max="6400" width="9.140625" style="1803"/>
    <col min="6401" max="6401" width="4.7109375" style="1803" customWidth="1"/>
    <col min="6402" max="6402" width="6.140625" style="1803" customWidth="1"/>
    <col min="6403" max="6403" width="8.7109375" style="1803" customWidth="1"/>
    <col min="6404" max="6404" width="42.140625" style="1803" customWidth="1"/>
    <col min="6405" max="6405" width="12.85546875" style="1803" customWidth="1"/>
    <col min="6406" max="6406" width="15.85546875" style="1803" customWidth="1"/>
    <col min="6407" max="6407" width="14.5703125" style="1803" customWidth="1"/>
    <col min="6408" max="6408" width="8.28515625" style="1803" customWidth="1"/>
    <col min="6409" max="6409" width="12.7109375" style="1803" bestFit="1" customWidth="1"/>
    <col min="6410" max="6410" width="20.7109375" style="1803" customWidth="1"/>
    <col min="6411" max="6411" width="20.140625" style="1803" customWidth="1"/>
    <col min="6412" max="6412" width="20.85546875" style="1803" customWidth="1"/>
    <col min="6413" max="6656" width="9.140625" style="1803"/>
    <col min="6657" max="6657" width="4.7109375" style="1803" customWidth="1"/>
    <col min="6658" max="6658" width="6.140625" style="1803" customWidth="1"/>
    <col min="6659" max="6659" width="8.7109375" style="1803" customWidth="1"/>
    <col min="6660" max="6660" width="42.140625" style="1803" customWidth="1"/>
    <col min="6661" max="6661" width="12.85546875" style="1803" customWidth="1"/>
    <col min="6662" max="6662" width="15.85546875" style="1803" customWidth="1"/>
    <col min="6663" max="6663" width="14.5703125" style="1803" customWidth="1"/>
    <col min="6664" max="6664" width="8.28515625" style="1803" customWidth="1"/>
    <col min="6665" max="6665" width="12.7109375" style="1803" bestFit="1" customWidth="1"/>
    <col min="6666" max="6666" width="20.7109375" style="1803" customWidth="1"/>
    <col min="6667" max="6667" width="20.140625" style="1803" customWidth="1"/>
    <col min="6668" max="6668" width="20.85546875" style="1803" customWidth="1"/>
    <col min="6669" max="6912" width="9.140625" style="1803"/>
    <col min="6913" max="6913" width="4.7109375" style="1803" customWidth="1"/>
    <col min="6914" max="6914" width="6.140625" style="1803" customWidth="1"/>
    <col min="6915" max="6915" width="8.7109375" style="1803" customWidth="1"/>
    <col min="6916" max="6916" width="42.140625" style="1803" customWidth="1"/>
    <col min="6917" max="6917" width="12.85546875" style="1803" customWidth="1"/>
    <col min="6918" max="6918" width="15.85546875" style="1803" customWidth="1"/>
    <col min="6919" max="6919" width="14.5703125" style="1803" customWidth="1"/>
    <col min="6920" max="6920" width="8.28515625" style="1803" customWidth="1"/>
    <col min="6921" max="6921" width="12.7109375" style="1803" bestFit="1" customWidth="1"/>
    <col min="6922" max="6922" width="20.7109375" style="1803" customWidth="1"/>
    <col min="6923" max="6923" width="20.140625" style="1803" customWidth="1"/>
    <col min="6924" max="6924" width="20.85546875" style="1803" customWidth="1"/>
    <col min="6925" max="7168" width="9.140625" style="1803"/>
    <col min="7169" max="7169" width="4.7109375" style="1803" customWidth="1"/>
    <col min="7170" max="7170" width="6.140625" style="1803" customWidth="1"/>
    <col min="7171" max="7171" width="8.7109375" style="1803" customWidth="1"/>
    <col min="7172" max="7172" width="42.140625" style="1803" customWidth="1"/>
    <col min="7173" max="7173" width="12.85546875" style="1803" customWidth="1"/>
    <col min="7174" max="7174" width="15.85546875" style="1803" customWidth="1"/>
    <col min="7175" max="7175" width="14.5703125" style="1803" customWidth="1"/>
    <col min="7176" max="7176" width="8.28515625" style="1803" customWidth="1"/>
    <col min="7177" max="7177" width="12.7109375" style="1803" bestFit="1" customWidth="1"/>
    <col min="7178" max="7178" width="20.7109375" style="1803" customWidth="1"/>
    <col min="7179" max="7179" width="20.140625" style="1803" customWidth="1"/>
    <col min="7180" max="7180" width="20.85546875" style="1803" customWidth="1"/>
    <col min="7181" max="7424" width="9.140625" style="1803"/>
    <col min="7425" max="7425" width="4.7109375" style="1803" customWidth="1"/>
    <col min="7426" max="7426" width="6.140625" style="1803" customWidth="1"/>
    <col min="7427" max="7427" width="8.7109375" style="1803" customWidth="1"/>
    <col min="7428" max="7428" width="42.140625" style="1803" customWidth="1"/>
    <col min="7429" max="7429" width="12.85546875" style="1803" customWidth="1"/>
    <col min="7430" max="7430" width="15.85546875" style="1803" customWidth="1"/>
    <col min="7431" max="7431" width="14.5703125" style="1803" customWidth="1"/>
    <col min="7432" max="7432" width="8.28515625" style="1803" customWidth="1"/>
    <col min="7433" max="7433" width="12.7109375" style="1803" bestFit="1" customWidth="1"/>
    <col min="7434" max="7434" width="20.7109375" style="1803" customWidth="1"/>
    <col min="7435" max="7435" width="20.140625" style="1803" customWidth="1"/>
    <col min="7436" max="7436" width="20.85546875" style="1803" customWidth="1"/>
    <col min="7437" max="7680" width="9.140625" style="1803"/>
    <col min="7681" max="7681" width="4.7109375" style="1803" customWidth="1"/>
    <col min="7682" max="7682" width="6.140625" style="1803" customWidth="1"/>
    <col min="7683" max="7683" width="8.7109375" style="1803" customWidth="1"/>
    <col min="7684" max="7684" width="42.140625" style="1803" customWidth="1"/>
    <col min="7685" max="7685" width="12.85546875" style="1803" customWidth="1"/>
    <col min="7686" max="7686" width="15.85546875" style="1803" customWidth="1"/>
    <col min="7687" max="7687" width="14.5703125" style="1803" customWidth="1"/>
    <col min="7688" max="7688" width="8.28515625" style="1803" customWidth="1"/>
    <col min="7689" max="7689" width="12.7109375" style="1803" bestFit="1" customWidth="1"/>
    <col min="7690" max="7690" width="20.7109375" style="1803" customWidth="1"/>
    <col min="7691" max="7691" width="20.140625" style="1803" customWidth="1"/>
    <col min="7692" max="7692" width="20.85546875" style="1803" customWidth="1"/>
    <col min="7693" max="7936" width="9.140625" style="1803"/>
    <col min="7937" max="7937" width="4.7109375" style="1803" customWidth="1"/>
    <col min="7938" max="7938" width="6.140625" style="1803" customWidth="1"/>
    <col min="7939" max="7939" width="8.7109375" style="1803" customWidth="1"/>
    <col min="7940" max="7940" width="42.140625" style="1803" customWidth="1"/>
    <col min="7941" max="7941" width="12.85546875" style="1803" customWidth="1"/>
    <col min="7942" max="7942" width="15.85546875" style="1803" customWidth="1"/>
    <col min="7943" max="7943" width="14.5703125" style="1803" customWidth="1"/>
    <col min="7944" max="7944" width="8.28515625" style="1803" customWidth="1"/>
    <col min="7945" max="7945" width="12.7109375" style="1803" bestFit="1" customWidth="1"/>
    <col min="7946" max="7946" width="20.7109375" style="1803" customWidth="1"/>
    <col min="7947" max="7947" width="20.140625" style="1803" customWidth="1"/>
    <col min="7948" max="7948" width="20.85546875" style="1803" customWidth="1"/>
    <col min="7949" max="8192" width="9.140625" style="1803"/>
    <col min="8193" max="8193" width="4.7109375" style="1803" customWidth="1"/>
    <col min="8194" max="8194" width="6.140625" style="1803" customWidth="1"/>
    <col min="8195" max="8195" width="8.7109375" style="1803" customWidth="1"/>
    <col min="8196" max="8196" width="42.140625" style="1803" customWidth="1"/>
    <col min="8197" max="8197" width="12.85546875" style="1803" customWidth="1"/>
    <col min="8198" max="8198" width="15.85546875" style="1803" customWidth="1"/>
    <col min="8199" max="8199" width="14.5703125" style="1803" customWidth="1"/>
    <col min="8200" max="8200" width="8.28515625" style="1803" customWidth="1"/>
    <col min="8201" max="8201" width="12.7109375" style="1803" bestFit="1" customWidth="1"/>
    <col min="8202" max="8202" width="20.7109375" style="1803" customWidth="1"/>
    <col min="8203" max="8203" width="20.140625" style="1803" customWidth="1"/>
    <col min="8204" max="8204" width="20.85546875" style="1803" customWidth="1"/>
    <col min="8205" max="8448" width="9.140625" style="1803"/>
    <col min="8449" max="8449" width="4.7109375" style="1803" customWidth="1"/>
    <col min="8450" max="8450" width="6.140625" style="1803" customWidth="1"/>
    <col min="8451" max="8451" width="8.7109375" style="1803" customWidth="1"/>
    <col min="8452" max="8452" width="42.140625" style="1803" customWidth="1"/>
    <col min="8453" max="8453" width="12.85546875" style="1803" customWidth="1"/>
    <col min="8454" max="8454" width="15.85546875" style="1803" customWidth="1"/>
    <col min="8455" max="8455" width="14.5703125" style="1803" customWidth="1"/>
    <col min="8456" max="8456" width="8.28515625" style="1803" customWidth="1"/>
    <col min="8457" max="8457" width="12.7109375" style="1803" bestFit="1" customWidth="1"/>
    <col min="8458" max="8458" width="20.7109375" style="1803" customWidth="1"/>
    <col min="8459" max="8459" width="20.140625" style="1803" customWidth="1"/>
    <col min="8460" max="8460" width="20.85546875" style="1803" customWidth="1"/>
    <col min="8461" max="8704" width="9.140625" style="1803"/>
    <col min="8705" max="8705" width="4.7109375" style="1803" customWidth="1"/>
    <col min="8706" max="8706" width="6.140625" style="1803" customWidth="1"/>
    <col min="8707" max="8707" width="8.7109375" style="1803" customWidth="1"/>
    <col min="8708" max="8708" width="42.140625" style="1803" customWidth="1"/>
    <col min="8709" max="8709" width="12.85546875" style="1803" customWidth="1"/>
    <col min="8710" max="8710" width="15.85546875" style="1803" customWidth="1"/>
    <col min="8711" max="8711" width="14.5703125" style="1803" customWidth="1"/>
    <col min="8712" max="8712" width="8.28515625" style="1803" customWidth="1"/>
    <col min="8713" max="8713" width="12.7109375" style="1803" bestFit="1" customWidth="1"/>
    <col min="8714" max="8714" width="20.7109375" style="1803" customWidth="1"/>
    <col min="8715" max="8715" width="20.140625" style="1803" customWidth="1"/>
    <col min="8716" max="8716" width="20.85546875" style="1803" customWidth="1"/>
    <col min="8717" max="8960" width="9.140625" style="1803"/>
    <col min="8961" max="8961" width="4.7109375" style="1803" customWidth="1"/>
    <col min="8962" max="8962" width="6.140625" style="1803" customWidth="1"/>
    <col min="8963" max="8963" width="8.7109375" style="1803" customWidth="1"/>
    <col min="8964" max="8964" width="42.140625" style="1803" customWidth="1"/>
    <col min="8965" max="8965" width="12.85546875" style="1803" customWidth="1"/>
    <col min="8966" max="8966" width="15.85546875" style="1803" customWidth="1"/>
    <col min="8967" max="8967" width="14.5703125" style="1803" customWidth="1"/>
    <col min="8968" max="8968" width="8.28515625" style="1803" customWidth="1"/>
    <col min="8969" max="8969" width="12.7109375" style="1803" bestFit="1" customWidth="1"/>
    <col min="8970" max="8970" width="20.7109375" style="1803" customWidth="1"/>
    <col min="8971" max="8971" width="20.140625" style="1803" customWidth="1"/>
    <col min="8972" max="8972" width="20.85546875" style="1803" customWidth="1"/>
    <col min="8973" max="9216" width="9.140625" style="1803"/>
    <col min="9217" max="9217" width="4.7109375" style="1803" customWidth="1"/>
    <col min="9218" max="9218" width="6.140625" style="1803" customWidth="1"/>
    <col min="9219" max="9219" width="8.7109375" style="1803" customWidth="1"/>
    <col min="9220" max="9220" width="42.140625" style="1803" customWidth="1"/>
    <col min="9221" max="9221" width="12.85546875" style="1803" customWidth="1"/>
    <col min="9222" max="9222" width="15.85546875" style="1803" customWidth="1"/>
    <col min="9223" max="9223" width="14.5703125" style="1803" customWidth="1"/>
    <col min="9224" max="9224" width="8.28515625" style="1803" customWidth="1"/>
    <col min="9225" max="9225" width="12.7109375" style="1803" bestFit="1" customWidth="1"/>
    <col min="9226" max="9226" width="20.7109375" style="1803" customWidth="1"/>
    <col min="9227" max="9227" width="20.140625" style="1803" customWidth="1"/>
    <col min="9228" max="9228" width="20.85546875" style="1803" customWidth="1"/>
    <col min="9229" max="9472" width="9.140625" style="1803"/>
    <col min="9473" max="9473" width="4.7109375" style="1803" customWidth="1"/>
    <col min="9474" max="9474" width="6.140625" style="1803" customWidth="1"/>
    <col min="9475" max="9475" width="8.7109375" style="1803" customWidth="1"/>
    <col min="9476" max="9476" width="42.140625" style="1803" customWidth="1"/>
    <col min="9477" max="9477" width="12.85546875" style="1803" customWidth="1"/>
    <col min="9478" max="9478" width="15.85546875" style="1803" customWidth="1"/>
    <col min="9479" max="9479" width="14.5703125" style="1803" customWidth="1"/>
    <col min="9480" max="9480" width="8.28515625" style="1803" customWidth="1"/>
    <col min="9481" max="9481" width="12.7109375" style="1803" bestFit="1" customWidth="1"/>
    <col min="9482" max="9482" width="20.7109375" style="1803" customWidth="1"/>
    <col min="9483" max="9483" width="20.140625" style="1803" customWidth="1"/>
    <col min="9484" max="9484" width="20.85546875" style="1803" customWidth="1"/>
    <col min="9485" max="9728" width="9.140625" style="1803"/>
    <col min="9729" max="9729" width="4.7109375" style="1803" customWidth="1"/>
    <col min="9730" max="9730" width="6.140625" style="1803" customWidth="1"/>
    <col min="9731" max="9731" width="8.7109375" style="1803" customWidth="1"/>
    <col min="9732" max="9732" width="42.140625" style="1803" customWidth="1"/>
    <col min="9733" max="9733" width="12.85546875" style="1803" customWidth="1"/>
    <col min="9734" max="9734" width="15.85546875" style="1803" customWidth="1"/>
    <col min="9735" max="9735" width="14.5703125" style="1803" customWidth="1"/>
    <col min="9736" max="9736" width="8.28515625" style="1803" customWidth="1"/>
    <col min="9737" max="9737" width="12.7109375" style="1803" bestFit="1" customWidth="1"/>
    <col min="9738" max="9738" width="20.7109375" style="1803" customWidth="1"/>
    <col min="9739" max="9739" width="20.140625" style="1803" customWidth="1"/>
    <col min="9740" max="9740" width="20.85546875" style="1803" customWidth="1"/>
    <col min="9741" max="9984" width="9.140625" style="1803"/>
    <col min="9985" max="9985" width="4.7109375" style="1803" customWidth="1"/>
    <col min="9986" max="9986" width="6.140625" style="1803" customWidth="1"/>
    <col min="9987" max="9987" width="8.7109375" style="1803" customWidth="1"/>
    <col min="9988" max="9988" width="42.140625" style="1803" customWidth="1"/>
    <col min="9989" max="9989" width="12.85546875" style="1803" customWidth="1"/>
    <col min="9990" max="9990" width="15.85546875" style="1803" customWidth="1"/>
    <col min="9991" max="9991" width="14.5703125" style="1803" customWidth="1"/>
    <col min="9992" max="9992" width="8.28515625" style="1803" customWidth="1"/>
    <col min="9993" max="9993" width="12.7109375" style="1803" bestFit="1" customWidth="1"/>
    <col min="9994" max="9994" width="20.7109375" style="1803" customWidth="1"/>
    <col min="9995" max="9995" width="20.140625" style="1803" customWidth="1"/>
    <col min="9996" max="9996" width="20.85546875" style="1803" customWidth="1"/>
    <col min="9997" max="10240" width="9.140625" style="1803"/>
    <col min="10241" max="10241" width="4.7109375" style="1803" customWidth="1"/>
    <col min="10242" max="10242" width="6.140625" style="1803" customWidth="1"/>
    <col min="10243" max="10243" width="8.7109375" style="1803" customWidth="1"/>
    <col min="10244" max="10244" width="42.140625" style="1803" customWidth="1"/>
    <col min="10245" max="10245" width="12.85546875" style="1803" customWidth="1"/>
    <col min="10246" max="10246" width="15.85546875" style="1803" customWidth="1"/>
    <col min="10247" max="10247" width="14.5703125" style="1803" customWidth="1"/>
    <col min="10248" max="10248" width="8.28515625" style="1803" customWidth="1"/>
    <col min="10249" max="10249" width="12.7109375" style="1803" bestFit="1" customWidth="1"/>
    <col min="10250" max="10250" width="20.7109375" style="1803" customWidth="1"/>
    <col min="10251" max="10251" width="20.140625" style="1803" customWidth="1"/>
    <col min="10252" max="10252" width="20.85546875" style="1803" customWidth="1"/>
    <col min="10253" max="10496" width="9.140625" style="1803"/>
    <col min="10497" max="10497" width="4.7109375" style="1803" customWidth="1"/>
    <col min="10498" max="10498" width="6.140625" style="1803" customWidth="1"/>
    <col min="10499" max="10499" width="8.7109375" style="1803" customWidth="1"/>
    <col min="10500" max="10500" width="42.140625" style="1803" customWidth="1"/>
    <col min="10501" max="10501" width="12.85546875" style="1803" customWidth="1"/>
    <col min="10502" max="10502" width="15.85546875" style="1803" customWidth="1"/>
    <col min="10503" max="10503" width="14.5703125" style="1803" customWidth="1"/>
    <col min="10504" max="10504" width="8.28515625" style="1803" customWidth="1"/>
    <col min="10505" max="10505" width="12.7109375" style="1803" bestFit="1" customWidth="1"/>
    <col min="10506" max="10506" width="20.7109375" style="1803" customWidth="1"/>
    <col min="10507" max="10507" width="20.140625" style="1803" customWidth="1"/>
    <col min="10508" max="10508" width="20.85546875" style="1803" customWidth="1"/>
    <col min="10509" max="10752" width="9.140625" style="1803"/>
    <col min="10753" max="10753" width="4.7109375" style="1803" customWidth="1"/>
    <col min="10754" max="10754" width="6.140625" style="1803" customWidth="1"/>
    <col min="10755" max="10755" width="8.7109375" style="1803" customWidth="1"/>
    <col min="10756" max="10756" width="42.140625" style="1803" customWidth="1"/>
    <col min="10757" max="10757" width="12.85546875" style="1803" customWidth="1"/>
    <col min="10758" max="10758" width="15.85546875" style="1803" customWidth="1"/>
    <col min="10759" max="10759" width="14.5703125" style="1803" customWidth="1"/>
    <col min="10760" max="10760" width="8.28515625" style="1803" customWidth="1"/>
    <col min="10761" max="10761" width="12.7109375" style="1803" bestFit="1" customWidth="1"/>
    <col min="10762" max="10762" width="20.7109375" style="1803" customWidth="1"/>
    <col min="10763" max="10763" width="20.140625" style="1803" customWidth="1"/>
    <col min="10764" max="10764" width="20.85546875" style="1803" customWidth="1"/>
    <col min="10765" max="11008" width="9.140625" style="1803"/>
    <col min="11009" max="11009" width="4.7109375" style="1803" customWidth="1"/>
    <col min="11010" max="11010" width="6.140625" style="1803" customWidth="1"/>
    <col min="11011" max="11011" width="8.7109375" style="1803" customWidth="1"/>
    <col min="11012" max="11012" width="42.140625" style="1803" customWidth="1"/>
    <col min="11013" max="11013" width="12.85546875" style="1803" customWidth="1"/>
    <col min="11014" max="11014" width="15.85546875" style="1803" customWidth="1"/>
    <col min="11015" max="11015" width="14.5703125" style="1803" customWidth="1"/>
    <col min="11016" max="11016" width="8.28515625" style="1803" customWidth="1"/>
    <col min="11017" max="11017" width="12.7109375" style="1803" bestFit="1" customWidth="1"/>
    <col min="11018" max="11018" width="20.7109375" style="1803" customWidth="1"/>
    <col min="11019" max="11019" width="20.140625" style="1803" customWidth="1"/>
    <col min="11020" max="11020" width="20.85546875" style="1803" customWidth="1"/>
    <col min="11021" max="11264" width="9.140625" style="1803"/>
    <col min="11265" max="11265" width="4.7109375" style="1803" customWidth="1"/>
    <col min="11266" max="11266" width="6.140625" style="1803" customWidth="1"/>
    <col min="11267" max="11267" width="8.7109375" style="1803" customWidth="1"/>
    <col min="11268" max="11268" width="42.140625" style="1803" customWidth="1"/>
    <col min="11269" max="11269" width="12.85546875" style="1803" customWidth="1"/>
    <col min="11270" max="11270" width="15.85546875" style="1803" customWidth="1"/>
    <col min="11271" max="11271" width="14.5703125" style="1803" customWidth="1"/>
    <col min="11272" max="11272" width="8.28515625" style="1803" customWidth="1"/>
    <col min="11273" max="11273" width="12.7109375" style="1803" bestFit="1" customWidth="1"/>
    <col min="11274" max="11274" width="20.7109375" style="1803" customWidth="1"/>
    <col min="11275" max="11275" width="20.140625" style="1803" customWidth="1"/>
    <col min="11276" max="11276" width="20.85546875" style="1803" customWidth="1"/>
    <col min="11277" max="11520" width="9.140625" style="1803"/>
    <col min="11521" max="11521" width="4.7109375" style="1803" customWidth="1"/>
    <col min="11522" max="11522" width="6.140625" style="1803" customWidth="1"/>
    <col min="11523" max="11523" width="8.7109375" style="1803" customWidth="1"/>
    <col min="11524" max="11524" width="42.140625" style="1803" customWidth="1"/>
    <col min="11525" max="11525" width="12.85546875" style="1803" customWidth="1"/>
    <col min="11526" max="11526" width="15.85546875" style="1803" customWidth="1"/>
    <col min="11527" max="11527" width="14.5703125" style="1803" customWidth="1"/>
    <col min="11528" max="11528" width="8.28515625" style="1803" customWidth="1"/>
    <col min="11529" max="11529" width="12.7109375" style="1803" bestFit="1" customWidth="1"/>
    <col min="11530" max="11530" width="20.7109375" style="1803" customWidth="1"/>
    <col min="11531" max="11531" width="20.140625" style="1803" customWidth="1"/>
    <col min="11532" max="11532" width="20.85546875" style="1803" customWidth="1"/>
    <col min="11533" max="11776" width="9.140625" style="1803"/>
    <col min="11777" max="11777" width="4.7109375" style="1803" customWidth="1"/>
    <col min="11778" max="11778" width="6.140625" style="1803" customWidth="1"/>
    <col min="11779" max="11779" width="8.7109375" style="1803" customWidth="1"/>
    <col min="11780" max="11780" width="42.140625" style="1803" customWidth="1"/>
    <col min="11781" max="11781" width="12.85546875" style="1803" customWidth="1"/>
    <col min="11782" max="11782" width="15.85546875" style="1803" customWidth="1"/>
    <col min="11783" max="11783" width="14.5703125" style="1803" customWidth="1"/>
    <col min="11784" max="11784" width="8.28515625" style="1803" customWidth="1"/>
    <col min="11785" max="11785" width="12.7109375" style="1803" bestFit="1" customWidth="1"/>
    <col min="11786" max="11786" width="20.7109375" style="1803" customWidth="1"/>
    <col min="11787" max="11787" width="20.140625" style="1803" customWidth="1"/>
    <col min="11788" max="11788" width="20.85546875" style="1803" customWidth="1"/>
    <col min="11789" max="12032" width="9.140625" style="1803"/>
    <col min="12033" max="12033" width="4.7109375" style="1803" customWidth="1"/>
    <col min="12034" max="12034" width="6.140625" style="1803" customWidth="1"/>
    <col min="12035" max="12035" width="8.7109375" style="1803" customWidth="1"/>
    <col min="12036" max="12036" width="42.140625" style="1803" customWidth="1"/>
    <col min="12037" max="12037" width="12.85546875" style="1803" customWidth="1"/>
    <col min="12038" max="12038" width="15.85546875" style="1803" customWidth="1"/>
    <col min="12039" max="12039" width="14.5703125" style="1803" customWidth="1"/>
    <col min="12040" max="12040" width="8.28515625" style="1803" customWidth="1"/>
    <col min="12041" max="12041" width="12.7109375" style="1803" bestFit="1" customWidth="1"/>
    <col min="12042" max="12042" width="20.7109375" style="1803" customWidth="1"/>
    <col min="12043" max="12043" width="20.140625" style="1803" customWidth="1"/>
    <col min="12044" max="12044" width="20.85546875" style="1803" customWidth="1"/>
    <col min="12045" max="12288" width="9.140625" style="1803"/>
    <col min="12289" max="12289" width="4.7109375" style="1803" customWidth="1"/>
    <col min="12290" max="12290" width="6.140625" style="1803" customWidth="1"/>
    <col min="12291" max="12291" width="8.7109375" style="1803" customWidth="1"/>
    <col min="12292" max="12292" width="42.140625" style="1803" customWidth="1"/>
    <col min="12293" max="12293" width="12.85546875" style="1803" customWidth="1"/>
    <col min="12294" max="12294" width="15.85546875" style="1803" customWidth="1"/>
    <col min="12295" max="12295" width="14.5703125" style="1803" customWidth="1"/>
    <col min="12296" max="12296" width="8.28515625" style="1803" customWidth="1"/>
    <col min="12297" max="12297" width="12.7109375" style="1803" bestFit="1" customWidth="1"/>
    <col min="12298" max="12298" width="20.7109375" style="1803" customWidth="1"/>
    <col min="12299" max="12299" width="20.140625" style="1803" customWidth="1"/>
    <col min="12300" max="12300" width="20.85546875" style="1803" customWidth="1"/>
    <col min="12301" max="12544" width="9.140625" style="1803"/>
    <col min="12545" max="12545" width="4.7109375" style="1803" customWidth="1"/>
    <col min="12546" max="12546" width="6.140625" style="1803" customWidth="1"/>
    <col min="12547" max="12547" width="8.7109375" style="1803" customWidth="1"/>
    <col min="12548" max="12548" width="42.140625" style="1803" customWidth="1"/>
    <col min="12549" max="12549" width="12.85546875" style="1803" customWidth="1"/>
    <col min="12550" max="12550" width="15.85546875" style="1803" customWidth="1"/>
    <col min="12551" max="12551" width="14.5703125" style="1803" customWidth="1"/>
    <col min="12552" max="12552" width="8.28515625" style="1803" customWidth="1"/>
    <col min="12553" max="12553" width="12.7109375" style="1803" bestFit="1" customWidth="1"/>
    <col min="12554" max="12554" width="20.7109375" style="1803" customWidth="1"/>
    <col min="12555" max="12555" width="20.140625" style="1803" customWidth="1"/>
    <col min="12556" max="12556" width="20.85546875" style="1803" customWidth="1"/>
    <col min="12557" max="12800" width="9.140625" style="1803"/>
    <col min="12801" max="12801" width="4.7109375" style="1803" customWidth="1"/>
    <col min="12802" max="12802" width="6.140625" style="1803" customWidth="1"/>
    <col min="12803" max="12803" width="8.7109375" style="1803" customWidth="1"/>
    <col min="12804" max="12804" width="42.140625" style="1803" customWidth="1"/>
    <col min="12805" max="12805" width="12.85546875" style="1803" customWidth="1"/>
    <col min="12806" max="12806" width="15.85546875" style="1803" customWidth="1"/>
    <col min="12807" max="12807" width="14.5703125" style="1803" customWidth="1"/>
    <col min="12808" max="12808" width="8.28515625" style="1803" customWidth="1"/>
    <col min="12809" max="12809" width="12.7109375" style="1803" bestFit="1" customWidth="1"/>
    <col min="12810" max="12810" width="20.7109375" style="1803" customWidth="1"/>
    <col min="12811" max="12811" width="20.140625" style="1803" customWidth="1"/>
    <col min="12812" max="12812" width="20.85546875" style="1803" customWidth="1"/>
    <col min="12813" max="13056" width="9.140625" style="1803"/>
    <col min="13057" max="13057" width="4.7109375" style="1803" customWidth="1"/>
    <col min="13058" max="13058" width="6.140625" style="1803" customWidth="1"/>
    <col min="13059" max="13059" width="8.7109375" style="1803" customWidth="1"/>
    <col min="13060" max="13060" width="42.140625" style="1803" customWidth="1"/>
    <col min="13061" max="13061" width="12.85546875" style="1803" customWidth="1"/>
    <col min="13062" max="13062" width="15.85546875" style="1803" customWidth="1"/>
    <col min="13063" max="13063" width="14.5703125" style="1803" customWidth="1"/>
    <col min="13064" max="13064" width="8.28515625" style="1803" customWidth="1"/>
    <col min="13065" max="13065" width="12.7109375" style="1803" bestFit="1" customWidth="1"/>
    <col min="13066" max="13066" width="20.7109375" style="1803" customWidth="1"/>
    <col min="13067" max="13067" width="20.140625" style="1803" customWidth="1"/>
    <col min="13068" max="13068" width="20.85546875" style="1803" customWidth="1"/>
    <col min="13069" max="13312" width="9.140625" style="1803"/>
    <col min="13313" max="13313" width="4.7109375" style="1803" customWidth="1"/>
    <col min="13314" max="13314" width="6.140625" style="1803" customWidth="1"/>
    <col min="13315" max="13315" width="8.7109375" style="1803" customWidth="1"/>
    <col min="13316" max="13316" width="42.140625" style="1803" customWidth="1"/>
    <col min="13317" max="13317" width="12.85546875" style="1803" customWidth="1"/>
    <col min="13318" max="13318" width="15.85546875" style="1803" customWidth="1"/>
    <col min="13319" max="13319" width="14.5703125" style="1803" customWidth="1"/>
    <col min="13320" max="13320" width="8.28515625" style="1803" customWidth="1"/>
    <col min="13321" max="13321" width="12.7109375" style="1803" bestFit="1" customWidth="1"/>
    <col min="13322" max="13322" width="20.7109375" style="1803" customWidth="1"/>
    <col min="13323" max="13323" width="20.140625" style="1803" customWidth="1"/>
    <col min="13324" max="13324" width="20.85546875" style="1803" customWidth="1"/>
    <col min="13325" max="13568" width="9.140625" style="1803"/>
    <col min="13569" max="13569" width="4.7109375" style="1803" customWidth="1"/>
    <col min="13570" max="13570" width="6.140625" style="1803" customWidth="1"/>
    <col min="13571" max="13571" width="8.7109375" style="1803" customWidth="1"/>
    <col min="13572" max="13572" width="42.140625" style="1803" customWidth="1"/>
    <col min="13573" max="13573" width="12.85546875" style="1803" customWidth="1"/>
    <col min="13574" max="13574" width="15.85546875" style="1803" customWidth="1"/>
    <col min="13575" max="13575" width="14.5703125" style="1803" customWidth="1"/>
    <col min="13576" max="13576" width="8.28515625" style="1803" customWidth="1"/>
    <col min="13577" max="13577" width="12.7109375" style="1803" bestFit="1" customWidth="1"/>
    <col min="13578" max="13578" width="20.7109375" style="1803" customWidth="1"/>
    <col min="13579" max="13579" width="20.140625" style="1803" customWidth="1"/>
    <col min="13580" max="13580" width="20.85546875" style="1803" customWidth="1"/>
    <col min="13581" max="13824" width="9.140625" style="1803"/>
    <col min="13825" max="13825" width="4.7109375" style="1803" customWidth="1"/>
    <col min="13826" max="13826" width="6.140625" style="1803" customWidth="1"/>
    <col min="13827" max="13827" width="8.7109375" style="1803" customWidth="1"/>
    <col min="13828" max="13828" width="42.140625" style="1803" customWidth="1"/>
    <col min="13829" max="13829" width="12.85546875" style="1803" customWidth="1"/>
    <col min="13830" max="13830" width="15.85546875" style="1803" customWidth="1"/>
    <col min="13831" max="13831" width="14.5703125" style="1803" customWidth="1"/>
    <col min="13832" max="13832" width="8.28515625" style="1803" customWidth="1"/>
    <col min="13833" max="13833" width="12.7109375" style="1803" bestFit="1" customWidth="1"/>
    <col min="13834" max="13834" width="20.7109375" style="1803" customWidth="1"/>
    <col min="13835" max="13835" width="20.140625" style="1803" customWidth="1"/>
    <col min="13836" max="13836" width="20.85546875" style="1803" customWidth="1"/>
    <col min="13837" max="14080" width="9.140625" style="1803"/>
    <col min="14081" max="14081" width="4.7109375" style="1803" customWidth="1"/>
    <col min="14082" max="14082" width="6.140625" style="1803" customWidth="1"/>
    <col min="14083" max="14083" width="8.7109375" style="1803" customWidth="1"/>
    <col min="14084" max="14084" width="42.140625" style="1803" customWidth="1"/>
    <col min="14085" max="14085" width="12.85546875" style="1803" customWidth="1"/>
    <col min="14086" max="14086" width="15.85546875" style="1803" customWidth="1"/>
    <col min="14087" max="14087" width="14.5703125" style="1803" customWidth="1"/>
    <col min="14088" max="14088" width="8.28515625" style="1803" customWidth="1"/>
    <col min="14089" max="14089" width="12.7109375" style="1803" bestFit="1" customWidth="1"/>
    <col min="14090" max="14090" width="20.7109375" style="1803" customWidth="1"/>
    <col min="14091" max="14091" width="20.140625" style="1803" customWidth="1"/>
    <col min="14092" max="14092" width="20.85546875" style="1803" customWidth="1"/>
    <col min="14093" max="14336" width="9.140625" style="1803"/>
    <col min="14337" max="14337" width="4.7109375" style="1803" customWidth="1"/>
    <col min="14338" max="14338" width="6.140625" style="1803" customWidth="1"/>
    <col min="14339" max="14339" width="8.7109375" style="1803" customWidth="1"/>
    <col min="14340" max="14340" width="42.140625" style="1803" customWidth="1"/>
    <col min="14341" max="14341" width="12.85546875" style="1803" customWidth="1"/>
    <col min="14342" max="14342" width="15.85546875" style="1803" customWidth="1"/>
    <col min="14343" max="14343" width="14.5703125" style="1803" customWidth="1"/>
    <col min="14344" max="14344" width="8.28515625" style="1803" customWidth="1"/>
    <col min="14345" max="14345" width="12.7109375" style="1803" bestFit="1" customWidth="1"/>
    <col min="14346" max="14346" width="20.7109375" style="1803" customWidth="1"/>
    <col min="14347" max="14347" width="20.140625" style="1803" customWidth="1"/>
    <col min="14348" max="14348" width="20.85546875" style="1803" customWidth="1"/>
    <col min="14349" max="14592" width="9.140625" style="1803"/>
    <col min="14593" max="14593" width="4.7109375" style="1803" customWidth="1"/>
    <col min="14594" max="14594" width="6.140625" style="1803" customWidth="1"/>
    <col min="14595" max="14595" width="8.7109375" style="1803" customWidth="1"/>
    <col min="14596" max="14596" width="42.140625" style="1803" customWidth="1"/>
    <col min="14597" max="14597" width="12.85546875" style="1803" customWidth="1"/>
    <col min="14598" max="14598" width="15.85546875" style="1803" customWidth="1"/>
    <col min="14599" max="14599" width="14.5703125" style="1803" customWidth="1"/>
    <col min="14600" max="14600" width="8.28515625" style="1803" customWidth="1"/>
    <col min="14601" max="14601" width="12.7109375" style="1803" bestFit="1" customWidth="1"/>
    <col min="14602" max="14602" width="20.7109375" style="1803" customWidth="1"/>
    <col min="14603" max="14603" width="20.140625" style="1803" customWidth="1"/>
    <col min="14604" max="14604" width="20.85546875" style="1803" customWidth="1"/>
    <col min="14605" max="14848" width="9.140625" style="1803"/>
    <col min="14849" max="14849" width="4.7109375" style="1803" customWidth="1"/>
    <col min="14850" max="14850" width="6.140625" style="1803" customWidth="1"/>
    <col min="14851" max="14851" width="8.7109375" style="1803" customWidth="1"/>
    <col min="14852" max="14852" width="42.140625" style="1803" customWidth="1"/>
    <col min="14853" max="14853" width="12.85546875" style="1803" customWidth="1"/>
    <col min="14854" max="14854" width="15.85546875" style="1803" customWidth="1"/>
    <col min="14855" max="14855" width="14.5703125" style="1803" customWidth="1"/>
    <col min="14856" max="14856" width="8.28515625" style="1803" customWidth="1"/>
    <col min="14857" max="14857" width="12.7109375" style="1803" bestFit="1" customWidth="1"/>
    <col min="14858" max="14858" width="20.7109375" style="1803" customWidth="1"/>
    <col min="14859" max="14859" width="20.140625" style="1803" customWidth="1"/>
    <col min="14860" max="14860" width="20.85546875" style="1803" customWidth="1"/>
    <col min="14861" max="15104" width="9.140625" style="1803"/>
    <col min="15105" max="15105" width="4.7109375" style="1803" customWidth="1"/>
    <col min="15106" max="15106" width="6.140625" style="1803" customWidth="1"/>
    <col min="15107" max="15107" width="8.7109375" style="1803" customWidth="1"/>
    <col min="15108" max="15108" width="42.140625" style="1803" customWidth="1"/>
    <col min="15109" max="15109" width="12.85546875" style="1803" customWidth="1"/>
    <col min="15110" max="15110" width="15.85546875" style="1803" customWidth="1"/>
    <col min="15111" max="15111" width="14.5703125" style="1803" customWidth="1"/>
    <col min="15112" max="15112" width="8.28515625" style="1803" customWidth="1"/>
    <col min="15113" max="15113" width="12.7109375" style="1803" bestFit="1" customWidth="1"/>
    <col min="15114" max="15114" width="20.7109375" style="1803" customWidth="1"/>
    <col min="15115" max="15115" width="20.140625" style="1803" customWidth="1"/>
    <col min="15116" max="15116" width="20.85546875" style="1803" customWidth="1"/>
    <col min="15117" max="15360" width="9.140625" style="1803"/>
    <col min="15361" max="15361" width="4.7109375" style="1803" customWidth="1"/>
    <col min="15362" max="15362" width="6.140625" style="1803" customWidth="1"/>
    <col min="15363" max="15363" width="8.7109375" style="1803" customWidth="1"/>
    <col min="15364" max="15364" width="42.140625" style="1803" customWidth="1"/>
    <col min="15365" max="15365" width="12.85546875" style="1803" customWidth="1"/>
    <col min="15366" max="15366" width="15.85546875" style="1803" customWidth="1"/>
    <col min="15367" max="15367" width="14.5703125" style="1803" customWidth="1"/>
    <col min="15368" max="15368" width="8.28515625" style="1803" customWidth="1"/>
    <col min="15369" max="15369" width="12.7109375" style="1803" bestFit="1" customWidth="1"/>
    <col min="15370" max="15370" width="20.7109375" style="1803" customWidth="1"/>
    <col min="15371" max="15371" width="20.140625" style="1803" customWidth="1"/>
    <col min="15372" max="15372" width="20.85546875" style="1803" customWidth="1"/>
    <col min="15373" max="15616" width="9.140625" style="1803"/>
    <col min="15617" max="15617" width="4.7109375" style="1803" customWidth="1"/>
    <col min="15618" max="15618" width="6.140625" style="1803" customWidth="1"/>
    <col min="15619" max="15619" width="8.7109375" style="1803" customWidth="1"/>
    <col min="15620" max="15620" width="42.140625" style="1803" customWidth="1"/>
    <col min="15621" max="15621" width="12.85546875" style="1803" customWidth="1"/>
    <col min="15622" max="15622" width="15.85546875" style="1803" customWidth="1"/>
    <col min="15623" max="15623" width="14.5703125" style="1803" customWidth="1"/>
    <col min="15624" max="15624" width="8.28515625" style="1803" customWidth="1"/>
    <col min="15625" max="15625" width="12.7109375" style="1803" bestFit="1" customWidth="1"/>
    <col min="15626" max="15626" width="20.7109375" style="1803" customWidth="1"/>
    <col min="15627" max="15627" width="20.140625" style="1803" customWidth="1"/>
    <col min="15628" max="15628" width="20.85546875" style="1803" customWidth="1"/>
    <col min="15629" max="15872" width="9.140625" style="1803"/>
    <col min="15873" max="15873" width="4.7109375" style="1803" customWidth="1"/>
    <col min="15874" max="15874" width="6.140625" style="1803" customWidth="1"/>
    <col min="15875" max="15875" width="8.7109375" style="1803" customWidth="1"/>
    <col min="15876" max="15876" width="42.140625" style="1803" customWidth="1"/>
    <col min="15877" max="15877" width="12.85546875" style="1803" customWidth="1"/>
    <col min="15878" max="15878" width="15.85546875" style="1803" customWidth="1"/>
    <col min="15879" max="15879" width="14.5703125" style="1803" customWidth="1"/>
    <col min="15880" max="15880" width="8.28515625" style="1803" customWidth="1"/>
    <col min="15881" max="15881" width="12.7109375" style="1803" bestFit="1" customWidth="1"/>
    <col min="15882" max="15882" width="20.7109375" style="1803" customWidth="1"/>
    <col min="15883" max="15883" width="20.140625" style="1803" customWidth="1"/>
    <col min="15884" max="15884" width="20.85546875" style="1803" customWidth="1"/>
    <col min="15885" max="16128" width="9.140625" style="1803"/>
    <col min="16129" max="16129" width="4.7109375" style="1803" customWidth="1"/>
    <col min="16130" max="16130" width="6.140625" style="1803" customWidth="1"/>
    <col min="16131" max="16131" width="8.7109375" style="1803" customWidth="1"/>
    <col min="16132" max="16132" width="42.140625" style="1803" customWidth="1"/>
    <col min="16133" max="16133" width="12.85546875" style="1803" customWidth="1"/>
    <col min="16134" max="16134" width="15.85546875" style="1803" customWidth="1"/>
    <col min="16135" max="16135" width="14.5703125" style="1803" customWidth="1"/>
    <col min="16136" max="16136" width="8.28515625" style="1803" customWidth="1"/>
    <col min="16137" max="16137" width="12.7109375" style="1803" bestFit="1" customWidth="1"/>
    <col min="16138" max="16138" width="20.7109375" style="1803" customWidth="1"/>
    <col min="16139" max="16139" width="20.140625" style="1803" customWidth="1"/>
    <col min="16140" max="16140" width="20.85546875" style="1803" customWidth="1"/>
    <col min="16141" max="16384" width="9.140625" style="1803"/>
  </cols>
  <sheetData>
    <row r="1" spans="1:9" ht="18.75" thickBot="1" x14ac:dyDescent="0.25">
      <c r="A1" s="2753" t="s">
        <v>1315</v>
      </c>
      <c r="B1" s="2753"/>
      <c r="C1" s="2753"/>
      <c r="D1" s="2753"/>
      <c r="E1" s="2753"/>
      <c r="F1" s="2753"/>
      <c r="G1" s="2753"/>
      <c r="H1" s="2753" t="s">
        <v>304</v>
      </c>
    </row>
    <row r="2" spans="1:9" ht="18" x14ac:dyDescent="0.25">
      <c r="A2" s="1899"/>
      <c r="H2" s="1876" t="s">
        <v>304</v>
      </c>
    </row>
    <row r="3" spans="1:9" ht="14.25" x14ac:dyDescent="0.2">
      <c r="A3" s="1705" t="s">
        <v>367</v>
      </c>
      <c r="C3" s="1801" t="s">
        <v>347</v>
      </c>
    </row>
    <row r="4" spans="1:9" ht="14.25" x14ac:dyDescent="0.2">
      <c r="A4" s="1899"/>
      <c r="C4" s="1801" t="s">
        <v>348</v>
      </c>
    </row>
    <row r="5" spans="1:9" ht="18" x14ac:dyDescent="0.25">
      <c r="A5" s="1806" t="s">
        <v>305</v>
      </c>
    </row>
    <row r="6" spans="1:9" ht="18" x14ac:dyDescent="0.25">
      <c r="A6" s="1806"/>
    </row>
    <row r="7" spans="1:9" ht="15.75" thickBot="1" x14ac:dyDescent="0.3">
      <c r="A7" s="1808" t="s">
        <v>250</v>
      </c>
      <c r="H7" s="1892" t="s">
        <v>161</v>
      </c>
    </row>
    <row r="8" spans="1:9" s="1638" customFormat="1" ht="25.5" thickTop="1" thickBot="1" x14ac:dyDescent="0.25">
      <c r="A8" s="1809" t="s">
        <v>162</v>
      </c>
      <c r="B8" s="1810" t="s">
        <v>761</v>
      </c>
      <c r="C8" s="1810" t="s">
        <v>377</v>
      </c>
      <c r="D8" s="1811" t="s">
        <v>164</v>
      </c>
      <c r="E8" s="1833" t="s">
        <v>632</v>
      </c>
      <c r="F8" s="1833" t="s">
        <v>633</v>
      </c>
      <c r="G8" s="1834" t="s">
        <v>882</v>
      </c>
      <c r="H8" s="1835" t="s">
        <v>883</v>
      </c>
    </row>
    <row r="9" spans="1:9" s="1638" customFormat="1" ht="13.5" thickTop="1" thickBot="1" x14ac:dyDescent="0.25">
      <c r="A9" s="1643">
        <v>1</v>
      </c>
      <c r="B9" s="1642">
        <v>2</v>
      </c>
      <c r="C9" s="1642">
        <v>3</v>
      </c>
      <c r="D9" s="1642">
        <v>4</v>
      </c>
      <c r="E9" s="1641">
        <v>5</v>
      </c>
      <c r="F9" s="1641">
        <v>6</v>
      </c>
      <c r="G9" s="1877">
        <v>7</v>
      </c>
      <c r="H9" s="1901" t="s">
        <v>61</v>
      </c>
    </row>
    <row r="10" spans="1:9" ht="15.75" hidden="1" thickTop="1" x14ac:dyDescent="0.2">
      <c r="A10" s="1896">
        <v>4351</v>
      </c>
      <c r="B10" s="1903">
        <v>5169</v>
      </c>
      <c r="C10" s="1906"/>
      <c r="D10" s="1855" t="s">
        <v>852</v>
      </c>
      <c r="E10" s="1832">
        <v>0</v>
      </c>
      <c r="F10" s="1832">
        <v>0</v>
      </c>
      <c r="G10" s="1832">
        <v>0</v>
      </c>
      <c r="H10" s="1819">
        <v>0</v>
      </c>
    </row>
    <row r="11" spans="1:9" ht="30" hidden="1" customHeight="1" thickTop="1" x14ac:dyDescent="0.2">
      <c r="A11" s="1896">
        <v>6409</v>
      </c>
      <c r="B11" s="1903">
        <v>5909</v>
      </c>
      <c r="C11" s="1906"/>
      <c r="D11" s="1909" t="s">
        <v>781</v>
      </c>
      <c r="E11" s="1845">
        <v>0</v>
      </c>
      <c r="F11" s="1845">
        <v>0</v>
      </c>
      <c r="G11" s="1845">
        <v>0</v>
      </c>
      <c r="H11" s="1821">
        <v>0</v>
      </c>
    </row>
    <row r="12" spans="1:9" ht="16.5" thickTop="1" thickBot="1" x14ac:dyDescent="0.25">
      <c r="A12" s="1896">
        <v>6330</v>
      </c>
      <c r="B12" s="1903">
        <v>5345</v>
      </c>
      <c r="C12" s="1906"/>
      <c r="D12" s="1836" t="s">
        <v>767</v>
      </c>
      <c r="E12" s="1845">
        <v>0</v>
      </c>
      <c r="F12" s="1845">
        <v>0</v>
      </c>
      <c r="G12" s="1845">
        <v>185865</v>
      </c>
      <c r="H12" s="1821">
        <v>0</v>
      </c>
    </row>
    <row r="13" spans="1:9" s="1828" customFormat="1" ht="16.5" thickTop="1" thickBot="1" x14ac:dyDescent="0.3">
      <c r="A13" s="2751" t="s">
        <v>763</v>
      </c>
      <c r="B13" s="2752"/>
      <c r="C13" s="2752"/>
      <c r="D13" s="2752"/>
      <c r="E13" s="1818">
        <f>SUM(E10:E12)</f>
        <v>0</v>
      </c>
      <c r="F13" s="1818">
        <f>SUM(F10:F12)</f>
        <v>0</v>
      </c>
      <c r="G13" s="1818">
        <f>SUM(G10:G12)</f>
        <v>185865</v>
      </c>
      <c r="H13" s="1822">
        <v>0</v>
      </c>
      <c r="I13" s="1910"/>
    </row>
    <row r="14" spans="1:9" ht="18.75" thickTop="1" x14ac:dyDescent="0.25">
      <c r="A14" s="1806"/>
    </row>
    <row r="15" spans="1:9" s="1638" customFormat="1" ht="15" hidden="1" x14ac:dyDescent="0.25">
      <c r="A15" s="1808" t="s">
        <v>196</v>
      </c>
      <c r="B15" s="1802"/>
      <c r="C15" s="1802"/>
      <c r="D15" s="1803"/>
      <c r="E15" s="1829"/>
      <c r="F15" s="1829"/>
      <c r="G15" s="1829"/>
      <c r="H15" s="1803"/>
    </row>
    <row r="16" spans="1:9" s="1638" customFormat="1" ht="15" hidden="1" x14ac:dyDescent="0.25">
      <c r="A16" s="1808" t="s">
        <v>1159</v>
      </c>
      <c r="B16" s="1802"/>
      <c r="C16" s="1802"/>
      <c r="D16" s="1803"/>
      <c r="E16" s="1829"/>
      <c r="F16" s="1829"/>
      <c r="G16" s="1829"/>
      <c r="H16" s="1892" t="s">
        <v>161</v>
      </c>
    </row>
    <row r="17" spans="1:8" s="1638" customFormat="1" ht="25.5" hidden="1" thickTop="1" thickBot="1" x14ac:dyDescent="0.25">
      <c r="A17" s="1809" t="s">
        <v>162</v>
      </c>
      <c r="B17" s="1810" t="s">
        <v>761</v>
      </c>
      <c r="C17" s="1810" t="s">
        <v>377</v>
      </c>
      <c r="D17" s="1811" t="s">
        <v>164</v>
      </c>
      <c r="E17" s="1833" t="s">
        <v>632</v>
      </c>
      <c r="F17" s="1833" t="s">
        <v>633</v>
      </c>
      <c r="G17" s="1834" t="s">
        <v>882</v>
      </c>
      <c r="H17" s="1835" t="s">
        <v>883</v>
      </c>
    </row>
    <row r="18" spans="1:8" s="1638" customFormat="1" ht="13.5" hidden="1" thickTop="1" thickBot="1" x14ac:dyDescent="0.25">
      <c r="A18" s="1643">
        <v>1</v>
      </c>
      <c r="B18" s="1642">
        <v>2</v>
      </c>
      <c r="C18" s="1642">
        <v>3</v>
      </c>
      <c r="D18" s="1642">
        <v>4</v>
      </c>
      <c r="E18" s="1641">
        <v>5</v>
      </c>
      <c r="F18" s="1641">
        <v>6</v>
      </c>
      <c r="G18" s="1877">
        <v>7</v>
      </c>
      <c r="H18" s="1901" t="s">
        <v>61</v>
      </c>
    </row>
    <row r="19" spans="1:8" s="1638" customFormat="1" ht="15" hidden="1" x14ac:dyDescent="0.2">
      <c r="A19" s="1815">
        <v>3533</v>
      </c>
      <c r="B19" s="1816">
        <v>5139</v>
      </c>
      <c r="C19" s="1816">
        <v>38100870</v>
      </c>
      <c r="D19" s="1836" t="s">
        <v>270</v>
      </c>
      <c r="E19" s="1845">
        <v>0</v>
      </c>
      <c r="F19" s="1845">
        <v>0</v>
      </c>
      <c r="G19" s="1845">
        <v>0</v>
      </c>
      <c r="H19" s="1821" t="e">
        <f>G19/F19*100</f>
        <v>#DIV/0!</v>
      </c>
    </row>
    <row r="20" spans="1:8" s="1638" customFormat="1" ht="15" hidden="1" x14ac:dyDescent="0.2">
      <c r="A20" s="1815">
        <v>3533</v>
      </c>
      <c r="B20" s="1816">
        <v>5139</v>
      </c>
      <c r="C20" s="1816">
        <v>38500871</v>
      </c>
      <c r="D20" s="1836" t="s">
        <v>270</v>
      </c>
      <c r="E20" s="1845">
        <v>0</v>
      </c>
      <c r="F20" s="1845">
        <v>0</v>
      </c>
      <c r="G20" s="1845">
        <v>0</v>
      </c>
      <c r="H20" s="1821" t="e">
        <f>G20/F20*100</f>
        <v>#DIV/0!</v>
      </c>
    </row>
    <row r="21" spans="1:8" s="1638" customFormat="1" ht="15" hidden="1" x14ac:dyDescent="0.2">
      <c r="A21" s="1815">
        <v>3533</v>
      </c>
      <c r="B21" s="1816">
        <v>5169</v>
      </c>
      <c r="C21" s="1816">
        <v>38100874</v>
      </c>
      <c r="D21" s="1836" t="s">
        <v>852</v>
      </c>
      <c r="E21" s="1845">
        <v>0</v>
      </c>
      <c r="F21" s="1845">
        <v>0</v>
      </c>
      <c r="G21" s="1845">
        <v>0</v>
      </c>
      <c r="H21" s="1821" t="e">
        <f>G21/F21*100</f>
        <v>#DIV/0!</v>
      </c>
    </row>
    <row r="22" spans="1:8" s="1638" customFormat="1" ht="16.5" hidden="1" thickTop="1" thickBot="1" x14ac:dyDescent="0.3">
      <c r="A22" s="2751" t="s">
        <v>763</v>
      </c>
      <c r="B22" s="2752"/>
      <c r="C22" s="2752"/>
      <c r="D22" s="2752"/>
      <c r="E22" s="1818">
        <f>SUM(E19:E21)</f>
        <v>0</v>
      </c>
      <c r="F22" s="1818">
        <f>SUM(F19:F21)</f>
        <v>0</v>
      </c>
      <c r="G22" s="1818">
        <f>SUM(G19:G21)</f>
        <v>0</v>
      </c>
      <c r="H22" s="1822" t="e">
        <f>G22/F22*100</f>
        <v>#DIV/0!</v>
      </c>
    </row>
    <row r="23" spans="1:8" s="1638" customFormat="1" ht="15" hidden="1" x14ac:dyDescent="0.25">
      <c r="A23" s="1823"/>
      <c r="B23" s="1823"/>
      <c r="C23" s="1823"/>
      <c r="D23" s="1823"/>
      <c r="E23" s="1961"/>
      <c r="F23" s="1961"/>
      <c r="G23" s="1961"/>
      <c r="H23" s="1849"/>
    </row>
    <row r="24" spans="1:8" s="1638" customFormat="1" ht="15" hidden="1" x14ac:dyDescent="0.25">
      <c r="A24" s="1808" t="s">
        <v>1160</v>
      </c>
      <c r="B24" s="1802"/>
      <c r="C24" s="1802"/>
      <c r="D24" s="1803"/>
      <c r="E24" s="1829"/>
      <c r="F24" s="1829"/>
      <c r="G24" s="1829"/>
      <c r="H24" s="1803"/>
    </row>
    <row r="25" spans="1:8" s="1638" customFormat="1" ht="15" hidden="1" x14ac:dyDescent="0.25">
      <c r="A25" s="1808" t="s">
        <v>1161</v>
      </c>
      <c r="B25" s="1802"/>
      <c r="C25" s="1802"/>
      <c r="D25" s="1803"/>
      <c r="E25" s="1829"/>
      <c r="F25" s="1829"/>
      <c r="G25" s="1829"/>
      <c r="H25" s="1892" t="s">
        <v>161</v>
      </c>
    </row>
    <row r="26" spans="1:8" s="1638" customFormat="1" ht="25.5" hidden="1" thickTop="1" thickBot="1" x14ac:dyDescent="0.25">
      <c r="A26" s="1809" t="s">
        <v>162</v>
      </c>
      <c r="B26" s="1810" t="s">
        <v>761</v>
      </c>
      <c r="C26" s="1810" t="s">
        <v>377</v>
      </c>
      <c r="D26" s="1811" t="s">
        <v>164</v>
      </c>
      <c r="E26" s="1833" t="s">
        <v>632</v>
      </c>
      <c r="F26" s="1833" t="s">
        <v>633</v>
      </c>
      <c r="G26" s="1834" t="s">
        <v>882</v>
      </c>
      <c r="H26" s="1835" t="s">
        <v>883</v>
      </c>
    </row>
    <row r="27" spans="1:8" s="1638" customFormat="1" ht="13.5" hidden="1" thickTop="1" thickBot="1" x14ac:dyDescent="0.25">
      <c r="A27" s="1643">
        <v>1</v>
      </c>
      <c r="B27" s="1642">
        <v>2</v>
      </c>
      <c r="C27" s="1642">
        <v>3</v>
      </c>
      <c r="D27" s="1642">
        <v>4</v>
      </c>
      <c r="E27" s="1641">
        <v>5</v>
      </c>
      <c r="F27" s="1641">
        <v>6</v>
      </c>
      <c r="G27" s="1877">
        <v>7</v>
      </c>
      <c r="H27" s="1901" t="s">
        <v>61</v>
      </c>
    </row>
    <row r="28" spans="1:8" s="1638" customFormat="1" ht="15" hidden="1" x14ac:dyDescent="0.2">
      <c r="A28" s="1815">
        <v>3533</v>
      </c>
      <c r="B28" s="1816">
        <v>5139</v>
      </c>
      <c r="C28" s="1816">
        <v>38100870</v>
      </c>
      <c r="D28" s="1836" t="s">
        <v>270</v>
      </c>
      <c r="E28" s="1845">
        <v>0</v>
      </c>
      <c r="F28" s="1845">
        <v>0</v>
      </c>
      <c r="G28" s="1845">
        <v>0</v>
      </c>
      <c r="H28" s="1821" t="e">
        <f>G28/F28*100</f>
        <v>#DIV/0!</v>
      </c>
    </row>
    <row r="29" spans="1:8" s="1638" customFormat="1" ht="15" hidden="1" x14ac:dyDescent="0.2">
      <c r="A29" s="1815">
        <v>3533</v>
      </c>
      <c r="B29" s="1816">
        <v>5139</v>
      </c>
      <c r="C29" s="1816">
        <v>38500871</v>
      </c>
      <c r="D29" s="1836" t="s">
        <v>270</v>
      </c>
      <c r="E29" s="1845">
        <v>0</v>
      </c>
      <c r="F29" s="1845">
        <v>0</v>
      </c>
      <c r="G29" s="1845">
        <v>0</v>
      </c>
      <c r="H29" s="1821" t="e">
        <f>G29/F29*100</f>
        <v>#DIV/0!</v>
      </c>
    </row>
    <row r="30" spans="1:8" s="1638" customFormat="1" ht="16.5" hidden="1" thickTop="1" thickBot="1" x14ac:dyDescent="0.3">
      <c r="A30" s="2751" t="s">
        <v>763</v>
      </c>
      <c r="B30" s="2752"/>
      <c r="C30" s="2752"/>
      <c r="D30" s="2752"/>
      <c r="E30" s="1818">
        <f>SUM(E28:E29)</f>
        <v>0</v>
      </c>
      <c r="F30" s="1818">
        <f>SUM(F28:F29)</f>
        <v>0</v>
      </c>
      <c r="G30" s="1818">
        <f>SUM(G28:G29)</f>
        <v>0</v>
      </c>
      <c r="H30" s="1822" t="e">
        <f>G30/F30*100</f>
        <v>#DIV/0!</v>
      </c>
    </row>
    <row r="31" spans="1:8" s="1638" customFormat="1" ht="15" hidden="1" x14ac:dyDescent="0.25">
      <c r="A31" s="1823"/>
      <c r="B31" s="1823"/>
      <c r="C31" s="1823"/>
      <c r="D31" s="1823"/>
      <c r="E31" s="1961"/>
      <c r="F31" s="1961"/>
      <c r="G31" s="1961"/>
      <c r="H31" s="1849"/>
    </row>
    <row r="32" spans="1:8" s="1638" customFormat="1" ht="15" hidden="1" x14ac:dyDescent="0.25">
      <c r="A32" s="1808" t="s">
        <v>1391</v>
      </c>
      <c r="B32" s="1802"/>
      <c r="C32" s="1802"/>
      <c r="D32" s="1803"/>
      <c r="E32" s="1829"/>
      <c r="F32" s="1829"/>
      <c r="G32" s="1829"/>
      <c r="H32" s="1803"/>
    </row>
    <row r="33" spans="1:8" s="1638" customFormat="1" ht="15" hidden="1" x14ac:dyDescent="0.25">
      <c r="A33" s="1808" t="s">
        <v>1390</v>
      </c>
      <c r="B33" s="1802"/>
      <c r="C33" s="1802"/>
      <c r="D33" s="1803"/>
      <c r="E33" s="1829"/>
      <c r="F33" s="1829"/>
      <c r="G33" s="1829"/>
      <c r="H33" s="1892" t="s">
        <v>161</v>
      </c>
    </row>
    <row r="34" spans="1:8" s="1638" customFormat="1" ht="25.5" hidden="1" thickTop="1" thickBot="1" x14ac:dyDescent="0.25">
      <c r="A34" s="1809" t="s">
        <v>162</v>
      </c>
      <c r="B34" s="1810" t="s">
        <v>761</v>
      </c>
      <c r="C34" s="1810" t="s">
        <v>377</v>
      </c>
      <c r="D34" s="1811" t="s">
        <v>164</v>
      </c>
      <c r="E34" s="1833" t="s">
        <v>632</v>
      </c>
      <c r="F34" s="1833" t="s">
        <v>633</v>
      </c>
      <c r="G34" s="1834" t="s">
        <v>882</v>
      </c>
      <c r="H34" s="1835" t="s">
        <v>883</v>
      </c>
    </row>
    <row r="35" spans="1:8" s="1638" customFormat="1" ht="13.5" hidden="1" thickTop="1" thickBot="1" x14ac:dyDescent="0.25">
      <c r="A35" s="1643">
        <v>1</v>
      </c>
      <c r="B35" s="1642">
        <v>2</v>
      </c>
      <c r="C35" s="1642">
        <v>3</v>
      </c>
      <c r="D35" s="1642">
        <v>4</v>
      </c>
      <c r="E35" s="1641">
        <v>5</v>
      </c>
      <c r="F35" s="1641">
        <v>6</v>
      </c>
      <c r="G35" s="1877">
        <v>7</v>
      </c>
      <c r="H35" s="1901" t="s">
        <v>61</v>
      </c>
    </row>
    <row r="36" spans="1:8" s="1638" customFormat="1" ht="60" hidden="1" x14ac:dyDescent="0.2">
      <c r="A36" s="1896">
        <v>6402</v>
      </c>
      <c r="B36" s="1903">
        <v>5368</v>
      </c>
      <c r="C36" s="1962" t="s">
        <v>572</v>
      </c>
      <c r="D36" s="1836" t="s">
        <v>546</v>
      </c>
      <c r="E36" s="1845">
        <v>0</v>
      </c>
      <c r="F36" s="1845">
        <v>0</v>
      </c>
      <c r="G36" s="1845">
        <v>0</v>
      </c>
      <c r="H36" s="1821" t="e">
        <f>G36/F36*100</f>
        <v>#DIV/0!</v>
      </c>
    </row>
    <row r="37" spans="1:8" s="1638" customFormat="1" ht="16.5" hidden="1" thickTop="1" thickBot="1" x14ac:dyDescent="0.3">
      <c r="A37" s="2751" t="s">
        <v>763</v>
      </c>
      <c r="B37" s="2752"/>
      <c r="C37" s="2752"/>
      <c r="D37" s="2752"/>
      <c r="E37" s="1818">
        <f>SUM(E36:E36)</f>
        <v>0</v>
      </c>
      <c r="F37" s="1818">
        <f>SUM(F36:F36)</f>
        <v>0</v>
      </c>
      <c r="G37" s="1818">
        <f>SUM(G36:G36)</f>
        <v>0</v>
      </c>
      <c r="H37" s="1822" t="e">
        <f>G37/F37*100</f>
        <v>#DIV/0!</v>
      </c>
    </row>
    <row r="38" spans="1:8" s="1638" customFormat="1" ht="15" hidden="1" x14ac:dyDescent="0.25">
      <c r="A38" s="1823"/>
      <c r="B38" s="1823"/>
      <c r="C38" s="1823"/>
      <c r="D38" s="1823"/>
      <c r="E38" s="1961"/>
      <c r="F38" s="1961"/>
      <c r="G38" s="1961"/>
      <c r="H38" s="1849"/>
    </row>
    <row r="39" spans="1:8" ht="15" hidden="1" x14ac:dyDescent="0.25">
      <c r="A39" s="1808" t="s">
        <v>194</v>
      </c>
    </row>
    <row r="40" spans="1:8" ht="15" hidden="1" x14ac:dyDescent="0.25">
      <c r="A40" s="1808" t="s">
        <v>195</v>
      </c>
      <c r="H40" s="1892" t="s">
        <v>161</v>
      </c>
    </row>
    <row r="41" spans="1:8" s="1638" customFormat="1" ht="25.5" hidden="1" thickTop="1" thickBot="1" x14ac:dyDescent="0.25">
      <c r="A41" s="1809" t="s">
        <v>162</v>
      </c>
      <c r="B41" s="1810" t="s">
        <v>761</v>
      </c>
      <c r="C41" s="1810" t="s">
        <v>377</v>
      </c>
      <c r="D41" s="1811" t="s">
        <v>164</v>
      </c>
      <c r="E41" s="1833" t="s">
        <v>632</v>
      </c>
      <c r="F41" s="1833" t="s">
        <v>633</v>
      </c>
      <c r="G41" s="1834" t="s">
        <v>882</v>
      </c>
      <c r="H41" s="1835" t="s">
        <v>883</v>
      </c>
    </row>
    <row r="42" spans="1:8" s="1638" customFormat="1" ht="13.5" hidden="1" thickTop="1" thickBot="1" x14ac:dyDescent="0.25">
      <c r="A42" s="1643">
        <v>1</v>
      </c>
      <c r="B42" s="1642">
        <v>2</v>
      </c>
      <c r="C42" s="1642">
        <v>3</v>
      </c>
      <c r="D42" s="1642">
        <v>4</v>
      </c>
      <c r="E42" s="1641">
        <v>5</v>
      </c>
      <c r="F42" s="1641">
        <v>6</v>
      </c>
      <c r="G42" s="1877">
        <v>7</v>
      </c>
      <c r="H42" s="1901" t="s">
        <v>61</v>
      </c>
    </row>
    <row r="43" spans="1:8" s="1638" customFormat="1" ht="60" hidden="1" x14ac:dyDescent="0.2">
      <c r="A43" s="1896">
        <v>6402</v>
      </c>
      <c r="B43" s="1903">
        <v>5368</v>
      </c>
      <c r="C43" s="1963" t="s">
        <v>572</v>
      </c>
      <c r="D43" s="1836" t="s">
        <v>546</v>
      </c>
      <c r="E43" s="1845">
        <v>0</v>
      </c>
      <c r="F43" s="1845">
        <v>0</v>
      </c>
      <c r="G43" s="1845">
        <v>0</v>
      </c>
      <c r="H43" s="1821" t="e">
        <f>G43/F43*100</f>
        <v>#DIV/0!</v>
      </c>
    </row>
    <row r="44" spans="1:8" s="1638" customFormat="1" ht="16.5" hidden="1" thickTop="1" thickBot="1" x14ac:dyDescent="0.3">
      <c r="A44" s="2751" t="s">
        <v>763</v>
      </c>
      <c r="B44" s="2752"/>
      <c r="C44" s="2752"/>
      <c r="D44" s="2752"/>
      <c r="E44" s="1818">
        <f>SUM(E43:E43)</f>
        <v>0</v>
      </c>
      <c r="F44" s="1818">
        <f>SUM(F43:F43)</f>
        <v>0</v>
      </c>
      <c r="G44" s="1818">
        <f>SUM(G43:G43)</f>
        <v>0</v>
      </c>
      <c r="H44" s="1822" t="e">
        <f>G44/F44*100</f>
        <v>#DIV/0!</v>
      </c>
    </row>
    <row r="45" spans="1:8" s="1638" customFormat="1" ht="14.25" hidden="1" customHeight="1" thickTop="1" x14ac:dyDescent="0.25">
      <c r="A45" s="1823"/>
      <c r="B45" s="1823"/>
      <c r="C45" s="1823"/>
      <c r="D45" s="1823"/>
      <c r="E45" s="1824"/>
      <c r="F45" s="1824"/>
      <c r="G45" s="1824"/>
      <c r="H45" s="1849"/>
    </row>
    <row r="46" spans="1:8" s="1638" customFormat="1" ht="15" x14ac:dyDescent="0.25">
      <c r="A46" s="1808" t="s">
        <v>1074</v>
      </c>
      <c r="B46" s="1802"/>
      <c r="C46" s="1802"/>
      <c r="D46" s="1803"/>
      <c r="E46" s="1829"/>
      <c r="F46" s="1829"/>
      <c r="G46" s="1829"/>
      <c r="H46" s="1803"/>
    </row>
    <row r="47" spans="1:8" s="1638" customFormat="1" ht="15.75" thickBot="1" x14ac:dyDescent="0.3">
      <c r="A47" s="1808" t="s">
        <v>1075</v>
      </c>
      <c r="B47" s="1802"/>
      <c r="C47" s="1802"/>
      <c r="D47" s="1803"/>
      <c r="E47" s="1829"/>
      <c r="F47" s="1829"/>
      <c r="G47" s="1829"/>
      <c r="H47" s="1892" t="s">
        <v>161</v>
      </c>
    </row>
    <row r="48" spans="1:8" s="1638" customFormat="1" ht="25.5" thickTop="1" thickBot="1" x14ac:dyDescent="0.25">
      <c r="A48" s="1809" t="s">
        <v>162</v>
      </c>
      <c r="B48" s="1810" t="s">
        <v>761</v>
      </c>
      <c r="C48" s="1810" t="s">
        <v>377</v>
      </c>
      <c r="D48" s="1811" t="s">
        <v>164</v>
      </c>
      <c r="E48" s="1833" t="s">
        <v>632</v>
      </c>
      <c r="F48" s="1833" t="s">
        <v>633</v>
      </c>
      <c r="G48" s="1834" t="s">
        <v>882</v>
      </c>
      <c r="H48" s="1835" t="s">
        <v>883</v>
      </c>
    </row>
    <row r="49" spans="1:8" s="1638" customFormat="1" ht="13.5" thickTop="1" thickBot="1" x14ac:dyDescent="0.25">
      <c r="A49" s="1643">
        <v>1</v>
      </c>
      <c r="B49" s="1642">
        <v>2</v>
      </c>
      <c r="C49" s="1642">
        <v>3</v>
      </c>
      <c r="D49" s="1642">
        <v>4</v>
      </c>
      <c r="E49" s="1641">
        <v>5</v>
      </c>
      <c r="F49" s="1641">
        <v>6</v>
      </c>
      <c r="G49" s="1877">
        <v>7</v>
      </c>
      <c r="H49" s="1901" t="s">
        <v>61</v>
      </c>
    </row>
    <row r="50" spans="1:8" ht="16.5" hidden="1" customHeight="1" thickTop="1" x14ac:dyDescent="0.2">
      <c r="A50" s="1896">
        <v>2143</v>
      </c>
      <c r="B50" s="1903">
        <v>5011</v>
      </c>
      <c r="C50" s="1906">
        <v>41100880</v>
      </c>
      <c r="D50" s="1836" t="s">
        <v>269</v>
      </c>
      <c r="E50" s="1845"/>
      <c r="F50" s="1845"/>
      <c r="G50" s="1845"/>
      <c r="H50" s="1821" t="e">
        <f t="shared" ref="H50:H62" si="0">G50/F50*100</f>
        <v>#DIV/0!</v>
      </c>
    </row>
    <row r="51" spans="1:8" ht="16.5" hidden="1" customHeight="1" x14ac:dyDescent="0.2">
      <c r="A51" s="1896">
        <v>2143</v>
      </c>
      <c r="B51" s="1903">
        <v>5011</v>
      </c>
      <c r="C51" s="1906">
        <v>41100882</v>
      </c>
      <c r="D51" s="1836" t="s">
        <v>269</v>
      </c>
      <c r="E51" s="1845"/>
      <c r="F51" s="1845"/>
      <c r="G51" s="1845"/>
      <c r="H51" s="1821" t="e">
        <f t="shared" si="0"/>
        <v>#DIV/0!</v>
      </c>
    </row>
    <row r="52" spans="1:8" s="1638" customFormat="1" ht="16.5" hidden="1" customHeight="1" x14ac:dyDescent="0.2">
      <c r="A52" s="1896">
        <v>2143</v>
      </c>
      <c r="B52" s="1903">
        <v>5011</v>
      </c>
      <c r="C52" s="1903">
        <v>41500881</v>
      </c>
      <c r="D52" s="1836" t="s">
        <v>269</v>
      </c>
      <c r="E52" s="1845"/>
      <c r="F52" s="1845"/>
      <c r="G52" s="1845"/>
      <c r="H52" s="1821" t="e">
        <f t="shared" si="0"/>
        <v>#DIV/0!</v>
      </c>
    </row>
    <row r="53" spans="1:8" s="1638" customFormat="1" ht="45.75" hidden="1" thickTop="1" x14ac:dyDescent="0.2">
      <c r="A53" s="1896">
        <v>2143</v>
      </c>
      <c r="B53" s="1903">
        <v>5031</v>
      </c>
      <c r="C53" s="1903">
        <v>41100880</v>
      </c>
      <c r="D53" s="1836" t="s">
        <v>1299</v>
      </c>
      <c r="E53" s="1845"/>
      <c r="F53" s="1845"/>
      <c r="G53" s="1845"/>
      <c r="H53" s="1821" t="e">
        <f t="shared" si="0"/>
        <v>#DIV/0!</v>
      </c>
    </row>
    <row r="54" spans="1:8" s="1638" customFormat="1" ht="45.75" hidden="1" thickTop="1" x14ac:dyDescent="0.2">
      <c r="A54" s="1896">
        <v>2143</v>
      </c>
      <c r="B54" s="1903">
        <v>5031</v>
      </c>
      <c r="C54" s="1903">
        <v>41100882</v>
      </c>
      <c r="D54" s="1836" t="s">
        <v>1299</v>
      </c>
      <c r="E54" s="1845"/>
      <c r="F54" s="1845"/>
      <c r="G54" s="1845"/>
      <c r="H54" s="1821">
        <v>0</v>
      </c>
    </row>
    <row r="55" spans="1:8" s="1638" customFormat="1" ht="45.75" hidden="1" thickTop="1" x14ac:dyDescent="0.2">
      <c r="A55" s="1896">
        <v>2143</v>
      </c>
      <c r="B55" s="1903">
        <v>5031</v>
      </c>
      <c r="C55" s="1903">
        <v>41500881</v>
      </c>
      <c r="D55" s="1836" t="s">
        <v>1299</v>
      </c>
      <c r="E55" s="1845"/>
      <c r="F55" s="1845"/>
      <c r="G55" s="1845"/>
      <c r="H55" s="1821" t="e">
        <f t="shared" si="0"/>
        <v>#DIV/0!</v>
      </c>
    </row>
    <row r="56" spans="1:8" s="1638" customFormat="1" ht="30.75" hidden="1" thickTop="1" x14ac:dyDescent="0.2">
      <c r="A56" s="1964">
        <v>2143</v>
      </c>
      <c r="B56" s="1903">
        <v>5032</v>
      </c>
      <c r="C56" s="1903">
        <v>41100880</v>
      </c>
      <c r="D56" s="1836" t="s">
        <v>1177</v>
      </c>
      <c r="E56" s="1845"/>
      <c r="F56" s="1845"/>
      <c r="G56" s="1845"/>
      <c r="H56" s="1821" t="e">
        <f t="shared" si="0"/>
        <v>#DIV/0!</v>
      </c>
    </row>
    <row r="57" spans="1:8" s="1638" customFormat="1" ht="30.75" hidden="1" thickTop="1" x14ac:dyDescent="0.2">
      <c r="A57" s="1964">
        <v>2143</v>
      </c>
      <c r="B57" s="1903">
        <v>5032</v>
      </c>
      <c r="C57" s="1903">
        <v>41100882</v>
      </c>
      <c r="D57" s="1836" t="s">
        <v>1177</v>
      </c>
      <c r="E57" s="1845"/>
      <c r="F57" s="1845"/>
      <c r="G57" s="1845"/>
      <c r="H57" s="1821" t="e">
        <f t="shared" si="0"/>
        <v>#DIV/0!</v>
      </c>
    </row>
    <row r="58" spans="1:8" s="1638" customFormat="1" ht="30.75" hidden="1" thickTop="1" x14ac:dyDescent="0.2">
      <c r="A58" s="1964">
        <v>2143</v>
      </c>
      <c r="B58" s="1903">
        <v>5032</v>
      </c>
      <c r="C58" s="1903">
        <v>41500881</v>
      </c>
      <c r="D58" s="1836" t="s">
        <v>1177</v>
      </c>
      <c r="E58" s="1845"/>
      <c r="F58" s="1845"/>
      <c r="G58" s="1845"/>
      <c r="H58" s="1821" t="e">
        <f t="shared" si="0"/>
        <v>#DIV/0!</v>
      </c>
    </row>
    <row r="59" spans="1:8" s="1638" customFormat="1" ht="15.75" hidden="1" thickTop="1" x14ac:dyDescent="0.2">
      <c r="A59" s="1815">
        <v>2143</v>
      </c>
      <c r="B59" s="1816">
        <v>5139</v>
      </c>
      <c r="C59" s="1903">
        <v>41100880</v>
      </c>
      <c r="D59" s="1836" t="s">
        <v>270</v>
      </c>
      <c r="E59" s="1845"/>
      <c r="F59" s="1845"/>
      <c r="G59" s="1845"/>
      <c r="H59" s="1821" t="e">
        <f t="shared" si="0"/>
        <v>#DIV/0!</v>
      </c>
    </row>
    <row r="60" spans="1:8" s="1638" customFormat="1" ht="15.75" hidden="1" thickTop="1" x14ac:dyDescent="0.2">
      <c r="A60" s="1815">
        <v>2143</v>
      </c>
      <c r="B60" s="1816">
        <v>5139</v>
      </c>
      <c r="C60" s="1903">
        <v>41100882</v>
      </c>
      <c r="D60" s="1836" t="s">
        <v>270</v>
      </c>
      <c r="E60" s="1845"/>
      <c r="F60" s="1845"/>
      <c r="G60" s="1845"/>
      <c r="H60" s="1821" t="e">
        <f t="shared" si="0"/>
        <v>#DIV/0!</v>
      </c>
    </row>
    <row r="61" spans="1:8" s="1638" customFormat="1" ht="15.75" hidden="1" thickTop="1" x14ac:dyDescent="0.2">
      <c r="A61" s="1815">
        <v>2143</v>
      </c>
      <c r="B61" s="1816">
        <v>5139</v>
      </c>
      <c r="C61" s="1903">
        <v>41500881</v>
      </c>
      <c r="D61" s="1836" t="s">
        <v>270</v>
      </c>
      <c r="E61" s="1845"/>
      <c r="F61" s="1845"/>
      <c r="G61" s="1845"/>
      <c r="H61" s="1821" t="e">
        <f t="shared" si="0"/>
        <v>#DIV/0!</v>
      </c>
    </row>
    <row r="62" spans="1:8" s="1638" customFormat="1" ht="15.75" hidden="1" thickTop="1" x14ac:dyDescent="0.2">
      <c r="A62" s="1815">
        <v>2143</v>
      </c>
      <c r="B62" s="1816">
        <v>5163</v>
      </c>
      <c r="C62" s="1903">
        <v>41100880</v>
      </c>
      <c r="D62" s="1836" t="s">
        <v>892</v>
      </c>
      <c r="E62" s="1845"/>
      <c r="F62" s="1845"/>
      <c r="G62" s="1845"/>
      <c r="H62" s="1821" t="e">
        <f t="shared" si="0"/>
        <v>#DIV/0!</v>
      </c>
    </row>
    <row r="63" spans="1:8" s="1638" customFormat="1" ht="15.75" hidden="1" thickTop="1" x14ac:dyDescent="0.2">
      <c r="A63" s="1815">
        <v>2143</v>
      </c>
      <c r="B63" s="1816">
        <v>5163</v>
      </c>
      <c r="C63" s="1903">
        <v>41100882</v>
      </c>
      <c r="D63" s="1836" t="s">
        <v>892</v>
      </c>
      <c r="E63" s="1845"/>
      <c r="F63" s="1845"/>
      <c r="G63" s="1845"/>
      <c r="H63" s="1821">
        <v>0</v>
      </c>
    </row>
    <row r="64" spans="1:8" s="1638" customFormat="1" ht="15" hidden="1" customHeight="1" x14ac:dyDescent="0.2">
      <c r="A64" s="1815">
        <v>2143</v>
      </c>
      <c r="B64" s="1816">
        <v>5163</v>
      </c>
      <c r="C64" s="1903">
        <v>41500881</v>
      </c>
      <c r="D64" s="1836" t="s">
        <v>892</v>
      </c>
      <c r="E64" s="1845"/>
      <c r="F64" s="1845"/>
      <c r="G64" s="1845"/>
      <c r="H64" s="1821" t="e">
        <f t="shared" ref="H64:H80" si="1">G64/F64*100</f>
        <v>#DIV/0!</v>
      </c>
    </row>
    <row r="65" spans="1:8" s="1638" customFormat="1" ht="15" hidden="1" customHeight="1" x14ac:dyDescent="0.2">
      <c r="A65" s="1815">
        <v>2143</v>
      </c>
      <c r="B65" s="1816">
        <v>5164</v>
      </c>
      <c r="C65" s="1903">
        <v>41100880</v>
      </c>
      <c r="D65" s="1836" t="s">
        <v>170</v>
      </c>
      <c r="E65" s="1845"/>
      <c r="F65" s="1845"/>
      <c r="G65" s="1845"/>
      <c r="H65" s="1821" t="e">
        <f t="shared" si="1"/>
        <v>#DIV/0!</v>
      </c>
    </row>
    <row r="66" spans="1:8" s="1638" customFormat="1" ht="15" hidden="1" customHeight="1" x14ac:dyDescent="0.2">
      <c r="A66" s="1815">
        <v>2143</v>
      </c>
      <c r="B66" s="1816">
        <v>5164</v>
      </c>
      <c r="C66" s="1903">
        <v>41100882</v>
      </c>
      <c r="D66" s="1836" t="s">
        <v>170</v>
      </c>
      <c r="E66" s="1845"/>
      <c r="F66" s="1845"/>
      <c r="G66" s="1845"/>
      <c r="H66" s="1821" t="e">
        <f t="shared" si="1"/>
        <v>#DIV/0!</v>
      </c>
    </row>
    <row r="67" spans="1:8" s="1638" customFormat="1" ht="15" hidden="1" customHeight="1" x14ac:dyDescent="0.2">
      <c r="A67" s="1815">
        <v>2143</v>
      </c>
      <c r="B67" s="1816">
        <v>5164</v>
      </c>
      <c r="C67" s="1903">
        <v>41500881</v>
      </c>
      <c r="D67" s="1836" t="s">
        <v>170</v>
      </c>
      <c r="E67" s="1845"/>
      <c r="F67" s="1845"/>
      <c r="G67" s="1845"/>
      <c r="H67" s="1821" t="e">
        <f t="shared" si="1"/>
        <v>#DIV/0!</v>
      </c>
    </row>
    <row r="68" spans="1:8" s="1638" customFormat="1" ht="15" hidden="1" customHeight="1" x14ac:dyDescent="0.2">
      <c r="A68" s="1896">
        <v>2143</v>
      </c>
      <c r="B68" s="1903">
        <v>5166</v>
      </c>
      <c r="C68" s="1962" t="s">
        <v>1389</v>
      </c>
      <c r="D68" s="1836" t="s">
        <v>609</v>
      </c>
      <c r="E68" s="1845"/>
      <c r="F68" s="1845"/>
      <c r="G68" s="1845"/>
      <c r="H68" s="1821" t="e">
        <f t="shared" si="1"/>
        <v>#DIV/0!</v>
      </c>
    </row>
    <row r="69" spans="1:8" s="1638" customFormat="1" ht="15" hidden="1" customHeight="1" x14ac:dyDescent="0.2">
      <c r="A69" s="1896">
        <v>2143</v>
      </c>
      <c r="B69" s="1903">
        <v>5166</v>
      </c>
      <c r="C69" s="1903">
        <v>41100882</v>
      </c>
      <c r="D69" s="1836" t="s">
        <v>609</v>
      </c>
      <c r="E69" s="1845"/>
      <c r="F69" s="1845"/>
      <c r="G69" s="1845"/>
      <c r="H69" s="1821" t="e">
        <f t="shared" si="1"/>
        <v>#DIV/0!</v>
      </c>
    </row>
    <row r="70" spans="1:8" s="1638" customFormat="1" ht="15" hidden="1" customHeight="1" x14ac:dyDescent="0.2">
      <c r="A70" s="1896">
        <v>2143</v>
      </c>
      <c r="B70" s="1903">
        <v>5166</v>
      </c>
      <c r="C70" s="1903">
        <v>41500881</v>
      </c>
      <c r="D70" s="1836" t="s">
        <v>609</v>
      </c>
      <c r="E70" s="1845"/>
      <c r="F70" s="1845"/>
      <c r="G70" s="1845"/>
      <c r="H70" s="1821" t="e">
        <f t="shared" si="1"/>
        <v>#DIV/0!</v>
      </c>
    </row>
    <row r="71" spans="1:8" s="1638" customFormat="1" ht="15.75" hidden="1" thickTop="1" x14ac:dyDescent="0.2">
      <c r="A71" s="1896">
        <v>2143</v>
      </c>
      <c r="B71" s="1903">
        <v>5169</v>
      </c>
      <c r="C71" s="1903">
        <v>41100880</v>
      </c>
      <c r="D71" s="1836" t="s">
        <v>852</v>
      </c>
      <c r="E71" s="1845">
        <v>0</v>
      </c>
      <c r="F71" s="1845">
        <v>0</v>
      </c>
      <c r="G71" s="1845">
        <v>0</v>
      </c>
      <c r="H71" s="1821" t="e">
        <f t="shared" si="1"/>
        <v>#DIV/0!</v>
      </c>
    </row>
    <row r="72" spans="1:8" s="1638" customFormat="1" ht="15.75" hidden="1" thickTop="1" x14ac:dyDescent="0.2">
      <c r="A72" s="1896">
        <v>2143</v>
      </c>
      <c r="B72" s="1903">
        <v>5169</v>
      </c>
      <c r="C72" s="1903">
        <v>41100882</v>
      </c>
      <c r="D72" s="1836" t="s">
        <v>852</v>
      </c>
      <c r="E72" s="1845">
        <v>0</v>
      </c>
      <c r="F72" s="1845">
        <v>0</v>
      </c>
      <c r="G72" s="1845">
        <v>0</v>
      </c>
      <c r="H72" s="1821" t="e">
        <f t="shared" si="1"/>
        <v>#DIV/0!</v>
      </c>
    </row>
    <row r="73" spans="1:8" s="1638" customFormat="1" ht="16.5" thickTop="1" thickBot="1" x14ac:dyDescent="0.25">
      <c r="A73" s="1896">
        <v>2143</v>
      </c>
      <c r="B73" s="1903">
        <v>5169</v>
      </c>
      <c r="C73" s="1903">
        <v>41100884</v>
      </c>
      <c r="D73" s="1836" t="s">
        <v>852</v>
      </c>
      <c r="E73" s="1845">
        <v>0</v>
      </c>
      <c r="F73" s="1845">
        <v>4</v>
      </c>
      <c r="G73" s="1845">
        <v>2</v>
      </c>
      <c r="H73" s="1821">
        <f t="shared" si="1"/>
        <v>50</v>
      </c>
    </row>
    <row r="74" spans="1:8" s="1638" customFormat="1" ht="15.75" hidden="1" thickBot="1" x14ac:dyDescent="0.25">
      <c r="A74" s="1896">
        <v>2143</v>
      </c>
      <c r="B74" s="1903">
        <v>5173</v>
      </c>
      <c r="C74" s="1903">
        <v>41100880</v>
      </c>
      <c r="D74" s="1836" t="s">
        <v>1152</v>
      </c>
      <c r="E74" s="1845"/>
      <c r="F74" s="1845"/>
      <c r="G74" s="1845"/>
      <c r="H74" s="1821" t="e">
        <f t="shared" si="1"/>
        <v>#DIV/0!</v>
      </c>
    </row>
    <row r="75" spans="1:8" s="1638" customFormat="1" ht="15.75" hidden="1" thickBot="1" x14ac:dyDescent="0.25">
      <c r="A75" s="1896">
        <v>2143</v>
      </c>
      <c r="B75" s="1903">
        <v>5173</v>
      </c>
      <c r="C75" s="1903">
        <v>41100882</v>
      </c>
      <c r="D75" s="1836" t="s">
        <v>1152</v>
      </c>
      <c r="E75" s="1845"/>
      <c r="F75" s="1845"/>
      <c r="G75" s="1845"/>
      <c r="H75" s="1821" t="e">
        <f t="shared" si="1"/>
        <v>#DIV/0!</v>
      </c>
    </row>
    <row r="76" spans="1:8" s="1638" customFormat="1" ht="15.75" hidden="1" thickBot="1" x14ac:dyDescent="0.25">
      <c r="A76" s="1896">
        <v>2143</v>
      </c>
      <c r="B76" s="1903">
        <v>5173</v>
      </c>
      <c r="C76" s="1903">
        <v>41500881</v>
      </c>
      <c r="D76" s="1836" t="s">
        <v>1152</v>
      </c>
      <c r="E76" s="1845"/>
      <c r="F76" s="1845"/>
      <c r="G76" s="1845"/>
      <c r="H76" s="1821" t="e">
        <f t="shared" si="1"/>
        <v>#DIV/0!</v>
      </c>
    </row>
    <row r="77" spans="1:8" s="1638" customFormat="1" ht="15.75" hidden="1" thickBot="1" x14ac:dyDescent="0.25">
      <c r="A77" s="1896">
        <v>2143</v>
      </c>
      <c r="B77" s="1903">
        <v>5175</v>
      </c>
      <c r="C77" s="1903">
        <v>41100880</v>
      </c>
      <c r="D77" s="1836" t="s">
        <v>1471</v>
      </c>
      <c r="E77" s="1845"/>
      <c r="F77" s="1845"/>
      <c r="G77" s="1845"/>
      <c r="H77" s="1821" t="e">
        <f t="shared" si="1"/>
        <v>#DIV/0!</v>
      </c>
    </row>
    <row r="78" spans="1:8" s="1638" customFormat="1" ht="15.75" hidden="1" thickBot="1" x14ac:dyDescent="0.25">
      <c r="A78" s="1896">
        <v>2143</v>
      </c>
      <c r="B78" s="1903">
        <v>5175</v>
      </c>
      <c r="C78" s="1903">
        <v>41100882</v>
      </c>
      <c r="D78" s="1836" t="s">
        <v>1471</v>
      </c>
      <c r="E78" s="1845"/>
      <c r="F78" s="1845"/>
      <c r="G78" s="1845"/>
      <c r="H78" s="1821" t="e">
        <f t="shared" si="1"/>
        <v>#DIV/0!</v>
      </c>
    </row>
    <row r="79" spans="1:8" s="1638" customFormat="1" ht="15.75" hidden="1" thickBot="1" x14ac:dyDescent="0.25">
      <c r="A79" s="1896">
        <v>2143</v>
      </c>
      <c r="B79" s="1903">
        <v>5175</v>
      </c>
      <c r="C79" s="1903">
        <v>41500881</v>
      </c>
      <c r="D79" s="1836" t="s">
        <v>1471</v>
      </c>
      <c r="E79" s="1845"/>
      <c r="F79" s="1845"/>
      <c r="G79" s="1845"/>
      <c r="H79" s="1821" t="e">
        <f t="shared" si="1"/>
        <v>#DIV/0!</v>
      </c>
    </row>
    <row r="80" spans="1:8" s="1638" customFormat="1" ht="16.5" thickTop="1" thickBot="1" x14ac:dyDescent="0.3">
      <c r="A80" s="2751" t="s">
        <v>763</v>
      </c>
      <c r="B80" s="2752"/>
      <c r="C80" s="2752"/>
      <c r="D80" s="2752"/>
      <c r="E80" s="1818">
        <f>SUM(E50:E79)</f>
        <v>0</v>
      </c>
      <c r="F80" s="1818">
        <f>SUM(F50:F79)</f>
        <v>4</v>
      </c>
      <c r="G80" s="1818">
        <f>SUM(G50:G79)</f>
        <v>2</v>
      </c>
      <c r="H80" s="1822">
        <f t="shared" si="1"/>
        <v>50</v>
      </c>
    </row>
    <row r="81" spans="1:8" s="1638" customFormat="1" ht="14.25" customHeight="1" thickTop="1" x14ac:dyDescent="0.25">
      <c r="A81" s="1823"/>
      <c r="B81" s="1823"/>
      <c r="C81" s="1823"/>
      <c r="D81" s="1823"/>
      <c r="E81" s="1824"/>
      <c r="F81" s="1824"/>
      <c r="G81" s="1824"/>
      <c r="H81" s="1849"/>
    </row>
    <row r="82" spans="1:8" ht="15" x14ac:dyDescent="0.25">
      <c r="A82" s="1808" t="s">
        <v>113</v>
      </c>
    </row>
    <row r="83" spans="1:8" ht="15.75" thickBot="1" x14ac:dyDescent="0.3">
      <c r="A83" s="1808" t="s">
        <v>114</v>
      </c>
      <c r="H83" s="1892" t="s">
        <v>161</v>
      </c>
    </row>
    <row r="84" spans="1:8" s="1638" customFormat="1" ht="25.5" thickTop="1" thickBot="1" x14ac:dyDescent="0.25">
      <c r="A84" s="1809" t="s">
        <v>162</v>
      </c>
      <c r="B84" s="1810" t="s">
        <v>761</v>
      </c>
      <c r="C84" s="1810" t="s">
        <v>377</v>
      </c>
      <c r="D84" s="1811" t="s">
        <v>164</v>
      </c>
      <c r="E84" s="1833" t="s">
        <v>632</v>
      </c>
      <c r="F84" s="1833" t="s">
        <v>633</v>
      </c>
      <c r="G84" s="1834" t="s">
        <v>882</v>
      </c>
      <c r="H84" s="1835" t="s">
        <v>883</v>
      </c>
    </row>
    <row r="85" spans="1:8" s="1638" customFormat="1" ht="13.5" thickTop="1" thickBot="1" x14ac:dyDescent="0.25">
      <c r="A85" s="1643">
        <v>1</v>
      </c>
      <c r="B85" s="1642">
        <v>2</v>
      </c>
      <c r="C85" s="1642">
        <v>3</v>
      </c>
      <c r="D85" s="1642">
        <v>4</v>
      </c>
      <c r="E85" s="1641">
        <v>5</v>
      </c>
      <c r="F85" s="1641">
        <v>6</v>
      </c>
      <c r="G85" s="1877">
        <v>7</v>
      </c>
      <c r="H85" s="1901" t="s">
        <v>61</v>
      </c>
    </row>
    <row r="86" spans="1:8" s="1638" customFormat="1" ht="15.75" thickTop="1" x14ac:dyDescent="0.2">
      <c r="A86" s="1815">
        <v>3122</v>
      </c>
      <c r="B86" s="1816">
        <v>5137</v>
      </c>
      <c r="C86" s="1965" t="s">
        <v>1995</v>
      </c>
      <c r="D86" s="1836" t="s">
        <v>155</v>
      </c>
      <c r="E86" s="1845">
        <v>0</v>
      </c>
      <c r="F86" s="1845">
        <v>60</v>
      </c>
      <c r="G86" s="1845">
        <v>60</v>
      </c>
      <c r="H86" s="1821">
        <f t="shared" ref="H86:H96" si="2">G86/F86*100</f>
        <v>100</v>
      </c>
    </row>
    <row r="87" spans="1:8" s="1638" customFormat="1" ht="15" x14ac:dyDescent="0.2">
      <c r="A87" s="1815">
        <v>3122</v>
      </c>
      <c r="B87" s="1816">
        <v>5137</v>
      </c>
      <c r="C87" s="1965" t="s">
        <v>1388</v>
      </c>
      <c r="D87" s="1836" t="s">
        <v>155</v>
      </c>
      <c r="E87" s="1845">
        <v>0</v>
      </c>
      <c r="F87" s="1845">
        <v>208</v>
      </c>
      <c r="G87" s="1845">
        <v>134</v>
      </c>
      <c r="H87" s="1821">
        <f t="shared" si="2"/>
        <v>64.423076923076934</v>
      </c>
    </row>
    <row r="88" spans="1:8" s="1638" customFormat="1" ht="15" x14ac:dyDescent="0.2">
      <c r="A88" s="1815">
        <v>3122</v>
      </c>
      <c r="B88" s="1816">
        <v>5137</v>
      </c>
      <c r="C88" s="1965" t="s">
        <v>1996</v>
      </c>
      <c r="D88" s="1836" t="s">
        <v>155</v>
      </c>
      <c r="E88" s="1845">
        <v>0</v>
      </c>
      <c r="F88" s="1845">
        <v>340</v>
      </c>
      <c r="G88" s="1845">
        <v>340</v>
      </c>
      <c r="H88" s="1821">
        <f t="shared" si="2"/>
        <v>100</v>
      </c>
    </row>
    <row r="89" spans="1:8" s="1638" customFormat="1" ht="15" x14ac:dyDescent="0.2">
      <c r="A89" s="1815">
        <v>3122</v>
      </c>
      <c r="B89" s="1816">
        <v>5137</v>
      </c>
      <c r="C89" s="1965" t="s">
        <v>1387</v>
      </c>
      <c r="D89" s="1836" t="s">
        <v>155</v>
      </c>
      <c r="E89" s="1845">
        <v>0</v>
      </c>
      <c r="F89" s="1845">
        <v>1177</v>
      </c>
      <c r="G89" s="1845">
        <v>761</v>
      </c>
      <c r="H89" s="1821">
        <f t="shared" si="2"/>
        <v>64.655904842820732</v>
      </c>
    </row>
    <row r="90" spans="1:8" s="1638" customFormat="1" ht="15" x14ac:dyDescent="0.2">
      <c r="A90" s="1815">
        <v>3122</v>
      </c>
      <c r="B90" s="1816">
        <v>6121</v>
      </c>
      <c r="C90" s="1965" t="s">
        <v>1995</v>
      </c>
      <c r="D90" s="1836" t="s">
        <v>603</v>
      </c>
      <c r="E90" s="1845">
        <v>0</v>
      </c>
      <c r="F90" s="1845">
        <v>675</v>
      </c>
      <c r="G90" s="1845">
        <v>659</v>
      </c>
      <c r="H90" s="1821">
        <f t="shared" si="2"/>
        <v>97.629629629629633</v>
      </c>
    </row>
    <row r="91" spans="1:8" s="1638" customFormat="1" ht="15" x14ac:dyDescent="0.2">
      <c r="A91" s="1815">
        <v>3122</v>
      </c>
      <c r="B91" s="1816">
        <v>6121</v>
      </c>
      <c r="C91" s="1965" t="s">
        <v>1997</v>
      </c>
      <c r="D91" s="1836" t="s">
        <v>603</v>
      </c>
      <c r="E91" s="1845">
        <v>0</v>
      </c>
      <c r="F91" s="1845">
        <v>5</v>
      </c>
      <c r="G91" s="1845">
        <v>5</v>
      </c>
      <c r="H91" s="1821">
        <f t="shared" si="2"/>
        <v>100</v>
      </c>
    </row>
    <row r="92" spans="1:8" s="1638" customFormat="1" ht="15" x14ac:dyDescent="0.2">
      <c r="A92" s="1815">
        <v>3122</v>
      </c>
      <c r="B92" s="1816">
        <v>6121</v>
      </c>
      <c r="C92" s="1965" t="s">
        <v>1861</v>
      </c>
      <c r="D92" s="1836" t="s">
        <v>603</v>
      </c>
      <c r="E92" s="1845">
        <v>0</v>
      </c>
      <c r="F92" s="1845">
        <v>424</v>
      </c>
      <c r="G92" s="1845">
        <v>0</v>
      </c>
      <c r="H92" s="1821">
        <f t="shared" si="2"/>
        <v>0</v>
      </c>
    </row>
    <row r="93" spans="1:8" s="1638" customFormat="1" ht="15" x14ac:dyDescent="0.2">
      <c r="A93" s="1815">
        <v>3122</v>
      </c>
      <c r="B93" s="1816">
        <v>6121</v>
      </c>
      <c r="C93" s="1965" t="s">
        <v>1996</v>
      </c>
      <c r="D93" s="1836" t="s">
        <v>603</v>
      </c>
      <c r="E93" s="1845">
        <v>0</v>
      </c>
      <c r="F93" s="1845">
        <v>3825</v>
      </c>
      <c r="G93" s="1845">
        <v>3733</v>
      </c>
      <c r="H93" s="1821">
        <f t="shared" si="2"/>
        <v>97.594771241830074</v>
      </c>
    </row>
    <row r="94" spans="1:8" s="1638" customFormat="1" ht="15" x14ac:dyDescent="0.2">
      <c r="A94" s="1815">
        <v>3122</v>
      </c>
      <c r="B94" s="1816">
        <v>6122</v>
      </c>
      <c r="C94" s="1965" t="s">
        <v>1995</v>
      </c>
      <c r="D94" s="1836" t="s">
        <v>604</v>
      </c>
      <c r="E94" s="1845"/>
      <c r="F94" s="1845">
        <v>150</v>
      </c>
      <c r="G94" s="1845">
        <v>113</v>
      </c>
      <c r="H94" s="1821">
        <f t="shared" si="2"/>
        <v>75.333333333333329</v>
      </c>
    </row>
    <row r="95" spans="1:8" s="1638" customFormat="1" ht="15" x14ac:dyDescent="0.2">
      <c r="A95" s="1815">
        <v>3122</v>
      </c>
      <c r="B95" s="1816">
        <v>6122</v>
      </c>
      <c r="C95" s="1965" t="s">
        <v>1388</v>
      </c>
      <c r="D95" s="1836" t="s">
        <v>604</v>
      </c>
      <c r="E95" s="1845"/>
      <c r="F95" s="1845">
        <v>957</v>
      </c>
      <c r="G95" s="1845">
        <v>0</v>
      </c>
      <c r="H95" s="1821">
        <f t="shared" si="2"/>
        <v>0</v>
      </c>
    </row>
    <row r="96" spans="1:8" s="1638" customFormat="1" ht="15" x14ac:dyDescent="0.2">
      <c r="A96" s="1815">
        <v>3122</v>
      </c>
      <c r="B96" s="1816">
        <v>6122</v>
      </c>
      <c r="C96" s="1965" t="s">
        <v>1996</v>
      </c>
      <c r="D96" s="1836" t="s">
        <v>604</v>
      </c>
      <c r="E96" s="1845">
        <v>0</v>
      </c>
      <c r="F96" s="1845">
        <v>845</v>
      </c>
      <c r="G96" s="1845">
        <v>638</v>
      </c>
      <c r="H96" s="1821">
        <f t="shared" si="2"/>
        <v>75.50295857988165</v>
      </c>
    </row>
    <row r="97" spans="1:8" s="1638" customFormat="1" ht="15.75" thickBot="1" x14ac:dyDescent="0.25">
      <c r="A97" s="1815">
        <v>3122</v>
      </c>
      <c r="B97" s="1816">
        <v>6122</v>
      </c>
      <c r="C97" s="1965" t="s">
        <v>1387</v>
      </c>
      <c r="D97" s="1836" t="s">
        <v>604</v>
      </c>
      <c r="E97" s="1845">
        <v>0</v>
      </c>
      <c r="F97" s="1845">
        <v>4139</v>
      </c>
      <c r="G97" s="1845">
        <v>0</v>
      </c>
      <c r="H97" s="1821">
        <v>0</v>
      </c>
    </row>
    <row r="98" spans="1:8" s="1638" customFormat="1" ht="16.5" thickTop="1" thickBot="1" x14ac:dyDescent="0.3">
      <c r="A98" s="2751" t="s">
        <v>763</v>
      </c>
      <c r="B98" s="2752"/>
      <c r="C98" s="2752"/>
      <c r="D98" s="2752"/>
      <c r="E98" s="1818">
        <f>SUM(E86:E97)</f>
        <v>0</v>
      </c>
      <c r="F98" s="1818">
        <f>SUM(F86:F97)</f>
        <v>12805</v>
      </c>
      <c r="G98" s="1818">
        <f>SUM(G86:G97)</f>
        <v>6443</v>
      </c>
      <c r="H98" s="1819">
        <f>G98/F98*100</f>
        <v>50.3162827020695</v>
      </c>
    </row>
    <row r="99" spans="1:8" s="1638" customFormat="1" ht="15.75" thickTop="1" x14ac:dyDescent="0.25">
      <c r="A99" s="1808"/>
      <c r="B99" s="1823"/>
      <c r="C99" s="1823"/>
      <c r="D99" s="1823"/>
      <c r="E99" s="1824"/>
      <c r="F99" s="1824"/>
      <c r="G99" s="1824"/>
      <c r="H99" s="1966"/>
    </row>
    <row r="100" spans="1:8" ht="15" x14ac:dyDescent="0.25">
      <c r="A100" s="1808" t="s">
        <v>1721</v>
      </c>
    </row>
    <row r="101" spans="1:8" ht="15.75" thickBot="1" x14ac:dyDescent="0.3">
      <c r="A101" s="1808" t="s">
        <v>115</v>
      </c>
      <c r="H101" s="1892" t="s">
        <v>161</v>
      </c>
    </row>
    <row r="102" spans="1:8" s="1638" customFormat="1" ht="25.5" thickTop="1" thickBot="1" x14ac:dyDescent="0.25">
      <c r="A102" s="1809" t="s">
        <v>162</v>
      </c>
      <c r="B102" s="1810" t="s">
        <v>761</v>
      </c>
      <c r="C102" s="1810" t="s">
        <v>377</v>
      </c>
      <c r="D102" s="1811" t="s">
        <v>164</v>
      </c>
      <c r="E102" s="1833" t="s">
        <v>632</v>
      </c>
      <c r="F102" s="1833" t="s">
        <v>633</v>
      </c>
      <c r="G102" s="1834" t="s">
        <v>882</v>
      </c>
      <c r="H102" s="1835" t="s">
        <v>883</v>
      </c>
    </row>
    <row r="103" spans="1:8" s="1638" customFormat="1" ht="13.5" thickTop="1" thickBot="1" x14ac:dyDescent="0.25">
      <c r="A103" s="1643">
        <v>1</v>
      </c>
      <c r="B103" s="1642">
        <v>2</v>
      </c>
      <c r="C103" s="1642">
        <v>3</v>
      </c>
      <c r="D103" s="1642">
        <v>4</v>
      </c>
      <c r="E103" s="1641">
        <v>5</v>
      </c>
      <c r="F103" s="1641">
        <v>6</v>
      </c>
      <c r="G103" s="1877">
        <v>7</v>
      </c>
      <c r="H103" s="1901" t="s">
        <v>61</v>
      </c>
    </row>
    <row r="104" spans="1:8" s="1638" customFormat="1" ht="15.75" thickTop="1" x14ac:dyDescent="0.2">
      <c r="A104" s="1815">
        <v>3122</v>
      </c>
      <c r="B104" s="1816">
        <v>5137</v>
      </c>
      <c r="C104" s="1816">
        <v>38100870</v>
      </c>
      <c r="D104" s="1836" t="s">
        <v>155</v>
      </c>
      <c r="E104" s="1845">
        <v>0</v>
      </c>
      <c r="F104" s="1845">
        <v>300</v>
      </c>
      <c r="G104" s="1845">
        <v>300</v>
      </c>
      <c r="H104" s="1821">
        <f t="shared" ref="H104:H113" si="3">G104/F104*100</f>
        <v>100</v>
      </c>
    </row>
    <row r="105" spans="1:8" s="1638" customFormat="1" ht="15" x14ac:dyDescent="0.2">
      <c r="A105" s="1815">
        <v>3122</v>
      </c>
      <c r="B105" s="1816">
        <v>5137</v>
      </c>
      <c r="C105" s="1816">
        <v>38587005</v>
      </c>
      <c r="D105" s="1836" t="s">
        <v>155</v>
      </c>
      <c r="E105" s="1845">
        <v>0</v>
      </c>
      <c r="F105" s="1845">
        <v>1699</v>
      </c>
      <c r="G105" s="1845">
        <v>1699</v>
      </c>
      <c r="H105" s="1821">
        <f t="shared" si="3"/>
        <v>100</v>
      </c>
    </row>
    <row r="106" spans="1:8" s="1638" customFormat="1" ht="15" x14ac:dyDescent="0.2">
      <c r="A106" s="1815">
        <v>3122</v>
      </c>
      <c r="B106" s="1816">
        <v>6121</v>
      </c>
      <c r="C106" s="1816">
        <v>38100870</v>
      </c>
      <c r="D106" s="1836" t="s">
        <v>603</v>
      </c>
      <c r="E106" s="1845">
        <v>0</v>
      </c>
      <c r="F106" s="1845">
        <v>429</v>
      </c>
      <c r="G106" s="1845">
        <v>429</v>
      </c>
      <c r="H106" s="1821">
        <f t="shared" si="3"/>
        <v>100</v>
      </c>
    </row>
    <row r="107" spans="1:8" s="1638" customFormat="1" ht="15" x14ac:dyDescent="0.2">
      <c r="A107" s="1815">
        <v>3122</v>
      </c>
      <c r="B107" s="1816">
        <v>6121</v>
      </c>
      <c r="C107" s="1816">
        <v>38100874</v>
      </c>
      <c r="D107" s="1836" t="s">
        <v>603</v>
      </c>
      <c r="E107" s="1845">
        <v>0</v>
      </c>
      <c r="F107" s="1845">
        <v>243</v>
      </c>
      <c r="G107" s="1845">
        <v>243</v>
      </c>
      <c r="H107" s="1821">
        <f t="shared" si="3"/>
        <v>100</v>
      </c>
    </row>
    <row r="108" spans="1:8" s="1638" customFormat="1" ht="15" x14ac:dyDescent="0.2">
      <c r="A108" s="1815">
        <v>3122</v>
      </c>
      <c r="B108" s="1816">
        <v>6121</v>
      </c>
      <c r="C108" s="1816">
        <v>38500871</v>
      </c>
      <c r="D108" s="1836" t="s">
        <v>603</v>
      </c>
      <c r="E108" s="1845">
        <v>0</v>
      </c>
      <c r="F108" s="1845">
        <v>1709</v>
      </c>
      <c r="G108" s="1845">
        <v>1709</v>
      </c>
      <c r="H108" s="1821">
        <f t="shared" si="3"/>
        <v>100</v>
      </c>
    </row>
    <row r="109" spans="1:8" s="1638" customFormat="1" ht="15" x14ac:dyDescent="0.2">
      <c r="A109" s="1815">
        <v>3122</v>
      </c>
      <c r="B109" s="1816">
        <v>6121</v>
      </c>
      <c r="C109" s="1816">
        <v>38587505</v>
      </c>
      <c r="D109" s="1836" t="s">
        <v>603</v>
      </c>
      <c r="E109" s="1845">
        <v>0</v>
      </c>
      <c r="F109" s="1845">
        <v>721</v>
      </c>
      <c r="G109" s="1845">
        <v>721</v>
      </c>
      <c r="H109" s="1821">
        <f t="shared" si="3"/>
        <v>100</v>
      </c>
    </row>
    <row r="110" spans="1:8" s="1638" customFormat="1" ht="15" x14ac:dyDescent="0.2">
      <c r="A110" s="1815">
        <v>3122</v>
      </c>
      <c r="B110" s="1816">
        <v>6122</v>
      </c>
      <c r="C110" s="1816">
        <v>38100870</v>
      </c>
      <c r="D110" s="1836" t="s">
        <v>604</v>
      </c>
      <c r="E110" s="1845">
        <v>0</v>
      </c>
      <c r="F110" s="1845">
        <v>147</v>
      </c>
      <c r="G110" s="1845">
        <v>147</v>
      </c>
      <c r="H110" s="1821">
        <f t="shared" si="3"/>
        <v>100</v>
      </c>
    </row>
    <row r="111" spans="1:8" s="1638" customFormat="1" ht="15" hidden="1" x14ac:dyDescent="0.2">
      <c r="A111" s="1815">
        <v>3122</v>
      </c>
      <c r="B111" s="1816">
        <v>6122</v>
      </c>
      <c r="C111" s="1816">
        <v>38500871</v>
      </c>
      <c r="D111" s="1836" t="s">
        <v>604</v>
      </c>
      <c r="E111" s="1845">
        <v>0</v>
      </c>
      <c r="F111" s="1845">
        <v>0</v>
      </c>
      <c r="G111" s="1845">
        <v>0</v>
      </c>
      <c r="H111" s="1821" t="e">
        <f t="shared" si="3"/>
        <v>#DIV/0!</v>
      </c>
    </row>
    <row r="112" spans="1:8" s="1638" customFormat="1" ht="15.75" thickBot="1" x14ac:dyDescent="0.25">
      <c r="A112" s="1815">
        <v>3122</v>
      </c>
      <c r="B112" s="1816">
        <v>6122</v>
      </c>
      <c r="C112" s="1816">
        <v>38587505</v>
      </c>
      <c r="D112" s="1836" t="s">
        <v>604</v>
      </c>
      <c r="E112" s="1845">
        <v>0</v>
      </c>
      <c r="F112" s="1845">
        <v>831</v>
      </c>
      <c r="G112" s="1845">
        <v>831</v>
      </c>
      <c r="H112" s="1821">
        <f t="shared" si="3"/>
        <v>100</v>
      </c>
    </row>
    <row r="113" spans="1:8" s="1638" customFormat="1" ht="16.5" thickTop="1" thickBot="1" x14ac:dyDescent="0.3">
      <c r="A113" s="2751" t="s">
        <v>763</v>
      </c>
      <c r="B113" s="2752"/>
      <c r="C113" s="2752"/>
      <c r="D113" s="2752"/>
      <c r="E113" s="1818">
        <f>SUM(E104:E112)</f>
        <v>0</v>
      </c>
      <c r="F113" s="1818">
        <f>SUM(F104:F112)</f>
        <v>6079</v>
      </c>
      <c r="G113" s="1818">
        <f>SUM(G104:G112)</f>
        <v>6079</v>
      </c>
      <c r="H113" s="1822">
        <f t="shared" si="3"/>
        <v>100</v>
      </c>
    </row>
    <row r="114" spans="1:8" s="1638" customFormat="1" ht="14.25" customHeight="1" thickTop="1" x14ac:dyDescent="0.25">
      <c r="A114" s="1823"/>
      <c r="B114" s="1823"/>
      <c r="C114" s="1823"/>
      <c r="D114" s="1823"/>
      <c r="E114" s="1824"/>
      <c r="F114" s="1824"/>
      <c r="G114" s="1824"/>
      <c r="H114" s="1849"/>
    </row>
    <row r="115" spans="1:8" ht="15" x14ac:dyDescent="0.25">
      <c r="A115" s="1808" t="s">
        <v>1509</v>
      </c>
    </row>
    <row r="116" spans="1:8" ht="15.75" thickBot="1" x14ac:dyDescent="0.3">
      <c r="A116" s="1808" t="s">
        <v>1510</v>
      </c>
      <c r="H116" s="1892" t="s">
        <v>161</v>
      </c>
    </row>
    <row r="117" spans="1:8" s="1638" customFormat="1" ht="25.5" thickTop="1" thickBot="1" x14ac:dyDescent="0.25">
      <c r="A117" s="1809" t="s">
        <v>162</v>
      </c>
      <c r="B117" s="1810" t="s">
        <v>761</v>
      </c>
      <c r="C117" s="1810" t="s">
        <v>377</v>
      </c>
      <c r="D117" s="1811" t="s">
        <v>164</v>
      </c>
      <c r="E117" s="1833" t="s">
        <v>632</v>
      </c>
      <c r="F117" s="1833" t="s">
        <v>633</v>
      </c>
      <c r="G117" s="1834" t="s">
        <v>882</v>
      </c>
      <c r="H117" s="1835" t="s">
        <v>883</v>
      </c>
    </row>
    <row r="118" spans="1:8" s="1638" customFormat="1" ht="13.5" thickTop="1" thickBot="1" x14ac:dyDescent="0.25">
      <c r="A118" s="1643">
        <v>1</v>
      </c>
      <c r="B118" s="1642">
        <v>2</v>
      </c>
      <c r="C118" s="1642">
        <v>3</v>
      </c>
      <c r="D118" s="1642">
        <v>4</v>
      </c>
      <c r="E118" s="1641">
        <v>5</v>
      </c>
      <c r="F118" s="1641">
        <v>6</v>
      </c>
      <c r="G118" s="1877">
        <v>7</v>
      </c>
      <c r="H118" s="1901" t="s">
        <v>61</v>
      </c>
    </row>
    <row r="119" spans="1:8" s="1638" customFormat="1" ht="15.75" thickTop="1" x14ac:dyDescent="0.2">
      <c r="A119" s="1815">
        <v>3122</v>
      </c>
      <c r="B119" s="1816">
        <v>5137</v>
      </c>
      <c r="C119" s="1816">
        <v>38100870</v>
      </c>
      <c r="D119" s="1836" t="s">
        <v>155</v>
      </c>
      <c r="E119" s="1845">
        <v>0</v>
      </c>
      <c r="F119" s="1845">
        <v>358</v>
      </c>
      <c r="G119" s="1845">
        <v>161</v>
      </c>
      <c r="H119" s="1821">
        <f t="shared" ref="H119:H129" si="4">G119/F119*100</f>
        <v>44.972067039106143</v>
      </c>
    </row>
    <row r="120" spans="1:8" s="1638" customFormat="1" ht="15" x14ac:dyDescent="0.2">
      <c r="A120" s="1815">
        <v>3122</v>
      </c>
      <c r="B120" s="1816">
        <v>5137</v>
      </c>
      <c r="C120" s="1816">
        <v>38500871</v>
      </c>
      <c r="D120" s="1836" t="s">
        <v>155</v>
      </c>
      <c r="E120" s="1845">
        <v>0</v>
      </c>
      <c r="F120" s="1845">
        <v>2032</v>
      </c>
      <c r="G120" s="1845">
        <v>913</v>
      </c>
      <c r="H120" s="1821">
        <f t="shared" si="4"/>
        <v>44.931102362204726</v>
      </c>
    </row>
    <row r="121" spans="1:8" s="1638" customFormat="1" ht="15" x14ac:dyDescent="0.2">
      <c r="A121" s="1815">
        <v>3122</v>
      </c>
      <c r="B121" s="1816">
        <v>6121</v>
      </c>
      <c r="C121" s="1816">
        <v>38100870</v>
      </c>
      <c r="D121" s="1836" t="s">
        <v>603</v>
      </c>
      <c r="E121" s="1845">
        <v>0</v>
      </c>
      <c r="F121" s="1845">
        <v>108</v>
      </c>
      <c r="G121" s="1845">
        <v>105</v>
      </c>
      <c r="H121" s="1821">
        <f t="shared" si="4"/>
        <v>97.222222222222214</v>
      </c>
    </row>
    <row r="122" spans="1:8" s="1638" customFormat="1" ht="15" x14ac:dyDescent="0.2">
      <c r="A122" s="1815">
        <v>3122</v>
      </c>
      <c r="B122" s="1816">
        <v>6121</v>
      </c>
      <c r="C122" s="1816">
        <v>38100874</v>
      </c>
      <c r="D122" s="1836" t="s">
        <v>603</v>
      </c>
      <c r="E122" s="1845">
        <v>0</v>
      </c>
      <c r="F122" s="1845">
        <v>340</v>
      </c>
      <c r="G122" s="1845">
        <v>340</v>
      </c>
      <c r="H122" s="1821">
        <f t="shared" si="4"/>
        <v>100</v>
      </c>
    </row>
    <row r="123" spans="1:8" s="1638" customFormat="1" ht="15" x14ac:dyDescent="0.2">
      <c r="A123" s="1815">
        <v>3122</v>
      </c>
      <c r="B123" s="1816">
        <v>6121</v>
      </c>
      <c r="C123" s="1816">
        <v>38500871</v>
      </c>
      <c r="D123" s="1836" t="s">
        <v>603</v>
      </c>
      <c r="E123" s="1845">
        <v>0</v>
      </c>
      <c r="F123" s="1845">
        <v>612</v>
      </c>
      <c r="G123" s="1845">
        <v>594</v>
      </c>
      <c r="H123" s="1821">
        <f t="shared" si="4"/>
        <v>97.058823529411768</v>
      </c>
    </row>
    <row r="124" spans="1:8" s="1638" customFormat="1" ht="15" x14ac:dyDescent="0.2">
      <c r="A124" s="1815">
        <v>3122</v>
      </c>
      <c r="B124" s="1816">
        <v>6122</v>
      </c>
      <c r="C124" s="1816">
        <v>38100870</v>
      </c>
      <c r="D124" s="1836" t="s">
        <v>604</v>
      </c>
      <c r="E124" s="1845">
        <v>0</v>
      </c>
      <c r="F124" s="1845">
        <v>751</v>
      </c>
      <c r="G124" s="1845">
        <v>716</v>
      </c>
      <c r="H124" s="1821">
        <f t="shared" si="4"/>
        <v>95.339547270306255</v>
      </c>
    </row>
    <row r="125" spans="1:8" s="1638" customFormat="1" ht="15" x14ac:dyDescent="0.2">
      <c r="A125" s="1815">
        <v>3122</v>
      </c>
      <c r="B125" s="1816">
        <v>6122</v>
      </c>
      <c r="C125" s="1816">
        <v>38100880</v>
      </c>
      <c r="D125" s="1836" t="s">
        <v>604</v>
      </c>
      <c r="E125" s="1845">
        <v>0</v>
      </c>
      <c r="F125" s="1845">
        <v>2351</v>
      </c>
      <c r="G125" s="1845">
        <v>450</v>
      </c>
      <c r="H125" s="1821">
        <f t="shared" si="4"/>
        <v>19.140791152700977</v>
      </c>
    </row>
    <row r="126" spans="1:8" s="1638" customFormat="1" ht="15" x14ac:dyDescent="0.2">
      <c r="A126" s="1815">
        <v>3122</v>
      </c>
      <c r="B126" s="1816">
        <v>6122</v>
      </c>
      <c r="C126" s="1816">
        <v>38500871</v>
      </c>
      <c r="D126" s="1836" t="s">
        <v>604</v>
      </c>
      <c r="E126" s="1845">
        <v>0</v>
      </c>
      <c r="F126" s="1845">
        <v>4259</v>
      </c>
      <c r="G126" s="1845">
        <v>4058</v>
      </c>
      <c r="H126" s="1821">
        <f t="shared" si="4"/>
        <v>95.280582296313682</v>
      </c>
    </row>
    <row r="127" spans="1:8" s="1638" customFormat="1" ht="15" x14ac:dyDescent="0.2">
      <c r="A127" s="1815">
        <v>3122</v>
      </c>
      <c r="B127" s="1816">
        <v>6122</v>
      </c>
      <c r="C127" s="1816">
        <v>38500881</v>
      </c>
      <c r="D127" s="1836" t="s">
        <v>604</v>
      </c>
      <c r="E127" s="1845"/>
      <c r="F127" s="1845">
        <v>4437</v>
      </c>
      <c r="G127" s="1845">
        <v>2550</v>
      </c>
      <c r="H127" s="1821">
        <f t="shared" si="4"/>
        <v>57.47126436781609</v>
      </c>
    </row>
    <row r="128" spans="1:8" s="1638" customFormat="1" ht="15.75" thickBot="1" x14ac:dyDescent="0.25">
      <c r="A128" s="1815">
        <v>3122</v>
      </c>
      <c r="B128" s="1816">
        <v>6122</v>
      </c>
      <c r="C128" s="1816">
        <v>38587505</v>
      </c>
      <c r="D128" s="1836" t="s">
        <v>604</v>
      </c>
      <c r="E128" s="1845">
        <v>0</v>
      </c>
      <c r="F128" s="1845">
        <v>8888</v>
      </c>
      <c r="G128" s="1845">
        <v>0</v>
      </c>
      <c r="H128" s="1821">
        <f t="shared" si="4"/>
        <v>0</v>
      </c>
    </row>
    <row r="129" spans="1:8" s="1638" customFormat="1" ht="16.5" thickTop="1" thickBot="1" x14ac:dyDescent="0.3">
      <c r="A129" s="2751" t="s">
        <v>763</v>
      </c>
      <c r="B129" s="2752"/>
      <c r="C129" s="2752"/>
      <c r="D129" s="2752"/>
      <c r="E129" s="1818">
        <f>SUM(E119:E128)</f>
        <v>0</v>
      </c>
      <c r="F129" s="1818">
        <f>SUM(F119:F128)</f>
        <v>24136</v>
      </c>
      <c r="G129" s="1818">
        <f>SUM(G119:G128)</f>
        <v>9887</v>
      </c>
      <c r="H129" s="1822">
        <f t="shared" si="4"/>
        <v>40.963705667882003</v>
      </c>
    </row>
    <row r="130" spans="1:8" s="1638" customFormat="1" ht="14.25" customHeight="1" thickTop="1" x14ac:dyDescent="0.25">
      <c r="A130" s="1823"/>
      <c r="B130" s="1823"/>
      <c r="C130" s="1823"/>
      <c r="D130" s="1823"/>
      <c r="E130" s="1824"/>
      <c r="F130" s="1824"/>
      <c r="G130" s="1824"/>
      <c r="H130" s="1849"/>
    </row>
    <row r="131" spans="1:8" s="1638" customFormat="1" ht="14.25" customHeight="1" x14ac:dyDescent="0.25">
      <c r="A131" s="1823"/>
      <c r="B131" s="1823"/>
      <c r="C131" s="1823"/>
      <c r="D131" s="1823"/>
      <c r="E131" s="1824"/>
      <c r="F131" s="1824"/>
      <c r="G131" s="1824"/>
      <c r="H131" s="1849"/>
    </row>
    <row r="132" spans="1:8" ht="15" x14ac:dyDescent="0.25">
      <c r="A132" s="1808" t="s">
        <v>1716</v>
      </c>
    </row>
    <row r="133" spans="1:8" ht="15.75" thickBot="1" x14ac:dyDescent="0.3">
      <c r="A133" s="1808" t="s">
        <v>1717</v>
      </c>
      <c r="H133" s="1892" t="s">
        <v>161</v>
      </c>
    </row>
    <row r="134" spans="1:8" s="1638" customFormat="1" ht="25.5" thickTop="1" thickBot="1" x14ac:dyDescent="0.25">
      <c r="A134" s="1809" t="s">
        <v>162</v>
      </c>
      <c r="B134" s="1810" t="s">
        <v>761</v>
      </c>
      <c r="C134" s="1810" t="s">
        <v>377</v>
      </c>
      <c r="D134" s="1811" t="s">
        <v>164</v>
      </c>
      <c r="E134" s="1833" t="s">
        <v>632</v>
      </c>
      <c r="F134" s="1833" t="s">
        <v>633</v>
      </c>
      <c r="G134" s="1834" t="s">
        <v>882</v>
      </c>
      <c r="H134" s="1835" t="s">
        <v>883</v>
      </c>
    </row>
    <row r="135" spans="1:8" s="1638" customFormat="1" ht="13.5" thickTop="1" thickBot="1" x14ac:dyDescent="0.25">
      <c r="A135" s="1643">
        <v>1</v>
      </c>
      <c r="B135" s="1642">
        <v>2</v>
      </c>
      <c r="C135" s="1642">
        <v>3</v>
      </c>
      <c r="D135" s="1642">
        <v>4</v>
      </c>
      <c r="E135" s="1641">
        <v>5</v>
      </c>
      <c r="F135" s="1641">
        <v>6</v>
      </c>
      <c r="G135" s="1877">
        <v>7</v>
      </c>
      <c r="H135" s="1901" t="s">
        <v>61</v>
      </c>
    </row>
    <row r="136" spans="1:8" s="1638" customFormat="1" ht="15.75" thickTop="1" x14ac:dyDescent="0.25">
      <c r="A136" s="1815">
        <v>3522</v>
      </c>
      <c r="B136" s="1816">
        <v>6121</v>
      </c>
      <c r="C136" s="1816">
        <v>0</v>
      </c>
      <c r="D136" s="1922" t="s">
        <v>603</v>
      </c>
      <c r="E136" s="1845">
        <v>0</v>
      </c>
      <c r="F136" s="1845">
        <v>103</v>
      </c>
      <c r="G136" s="1845">
        <v>51</v>
      </c>
      <c r="H136" s="1821">
        <f>G136/F136*100</f>
        <v>49.514563106796118</v>
      </c>
    </row>
    <row r="137" spans="1:8" s="1638" customFormat="1" ht="15" x14ac:dyDescent="0.2">
      <c r="A137" s="1815">
        <v>3522</v>
      </c>
      <c r="B137" s="1816">
        <v>6121</v>
      </c>
      <c r="C137" s="1816">
        <v>14</v>
      </c>
      <c r="D137" s="1836" t="s">
        <v>603</v>
      </c>
      <c r="E137" s="1845">
        <v>7754</v>
      </c>
      <c r="F137" s="1845">
        <v>0</v>
      </c>
      <c r="G137" s="1845">
        <v>0</v>
      </c>
      <c r="H137" s="1821">
        <v>0</v>
      </c>
    </row>
    <row r="138" spans="1:8" s="1638" customFormat="1" ht="15.75" thickBot="1" x14ac:dyDescent="0.25">
      <c r="A138" s="1815">
        <v>3522</v>
      </c>
      <c r="B138" s="1816">
        <v>6121</v>
      </c>
      <c r="C138" s="1816">
        <v>38100884</v>
      </c>
      <c r="D138" s="1836" t="s">
        <v>603</v>
      </c>
      <c r="E138" s="1845">
        <v>0</v>
      </c>
      <c r="F138" s="1845">
        <v>695</v>
      </c>
      <c r="G138" s="1845">
        <v>695</v>
      </c>
      <c r="H138" s="1821">
        <f>G138/F138*100</f>
        <v>100</v>
      </c>
    </row>
    <row r="139" spans="1:8" s="1638" customFormat="1" ht="15.75" hidden="1" thickBot="1" x14ac:dyDescent="0.25">
      <c r="A139" s="1815">
        <v>3522</v>
      </c>
      <c r="B139" s="1816">
        <v>6121</v>
      </c>
      <c r="C139" s="1816">
        <v>53515835</v>
      </c>
      <c r="D139" s="1836" t="s">
        <v>603</v>
      </c>
      <c r="E139" s="1845">
        <v>0</v>
      </c>
      <c r="F139" s="1845"/>
      <c r="G139" s="1845"/>
      <c r="H139" s="1821" t="e">
        <f>G139/F139*100</f>
        <v>#DIV/0!</v>
      </c>
    </row>
    <row r="140" spans="1:8" s="1638" customFormat="1" ht="16.5" thickTop="1" thickBot="1" x14ac:dyDescent="0.3">
      <c r="A140" s="2751" t="s">
        <v>763</v>
      </c>
      <c r="B140" s="2752"/>
      <c r="C140" s="2752"/>
      <c r="D140" s="2752"/>
      <c r="E140" s="1818">
        <f>SUM(E136:E139)</f>
        <v>7754</v>
      </c>
      <c r="F140" s="1818">
        <f>SUM(F136:F139)</f>
        <v>798</v>
      </c>
      <c r="G140" s="1818">
        <f>SUM(G136:G139)</f>
        <v>746</v>
      </c>
      <c r="H140" s="1822">
        <f>G140/F140*100</f>
        <v>93.483709273182953</v>
      </c>
    </row>
    <row r="141" spans="1:8" s="1638" customFormat="1" ht="14.25" customHeight="1" thickTop="1" x14ac:dyDescent="0.25">
      <c r="A141" s="1823"/>
      <c r="B141" s="1823"/>
      <c r="C141" s="1823"/>
      <c r="D141" s="1823"/>
      <c r="E141" s="1824"/>
      <c r="F141" s="1824"/>
      <c r="G141" s="1824"/>
      <c r="H141" s="1849"/>
    </row>
    <row r="142" spans="1:8" ht="15" x14ac:dyDescent="0.25">
      <c r="A142" s="1808" t="s">
        <v>1998</v>
      </c>
    </row>
    <row r="143" spans="1:8" ht="15.75" thickBot="1" x14ac:dyDescent="0.3">
      <c r="A143" s="1808" t="s">
        <v>1999</v>
      </c>
      <c r="H143" s="1892" t="s">
        <v>161</v>
      </c>
    </row>
    <row r="144" spans="1:8" s="1638" customFormat="1" ht="25.5" thickTop="1" thickBot="1" x14ac:dyDescent="0.25">
      <c r="A144" s="1809" t="s">
        <v>162</v>
      </c>
      <c r="B144" s="1810" t="s">
        <v>761</v>
      </c>
      <c r="C144" s="1810" t="s">
        <v>377</v>
      </c>
      <c r="D144" s="1811" t="s">
        <v>164</v>
      </c>
      <c r="E144" s="1833" t="s">
        <v>632</v>
      </c>
      <c r="F144" s="1833" t="s">
        <v>633</v>
      </c>
      <c r="G144" s="1834" t="s">
        <v>882</v>
      </c>
      <c r="H144" s="1835" t="s">
        <v>883</v>
      </c>
    </row>
    <row r="145" spans="1:8" s="1638" customFormat="1" ht="13.5" thickTop="1" thickBot="1" x14ac:dyDescent="0.25">
      <c r="A145" s="1643">
        <v>1</v>
      </c>
      <c r="B145" s="1642">
        <v>2</v>
      </c>
      <c r="C145" s="1642">
        <v>3</v>
      </c>
      <c r="D145" s="1642">
        <v>4</v>
      </c>
      <c r="E145" s="1641">
        <v>5</v>
      </c>
      <c r="F145" s="1641">
        <v>6</v>
      </c>
      <c r="G145" s="1877">
        <v>7</v>
      </c>
      <c r="H145" s="1901" t="s">
        <v>61</v>
      </c>
    </row>
    <row r="146" spans="1:8" s="1638" customFormat="1" ht="15.75" thickTop="1" x14ac:dyDescent="0.25">
      <c r="A146" s="1815">
        <v>3533</v>
      </c>
      <c r="B146" s="1816">
        <v>6122</v>
      </c>
      <c r="C146" s="1816">
        <v>36100880</v>
      </c>
      <c r="D146" s="1922" t="s">
        <v>604</v>
      </c>
      <c r="E146" s="1845">
        <v>0</v>
      </c>
      <c r="F146" s="1845">
        <v>33</v>
      </c>
      <c r="G146" s="1845">
        <v>15</v>
      </c>
      <c r="H146" s="1821">
        <f>G146/F146*100</f>
        <v>45.454545454545453</v>
      </c>
    </row>
    <row r="147" spans="1:8" s="1638" customFormat="1" ht="15.75" thickBot="1" x14ac:dyDescent="0.25">
      <c r="A147" s="1815">
        <v>3533</v>
      </c>
      <c r="B147" s="1816">
        <v>6122</v>
      </c>
      <c r="C147" s="1816">
        <v>36500881</v>
      </c>
      <c r="D147" s="1836" t="s">
        <v>604</v>
      </c>
      <c r="E147" s="1845">
        <v>0</v>
      </c>
      <c r="F147" s="1845">
        <v>185</v>
      </c>
      <c r="G147" s="1845">
        <v>82</v>
      </c>
      <c r="H147" s="1821">
        <v>0</v>
      </c>
    </row>
    <row r="148" spans="1:8" s="1638" customFormat="1" ht="15.75" hidden="1" thickBot="1" x14ac:dyDescent="0.25">
      <c r="A148" s="1815">
        <v>3522</v>
      </c>
      <c r="B148" s="1816">
        <v>6121</v>
      </c>
      <c r="C148" s="1816">
        <v>38100884</v>
      </c>
      <c r="D148" s="1836" t="s">
        <v>603</v>
      </c>
      <c r="E148" s="1845">
        <v>0</v>
      </c>
      <c r="F148" s="1845">
        <v>0</v>
      </c>
      <c r="G148" s="1845">
        <v>0</v>
      </c>
      <c r="H148" s="1821" t="e">
        <f>G148/F148*100</f>
        <v>#DIV/0!</v>
      </c>
    </row>
    <row r="149" spans="1:8" s="1638" customFormat="1" ht="15.75" hidden="1" thickBot="1" x14ac:dyDescent="0.25">
      <c r="A149" s="1815">
        <v>3522</v>
      </c>
      <c r="B149" s="1816">
        <v>6121</v>
      </c>
      <c r="C149" s="1816">
        <v>53515835</v>
      </c>
      <c r="D149" s="1836" t="s">
        <v>603</v>
      </c>
      <c r="E149" s="1845">
        <v>0</v>
      </c>
      <c r="F149" s="1845"/>
      <c r="G149" s="1845"/>
      <c r="H149" s="1821" t="e">
        <f>G149/F149*100</f>
        <v>#DIV/0!</v>
      </c>
    </row>
    <row r="150" spans="1:8" s="1638" customFormat="1" ht="16.5" thickTop="1" thickBot="1" x14ac:dyDescent="0.3">
      <c r="A150" s="2751" t="s">
        <v>763</v>
      </c>
      <c r="B150" s="2752"/>
      <c r="C150" s="2752"/>
      <c r="D150" s="2752"/>
      <c r="E150" s="1818">
        <f>SUM(E146:E149)</f>
        <v>0</v>
      </c>
      <c r="F150" s="1818">
        <f>SUM(F146:F149)</f>
        <v>218</v>
      </c>
      <c r="G150" s="1818">
        <f>SUM(G146:G149)</f>
        <v>97</v>
      </c>
      <c r="H150" s="1822">
        <f>G150/F150*100</f>
        <v>44.4954128440367</v>
      </c>
    </row>
    <row r="151" spans="1:8" s="1638" customFormat="1" ht="14.25" customHeight="1" thickTop="1" x14ac:dyDescent="0.25">
      <c r="A151" s="1823"/>
      <c r="B151" s="1823"/>
      <c r="C151" s="1823"/>
      <c r="D151" s="1823"/>
      <c r="E151" s="1824"/>
      <c r="F151" s="1824"/>
      <c r="G151" s="1824"/>
      <c r="H151" s="1849"/>
    </row>
    <row r="152" spans="1:8" s="1638" customFormat="1" ht="14.25" hidden="1" customHeight="1" x14ac:dyDescent="0.25">
      <c r="A152" s="1823"/>
      <c r="B152" s="1823"/>
      <c r="C152" s="1823"/>
      <c r="D152" s="1823"/>
      <c r="E152" s="1824"/>
      <c r="F152" s="1824"/>
      <c r="G152" s="1824"/>
      <c r="H152" s="1849"/>
    </row>
    <row r="153" spans="1:8" s="1638" customFormat="1" ht="14.25" hidden="1" customHeight="1" x14ac:dyDescent="0.25">
      <c r="A153" s="1823"/>
      <c r="B153" s="1823"/>
      <c r="C153" s="1823"/>
      <c r="D153" s="1823"/>
      <c r="E153" s="1824"/>
      <c r="F153" s="1824"/>
      <c r="G153" s="1824"/>
      <c r="H153" s="1849"/>
    </row>
    <row r="154" spans="1:8" s="1638" customFormat="1" ht="14.25" customHeight="1" x14ac:dyDescent="0.25">
      <c r="A154" s="1823"/>
      <c r="B154" s="1823"/>
      <c r="C154" s="1823"/>
      <c r="D154" s="1823"/>
      <c r="E154" s="1824"/>
      <c r="F154" s="1824"/>
      <c r="G154" s="1824"/>
      <c r="H154" s="1849"/>
    </row>
    <row r="155" spans="1:8" ht="15" x14ac:dyDescent="0.25">
      <c r="A155" s="1808" t="s">
        <v>1536</v>
      </c>
    </row>
    <row r="156" spans="1:8" ht="15.75" thickBot="1" x14ac:dyDescent="0.3">
      <c r="A156" s="1808" t="s">
        <v>1537</v>
      </c>
      <c r="H156" s="1892" t="s">
        <v>161</v>
      </c>
    </row>
    <row r="157" spans="1:8" s="1638" customFormat="1" ht="25.5" thickTop="1" thickBot="1" x14ac:dyDescent="0.25">
      <c r="A157" s="1809" t="s">
        <v>162</v>
      </c>
      <c r="B157" s="1810" t="s">
        <v>761</v>
      </c>
      <c r="C157" s="1810" t="s">
        <v>377</v>
      </c>
      <c r="D157" s="1811" t="s">
        <v>164</v>
      </c>
      <c r="E157" s="1833" t="s">
        <v>632</v>
      </c>
      <c r="F157" s="1833" t="s">
        <v>633</v>
      </c>
      <c r="G157" s="1834" t="s">
        <v>882</v>
      </c>
      <c r="H157" s="1835" t="s">
        <v>883</v>
      </c>
    </row>
    <row r="158" spans="1:8" s="1638" customFormat="1" ht="13.5" thickTop="1" thickBot="1" x14ac:dyDescent="0.25">
      <c r="A158" s="1643">
        <v>1</v>
      </c>
      <c r="B158" s="1642">
        <v>2</v>
      </c>
      <c r="C158" s="1642">
        <v>3</v>
      </c>
      <c r="D158" s="1642">
        <v>4</v>
      </c>
      <c r="E158" s="1641">
        <v>5</v>
      </c>
      <c r="F158" s="1641">
        <v>6</v>
      </c>
      <c r="G158" s="1877">
        <v>7</v>
      </c>
      <c r="H158" s="1901" t="s">
        <v>61</v>
      </c>
    </row>
    <row r="159" spans="1:8" s="1638" customFormat="1" ht="15.75" thickTop="1" x14ac:dyDescent="0.2">
      <c r="A159" s="1896">
        <v>2143</v>
      </c>
      <c r="B159" s="1903">
        <v>5139</v>
      </c>
      <c r="C159" s="1903">
        <v>38100880</v>
      </c>
      <c r="D159" s="1836" t="s">
        <v>625</v>
      </c>
      <c r="E159" s="1845">
        <v>9</v>
      </c>
      <c r="F159" s="1845">
        <v>129</v>
      </c>
      <c r="G159" s="1845">
        <v>0</v>
      </c>
      <c r="H159" s="1821">
        <f t="shared" ref="H159:H165" si="5">G159/F159*100</f>
        <v>0</v>
      </c>
    </row>
    <row r="160" spans="1:8" s="1638" customFormat="1" ht="15" x14ac:dyDescent="0.2">
      <c r="A160" s="1896">
        <v>2143</v>
      </c>
      <c r="B160" s="1903">
        <v>5139</v>
      </c>
      <c r="C160" s="1903">
        <v>38500881</v>
      </c>
      <c r="D160" s="1836" t="s">
        <v>625</v>
      </c>
      <c r="E160" s="1845">
        <v>51</v>
      </c>
      <c r="F160" s="1845">
        <v>731</v>
      </c>
      <c r="G160" s="1845">
        <v>0</v>
      </c>
      <c r="H160" s="1821">
        <f t="shared" si="5"/>
        <v>0</v>
      </c>
    </row>
    <row r="161" spans="1:8" s="1638" customFormat="1" ht="15" x14ac:dyDescent="0.2">
      <c r="A161" s="1896">
        <v>2143</v>
      </c>
      <c r="B161" s="1903">
        <v>5161</v>
      </c>
      <c r="C161" s="1903">
        <v>38100880</v>
      </c>
      <c r="D161" s="1836" t="s">
        <v>1837</v>
      </c>
      <c r="E161" s="1845">
        <v>0</v>
      </c>
      <c r="F161" s="1845">
        <v>1</v>
      </c>
      <c r="G161" s="1845">
        <v>1</v>
      </c>
      <c r="H161" s="1821">
        <f t="shared" si="5"/>
        <v>100</v>
      </c>
    </row>
    <row r="162" spans="1:8" s="1638" customFormat="1" ht="15" x14ac:dyDescent="0.2">
      <c r="A162" s="1896">
        <v>2143</v>
      </c>
      <c r="B162" s="1903">
        <v>5161</v>
      </c>
      <c r="C162" s="1903">
        <v>38500881</v>
      </c>
      <c r="D162" s="1836" t="s">
        <v>1837</v>
      </c>
      <c r="E162" s="1845">
        <v>0</v>
      </c>
      <c r="F162" s="1845">
        <v>4</v>
      </c>
      <c r="G162" s="1845">
        <v>3</v>
      </c>
      <c r="H162" s="1821">
        <f t="shared" si="5"/>
        <v>75</v>
      </c>
    </row>
    <row r="163" spans="1:8" s="1638" customFormat="1" ht="15" x14ac:dyDescent="0.2">
      <c r="A163" s="1896">
        <v>2143</v>
      </c>
      <c r="B163" s="1903">
        <v>5163</v>
      </c>
      <c r="C163" s="1903">
        <v>38100880</v>
      </c>
      <c r="D163" s="1836" t="s">
        <v>892</v>
      </c>
      <c r="E163" s="1845">
        <v>3</v>
      </c>
      <c r="F163" s="1845">
        <v>3</v>
      </c>
      <c r="G163" s="1845">
        <v>0</v>
      </c>
      <c r="H163" s="1821">
        <f t="shared" si="5"/>
        <v>0</v>
      </c>
    </row>
    <row r="164" spans="1:8" s="1638" customFormat="1" ht="15" x14ac:dyDescent="0.2">
      <c r="A164" s="1896">
        <v>2143</v>
      </c>
      <c r="B164" s="1903">
        <v>5163</v>
      </c>
      <c r="C164" s="1903">
        <v>38500881</v>
      </c>
      <c r="D164" s="1836" t="s">
        <v>892</v>
      </c>
      <c r="E164" s="1845">
        <v>17</v>
      </c>
      <c r="F164" s="1845">
        <v>17</v>
      </c>
      <c r="G164" s="1845">
        <v>1</v>
      </c>
      <c r="H164" s="1821">
        <f t="shared" si="5"/>
        <v>5.8823529411764701</v>
      </c>
    </row>
    <row r="165" spans="1:8" s="1638" customFormat="1" ht="13.5" customHeight="1" x14ac:dyDescent="0.2">
      <c r="A165" s="1896">
        <v>2143</v>
      </c>
      <c r="B165" s="1903">
        <v>5166</v>
      </c>
      <c r="C165" s="1903">
        <v>0</v>
      </c>
      <c r="D165" s="1836" t="s">
        <v>609</v>
      </c>
      <c r="E165" s="1845">
        <v>20</v>
      </c>
      <c r="F165" s="1845">
        <v>20</v>
      </c>
      <c r="G165" s="1845">
        <v>0</v>
      </c>
      <c r="H165" s="1821">
        <f t="shared" si="5"/>
        <v>0</v>
      </c>
    </row>
    <row r="166" spans="1:8" s="1638" customFormat="1" ht="15" x14ac:dyDescent="0.2">
      <c r="A166" s="1896">
        <v>2143</v>
      </c>
      <c r="B166" s="1903">
        <v>5169</v>
      </c>
      <c r="C166" s="1903">
        <v>38100880</v>
      </c>
      <c r="D166" s="1836" t="s">
        <v>852</v>
      </c>
      <c r="E166" s="1845">
        <v>375</v>
      </c>
      <c r="F166" s="1845">
        <v>254</v>
      </c>
      <c r="G166" s="1845">
        <v>235</v>
      </c>
      <c r="H166" s="1821">
        <f>G166/F166*100</f>
        <v>92.519685039370074</v>
      </c>
    </row>
    <row r="167" spans="1:8" s="1638" customFormat="1" ht="15" x14ac:dyDescent="0.2">
      <c r="A167" s="1896">
        <v>2143</v>
      </c>
      <c r="B167" s="1903">
        <v>5169</v>
      </c>
      <c r="C167" s="1903">
        <v>38500881</v>
      </c>
      <c r="D167" s="1836" t="s">
        <v>852</v>
      </c>
      <c r="E167" s="1845">
        <v>2125</v>
      </c>
      <c r="F167" s="1845">
        <v>1441</v>
      </c>
      <c r="G167" s="1845">
        <v>1332</v>
      </c>
      <c r="H167" s="1821">
        <f>G167/F167*100</f>
        <v>92.43580846634282</v>
      </c>
    </row>
    <row r="168" spans="1:8" s="1638" customFormat="1" ht="15" x14ac:dyDescent="0.2">
      <c r="A168" s="1896">
        <v>2143</v>
      </c>
      <c r="B168" s="1903">
        <v>5173</v>
      </c>
      <c r="C168" s="1903">
        <v>38100880</v>
      </c>
      <c r="D168" s="1836" t="s">
        <v>1152</v>
      </c>
      <c r="E168" s="1845">
        <v>20</v>
      </c>
      <c r="F168" s="1845">
        <v>20</v>
      </c>
      <c r="G168" s="1845">
        <v>17</v>
      </c>
      <c r="H168" s="1821">
        <v>0</v>
      </c>
    </row>
    <row r="169" spans="1:8" s="1638" customFormat="1" ht="15.75" thickBot="1" x14ac:dyDescent="0.25">
      <c r="A169" s="1896">
        <v>2143</v>
      </c>
      <c r="B169" s="1903">
        <v>5173</v>
      </c>
      <c r="C169" s="1903">
        <v>38500881</v>
      </c>
      <c r="D169" s="1836" t="s">
        <v>1152</v>
      </c>
      <c r="E169" s="1845">
        <v>110</v>
      </c>
      <c r="F169" s="1845">
        <v>110</v>
      </c>
      <c r="G169" s="1845">
        <v>97</v>
      </c>
      <c r="H169" s="1821">
        <v>0</v>
      </c>
    </row>
    <row r="170" spans="1:8" s="1638" customFormat="1" ht="16.5" thickTop="1" thickBot="1" x14ac:dyDescent="0.3">
      <c r="A170" s="2751" t="s">
        <v>763</v>
      </c>
      <c r="B170" s="2752"/>
      <c r="C170" s="2752"/>
      <c r="D170" s="2752"/>
      <c r="E170" s="1818">
        <f>SUM(E159:E169)</f>
        <v>2730</v>
      </c>
      <c r="F170" s="1818">
        <f>SUM(F159:F169)</f>
        <v>2730</v>
      </c>
      <c r="G170" s="1818">
        <f>SUM(G159:G169)</f>
        <v>1686</v>
      </c>
      <c r="H170" s="1822">
        <f>G170/F170*100</f>
        <v>61.758241758241759</v>
      </c>
    </row>
    <row r="171" spans="1:8" s="1638" customFormat="1" ht="14.25" customHeight="1" thickTop="1" x14ac:dyDescent="0.25">
      <c r="A171" s="1823"/>
      <c r="B171" s="1823"/>
      <c r="C171" s="1823"/>
      <c r="D171" s="1823"/>
      <c r="E171" s="1824"/>
      <c r="F171" s="1824"/>
      <c r="G171" s="1824"/>
      <c r="H171" s="1849"/>
    </row>
    <row r="172" spans="1:8" ht="15" x14ac:dyDescent="0.25">
      <c r="A172" s="1808" t="s">
        <v>1714</v>
      </c>
    </row>
    <row r="173" spans="1:8" ht="15.75" thickBot="1" x14ac:dyDescent="0.3">
      <c r="A173" s="1808" t="s">
        <v>1715</v>
      </c>
      <c r="H173" s="1892" t="s">
        <v>161</v>
      </c>
    </row>
    <row r="174" spans="1:8" s="1638" customFormat="1" ht="25.5" thickTop="1" thickBot="1" x14ac:dyDescent="0.25">
      <c r="A174" s="1809" t="s">
        <v>162</v>
      </c>
      <c r="B174" s="1810" t="s">
        <v>761</v>
      </c>
      <c r="C174" s="1810" t="s">
        <v>377</v>
      </c>
      <c r="D174" s="1811" t="s">
        <v>164</v>
      </c>
      <c r="E174" s="1833" t="s">
        <v>632</v>
      </c>
      <c r="F174" s="1833" t="s">
        <v>633</v>
      </c>
      <c r="G174" s="1834" t="s">
        <v>882</v>
      </c>
      <c r="H174" s="1835" t="s">
        <v>883</v>
      </c>
    </row>
    <row r="175" spans="1:8" s="1638" customFormat="1" ht="13.5" thickTop="1" thickBot="1" x14ac:dyDescent="0.25">
      <c r="A175" s="1643">
        <v>1</v>
      </c>
      <c r="B175" s="1642">
        <v>2</v>
      </c>
      <c r="C175" s="1642">
        <v>3</v>
      </c>
      <c r="D175" s="1642">
        <v>4</v>
      </c>
      <c r="E175" s="1641">
        <v>5</v>
      </c>
      <c r="F175" s="1641">
        <v>6</v>
      </c>
      <c r="G175" s="1877">
        <v>7</v>
      </c>
      <c r="H175" s="1901" t="s">
        <v>61</v>
      </c>
    </row>
    <row r="176" spans="1:8" s="1638" customFormat="1" ht="15.75" thickTop="1" x14ac:dyDescent="0.2">
      <c r="A176" s="1896">
        <v>2143</v>
      </c>
      <c r="B176" s="1903">
        <v>5137</v>
      </c>
      <c r="C176" s="1903">
        <v>38100880</v>
      </c>
      <c r="D176" s="1836" t="s">
        <v>155</v>
      </c>
      <c r="E176" s="1845">
        <v>732</v>
      </c>
      <c r="F176" s="1845">
        <v>713</v>
      </c>
      <c r="G176" s="1845">
        <v>0</v>
      </c>
      <c r="H176" s="1821">
        <f t="shared" ref="H176:H182" si="6">G176/F176*100</f>
        <v>0</v>
      </c>
    </row>
    <row r="177" spans="1:8" s="1638" customFormat="1" ht="15" x14ac:dyDescent="0.2">
      <c r="A177" s="1896">
        <v>2143</v>
      </c>
      <c r="B177" s="1903">
        <v>5137</v>
      </c>
      <c r="C177" s="1903">
        <v>38500881</v>
      </c>
      <c r="D177" s="1836" t="s">
        <v>155</v>
      </c>
      <c r="E177" s="1845">
        <v>4150</v>
      </c>
      <c r="F177" s="1845">
        <v>4043</v>
      </c>
      <c r="G177" s="1845">
        <v>0</v>
      </c>
      <c r="H177" s="1821">
        <f t="shared" si="6"/>
        <v>0</v>
      </c>
    </row>
    <row r="178" spans="1:8" s="1638" customFormat="1" ht="15" x14ac:dyDescent="0.2">
      <c r="A178" s="1896">
        <v>2143</v>
      </c>
      <c r="B178" s="1903">
        <v>5139</v>
      </c>
      <c r="C178" s="1903">
        <v>38100880</v>
      </c>
      <c r="D178" s="1836" t="s">
        <v>625</v>
      </c>
      <c r="E178" s="1845">
        <v>0</v>
      </c>
      <c r="F178" s="1845">
        <v>2</v>
      </c>
      <c r="G178" s="1845">
        <v>2</v>
      </c>
      <c r="H178" s="1821">
        <f t="shared" si="6"/>
        <v>100</v>
      </c>
    </row>
    <row r="179" spans="1:8" s="1638" customFormat="1" ht="15" x14ac:dyDescent="0.2">
      <c r="A179" s="1896">
        <v>2143</v>
      </c>
      <c r="B179" s="1903">
        <v>5139</v>
      </c>
      <c r="C179" s="1903">
        <v>38500881</v>
      </c>
      <c r="D179" s="1836" t="s">
        <v>625</v>
      </c>
      <c r="E179" s="1845">
        <v>0</v>
      </c>
      <c r="F179" s="1845">
        <v>14</v>
      </c>
      <c r="G179" s="1845">
        <v>14</v>
      </c>
      <c r="H179" s="1821">
        <f t="shared" si="6"/>
        <v>100</v>
      </c>
    </row>
    <row r="180" spans="1:8" s="1638" customFormat="1" ht="19.5" customHeight="1" x14ac:dyDescent="0.2">
      <c r="A180" s="1896">
        <v>2143</v>
      </c>
      <c r="B180" s="1903">
        <v>5166</v>
      </c>
      <c r="C180" s="1903">
        <v>0</v>
      </c>
      <c r="D180" s="1836" t="s">
        <v>609</v>
      </c>
      <c r="E180" s="1845">
        <v>50</v>
      </c>
      <c r="F180" s="1845">
        <v>175</v>
      </c>
      <c r="G180" s="1845">
        <v>175</v>
      </c>
      <c r="H180" s="1821">
        <f t="shared" si="6"/>
        <v>100</v>
      </c>
    </row>
    <row r="181" spans="1:8" s="1638" customFormat="1" ht="15" customHeight="1" x14ac:dyDescent="0.2">
      <c r="A181" s="1896">
        <v>2143</v>
      </c>
      <c r="B181" s="1903">
        <v>5166</v>
      </c>
      <c r="C181" s="1903">
        <v>38100884</v>
      </c>
      <c r="D181" s="1836" t="s">
        <v>609</v>
      </c>
      <c r="E181" s="1845">
        <v>0</v>
      </c>
      <c r="F181" s="1845">
        <v>180</v>
      </c>
      <c r="G181" s="1845">
        <v>0</v>
      </c>
      <c r="H181" s="1821">
        <f t="shared" si="6"/>
        <v>0</v>
      </c>
    </row>
    <row r="182" spans="1:8" s="1638" customFormat="1" ht="13.5" customHeight="1" x14ac:dyDescent="0.2">
      <c r="A182" s="1896">
        <v>2143</v>
      </c>
      <c r="B182" s="1903">
        <v>5169</v>
      </c>
      <c r="C182" s="1903">
        <v>38100880</v>
      </c>
      <c r="D182" s="1836" t="s">
        <v>852</v>
      </c>
      <c r="E182" s="1845">
        <v>3</v>
      </c>
      <c r="F182" s="1845">
        <v>1</v>
      </c>
      <c r="G182" s="1845">
        <v>0</v>
      </c>
      <c r="H182" s="1821">
        <f t="shared" si="6"/>
        <v>0</v>
      </c>
    </row>
    <row r="183" spans="1:8" s="1638" customFormat="1" ht="15.75" thickBot="1" x14ac:dyDescent="0.25">
      <c r="A183" s="1896">
        <v>2143</v>
      </c>
      <c r="B183" s="1903">
        <v>5169</v>
      </c>
      <c r="C183" s="1903">
        <v>38500881</v>
      </c>
      <c r="D183" s="1836" t="s">
        <v>852</v>
      </c>
      <c r="E183" s="1845">
        <v>17</v>
      </c>
      <c r="F183" s="1845">
        <v>3</v>
      </c>
      <c r="G183" s="1845">
        <v>0</v>
      </c>
      <c r="H183" s="1821">
        <f>G183/F183*100</f>
        <v>0</v>
      </c>
    </row>
    <row r="184" spans="1:8" s="1638" customFormat="1" ht="16.5" thickTop="1" thickBot="1" x14ac:dyDescent="0.3">
      <c r="A184" s="2751" t="s">
        <v>763</v>
      </c>
      <c r="B184" s="2752"/>
      <c r="C184" s="2752"/>
      <c r="D184" s="2752"/>
      <c r="E184" s="1818">
        <f>SUM(E176:E183)</f>
        <v>4952</v>
      </c>
      <c r="F184" s="1818">
        <f>SUM(F176:F183)</f>
        <v>5131</v>
      </c>
      <c r="G184" s="1818">
        <f>SUM(G176:G183)</f>
        <v>191</v>
      </c>
      <c r="H184" s="1822">
        <f>G184/F184*100</f>
        <v>3.7224712531670243</v>
      </c>
    </row>
    <row r="185" spans="1:8" s="1638" customFormat="1" ht="14.25" customHeight="1" thickTop="1" x14ac:dyDescent="0.25">
      <c r="A185" s="1823"/>
      <c r="B185" s="1823"/>
      <c r="C185" s="1823"/>
      <c r="D185" s="1823"/>
      <c r="E185" s="1824"/>
      <c r="F185" s="1824"/>
      <c r="G185" s="1824"/>
      <c r="H185" s="1849"/>
    </row>
    <row r="186" spans="1:8" ht="15" x14ac:dyDescent="0.25">
      <c r="A186" s="1808" t="s">
        <v>1718</v>
      </c>
    </row>
    <row r="187" spans="1:8" ht="15.75" thickBot="1" x14ac:dyDescent="0.3">
      <c r="A187" s="1808" t="s">
        <v>1719</v>
      </c>
      <c r="H187" s="1892" t="s">
        <v>161</v>
      </c>
    </row>
    <row r="188" spans="1:8" s="1638" customFormat="1" ht="25.5" thickTop="1" thickBot="1" x14ac:dyDescent="0.25">
      <c r="A188" s="1809" t="s">
        <v>162</v>
      </c>
      <c r="B188" s="1810" t="s">
        <v>761</v>
      </c>
      <c r="C188" s="1810" t="s">
        <v>377</v>
      </c>
      <c r="D188" s="1811" t="s">
        <v>164</v>
      </c>
      <c r="E188" s="1833" t="s">
        <v>632</v>
      </c>
      <c r="F188" s="1833" t="s">
        <v>633</v>
      </c>
      <c r="G188" s="1834" t="s">
        <v>882</v>
      </c>
      <c r="H188" s="1835" t="s">
        <v>883</v>
      </c>
    </row>
    <row r="189" spans="1:8" s="1638" customFormat="1" ht="13.5" thickTop="1" thickBot="1" x14ac:dyDescent="0.25">
      <c r="A189" s="1643">
        <v>1</v>
      </c>
      <c r="B189" s="1642">
        <v>2</v>
      </c>
      <c r="C189" s="1642">
        <v>3</v>
      </c>
      <c r="D189" s="1642">
        <v>4</v>
      </c>
      <c r="E189" s="1641">
        <v>5</v>
      </c>
      <c r="F189" s="1641">
        <v>6</v>
      </c>
      <c r="G189" s="1877">
        <v>7</v>
      </c>
      <c r="H189" s="1901" t="s">
        <v>61</v>
      </c>
    </row>
    <row r="190" spans="1:8" s="1638" customFormat="1" ht="15.75" thickTop="1" x14ac:dyDescent="0.2">
      <c r="A190" s="1896">
        <v>5273</v>
      </c>
      <c r="B190" s="1903">
        <v>6122</v>
      </c>
      <c r="C190" s="1903">
        <v>36100870</v>
      </c>
      <c r="D190" s="1836" t="s">
        <v>604</v>
      </c>
      <c r="E190" s="1845">
        <v>0</v>
      </c>
      <c r="F190" s="1845">
        <v>149</v>
      </c>
      <c r="G190" s="1845">
        <v>106</v>
      </c>
      <c r="H190" s="1821">
        <f t="shared" ref="H190:H191" si="7">G190/F190*100</f>
        <v>71.140939597315437</v>
      </c>
    </row>
    <row r="191" spans="1:8" s="1638" customFormat="1" ht="15.75" thickBot="1" x14ac:dyDescent="0.25">
      <c r="A191" s="1896">
        <v>5273</v>
      </c>
      <c r="B191" s="1903">
        <v>6122</v>
      </c>
      <c r="C191" s="1903">
        <v>36500871</v>
      </c>
      <c r="D191" s="1836" t="s">
        <v>604</v>
      </c>
      <c r="E191" s="1845">
        <v>0</v>
      </c>
      <c r="F191" s="1845">
        <v>842</v>
      </c>
      <c r="G191" s="1845">
        <v>603</v>
      </c>
      <c r="H191" s="1821">
        <f t="shared" si="7"/>
        <v>71.615201900237537</v>
      </c>
    </row>
    <row r="192" spans="1:8" s="1638" customFormat="1" ht="16.5" thickTop="1" thickBot="1" x14ac:dyDescent="0.3">
      <c r="A192" s="2751" t="s">
        <v>763</v>
      </c>
      <c r="B192" s="2752"/>
      <c r="C192" s="2752"/>
      <c r="D192" s="2752"/>
      <c r="E192" s="1818">
        <f>SUM(E190:E191)</f>
        <v>0</v>
      </c>
      <c r="F192" s="1818">
        <f>SUM(F190:F191)</f>
        <v>991</v>
      </c>
      <c r="G192" s="1818">
        <f>SUM(G190:G191)</f>
        <v>709</v>
      </c>
      <c r="H192" s="1822">
        <f>G192/F192*100</f>
        <v>71.54389505549949</v>
      </c>
    </row>
    <row r="193" spans="1:8" s="1638" customFormat="1" ht="14.25" customHeight="1" thickTop="1" x14ac:dyDescent="0.25">
      <c r="A193" s="1823"/>
      <c r="B193" s="1823"/>
      <c r="C193" s="1823"/>
      <c r="D193" s="1823"/>
      <c r="E193" s="1824"/>
      <c r="F193" s="1824"/>
      <c r="G193" s="1824"/>
      <c r="H193" s="1849"/>
    </row>
    <row r="194" spans="1:8" s="1638" customFormat="1" ht="14.25" customHeight="1" x14ac:dyDescent="0.25">
      <c r="A194" s="1823"/>
      <c r="B194" s="1823"/>
      <c r="C194" s="1823"/>
      <c r="D194" s="1823"/>
      <c r="E194" s="1824"/>
      <c r="F194" s="1824"/>
      <c r="G194" s="1824"/>
      <c r="H194" s="1849"/>
    </row>
    <row r="195" spans="1:8" s="1638" customFormat="1" ht="15" x14ac:dyDescent="0.25">
      <c r="A195" s="1808" t="s">
        <v>1523</v>
      </c>
      <c r="B195" s="1802"/>
      <c r="C195" s="1802"/>
      <c r="D195" s="1803"/>
      <c r="E195" s="1829"/>
      <c r="F195" s="1829"/>
      <c r="G195" s="1829"/>
      <c r="H195" s="1803"/>
    </row>
    <row r="196" spans="1:8" s="1638" customFormat="1" ht="15.75" thickBot="1" x14ac:dyDescent="0.3">
      <c r="A196" s="1808" t="s">
        <v>1524</v>
      </c>
      <c r="B196" s="1802"/>
      <c r="C196" s="1802"/>
      <c r="D196" s="1803"/>
      <c r="E196" s="1829"/>
      <c r="F196" s="1829"/>
      <c r="G196" s="1829"/>
      <c r="H196" s="1892" t="s">
        <v>161</v>
      </c>
    </row>
    <row r="197" spans="1:8" s="1638" customFormat="1" ht="25.5" thickTop="1" thickBot="1" x14ac:dyDescent="0.25">
      <c r="A197" s="1809" t="s">
        <v>162</v>
      </c>
      <c r="B197" s="1810" t="s">
        <v>761</v>
      </c>
      <c r="C197" s="1810" t="s">
        <v>377</v>
      </c>
      <c r="D197" s="1811" t="s">
        <v>164</v>
      </c>
      <c r="E197" s="1833" t="s">
        <v>632</v>
      </c>
      <c r="F197" s="1833" t="s">
        <v>633</v>
      </c>
      <c r="G197" s="1834" t="s">
        <v>882</v>
      </c>
      <c r="H197" s="1835" t="s">
        <v>883</v>
      </c>
    </row>
    <row r="198" spans="1:8" s="1638" customFormat="1" ht="13.5" thickTop="1" thickBot="1" x14ac:dyDescent="0.25">
      <c r="A198" s="1643">
        <v>1</v>
      </c>
      <c r="B198" s="1642">
        <v>2</v>
      </c>
      <c r="C198" s="1642">
        <v>3</v>
      </c>
      <c r="D198" s="1642">
        <v>4</v>
      </c>
      <c r="E198" s="1641">
        <v>5</v>
      </c>
      <c r="F198" s="1641">
        <v>6</v>
      </c>
      <c r="G198" s="1877">
        <v>7</v>
      </c>
      <c r="H198" s="1901" t="s">
        <v>61</v>
      </c>
    </row>
    <row r="199" spans="1:8" s="1638" customFormat="1" ht="16.5" thickTop="1" thickBot="1" x14ac:dyDescent="0.25">
      <c r="A199" s="1896">
        <v>6402</v>
      </c>
      <c r="B199" s="1903">
        <v>5363</v>
      </c>
      <c r="C199" s="1903">
        <v>19</v>
      </c>
      <c r="D199" s="1836" t="s">
        <v>1542</v>
      </c>
      <c r="E199" s="1845">
        <v>0</v>
      </c>
      <c r="F199" s="1845">
        <v>7</v>
      </c>
      <c r="G199" s="1845">
        <v>7</v>
      </c>
      <c r="H199" s="1821">
        <f t="shared" ref="H199:H206" si="8">G199/F199*100</f>
        <v>100</v>
      </c>
    </row>
    <row r="200" spans="1:8" s="1638" customFormat="1" ht="15.75" hidden="1" thickBot="1" x14ac:dyDescent="0.25">
      <c r="A200" s="1896">
        <v>5273</v>
      </c>
      <c r="B200" s="1903">
        <v>5137</v>
      </c>
      <c r="C200" s="1903">
        <v>41100880</v>
      </c>
      <c r="D200" s="1836" t="s">
        <v>155</v>
      </c>
      <c r="E200" s="1845">
        <v>0</v>
      </c>
      <c r="F200" s="1845">
        <v>0</v>
      </c>
      <c r="G200" s="1845">
        <v>0</v>
      </c>
      <c r="H200" s="1821" t="e">
        <f t="shared" si="8"/>
        <v>#DIV/0!</v>
      </c>
    </row>
    <row r="201" spans="1:8" s="1638" customFormat="1" ht="15.75" hidden="1" thickBot="1" x14ac:dyDescent="0.25">
      <c r="A201" s="1896">
        <v>5273</v>
      </c>
      <c r="B201" s="1903">
        <v>5137</v>
      </c>
      <c r="C201" s="1903">
        <v>41100882</v>
      </c>
      <c r="D201" s="1836" t="s">
        <v>155</v>
      </c>
      <c r="E201" s="1845">
        <v>0</v>
      </c>
      <c r="F201" s="1845">
        <v>0</v>
      </c>
      <c r="G201" s="1845">
        <v>0</v>
      </c>
      <c r="H201" s="1821" t="e">
        <f t="shared" si="8"/>
        <v>#DIV/0!</v>
      </c>
    </row>
    <row r="202" spans="1:8" s="1638" customFormat="1" ht="15.75" hidden="1" thickBot="1" x14ac:dyDescent="0.25">
      <c r="A202" s="1896">
        <v>5273</v>
      </c>
      <c r="B202" s="1903">
        <v>5137</v>
      </c>
      <c r="C202" s="1903">
        <v>41500881</v>
      </c>
      <c r="D202" s="1836" t="s">
        <v>155</v>
      </c>
      <c r="E202" s="1845">
        <v>0</v>
      </c>
      <c r="F202" s="1845">
        <v>0</v>
      </c>
      <c r="G202" s="1845">
        <v>0</v>
      </c>
      <c r="H202" s="1821" t="e">
        <f t="shared" si="8"/>
        <v>#DIV/0!</v>
      </c>
    </row>
    <row r="203" spans="1:8" s="1638" customFormat="1" ht="15.75" hidden="1" thickBot="1" x14ac:dyDescent="0.25">
      <c r="A203" s="1896">
        <v>5273</v>
      </c>
      <c r="B203" s="1816">
        <v>5139</v>
      </c>
      <c r="C203" s="1903">
        <v>41100880</v>
      </c>
      <c r="D203" s="1836" t="s">
        <v>270</v>
      </c>
      <c r="E203" s="1845">
        <v>0</v>
      </c>
      <c r="F203" s="1845">
        <v>0</v>
      </c>
      <c r="G203" s="1845">
        <v>0</v>
      </c>
      <c r="H203" s="1821" t="e">
        <f t="shared" si="8"/>
        <v>#DIV/0!</v>
      </c>
    </row>
    <row r="204" spans="1:8" s="1638" customFormat="1" ht="15.75" hidden="1" thickBot="1" x14ac:dyDescent="0.25">
      <c r="A204" s="1896">
        <v>5273</v>
      </c>
      <c r="B204" s="1816">
        <v>5139</v>
      </c>
      <c r="C204" s="1903">
        <v>41100882</v>
      </c>
      <c r="D204" s="1836" t="s">
        <v>270</v>
      </c>
      <c r="E204" s="1845">
        <v>0</v>
      </c>
      <c r="F204" s="1845">
        <v>0</v>
      </c>
      <c r="G204" s="1845">
        <v>0</v>
      </c>
      <c r="H204" s="1821" t="e">
        <f t="shared" si="8"/>
        <v>#DIV/0!</v>
      </c>
    </row>
    <row r="205" spans="1:8" s="1638" customFormat="1" ht="15.75" hidden="1" thickBot="1" x14ac:dyDescent="0.25">
      <c r="A205" s="1896">
        <v>5273</v>
      </c>
      <c r="B205" s="1816">
        <v>5139</v>
      </c>
      <c r="C205" s="1903">
        <v>41500881</v>
      </c>
      <c r="D205" s="1836" t="s">
        <v>270</v>
      </c>
      <c r="E205" s="1845">
        <v>0</v>
      </c>
      <c r="F205" s="1845">
        <v>0</v>
      </c>
      <c r="G205" s="1845">
        <v>0</v>
      </c>
      <c r="H205" s="1821" t="e">
        <f t="shared" si="8"/>
        <v>#DIV/0!</v>
      </c>
    </row>
    <row r="206" spans="1:8" s="1638" customFormat="1" ht="15.75" hidden="1" thickBot="1" x14ac:dyDescent="0.25">
      <c r="A206" s="1896">
        <v>5273</v>
      </c>
      <c r="B206" s="1816">
        <v>5163</v>
      </c>
      <c r="C206" s="1903">
        <v>41100880</v>
      </c>
      <c r="D206" s="1836" t="s">
        <v>892</v>
      </c>
      <c r="E206" s="1845">
        <v>0</v>
      </c>
      <c r="F206" s="1845">
        <v>0</v>
      </c>
      <c r="G206" s="1845">
        <v>0</v>
      </c>
      <c r="H206" s="1821" t="e">
        <f t="shared" si="8"/>
        <v>#DIV/0!</v>
      </c>
    </row>
    <row r="207" spans="1:8" s="1638" customFormat="1" ht="15.75" hidden="1" thickBot="1" x14ac:dyDescent="0.25">
      <c r="A207" s="1896">
        <v>5273</v>
      </c>
      <c r="B207" s="1816">
        <v>5163</v>
      </c>
      <c r="C207" s="1903">
        <v>41100882</v>
      </c>
      <c r="D207" s="1836" t="s">
        <v>892</v>
      </c>
      <c r="E207" s="1845">
        <v>0</v>
      </c>
      <c r="F207" s="1845">
        <v>0</v>
      </c>
      <c r="G207" s="1845">
        <v>0</v>
      </c>
      <c r="H207" s="1821">
        <v>0</v>
      </c>
    </row>
    <row r="208" spans="1:8" s="1638" customFormat="1" ht="15.75" hidden="1" thickBot="1" x14ac:dyDescent="0.25">
      <c r="A208" s="1896">
        <v>5273</v>
      </c>
      <c r="B208" s="1816">
        <v>5163</v>
      </c>
      <c r="C208" s="1903">
        <v>41500881</v>
      </c>
      <c r="D208" s="1836" t="s">
        <v>892</v>
      </c>
      <c r="E208" s="1845">
        <v>0</v>
      </c>
      <c r="F208" s="1845">
        <v>0</v>
      </c>
      <c r="G208" s="1845">
        <v>0</v>
      </c>
      <c r="H208" s="1821">
        <v>0</v>
      </c>
    </row>
    <row r="209" spans="1:8" s="1638" customFormat="1" ht="15.75" hidden="1" thickBot="1" x14ac:dyDescent="0.25">
      <c r="A209" s="1896">
        <v>5273</v>
      </c>
      <c r="B209" s="1816">
        <v>5164</v>
      </c>
      <c r="C209" s="1903">
        <v>41100880</v>
      </c>
      <c r="D209" s="1836" t="s">
        <v>170</v>
      </c>
      <c r="E209" s="1845">
        <v>0</v>
      </c>
      <c r="F209" s="1845">
        <v>0</v>
      </c>
      <c r="G209" s="1845">
        <v>0</v>
      </c>
      <c r="H209" s="1821" t="e">
        <f>G209/F209*100</f>
        <v>#DIV/0!</v>
      </c>
    </row>
    <row r="210" spans="1:8" s="1638" customFormat="1" ht="15.75" hidden="1" thickBot="1" x14ac:dyDescent="0.25">
      <c r="A210" s="1896">
        <v>5273</v>
      </c>
      <c r="B210" s="1816">
        <v>5164</v>
      </c>
      <c r="C210" s="1903">
        <v>41100882</v>
      </c>
      <c r="D210" s="1836" t="s">
        <v>170</v>
      </c>
      <c r="E210" s="1845">
        <v>0</v>
      </c>
      <c r="F210" s="1845">
        <v>0</v>
      </c>
      <c r="G210" s="1845">
        <v>0</v>
      </c>
      <c r="H210" s="1821">
        <v>0</v>
      </c>
    </row>
    <row r="211" spans="1:8" s="1638" customFormat="1" ht="15.75" hidden="1" thickBot="1" x14ac:dyDescent="0.25">
      <c r="A211" s="1896">
        <v>5273</v>
      </c>
      <c r="B211" s="1903">
        <v>5164</v>
      </c>
      <c r="C211" s="1903">
        <v>41500881</v>
      </c>
      <c r="D211" s="1836" t="s">
        <v>170</v>
      </c>
      <c r="E211" s="1845">
        <v>0</v>
      </c>
      <c r="F211" s="1845">
        <v>0</v>
      </c>
      <c r="G211" s="1845">
        <v>0</v>
      </c>
      <c r="H211" s="1821" t="e">
        <f t="shared" ref="H211:H221" si="9">G211/F211*100</f>
        <v>#DIV/0!</v>
      </c>
    </row>
    <row r="212" spans="1:8" s="1638" customFormat="1" ht="30.75" hidden="1" customHeight="1" thickTop="1" x14ac:dyDescent="0.2">
      <c r="A212" s="1896">
        <v>5273</v>
      </c>
      <c r="B212" s="1903">
        <v>5166</v>
      </c>
      <c r="C212" s="1903">
        <v>41100880</v>
      </c>
      <c r="D212" s="1836" t="s">
        <v>609</v>
      </c>
      <c r="E212" s="1845">
        <v>0</v>
      </c>
      <c r="F212" s="1845">
        <v>0</v>
      </c>
      <c r="G212" s="1845">
        <v>0</v>
      </c>
      <c r="H212" s="1821" t="e">
        <f t="shared" si="9"/>
        <v>#DIV/0!</v>
      </c>
    </row>
    <row r="213" spans="1:8" s="1638" customFormat="1" ht="30.75" hidden="1" customHeight="1" thickTop="1" x14ac:dyDescent="0.2">
      <c r="A213" s="1896">
        <v>5273</v>
      </c>
      <c r="B213" s="1903">
        <v>5166</v>
      </c>
      <c r="C213" s="1903">
        <v>41100882</v>
      </c>
      <c r="D213" s="1836" t="s">
        <v>609</v>
      </c>
      <c r="E213" s="1845">
        <v>0</v>
      </c>
      <c r="F213" s="1845">
        <v>0</v>
      </c>
      <c r="G213" s="1845">
        <v>0</v>
      </c>
      <c r="H213" s="1821" t="e">
        <f t="shared" si="9"/>
        <v>#DIV/0!</v>
      </c>
    </row>
    <row r="214" spans="1:8" s="1638" customFormat="1" ht="30.75" hidden="1" customHeight="1" thickTop="1" x14ac:dyDescent="0.2">
      <c r="A214" s="1896">
        <v>5273</v>
      </c>
      <c r="B214" s="1903">
        <v>5166</v>
      </c>
      <c r="C214" s="1903">
        <v>41500881</v>
      </c>
      <c r="D214" s="1836" t="s">
        <v>609</v>
      </c>
      <c r="E214" s="1845">
        <v>0</v>
      </c>
      <c r="F214" s="1845">
        <v>0</v>
      </c>
      <c r="G214" s="1845">
        <v>0</v>
      </c>
      <c r="H214" s="1821" t="e">
        <f t="shared" si="9"/>
        <v>#DIV/0!</v>
      </c>
    </row>
    <row r="215" spans="1:8" s="1638" customFormat="1" ht="15.75" hidden="1" thickBot="1" x14ac:dyDescent="0.25">
      <c r="A215" s="1896">
        <v>5273</v>
      </c>
      <c r="B215" s="1903">
        <v>5169</v>
      </c>
      <c r="C215" s="1903">
        <v>41100880</v>
      </c>
      <c r="D215" s="1836" t="s">
        <v>852</v>
      </c>
      <c r="E215" s="1845">
        <v>0</v>
      </c>
      <c r="F215" s="1845">
        <v>0</v>
      </c>
      <c r="G215" s="1845">
        <v>0</v>
      </c>
      <c r="H215" s="1821" t="e">
        <f t="shared" si="9"/>
        <v>#DIV/0!</v>
      </c>
    </row>
    <row r="216" spans="1:8" s="1638" customFormat="1" ht="15.75" hidden="1" thickBot="1" x14ac:dyDescent="0.25">
      <c r="A216" s="1896">
        <v>5273</v>
      </c>
      <c r="B216" s="1903">
        <v>5169</v>
      </c>
      <c r="C216" s="1903">
        <v>41100882</v>
      </c>
      <c r="D216" s="1836" t="s">
        <v>852</v>
      </c>
      <c r="E216" s="1845">
        <v>0</v>
      </c>
      <c r="F216" s="1845">
        <v>0</v>
      </c>
      <c r="G216" s="1845">
        <v>0</v>
      </c>
      <c r="H216" s="1821" t="e">
        <f t="shared" si="9"/>
        <v>#DIV/0!</v>
      </c>
    </row>
    <row r="217" spans="1:8" s="1638" customFormat="1" ht="15.75" hidden="1" thickBot="1" x14ac:dyDescent="0.25">
      <c r="A217" s="1896">
        <v>5273</v>
      </c>
      <c r="B217" s="1903">
        <v>5169</v>
      </c>
      <c r="C217" s="1903">
        <v>41500881</v>
      </c>
      <c r="D217" s="1836" t="s">
        <v>852</v>
      </c>
      <c r="E217" s="1845">
        <v>0</v>
      </c>
      <c r="F217" s="1845">
        <v>0</v>
      </c>
      <c r="G217" s="1845">
        <v>0</v>
      </c>
      <c r="H217" s="1821" t="e">
        <f t="shared" si="9"/>
        <v>#DIV/0!</v>
      </c>
    </row>
    <row r="218" spans="1:8" s="1638" customFormat="1" ht="15.75" hidden="1" thickBot="1" x14ac:dyDescent="0.25">
      <c r="A218" s="1896">
        <v>5273</v>
      </c>
      <c r="B218" s="1903">
        <v>5175</v>
      </c>
      <c r="C218" s="1903">
        <v>41100880</v>
      </c>
      <c r="D218" s="1836" t="s">
        <v>669</v>
      </c>
      <c r="E218" s="1845">
        <v>0</v>
      </c>
      <c r="F218" s="1845">
        <v>0</v>
      </c>
      <c r="G218" s="1845">
        <v>0</v>
      </c>
      <c r="H218" s="1821" t="e">
        <f t="shared" si="9"/>
        <v>#DIV/0!</v>
      </c>
    </row>
    <row r="219" spans="1:8" s="1638" customFormat="1" ht="15.75" hidden="1" thickBot="1" x14ac:dyDescent="0.25">
      <c r="A219" s="1896">
        <v>5273</v>
      </c>
      <c r="B219" s="1903">
        <v>5175</v>
      </c>
      <c r="C219" s="1903">
        <v>41100882</v>
      </c>
      <c r="D219" s="1836" t="s">
        <v>669</v>
      </c>
      <c r="E219" s="1845">
        <v>0</v>
      </c>
      <c r="F219" s="1845">
        <v>0</v>
      </c>
      <c r="G219" s="1845">
        <v>0</v>
      </c>
      <c r="H219" s="1821" t="e">
        <f t="shared" si="9"/>
        <v>#DIV/0!</v>
      </c>
    </row>
    <row r="220" spans="1:8" s="1638" customFormat="1" ht="15.75" hidden="1" thickBot="1" x14ac:dyDescent="0.25">
      <c r="A220" s="1896">
        <v>5273</v>
      </c>
      <c r="B220" s="1903">
        <v>5175</v>
      </c>
      <c r="C220" s="1903">
        <v>41500881</v>
      </c>
      <c r="D220" s="1836" t="s">
        <v>669</v>
      </c>
      <c r="E220" s="1845">
        <v>0</v>
      </c>
      <c r="F220" s="1845">
        <v>0</v>
      </c>
      <c r="G220" s="1845">
        <v>0</v>
      </c>
      <c r="H220" s="1821" t="e">
        <f t="shared" si="9"/>
        <v>#DIV/0!</v>
      </c>
    </row>
    <row r="221" spans="1:8" s="1638" customFormat="1" ht="16.5" thickTop="1" thickBot="1" x14ac:dyDescent="0.3">
      <c r="A221" s="2751" t="s">
        <v>763</v>
      </c>
      <c r="B221" s="2752"/>
      <c r="C221" s="2752"/>
      <c r="D221" s="2752"/>
      <c r="E221" s="1818">
        <f>SUM(E199:E220)</f>
        <v>0</v>
      </c>
      <c r="F221" s="1818">
        <f>SUM(F199:F220)</f>
        <v>7</v>
      </c>
      <c r="G221" s="1818">
        <f>SUM(G199:G220)</f>
        <v>7</v>
      </c>
      <c r="H221" s="1822">
        <f t="shared" si="9"/>
        <v>100</v>
      </c>
    </row>
    <row r="222" spans="1:8" s="1638" customFormat="1" ht="15.75" thickTop="1" x14ac:dyDescent="0.25">
      <c r="A222" s="1823"/>
      <c r="B222" s="1823"/>
      <c r="C222" s="1823"/>
      <c r="D222" s="1823"/>
      <c r="E222" s="1824"/>
      <c r="F222" s="1824"/>
      <c r="G222" s="1824"/>
      <c r="H222" s="1849"/>
    </row>
    <row r="223" spans="1:8" ht="15" hidden="1" customHeight="1" x14ac:dyDescent="0.25">
      <c r="A223" s="1808" t="s">
        <v>1386</v>
      </c>
    </row>
    <row r="224" spans="1:8" s="1581" customFormat="1" ht="15" hidden="1" x14ac:dyDescent="0.25">
      <c r="A224" s="1808" t="s">
        <v>1385</v>
      </c>
      <c r="B224" s="1587"/>
      <c r="C224" s="1587"/>
      <c r="E224" s="1967"/>
      <c r="F224" s="1967"/>
      <c r="G224" s="1967"/>
      <c r="H224" s="1968" t="s">
        <v>161</v>
      </c>
    </row>
    <row r="225" spans="1:8" s="1638" customFormat="1" ht="25.5" hidden="1" thickTop="1" thickBot="1" x14ac:dyDescent="0.25">
      <c r="A225" s="1809" t="s">
        <v>162</v>
      </c>
      <c r="B225" s="1810" t="s">
        <v>761</v>
      </c>
      <c r="C225" s="1810" t="s">
        <v>377</v>
      </c>
      <c r="D225" s="1811" t="s">
        <v>164</v>
      </c>
      <c r="E225" s="1833" t="s">
        <v>632</v>
      </c>
      <c r="F225" s="1833" t="s">
        <v>633</v>
      </c>
      <c r="G225" s="1834" t="s">
        <v>882</v>
      </c>
      <c r="H225" s="1835" t="s">
        <v>883</v>
      </c>
    </row>
    <row r="226" spans="1:8" s="1638" customFormat="1" ht="13.5" hidden="1" thickTop="1" thickBot="1" x14ac:dyDescent="0.25">
      <c r="A226" s="1643">
        <v>1</v>
      </c>
      <c r="B226" s="1642">
        <v>2</v>
      </c>
      <c r="C226" s="1642">
        <v>3</v>
      </c>
      <c r="D226" s="1642">
        <v>4</v>
      </c>
      <c r="E226" s="1641">
        <v>5</v>
      </c>
      <c r="F226" s="1641">
        <v>6</v>
      </c>
      <c r="G226" s="1877">
        <v>7</v>
      </c>
      <c r="H226" s="1901" t="s">
        <v>61</v>
      </c>
    </row>
    <row r="227" spans="1:8" s="1970" customFormat="1" ht="16.5" hidden="1" customHeight="1" thickTop="1" x14ac:dyDescent="0.2">
      <c r="A227" s="1896">
        <v>4357</v>
      </c>
      <c r="B227" s="1903">
        <v>5166</v>
      </c>
      <c r="C227" s="1962" t="s">
        <v>754</v>
      </c>
      <c r="D227" s="1969" t="s">
        <v>609</v>
      </c>
      <c r="E227" s="1853">
        <v>0</v>
      </c>
      <c r="F227" s="1853">
        <v>0</v>
      </c>
      <c r="G227" s="1853">
        <v>0</v>
      </c>
      <c r="H227" s="1821" t="e">
        <f t="shared" ref="H227:H233" si="10">G227/F227*100</f>
        <v>#DIV/0!</v>
      </c>
    </row>
    <row r="228" spans="1:8" s="1638" customFormat="1" ht="15" hidden="1" x14ac:dyDescent="0.2">
      <c r="A228" s="1815">
        <v>4357</v>
      </c>
      <c r="B228" s="1816">
        <v>5169</v>
      </c>
      <c r="C228" s="1962">
        <v>53100880</v>
      </c>
      <c r="D228" s="1836" t="s">
        <v>852</v>
      </c>
      <c r="E228" s="1845">
        <v>0</v>
      </c>
      <c r="F228" s="1845"/>
      <c r="G228" s="1845"/>
      <c r="H228" s="1821" t="e">
        <f t="shared" si="10"/>
        <v>#DIV/0!</v>
      </c>
    </row>
    <row r="229" spans="1:8" s="1638" customFormat="1" ht="15" hidden="1" x14ac:dyDescent="0.2">
      <c r="A229" s="1815">
        <v>4357</v>
      </c>
      <c r="B229" s="1816">
        <v>5169</v>
      </c>
      <c r="C229" s="1962">
        <v>53100884</v>
      </c>
      <c r="D229" s="1836" t="s">
        <v>852</v>
      </c>
      <c r="E229" s="1845">
        <v>0</v>
      </c>
      <c r="F229" s="1845"/>
      <c r="G229" s="1845"/>
      <c r="H229" s="1821" t="e">
        <f t="shared" si="10"/>
        <v>#DIV/0!</v>
      </c>
    </row>
    <row r="230" spans="1:8" s="1638" customFormat="1" ht="15" hidden="1" x14ac:dyDescent="0.2">
      <c r="A230" s="1815">
        <v>4357</v>
      </c>
      <c r="B230" s="1816">
        <v>5169</v>
      </c>
      <c r="C230" s="1962">
        <v>53190001</v>
      </c>
      <c r="D230" s="1836" t="s">
        <v>852</v>
      </c>
      <c r="E230" s="1845">
        <v>0</v>
      </c>
      <c r="F230" s="1845"/>
      <c r="G230" s="1845"/>
      <c r="H230" s="1821" t="e">
        <f t="shared" si="10"/>
        <v>#DIV/0!</v>
      </c>
    </row>
    <row r="231" spans="1:8" s="1638" customFormat="1" ht="15" hidden="1" x14ac:dyDescent="0.2">
      <c r="A231" s="1815">
        <v>4357</v>
      </c>
      <c r="B231" s="1816">
        <v>5169</v>
      </c>
      <c r="C231" s="1962">
        <v>53515319</v>
      </c>
      <c r="D231" s="1836" t="s">
        <v>852</v>
      </c>
      <c r="E231" s="1845">
        <v>0</v>
      </c>
      <c r="F231" s="1845"/>
      <c r="G231" s="1845"/>
      <c r="H231" s="1821" t="e">
        <f t="shared" si="10"/>
        <v>#DIV/0!</v>
      </c>
    </row>
    <row r="232" spans="1:8" s="1638" customFormat="1" ht="15" hidden="1" x14ac:dyDescent="0.2">
      <c r="A232" s="1815"/>
      <c r="B232" s="1816"/>
      <c r="C232" s="1856"/>
      <c r="D232" s="1856"/>
      <c r="E232" s="1845"/>
      <c r="F232" s="1845"/>
      <c r="G232" s="1845"/>
      <c r="H232" s="1821" t="e">
        <f t="shared" si="10"/>
        <v>#DIV/0!</v>
      </c>
    </row>
    <row r="233" spans="1:8" s="1638" customFormat="1" ht="15" hidden="1" x14ac:dyDescent="0.2">
      <c r="A233" s="1815"/>
      <c r="B233" s="1816"/>
      <c r="C233" s="1856"/>
      <c r="D233" s="1856"/>
      <c r="E233" s="1845"/>
      <c r="F233" s="1845"/>
      <c r="G233" s="1845"/>
      <c r="H233" s="1821" t="e">
        <f t="shared" si="10"/>
        <v>#DIV/0!</v>
      </c>
    </row>
    <row r="234" spans="1:8" s="1638" customFormat="1" ht="15" hidden="1" x14ac:dyDescent="0.2">
      <c r="A234" s="1815">
        <v>4357</v>
      </c>
      <c r="B234" s="1816">
        <v>5171</v>
      </c>
      <c r="C234" s="1962" t="s">
        <v>753</v>
      </c>
      <c r="D234" s="1836" t="s">
        <v>896</v>
      </c>
      <c r="E234" s="1845">
        <v>0</v>
      </c>
      <c r="F234" s="1845"/>
      <c r="G234" s="1845"/>
      <c r="H234" s="1821">
        <v>0</v>
      </c>
    </row>
    <row r="235" spans="1:8" s="1638" customFormat="1" ht="15" hidden="1" x14ac:dyDescent="0.2">
      <c r="A235" s="1815">
        <v>4357</v>
      </c>
      <c r="B235" s="1816">
        <v>6121</v>
      </c>
      <c r="C235" s="1962" t="s">
        <v>754</v>
      </c>
      <c r="D235" s="1836" t="s">
        <v>603</v>
      </c>
      <c r="E235" s="1845">
        <v>0</v>
      </c>
      <c r="F235" s="1845"/>
      <c r="G235" s="1845"/>
      <c r="H235" s="1821">
        <v>0</v>
      </c>
    </row>
    <row r="236" spans="1:8" s="1638" customFormat="1" ht="16.5" hidden="1" thickTop="1" thickBot="1" x14ac:dyDescent="0.3">
      <c r="A236" s="2751" t="s">
        <v>763</v>
      </c>
      <c r="B236" s="2752"/>
      <c r="C236" s="2752"/>
      <c r="D236" s="2752"/>
      <c r="E236" s="1818">
        <f>SUM(E227:E235)</f>
        <v>0</v>
      </c>
      <c r="F236" s="1818">
        <f>SUM(F227:F235)</f>
        <v>0</v>
      </c>
      <c r="G236" s="1818">
        <f>SUM(G227:G235)</f>
        <v>0</v>
      </c>
      <c r="H236" s="1822" t="e">
        <f>G236/F236*100</f>
        <v>#DIV/0!</v>
      </c>
    </row>
    <row r="237" spans="1:8" s="1638" customFormat="1" ht="15" x14ac:dyDescent="0.25">
      <c r="A237" s="1823"/>
      <c r="B237" s="1823"/>
      <c r="C237" s="1823"/>
      <c r="D237" s="1823"/>
      <c r="E237" s="1824"/>
      <c r="F237" s="1824"/>
      <c r="G237" s="1824"/>
      <c r="H237" s="1849"/>
    </row>
    <row r="238" spans="1:8" ht="15" customHeight="1" x14ac:dyDescent="0.25">
      <c r="A238" s="1808" t="s">
        <v>496</v>
      </c>
    </row>
    <row r="239" spans="1:8" ht="15.75" thickBot="1" x14ac:dyDescent="0.3">
      <c r="A239" s="1808" t="s">
        <v>497</v>
      </c>
      <c r="H239" s="1892" t="s">
        <v>161</v>
      </c>
    </row>
    <row r="240" spans="1:8" s="1638" customFormat="1" ht="25.5" thickTop="1" thickBot="1" x14ac:dyDescent="0.25">
      <c r="A240" s="1809" t="s">
        <v>162</v>
      </c>
      <c r="B240" s="1810" t="s">
        <v>761</v>
      </c>
      <c r="C240" s="1810" t="s">
        <v>377</v>
      </c>
      <c r="D240" s="1811" t="s">
        <v>164</v>
      </c>
      <c r="E240" s="1833" t="s">
        <v>632</v>
      </c>
      <c r="F240" s="1833" t="s">
        <v>633</v>
      </c>
      <c r="G240" s="1834" t="s">
        <v>882</v>
      </c>
      <c r="H240" s="1835" t="s">
        <v>883</v>
      </c>
    </row>
    <row r="241" spans="1:8" s="1638" customFormat="1" ht="13.5" thickTop="1" thickBot="1" x14ac:dyDescent="0.25">
      <c r="A241" s="1643">
        <v>1</v>
      </c>
      <c r="B241" s="1642">
        <v>2</v>
      </c>
      <c r="C241" s="1642">
        <v>3</v>
      </c>
      <c r="D241" s="1642">
        <v>4</v>
      </c>
      <c r="E241" s="1641">
        <v>5</v>
      </c>
      <c r="F241" s="1641">
        <v>6</v>
      </c>
      <c r="G241" s="1877">
        <v>7</v>
      </c>
      <c r="H241" s="1901" t="s">
        <v>61</v>
      </c>
    </row>
    <row r="242" spans="1:8" s="1638" customFormat="1" ht="15.75" thickTop="1" x14ac:dyDescent="0.2">
      <c r="A242" s="1815">
        <v>4357</v>
      </c>
      <c r="B242" s="1816">
        <v>5169</v>
      </c>
      <c r="C242" s="1962">
        <v>53100880</v>
      </c>
      <c r="D242" s="1836" t="s">
        <v>852</v>
      </c>
      <c r="E242" s="1845">
        <v>2888</v>
      </c>
      <c r="F242" s="1845">
        <v>684</v>
      </c>
      <c r="G242" s="1845">
        <v>684</v>
      </c>
      <c r="H242" s="1821">
        <f t="shared" ref="H242:H246" si="11">G242/F242*100</f>
        <v>100</v>
      </c>
    </row>
    <row r="243" spans="1:8" s="1638" customFormat="1" ht="15" x14ac:dyDescent="0.2">
      <c r="A243" s="1815">
        <v>4357</v>
      </c>
      <c r="B243" s="1816">
        <v>5169</v>
      </c>
      <c r="C243" s="1962" t="s">
        <v>1726</v>
      </c>
      <c r="D243" s="1836" t="s">
        <v>852</v>
      </c>
      <c r="E243" s="1845">
        <v>0</v>
      </c>
      <c r="F243" s="1845">
        <v>137</v>
      </c>
      <c r="G243" s="1845">
        <v>137</v>
      </c>
      <c r="H243" s="1821">
        <f t="shared" si="11"/>
        <v>100</v>
      </c>
    </row>
    <row r="244" spans="1:8" s="1638" customFormat="1" ht="15" x14ac:dyDescent="0.2">
      <c r="A244" s="1815">
        <v>4357</v>
      </c>
      <c r="B244" s="1816">
        <v>5169</v>
      </c>
      <c r="C244" s="1962" t="s">
        <v>1727</v>
      </c>
      <c r="D244" s="1836" t="s">
        <v>852</v>
      </c>
      <c r="E244" s="1845">
        <v>871</v>
      </c>
      <c r="F244" s="1845">
        <v>3061</v>
      </c>
      <c r="G244" s="1845">
        <v>2931</v>
      </c>
      <c r="H244" s="1821">
        <f t="shared" si="11"/>
        <v>95.753021888271803</v>
      </c>
    </row>
    <row r="245" spans="1:8" s="1638" customFormat="1" ht="15" x14ac:dyDescent="0.2">
      <c r="A245" s="1815">
        <v>4357</v>
      </c>
      <c r="B245" s="1816">
        <v>5169</v>
      </c>
      <c r="C245" s="1962" t="s">
        <v>1722</v>
      </c>
      <c r="D245" s="1836" t="s">
        <v>852</v>
      </c>
      <c r="E245" s="1845">
        <v>0</v>
      </c>
      <c r="F245" s="1845">
        <v>1915</v>
      </c>
      <c r="G245" s="1845">
        <v>1915</v>
      </c>
      <c r="H245" s="1821">
        <f t="shared" si="11"/>
        <v>100</v>
      </c>
    </row>
    <row r="246" spans="1:8" s="1638" customFormat="1" ht="15.75" thickBot="1" x14ac:dyDescent="0.25">
      <c r="A246" s="1815">
        <v>4357</v>
      </c>
      <c r="B246" s="1816">
        <v>6121</v>
      </c>
      <c r="C246" s="1971" t="s">
        <v>1725</v>
      </c>
      <c r="D246" s="1836" t="s">
        <v>603</v>
      </c>
      <c r="E246" s="1845">
        <v>0</v>
      </c>
      <c r="F246" s="1845">
        <v>225</v>
      </c>
      <c r="G246" s="1845">
        <v>0</v>
      </c>
      <c r="H246" s="1821">
        <f t="shared" si="11"/>
        <v>0</v>
      </c>
    </row>
    <row r="247" spans="1:8" s="1638" customFormat="1" ht="16.5" thickTop="1" thickBot="1" x14ac:dyDescent="0.3">
      <c r="A247" s="2751" t="s">
        <v>763</v>
      </c>
      <c r="B247" s="2752"/>
      <c r="C247" s="2752"/>
      <c r="D247" s="2752"/>
      <c r="E247" s="1818">
        <f>SUM(E242:E246)</f>
        <v>3759</v>
      </c>
      <c r="F247" s="1818">
        <f t="shared" ref="F247:G247" si="12">SUM(F242:F246)</f>
        <v>6022</v>
      </c>
      <c r="G247" s="1818">
        <f t="shared" si="12"/>
        <v>5667</v>
      </c>
      <c r="H247" s="1822">
        <v>0</v>
      </c>
    </row>
    <row r="248" spans="1:8" s="1638" customFormat="1" ht="15.75" thickTop="1" x14ac:dyDescent="0.25">
      <c r="A248" s="1823"/>
      <c r="B248" s="1823"/>
      <c r="C248" s="1823"/>
      <c r="D248" s="1823"/>
      <c r="E248" s="1824"/>
      <c r="F248" s="1824"/>
      <c r="G248" s="1824"/>
      <c r="H248" s="1849"/>
    </row>
    <row r="249" spans="1:8" ht="15" x14ac:dyDescent="0.25">
      <c r="A249" s="1808" t="s">
        <v>2000</v>
      </c>
    </row>
    <row r="250" spans="1:8" ht="15.75" thickBot="1" x14ac:dyDescent="0.3">
      <c r="A250" s="1808" t="s">
        <v>498</v>
      </c>
      <c r="H250" s="1892" t="s">
        <v>161</v>
      </c>
    </row>
    <row r="251" spans="1:8" s="1638" customFormat="1" ht="25.5" thickTop="1" thickBot="1" x14ac:dyDescent="0.25">
      <c r="A251" s="1809" t="s">
        <v>162</v>
      </c>
      <c r="B251" s="1810" t="s">
        <v>761</v>
      </c>
      <c r="C251" s="1810" t="s">
        <v>377</v>
      </c>
      <c r="D251" s="1811" t="s">
        <v>164</v>
      </c>
      <c r="E251" s="1833" t="s">
        <v>632</v>
      </c>
      <c r="F251" s="1833" t="s">
        <v>633</v>
      </c>
      <c r="G251" s="1834" t="s">
        <v>882</v>
      </c>
      <c r="H251" s="1835" t="s">
        <v>883</v>
      </c>
    </row>
    <row r="252" spans="1:8" s="1638" customFormat="1" ht="13.5" thickTop="1" thickBot="1" x14ac:dyDescent="0.25">
      <c r="A252" s="1643">
        <v>1</v>
      </c>
      <c r="B252" s="1642">
        <v>2</v>
      </c>
      <c r="C252" s="1642">
        <v>3</v>
      </c>
      <c r="D252" s="1642">
        <v>4</v>
      </c>
      <c r="E252" s="1641">
        <v>5</v>
      </c>
      <c r="F252" s="1641">
        <v>6</v>
      </c>
      <c r="G252" s="1877">
        <v>7</v>
      </c>
      <c r="H252" s="1901" t="s">
        <v>61</v>
      </c>
    </row>
    <row r="253" spans="1:8" s="1638" customFormat="1" ht="15.75" thickTop="1" x14ac:dyDescent="0.2">
      <c r="A253" s="1815">
        <v>4357</v>
      </c>
      <c r="B253" s="1816">
        <v>6121</v>
      </c>
      <c r="C253" s="1816">
        <v>38100870</v>
      </c>
      <c r="D253" s="1836" t="s">
        <v>603</v>
      </c>
      <c r="E253" s="1845">
        <v>0</v>
      </c>
      <c r="F253" s="1845">
        <v>1504</v>
      </c>
      <c r="G253" s="1845">
        <v>854</v>
      </c>
      <c r="H253" s="1821">
        <f>G253/F253*100</f>
        <v>56.781914893617028</v>
      </c>
    </row>
    <row r="254" spans="1:8" s="1638" customFormat="1" ht="15" x14ac:dyDescent="0.2">
      <c r="A254" s="1815">
        <v>4357</v>
      </c>
      <c r="B254" s="1816">
        <v>6121</v>
      </c>
      <c r="C254" s="1816">
        <v>38100874</v>
      </c>
      <c r="D254" s="1836" t="s">
        <v>603</v>
      </c>
      <c r="E254" s="1845">
        <v>0</v>
      </c>
      <c r="F254" s="1845">
        <v>180</v>
      </c>
      <c r="G254" s="1845">
        <v>97</v>
      </c>
      <c r="H254" s="1821">
        <f>G254/F254*100</f>
        <v>53.888888888888886</v>
      </c>
    </row>
    <row r="255" spans="1:8" s="1638" customFormat="1" ht="15" x14ac:dyDescent="0.2">
      <c r="A255" s="1815">
        <v>4357</v>
      </c>
      <c r="B255" s="1816">
        <v>6121</v>
      </c>
      <c r="C255" s="1816">
        <v>38500871</v>
      </c>
      <c r="D255" s="1836" t="s">
        <v>603</v>
      </c>
      <c r="E255" s="1845">
        <v>0</v>
      </c>
      <c r="F255" s="1845">
        <v>339</v>
      </c>
      <c r="G255" s="1845">
        <v>129</v>
      </c>
      <c r="H255" s="1821">
        <f>G255/F255*100</f>
        <v>38.053097345132741</v>
      </c>
    </row>
    <row r="256" spans="1:8" s="1638" customFormat="1" ht="15.75" thickBot="1" x14ac:dyDescent="0.25">
      <c r="A256" s="1896">
        <v>4357</v>
      </c>
      <c r="B256" s="1903">
        <v>6121</v>
      </c>
      <c r="C256" s="1972">
        <v>38587505</v>
      </c>
      <c r="D256" s="1836" t="s">
        <v>603</v>
      </c>
      <c r="E256" s="1845">
        <v>0</v>
      </c>
      <c r="F256" s="1845">
        <v>8400</v>
      </c>
      <c r="G256" s="1845">
        <v>4712</v>
      </c>
      <c r="H256" s="1821">
        <f>G256/F256*100</f>
        <v>56.095238095238095</v>
      </c>
    </row>
    <row r="257" spans="1:8" s="1638" customFormat="1" ht="16.5" thickTop="1" thickBot="1" x14ac:dyDescent="0.3">
      <c r="A257" s="2751" t="s">
        <v>763</v>
      </c>
      <c r="B257" s="2752"/>
      <c r="C257" s="2752"/>
      <c r="D257" s="2752"/>
      <c r="E257" s="1818">
        <f>SUM(E253:E256)</f>
        <v>0</v>
      </c>
      <c r="F257" s="1818">
        <f>SUM(F253:F256)</f>
        <v>10423</v>
      </c>
      <c r="G257" s="1818">
        <f>SUM(G253:G256)</f>
        <v>5792</v>
      </c>
      <c r="H257" s="1822">
        <f>G257/F257*100</f>
        <v>55.56941379641178</v>
      </c>
    </row>
    <row r="258" spans="1:8" s="1638" customFormat="1" ht="15.75" thickTop="1" x14ac:dyDescent="0.25">
      <c r="A258" s="1823"/>
      <c r="B258" s="1823"/>
      <c r="C258" s="1823"/>
      <c r="D258" s="1823"/>
      <c r="E258" s="1824"/>
      <c r="F258" s="1824"/>
      <c r="G258" s="1824"/>
      <c r="H258" s="1849"/>
    </row>
    <row r="259" spans="1:8" ht="15" x14ac:dyDescent="0.25">
      <c r="A259" s="1808" t="s">
        <v>1521</v>
      </c>
    </row>
    <row r="260" spans="1:8" ht="15.75" thickBot="1" x14ac:dyDescent="0.3">
      <c r="A260" s="1808" t="s">
        <v>1522</v>
      </c>
      <c r="H260" s="1892" t="s">
        <v>161</v>
      </c>
    </row>
    <row r="261" spans="1:8" s="1638" customFormat="1" ht="25.5" thickTop="1" thickBot="1" x14ac:dyDescent="0.25">
      <c r="A261" s="1809" t="s">
        <v>162</v>
      </c>
      <c r="B261" s="1810" t="s">
        <v>761</v>
      </c>
      <c r="C261" s="1810" t="s">
        <v>377</v>
      </c>
      <c r="D261" s="1811" t="s">
        <v>164</v>
      </c>
      <c r="E261" s="1833" t="s">
        <v>632</v>
      </c>
      <c r="F261" s="1833" t="s">
        <v>633</v>
      </c>
      <c r="G261" s="1834" t="s">
        <v>882</v>
      </c>
      <c r="H261" s="1835" t="s">
        <v>883</v>
      </c>
    </row>
    <row r="262" spans="1:8" s="1638" customFormat="1" ht="13.5" thickTop="1" thickBot="1" x14ac:dyDescent="0.25">
      <c r="A262" s="1643">
        <v>1</v>
      </c>
      <c r="B262" s="1642">
        <v>2</v>
      </c>
      <c r="C262" s="1642">
        <v>3</v>
      </c>
      <c r="D262" s="1642">
        <v>4</v>
      </c>
      <c r="E262" s="1641">
        <v>5</v>
      </c>
      <c r="F262" s="1641">
        <v>6</v>
      </c>
      <c r="G262" s="1877">
        <v>7</v>
      </c>
      <c r="H262" s="1901" t="s">
        <v>61</v>
      </c>
    </row>
    <row r="263" spans="1:8" s="1638" customFormat="1" ht="15.75" thickTop="1" x14ac:dyDescent="0.2">
      <c r="A263" s="1815">
        <v>4357</v>
      </c>
      <c r="B263" s="1816">
        <v>6121</v>
      </c>
      <c r="C263" s="1816">
        <v>11</v>
      </c>
      <c r="D263" s="1836" t="s">
        <v>603</v>
      </c>
      <c r="E263" s="1845">
        <v>7692</v>
      </c>
      <c r="F263" s="1845">
        <v>0</v>
      </c>
      <c r="G263" s="1845">
        <v>0</v>
      </c>
      <c r="H263" s="1821">
        <v>0</v>
      </c>
    </row>
    <row r="264" spans="1:8" s="1638" customFormat="1" ht="15" x14ac:dyDescent="0.2">
      <c r="A264" s="1815">
        <v>4357</v>
      </c>
      <c r="B264" s="1816">
        <v>6121</v>
      </c>
      <c r="C264" s="1816">
        <v>38100880</v>
      </c>
      <c r="D264" s="1836" t="s">
        <v>603</v>
      </c>
      <c r="E264" s="1845">
        <v>0</v>
      </c>
      <c r="F264" s="1845">
        <v>3643</v>
      </c>
      <c r="G264" s="1845">
        <v>1417</v>
      </c>
      <c r="H264" s="1821">
        <f>G264/F264*100</f>
        <v>38.896513862201481</v>
      </c>
    </row>
    <row r="265" spans="1:8" s="1638" customFormat="1" ht="15" x14ac:dyDescent="0.2">
      <c r="A265" s="1815">
        <v>4357</v>
      </c>
      <c r="B265" s="1816">
        <v>6121</v>
      </c>
      <c r="C265" s="1816">
        <v>38100884</v>
      </c>
      <c r="D265" s="1836" t="s">
        <v>603</v>
      </c>
      <c r="E265" s="1845">
        <v>0</v>
      </c>
      <c r="F265" s="1845">
        <v>91</v>
      </c>
      <c r="G265" s="1845">
        <v>30</v>
      </c>
      <c r="H265" s="1821">
        <f>G265/F265*100</f>
        <v>32.967032967032964</v>
      </c>
    </row>
    <row r="266" spans="1:8" s="1638" customFormat="1" ht="15" x14ac:dyDescent="0.2">
      <c r="A266" s="1815">
        <v>4357</v>
      </c>
      <c r="B266" s="1816">
        <v>6121</v>
      </c>
      <c r="C266" s="1816">
        <v>38500881</v>
      </c>
      <c r="D266" s="1836" t="s">
        <v>603</v>
      </c>
      <c r="E266" s="1845">
        <v>0</v>
      </c>
      <c r="F266" s="1845">
        <v>96</v>
      </c>
      <c r="G266" s="1845">
        <v>93</v>
      </c>
      <c r="H266" s="1821">
        <f>G266/F266*100</f>
        <v>96.875</v>
      </c>
    </row>
    <row r="267" spans="1:8" s="1638" customFormat="1" ht="15.75" thickBot="1" x14ac:dyDescent="0.25">
      <c r="A267" s="1896">
        <v>4357</v>
      </c>
      <c r="B267" s="1903">
        <v>6121</v>
      </c>
      <c r="C267" s="1972">
        <v>38587505</v>
      </c>
      <c r="D267" s="1836" t="s">
        <v>603</v>
      </c>
      <c r="E267" s="1845">
        <v>0</v>
      </c>
      <c r="F267" s="1845">
        <v>12278</v>
      </c>
      <c r="G267" s="1845">
        <v>4140</v>
      </c>
      <c r="H267" s="1821">
        <f>G267/F267*100</f>
        <v>33.718846717706469</v>
      </c>
    </row>
    <row r="268" spans="1:8" s="1638" customFormat="1" ht="16.5" thickTop="1" thickBot="1" x14ac:dyDescent="0.3">
      <c r="A268" s="2751" t="s">
        <v>763</v>
      </c>
      <c r="B268" s="2752"/>
      <c r="C268" s="2752"/>
      <c r="D268" s="2752"/>
      <c r="E268" s="1818">
        <f>SUM(E263:E267)</f>
        <v>7692</v>
      </c>
      <c r="F268" s="1818">
        <f>SUM(F263:F267)</f>
        <v>16108</v>
      </c>
      <c r="G268" s="1818">
        <f>SUM(G263:G267)</f>
        <v>5680</v>
      </c>
      <c r="H268" s="1822">
        <f>G268/F268*100</f>
        <v>35.261981624037745</v>
      </c>
    </row>
    <row r="269" spans="1:8" s="1638" customFormat="1" ht="15.75" thickTop="1" x14ac:dyDescent="0.25">
      <c r="A269" s="1823"/>
      <c r="B269" s="1823"/>
      <c r="C269" s="1823"/>
      <c r="D269" s="1823"/>
      <c r="E269" s="1824"/>
      <c r="F269" s="1824"/>
      <c r="G269" s="1824"/>
      <c r="H269" s="1849"/>
    </row>
    <row r="270" spans="1:8" ht="15" x14ac:dyDescent="0.25">
      <c r="A270" s="1808" t="s">
        <v>2001</v>
      </c>
    </row>
    <row r="271" spans="1:8" ht="15.75" thickBot="1" x14ac:dyDescent="0.3">
      <c r="A271" s="1808" t="s">
        <v>501</v>
      </c>
      <c r="H271" s="1892" t="s">
        <v>161</v>
      </c>
    </row>
    <row r="272" spans="1:8" s="1638" customFormat="1" ht="25.5" thickTop="1" thickBot="1" x14ac:dyDescent="0.25">
      <c r="A272" s="1809" t="s">
        <v>162</v>
      </c>
      <c r="B272" s="1810" t="s">
        <v>761</v>
      </c>
      <c r="C272" s="1810" t="s">
        <v>377</v>
      </c>
      <c r="D272" s="1811" t="s">
        <v>164</v>
      </c>
      <c r="E272" s="1833" t="s">
        <v>632</v>
      </c>
      <c r="F272" s="1833" t="s">
        <v>633</v>
      </c>
      <c r="G272" s="1834" t="s">
        <v>882</v>
      </c>
      <c r="H272" s="1835" t="s">
        <v>883</v>
      </c>
    </row>
    <row r="273" spans="1:8" s="1638" customFormat="1" ht="13.5" thickTop="1" thickBot="1" x14ac:dyDescent="0.25">
      <c r="A273" s="1643">
        <v>1</v>
      </c>
      <c r="B273" s="1642">
        <v>2</v>
      </c>
      <c r="C273" s="1642">
        <v>3</v>
      </c>
      <c r="D273" s="1642">
        <v>4</v>
      </c>
      <c r="E273" s="1641">
        <v>5</v>
      </c>
      <c r="F273" s="1641">
        <v>6</v>
      </c>
      <c r="G273" s="1877">
        <v>7</v>
      </c>
      <c r="H273" s="1901" t="s">
        <v>61</v>
      </c>
    </row>
    <row r="274" spans="1:8" s="1638" customFormat="1" ht="15.75" thickTop="1" x14ac:dyDescent="0.2">
      <c r="A274" s="1815">
        <v>4357</v>
      </c>
      <c r="B274" s="1816">
        <v>6121</v>
      </c>
      <c r="C274" s="1816">
        <v>11</v>
      </c>
      <c r="D274" s="1836" t="s">
        <v>603</v>
      </c>
      <c r="E274" s="1845">
        <v>6260</v>
      </c>
      <c r="F274" s="1845">
        <v>0</v>
      </c>
      <c r="G274" s="1845">
        <v>0</v>
      </c>
      <c r="H274" s="1821">
        <v>0</v>
      </c>
    </row>
    <row r="275" spans="1:8" s="1638" customFormat="1" ht="15" x14ac:dyDescent="0.2">
      <c r="A275" s="1815">
        <v>4357</v>
      </c>
      <c r="B275" s="1816">
        <v>6121</v>
      </c>
      <c r="C275" s="1816">
        <v>38100880</v>
      </c>
      <c r="D275" s="1836" t="s">
        <v>603</v>
      </c>
      <c r="E275" s="1845">
        <v>0</v>
      </c>
      <c r="F275" s="1845">
        <v>2443</v>
      </c>
      <c r="G275" s="1845">
        <v>874</v>
      </c>
      <c r="H275" s="1821">
        <f>G275/F275*100</f>
        <v>35.775685632419155</v>
      </c>
    </row>
    <row r="276" spans="1:8" s="1638" customFormat="1" ht="15" x14ac:dyDescent="0.2">
      <c r="A276" s="1815">
        <v>4357</v>
      </c>
      <c r="B276" s="1816">
        <v>6121</v>
      </c>
      <c r="C276" s="1816">
        <v>38100884</v>
      </c>
      <c r="D276" s="1836" t="s">
        <v>603</v>
      </c>
      <c r="E276" s="1845">
        <v>0</v>
      </c>
      <c r="F276" s="1845">
        <v>97</v>
      </c>
      <c r="G276" s="1845">
        <v>97</v>
      </c>
      <c r="H276" s="1821">
        <f>G276/F276*100</f>
        <v>100</v>
      </c>
    </row>
    <row r="277" spans="1:8" s="1638" customFormat="1" ht="15" x14ac:dyDescent="0.2">
      <c r="A277" s="1815">
        <v>4357</v>
      </c>
      <c r="B277" s="1816">
        <v>6121</v>
      </c>
      <c r="C277" s="1816">
        <v>38500881</v>
      </c>
      <c r="D277" s="1836" t="s">
        <v>603</v>
      </c>
      <c r="E277" s="1845">
        <v>0</v>
      </c>
      <c r="F277" s="1845">
        <v>217</v>
      </c>
      <c r="G277" s="1845">
        <v>88</v>
      </c>
      <c r="H277" s="1821">
        <f>G277/F277*100</f>
        <v>40.552995391705068</v>
      </c>
    </row>
    <row r="278" spans="1:8" s="1638" customFormat="1" ht="15.75" thickBot="1" x14ac:dyDescent="0.25">
      <c r="A278" s="1896">
        <v>4357</v>
      </c>
      <c r="B278" s="1903">
        <v>6121</v>
      </c>
      <c r="C278" s="1972">
        <v>38587505</v>
      </c>
      <c r="D278" s="1836" t="s">
        <v>603</v>
      </c>
      <c r="E278" s="1845">
        <v>0</v>
      </c>
      <c r="F278" s="1845">
        <v>17303</v>
      </c>
      <c r="G278" s="1845">
        <v>4642</v>
      </c>
      <c r="H278" s="1821">
        <f>G278/F278*100</f>
        <v>26.827717736808648</v>
      </c>
    </row>
    <row r="279" spans="1:8" s="1638" customFormat="1" ht="16.5" thickTop="1" thickBot="1" x14ac:dyDescent="0.3">
      <c r="A279" s="2751" t="s">
        <v>763</v>
      </c>
      <c r="B279" s="2752"/>
      <c r="C279" s="2752"/>
      <c r="D279" s="2752"/>
      <c r="E279" s="1818">
        <f>SUM(E274:E278)</f>
        <v>6260</v>
      </c>
      <c r="F279" s="1818">
        <f>SUM(F274:F278)</f>
        <v>20060</v>
      </c>
      <c r="G279" s="1818">
        <f>SUM(G274:G278)</f>
        <v>5701</v>
      </c>
      <c r="H279" s="1822">
        <f>G279/F279*100</f>
        <v>28.419740777666995</v>
      </c>
    </row>
    <row r="280" spans="1:8" s="1638" customFormat="1" ht="15.75" thickTop="1" x14ac:dyDescent="0.25">
      <c r="A280" s="1823"/>
      <c r="B280" s="1823"/>
      <c r="C280" s="1823"/>
      <c r="D280" s="1823"/>
      <c r="E280" s="1824"/>
      <c r="F280" s="1824"/>
      <c r="G280" s="1824"/>
      <c r="H280" s="1849"/>
    </row>
    <row r="281" spans="1:8" s="1638" customFormat="1" ht="15" x14ac:dyDescent="0.25">
      <c r="A281" s="1823"/>
      <c r="B281" s="1823"/>
      <c r="C281" s="1823"/>
      <c r="D281" s="1823"/>
      <c r="E281" s="1824"/>
      <c r="F281" s="1824"/>
      <c r="G281" s="1824"/>
      <c r="H281" s="1849"/>
    </row>
    <row r="282" spans="1:8" s="1638" customFormat="1" ht="15" hidden="1" x14ac:dyDescent="0.25">
      <c r="A282" s="1823"/>
      <c r="B282" s="1823"/>
      <c r="C282" s="1823"/>
      <c r="D282" s="1823"/>
      <c r="E282" s="1824"/>
      <c r="F282" s="1824"/>
      <c r="G282" s="1824"/>
      <c r="H282" s="1849"/>
    </row>
    <row r="283" spans="1:8" s="1638" customFormat="1" ht="15" hidden="1" x14ac:dyDescent="0.25">
      <c r="A283" s="1823"/>
      <c r="B283" s="1823"/>
      <c r="C283" s="1823"/>
      <c r="D283" s="1823"/>
      <c r="E283" s="1824"/>
      <c r="F283" s="1824"/>
      <c r="G283" s="1824"/>
      <c r="H283" s="1849"/>
    </row>
    <row r="284" spans="1:8" s="1638" customFormat="1" ht="15" hidden="1" x14ac:dyDescent="0.25">
      <c r="A284" s="1823"/>
      <c r="B284" s="1823"/>
      <c r="C284" s="1823"/>
      <c r="D284" s="1823"/>
      <c r="E284" s="1824"/>
      <c r="F284" s="1824"/>
      <c r="G284" s="1824"/>
      <c r="H284" s="1849"/>
    </row>
    <row r="285" spans="1:8" s="1638" customFormat="1" ht="15" hidden="1" x14ac:dyDescent="0.25">
      <c r="A285" s="1823"/>
      <c r="B285" s="1823"/>
      <c r="C285" s="1823"/>
      <c r="D285" s="1823"/>
      <c r="E285" s="1824"/>
      <c r="F285" s="1824"/>
      <c r="G285" s="1824"/>
      <c r="H285" s="1849"/>
    </row>
    <row r="286" spans="1:8" s="1638" customFormat="1" ht="15" hidden="1" x14ac:dyDescent="0.25">
      <c r="A286" s="1823"/>
      <c r="B286" s="1823"/>
      <c r="C286" s="1823"/>
      <c r="D286" s="1823"/>
      <c r="E286" s="1824"/>
      <c r="F286" s="1824"/>
      <c r="G286" s="1824"/>
      <c r="H286" s="1849"/>
    </row>
    <row r="287" spans="1:8" ht="15" hidden="1" customHeight="1" x14ac:dyDescent="0.25">
      <c r="A287" s="1808" t="s">
        <v>499</v>
      </c>
    </row>
    <row r="288" spans="1:8" ht="15" hidden="1" x14ac:dyDescent="0.25">
      <c r="A288" s="1808" t="s">
        <v>500</v>
      </c>
      <c r="H288" s="1892" t="s">
        <v>161</v>
      </c>
    </row>
    <row r="289" spans="1:8" s="1638" customFormat="1" ht="25.5" hidden="1" thickTop="1" thickBot="1" x14ac:dyDescent="0.25">
      <c r="A289" s="1809" t="s">
        <v>162</v>
      </c>
      <c r="B289" s="1810" t="s">
        <v>761</v>
      </c>
      <c r="C289" s="1810" t="s">
        <v>377</v>
      </c>
      <c r="D289" s="1811" t="s">
        <v>164</v>
      </c>
      <c r="E289" s="1833" t="s">
        <v>632</v>
      </c>
      <c r="F289" s="1833" t="s">
        <v>633</v>
      </c>
      <c r="G289" s="1834" t="s">
        <v>882</v>
      </c>
      <c r="H289" s="1835" t="s">
        <v>883</v>
      </c>
    </row>
    <row r="290" spans="1:8" s="1638" customFormat="1" ht="13.5" hidden="1" thickTop="1" thickBot="1" x14ac:dyDescent="0.25">
      <c r="A290" s="1643">
        <v>1</v>
      </c>
      <c r="B290" s="1642">
        <v>2</v>
      </c>
      <c r="C290" s="1642">
        <v>3</v>
      </c>
      <c r="D290" s="1642">
        <v>4</v>
      </c>
      <c r="E290" s="1641">
        <v>5</v>
      </c>
      <c r="F290" s="1641">
        <v>6</v>
      </c>
      <c r="G290" s="1877">
        <v>7</v>
      </c>
      <c r="H290" s="1901" t="s">
        <v>61</v>
      </c>
    </row>
    <row r="291" spans="1:8" s="1638" customFormat="1" ht="15" hidden="1" x14ac:dyDescent="0.2">
      <c r="A291" s="1815">
        <v>4357</v>
      </c>
      <c r="B291" s="1816">
        <v>5169</v>
      </c>
      <c r="C291" s="1971">
        <v>53100880</v>
      </c>
      <c r="D291" s="1836" t="s">
        <v>852</v>
      </c>
      <c r="E291" s="1845"/>
      <c r="F291" s="1845"/>
      <c r="G291" s="1845"/>
      <c r="H291" s="1821" t="e">
        <f>G291/F291*100</f>
        <v>#DIV/0!</v>
      </c>
    </row>
    <row r="292" spans="1:8" s="1638" customFormat="1" ht="15" hidden="1" x14ac:dyDescent="0.2">
      <c r="A292" s="1815">
        <v>4357</v>
      </c>
      <c r="B292" s="1816">
        <v>5169</v>
      </c>
      <c r="C292" s="1971">
        <v>53100882</v>
      </c>
      <c r="D292" s="1836" t="s">
        <v>852</v>
      </c>
      <c r="E292" s="1845"/>
      <c r="F292" s="1845"/>
      <c r="G292" s="1845"/>
      <c r="H292" s="1821" t="e">
        <f>G292/F292*100</f>
        <v>#DIV/0!</v>
      </c>
    </row>
    <row r="293" spans="1:8" s="1638" customFormat="1" ht="15" hidden="1" x14ac:dyDescent="0.2">
      <c r="A293" s="1815">
        <v>4357</v>
      </c>
      <c r="B293" s="1816">
        <v>5169</v>
      </c>
      <c r="C293" s="1971">
        <v>53100884</v>
      </c>
      <c r="D293" s="1836" t="s">
        <v>852</v>
      </c>
      <c r="E293" s="1845"/>
      <c r="F293" s="1845"/>
      <c r="G293" s="1845"/>
      <c r="H293" s="1821">
        <v>0</v>
      </c>
    </row>
    <row r="294" spans="1:8" s="1638" customFormat="1" ht="15" hidden="1" x14ac:dyDescent="0.2">
      <c r="A294" s="1815">
        <v>4357</v>
      </c>
      <c r="B294" s="1816">
        <v>5169</v>
      </c>
      <c r="C294" s="1971" t="s">
        <v>1722</v>
      </c>
      <c r="D294" s="1836" t="s">
        <v>852</v>
      </c>
      <c r="E294" s="1845"/>
      <c r="F294" s="1845"/>
      <c r="G294" s="1845"/>
      <c r="H294" s="1821" t="e">
        <f>G294/F294*100</f>
        <v>#DIV/0!</v>
      </c>
    </row>
    <row r="295" spans="1:8" s="1638" customFormat="1" ht="16.5" hidden="1" thickTop="1" thickBot="1" x14ac:dyDescent="0.3">
      <c r="A295" s="2751" t="s">
        <v>763</v>
      </c>
      <c r="B295" s="2752"/>
      <c r="C295" s="2752"/>
      <c r="D295" s="2752"/>
      <c r="E295" s="1818">
        <f>SUM(E291:E294)</f>
        <v>0</v>
      </c>
      <c r="F295" s="1818">
        <f>SUM(F291:F294)</f>
        <v>0</v>
      </c>
      <c r="G295" s="1818">
        <f>SUM(G291:G294)</f>
        <v>0</v>
      </c>
      <c r="H295" s="1822" t="e">
        <f>G295/F295*100</f>
        <v>#DIV/0!</v>
      </c>
    </row>
    <row r="296" spans="1:8" s="1638" customFormat="1" ht="15.75" hidden="1" thickTop="1" x14ac:dyDescent="0.25">
      <c r="A296" s="1823"/>
      <c r="B296" s="1823"/>
      <c r="C296" s="1823"/>
      <c r="D296" s="1823"/>
      <c r="E296" s="1824"/>
      <c r="F296" s="1824"/>
      <c r="G296" s="1824"/>
      <c r="H296" s="1966"/>
    </row>
    <row r="297" spans="1:8" ht="15" hidden="1" x14ac:dyDescent="0.25">
      <c r="A297" s="1808" t="s">
        <v>271</v>
      </c>
    </row>
    <row r="298" spans="1:8" ht="15" hidden="1" x14ac:dyDescent="0.25">
      <c r="A298" s="1808" t="s">
        <v>235</v>
      </c>
      <c r="H298" s="1892" t="s">
        <v>161</v>
      </c>
    </row>
    <row r="299" spans="1:8" s="1638" customFormat="1" ht="25.5" hidden="1" thickTop="1" thickBot="1" x14ac:dyDescent="0.25">
      <c r="A299" s="1809" t="s">
        <v>162</v>
      </c>
      <c r="B299" s="1810" t="s">
        <v>761</v>
      </c>
      <c r="C299" s="1810" t="s">
        <v>377</v>
      </c>
      <c r="D299" s="1811" t="s">
        <v>164</v>
      </c>
      <c r="E299" s="1833" t="s">
        <v>632</v>
      </c>
      <c r="F299" s="1833" t="s">
        <v>633</v>
      </c>
      <c r="G299" s="1834" t="s">
        <v>882</v>
      </c>
      <c r="H299" s="1835" t="s">
        <v>883</v>
      </c>
    </row>
    <row r="300" spans="1:8" s="1638" customFormat="1" ht="13.5" hidden="1" thickTop="1" thickBot="1" x14ac:dyDescent="0.25">
      <c r="A300" s="1643">
        <v>1</v>
      </c>
      <c r="B300" s="1642">
        <v>2</v>
      </c>
      <c r="C300" s="1642">
        <v>3</v>
      </c>
      <c r="D300" s="1642">
        <v>4</v>
      </c>
      <c r="E300" s="1641">
        <v>5</v>
      </c>
      <c r="F300" s="1641">
        <v>6</v>
      </c>
      <c r="G300" s="1877">
        <v>7</v>
      </c>
      <c r="H300" s="1901" t="s">
        <v>61</v>
      </c>
    </row>
    <row r="301" spans="1:8" s="1638" customFormat="1" ht="15" hidden="1" x14ac:dyDescent="0.2">
      <c r="A301" s="1815">
        <v>3122</v>
      </c>
      <c r="B301" s="1816">
        <v>5137</v>
      </c>
      <c r="C301" s="1816">
        <v>38100874</v>
      </c>
      <c r="D301" s="1836" t="s">
        <v>155</v>
      </c>
      <c r="E301" s="1845">
        <v>0</v>
      </c>
      <c r="F301" s="1845">
        <v>0</v>
      </c>
      <c r="G301" s="1845">
        <v>0</v>
      </c>
      <c r="H301" s="1821" t="e">
        <f t="shared" ref="H301:H306" si="13">G301/F301*100</f>
        <v>#DIV/0!</v>
      </c>
    </row>
    <row r="302" spans="1:8" s="1638" customFormat="1" ht="15" hidden="1" x14ac:dyDescent="0.2">
      <c r="A302" s="1815">
        <v>3122</v>
      </c>
      <c r="B302" s="1816">
        <v>6121</v>
      </c>
      <c r="C302" s="1816">
        <v>38100870</v>
      </c>
      <c r="D302" s="1836" t="s">
        <v>603</v>
      </c>
      <c r="E302" s="1845">
        <v>0</v>
      </c>
      <c r="F302" s="1845">
        <v>0</v>
      </c>
      <c r="G302" s="1845">
        <v>0</v>
      </c>
      <c r="H302" s="1821" t="e">
        <f t="shared" si="13"/>
        <v>#DIV/0!</v>
      </c>
    </row>
    <row r="303" spans="1:8" s="1638" customFormat="1" ht="15" hidden="1" x14ac:dyDescent="0.2">
      <c r="A303" s="1815">
        <v>3122</v>
      </c>
      <c r="B303" s="1816">
        <v>6121</v>
      </c>
      <c r="C303" s="1816">
        <v>38100872</v>
      </c>
      <c r="D303" s="1836" t="s">
        <v>603</v>
      </c>
      <c r="E303" s="1845">
        <v>0</v>
      </c>
      <c r="F303" s="1845">
        <v>0</v>
      </c>
      <c r="G303" s="1845">
        <v>0</v>
      </c>
      <c r="H303" s="1821" t="e">
        <f t="shared" si="13"/>
        <v>#DIV/0!</v>
      </c>
    </row>
    <row r="304" spans="1:8" s="1638" customFormat="1" ht="15" hidden="1" x14ac:dyDescent="0.2">
      <c r="A304" s="1815">
        <v>3122</v>
      </c>
      <c r="B304" s="1816">
        <v>6121</v>
      </c>
      <c r="C304" s="1816">
        <v>38100874</v>
      </c>
      <c r="D304" s="1836" t="s">
        <v>603</v>
      </c>
      <c r="E304" s="1845">
        <v>0</v>
      </c>
      <c r="F304" s="1845">
        <v>0</v>
      </c>
      <c r="G304" s="1845">
        <v>0</v>
      </c>
      <c r="H304" s="1821" t="e">
        <f t="shared" si="13"/>
        <v>#DIV/0!</v>
      </c>
    </row>
    <row r="305" spans="1:8" s="1638" customFormat="1" ht="15" hidden="1" x14ac:dyDescent="0.2">
      <c r="A305" s="1815">
        <v>3122</v>
      </c>
      <c r="B305" s="1816">
        <v>6121</v>
      </c>
      <c r="C305" s="1816">
        <v>38500871</v>
      </c>
      <c r="D305" s="1836" t="s">
        <v>603</v>
      </c>
      <c r="E305" s="1845">
        <v>0</v>
      </c>
      <c r="F305" s="1845">
        <v>0</v>
      </c>
      <c r="G305" s="1845">
        <v>0</v>
      </c>
      <c r="H305" s="1821" t="e">
        <f t="shared" si="13"/>
        <v>#DIV/0!</v>
      </c>
    </row>
    <row r="306" spans="1:8" s="1638" customFormat="1" ht="16.5" hidden="1" thickTop="1" thickBot="1" x14ac:dyDescent="0.3">
      <c r="A306" s="2751" t="s">
        <v>763</v>
      </c>
      <c r="B306" s="2752"/>
      <c r="C306" s="2752"/>
      <c r="D306" s="2752"/>
      <c r="E306" s="1818">
        <f>SUM(E305:E305)</f>
        <v>0</v>
      </c>
      <c r="F306" s="1818">
        <f>SUM(F301:F305)</f>
        <v>0</v>
      </c>
      <c r="G306" s="1818">
        <f>SUM(G301:G305)</f>
        <v>0</v>
      </c>
      <c r="H306" s="1822" t="e">
        <f t="shared" si="13"/>
        <v>#DIV/0!</v>
      </c>
    </row>
    <row r="307" spans="1:8" s="1638" customFormat="1" ht="15" x14ac:dyDescent="0.25">
      <c r="A307" s="1823"/>
      <c r="B307" s="1823"/>
      <c r="C307" s="1823"/>
      <c r="D307" s="1823"/>
      <c r="E307" s="1824"/>
      <c r="F307" s="1824"/>
      <c r="G307" s="1824"/>
      <c r="H307" s="1849"/>
    </row>
    <row r="308" spans="1:8" ht="15" x14ac:dyDescent="0.25">
      <c r="A308" s="1808" t="s">
        <v>1538</v>
      </c>
    </row>
    <row r="309" spans="1:8" ht="15.75" thickBot="1" x14ac:dyDescent="0.3">
      <c r="A309" s="1808" t="s">
        <v>1539</v>
      </c>
      <c r="H309" s="1892" t="s">
        <v>161</v>
      </c>
    </row>
    <row r="310" spans="1:8" s="1638" customFormat="1" ht="25.5" thickTop="1" thickBot="1" x14ac:dyDescent="0.25">
      <c r="A310" s="1809" t="s">
        <v>162</v>
      </c>
      <c r="B310" s="1810" t="s">
        <v>761</v>
      </c>
      <c r="C310" s="1810" t="s">
        <v>377</v>
      </c>
      <c r="D310" s="1811" t="s">
        <v>164</v>
      </c>
      <c r="E310" s="1833" t="s">
        <v>632</v>
      </c>
      <c r="F310" s="1833" t="s">
        <v>633</v>
      </c>
      <c r="G310" s="1834" t="s">
        <v>882</v>
      </c>
      <c r="H310" s="1835" t="s">
        <v>883</v>
      </c>
    </row>
    <row r="311" spans="1:8" s="1638" customFormat="1" ht="13.5" thickTop="1" thickBot="1" x14ac:dyDescent="0.25">
      <c r="A311" s="1643">
        <v>1</v>
      </c>
      <c r="B311" s="1642">
        <v>2</v>
      </c>
      <c r="C311" s="1642">
        <v>3</v>
      </c>
      <c r="D311" s="1642">
        <v>4</v>
      </c>
      <c r="E311" s="1641">
        <v>5</v>
      </c>
      <c r="F311" s="1641">
        <v>6</v>
      </c>
      <c r="G311" s="1877">
        <v>7</v>
      </c>
      <c r="H311" s="1901" t="s">
        <v>61</v>
      </c>
    </row>
    <row r="312" spans="1:8" s="1638" customFormat="1" ht="16.5" customHeight="1" thickTop="1" x14ac:dyDescent="0.2">
      <c r="A312" s="1815">
        <v>6172</v>
      </c>
      <c r="B312" s="1903">
        <v>5139</v>
      </c>
      <c r="C312" s="1972">
        <v>36100874</v>
      </c>
      <c r="D312" s="1836" t="s">
        <v>169</v>
      </c>
      <c r="E312" s="1845">
        <v>0</v>
      </c>
      <c r="F312" s="1845">
        <v>1</v>
      </c>
      <c r="G312" s="1845">
        <v>1</v>
      </c>
      <c r="H312" s="1821">
        <f t="shared" ref="H312:H324" si="14">G312/F312*100</f>
        <v>100</v>
      </c>
    </row>
    <row r="313" spans="1:8" s="1638" customFormat="1" ht="13.5" customHeight="1" x14ac:dyDescent="0.2">
      <c r="A313" s="1815">
        <v>6172</v>
      </c>
      <c r="B313" s="1903">
        <v>5167</v>
      </c>
      <c r="C313" s="1972">
        <v>36100870</v>
      </c>
      <c r="D313" s="1836" t="s">
        <v>895</v>
      </c>
      <c r="E313" s="1845">
        <v>0</v>
      </c>
      <c r="F313" s="1845">
        <v>22</v>
      </c>
      <c r="G313" s="1845">
        <v>22</v>
      </c>
      <c r="H313" s="1821">
        <f t="shared" si="14"/>
        <v>100</v>
      </c>
    </row>
    <row r="314" spans="1:8" s="1638" customFormat="1" ht="14.25" customHeight="1" x14ac:dyDescent="0.2">
      <c r="A314" s="1815">
        <v>6172</v>
      </c>
      <c r="B314" s="1903">
        <v>5167</v>
      </c>
      <c r="C314" s="1972">
        <v>36500871</v>
      </c>
      <c r="D314" s="1836" t="s">
        <v>895</v>
      </c>
      <c r="E314" s="1845">
        <v>0</v>
      </c>
      <c r="F314" s="1845">
        <v>124</v>
      </c>
      <c r="G314" s="1845">
        <v>124</v>
      </c>
      <c r="H314" s="1821">
        <f t="shared" si="14"/>
        <v>100</v>
      </c>
    </row>
    <row r="315" spans="1:8" s="1638" customFormat="1" ht="45" x14ac:dyDescent="0.2">
      <c r="A315" s="1896">
        <v>6172</v>
      </c>
      <c r="B315" s="1903">
        <v>5168</v>
      </c>
      <c r="C315" s="1972">
        <v>36100870</v>
      </c>
      <c r="D315" s="1836" t="s">
        <v>1932</v>
      </c>
      <c r="E315" s="1845">
        <v>0</v>
      </c>
      <c r="F315" s="1845">
        <v>244</v>
      </c>
      <c r="G315" s="1845">
        <v>244</v>
      </c>
      <c r="H315" s="1821">
        <f t="shared" si="14"/>
        <v>100</v>
      </c>
    </row>
    <row r="316" spans="1:8" s="1638" customFormat="1" ht="45" x14ac:dyDescent="0.2">
      <c r="A316" s="1896">
        <v>6172</v>
      </c>
      <c r="B316" s="1903">
        <v>5168</v>
      </c>
      <c r="C316" s="1972">
        <v>36500871</v>
      </c>
      <c r="D316" s="1836" t="s">
        <v>1932</v>
      </c>
      <c r="E316" s="1845">
        <v>0</v>
      </c>
      <c r="F316" s="1845">
        <v>1385</v>
      </c>
      <c r="G316" s="1845">
        <v>1385</v>
      </c>
      <c r="H316" s="1821">
        <f t="shared" si="14"/>
        <v>100</v>
      </c>
    </row>
    <row r="317" spans="1:8" s="1638" customFormat="1" ht="15" x14ac:dyDescent="0.2">
      <c r="A317" s="1815">
        <v>6172</v>
      </c>
      <c r="B317" s="1903">
        <v>5169</v>
      </c>
      <c r="C317" s="1972">
        <v>36100870</v>
      </c>
      <c r="D317" s="1836" t="s">
        <v>852</v>
      </c>
      <c r="E317" s="1845">
        <v>0</v>
      </c>
      <c r="F317" s="1845">
        <v>29</v>
      </c>
      <c r="G317" s="1845">
        <v>29</v>
      </c>
      <c r="H317" s="1821">
        <f t="shared" si="14"/>
        <v>100</v>
      </c>
    </row>
    <row r="318" spans="1:8" s="1638" customFormat="1" ht="15" x14ac:dyDescent="0.2">
      <c r="A318" s="1815">
        <v>6172</v>
      </c>
      <c r="B318" s="1903">
        <v>5169</v>
      </c>
      <c r="C318" s="1972">
        <v>36100874</v>
      </c>
      <c r="D318" s="1836" t="s">
        <v>852</v>
      </c>
      <c r="E318" s="1845">
        <v>0</v>
      </c>
      <c r="F318" s="1845">
        <v>0</v>
      </c>
      <c r="G318" s="1845">
        <v>0</v>
      </c>
      <c r="H318" s="1821">
        <v>0</v>
      </c>
    </row>
    <row r="319" spans="1:8" s="1638" customFormat="1" ht="15" x14ac:dyDescent="0.2">
      <c r="A319" s="1815">
        <v>6172</v>
      </c>
      <c r="B319" s="1903">
        <v>5169</v>
      </c>
      <c r="C319" s="1972">
        <v>36500871</v>
      </c>
      <c r="D319" s="1836" t="s">
        <v>852</v>
      </c>
      <c r="E319" s="1845">
        <v>0</v>
      </c>
      <c r="F319" s="1845">
        <v>167</v>
      </c>
      <c r="G319" s="1845">
        <v>167</v>
      </c>
      <c r="H319" s="1821">
        <f t="shared" si="14"/>
        <v>100</v>
      </c>
    </row>
    <row r="320" spans="1:8" s="1638" customFormat="1" ht="15" x14ac:dyDescent="0.2">
      <c r="A320" s="1815">
        <v>6172</v>
      </c>
      <c r="B320" s="1903">
        <v>5172</v>
      </c>
      <c r="C320" s="1972">
        <v>36100870</v>
      </c>
      <c r="D320" s="1836" t="s">
        <v>897</v>
      </c>
      <c r="E320" s="1845">
        <v>0</v>
      </c>
      <c r="F320" s="1845">
        <v>92</v>
      </c>
      <c r="G320" s="1845">
        <v>92</v>
      </c>
      <c r="H320" s="1821">
        <f t="shared" si="14"/>
        <v>100</v>
      </c>
    </row>
    <row r="321" spans="1:8" s="1638" customFormat="1" ht="15" x14ac:dyDescent="0.2">
      <c r="A321" s="1815">
        <v>6172</v>
      </c>
      <c r="B321" s="1903">
        <v>5172</v>
      </c>
      <c r="C321" s="1972">
        <v>36500871</v>
      </c>
      <c r="D321" s="1836" t="s">
        <v>897</v>
      </c>
      <c r="E321" s="1845">
        <v>0</v>
      </c>
      <c r="F321" s="1845">
        <v>518</v>
      </c>
      <c r="G321" s="1845">
        <v>518</v>
      </c>
      <c r="H321" s="1821">
        <f t="shared" si="14"/>
        <v>100</v>
      </c>
    </row>
    <row r="322" spans="1:8" s="1638" customFormat="1" ht="15" x14ac:dyDescent="0.2">
      <c r="A322" s="1815">
        <v>6172</v>
      </c>
      <c r="B322" s="1903">
        <v>6111</v>
      </c>
      <c r="C322" s="1972">
        <v>36100870</v>
      </c>
      <c r="D322" s="1836" t="s">
        <v>897</v>
      </c>
      <c r="E322" s="1845">
        <v>0</v>
      </c>
      <c r="F322" s="1845">
        <v>207</v>
      </c>
      <c r="G322" s="1845">
        <v>207</v>
      </c>
      <c r="H322" s="1821">
        <f t="shared" si="14"/>
        <v>100</v>
      </c>
    </row>
    <row r="323" spans="1:8" s="1638" customFormat="1" ht="15.75" thickBot="1" x14ac:dyDescent="0.25">
      <c r="A323" s="1815">
        <v>6172</v>
      </c>
      <c r="B323" s="1903">
        <v>6111</v>
      </c>
      <c r="C323" s="1972">
        <v>36500871</v>
      </c>
      <c r="D323" s="1836" t="s">
        <v>897</v>
      </c>
      <c r="E323" s="1845">
        <v>0</v>
      </c>
      <c r="F323" s="1845">
        <v>1172</v>
      </c>
      <c r="G323" s="1845">
        <v>1172</v>
      </c>
      <c r="H323" s="1821">
        <f t="shared" si="14"/>
        <v>100</v>
      </c>
    </row>
    <row r="324" spans="1:8" s="1638" customFormat="1" ht="16.5" thickTop="1" thickBot="1" x14ac:dyDescent="0.3">
      <c r="A324" s="2751" t="s">
        <v>763</v>
      </c>
      <c r="B324" s="2752"/>
      <c r="C324" s="2752"/>
      <c r="D324" s="2752"/>
      <c r="E324" s="1818">
        <f>SUM(E312:E323)</f>
        <v>0</v>
      </c>
      <c r="F324" s="1818">
        <f>SUM(F312:F323)</f>
        <v>3961</v>
      </c>
      <c r="G324" s="1818">
        <f>SUM(G312:G323)</f>
        <v>3961</v>
      </c>
      <c r="H324" s="1822">
        <f t="shared" si="14"/>
        <v>100</v>
      </c>
    </row>
    <row r="325" spans="1:8" s="1638" customFormat="1" ht="15.75" thickTop="1" x14ac:dyDescent="0.25">
      <c r="A325" s="1823"/>
      <c r="B325" s="1823"/>
      <c r="C325" s="1823"/>
      <c r="D325" s="1823"/>
      <c r="E325" s="1824"/>
      <c r="F325" s="1824"/>
      <c r="G325" s="1824"/>
      <c r="H325" s="1849"/>
    </row>
    <row r="326" spans="1:8" ht="15" x14ac:dyDescent="0.25">
      <c r="A326" s="1808" t="s">
        <v>1543</v>
      </c>
    </row>
    <row r="327" spans="1:8" ht="15.75" thickBot="1" x14ac:dyDescent="0.3">
      <c r="A327" s="1808" t="s">
        <v>502</v>
      </c>
      <c r="H327" s="1892" t="s">
        <v>161</v>
      </c>
    </row>
    <row r="328" spans="1:8" s="1638" customFormat="1" ht="25.5" thickTop="1" thickBot="1" x14ac:dyDescent="0.25">
      <c r="A328" s="1809" t="s">
        <v>162</v>
      </c>
      <c r="B328" s="1810" t="s">
        <v>761</v>
      </c>
      <c r="C328" s="1810" t="s">
        <v>377</v>
      </c>
      <c r="D328" s="1811" t="s">
        <v>164</v>
      </c>
      <c r="E328" s="1833" t="s">
        <v>632</v>
      </c>
      <c r="F328" s="1833" t="s">
        <v>633</v>
      </c>
      <c r="G328" s="1834" t="s">
        <v>882</v>
      </c>
      <c r="H328" s="1835" t="s">
        <v>883</v>
      </c>
    </row>
    <row r="329" spans="1:8" s="1638" customFormat="1" ht="13.5" thickTop="1" thickBot="1" x14ac:dyDescent="0.25">
      <c r="A329" s="1643">
        <v>1</v>
      </c>
      <c r="B329" s="1642">
        <v>2</v>
      </c>
      <c r="C329" s="1642">
        <v>3</v>
      </c>
      <c r="D329" s="1642">
        <v>4</v>
      </c>
      <c r="E329" s="1641">
        <v>5</v>
      </c>
      <c r="F329" s="1641">
        <v>6</v>
      </c>
      <c r="G329" s="1877">
        <v>7</v>
      </c>
      <c r="H329" s="1901" t="s">
        <v>61</v>
      </c>
    </row>
    <row r="330" spans="1:8" s="1638" customFormat="1" ht="15.75" thickTop="1" x14ac:dyDescent="0.2">
      <c r="A330" s="1815">
        <v>4357</v>
      </c>
      <c r="B330" s="1816">
        <v>5137</v>
      </c>
      <c r="C330" s="1972">
        <v>36100874</v>
      </c>
      <c r="D330" s="1836" t="s">
        <v>155</v>
      </c>
      <c r="E330" s="1845">
        <v>0</v>
      </c>
      <c r="F330" s="1845">
        <v>134</v>
      </c>
      <c r="G330" s="1845">
        <v>111</v>
      </c>
      <c r="H330" s="1821">
        <f t="shared" ref="H330:H341" si="15">G330/F330*100</f>
        <v>82.835820895522389</v>
      </c>
    </row>
    <row r="331" spans="1:8" s="1638" customFormat="1" ht="15" x14ac:dyDescent="0.2">
      <c r="A331" s="1815">
        <v>4357</v>
      </c>
      <c r="B331" s="1816">
        <v>5137</v>
      </c>
      <c r="C331" s="1972">
        <v>36113003</v>
      </c>
      <c r="D331" s="1836" t="s">
        <v>155</v>
      </c>
      <c r="E331" s="1845">
        <v>0</v>
      </c>
      <c r="F331" s="1845">
        <v>368</v>
      </c>
      <c r="G331" s="1845">
        <v>351</v>
      </c>
      <c r="H331" s="1821">
        <f t="shared" si="15"/>
        <v>95.380434782608688</v>
      </c>
    </row>
    <row r="332" spans="1:8" s="1638" customFormat="1" ht="15" x14ac:dyDescent="0.2">
      <c r="A332" s="1815">
        <v>4357</v>
      </c>
      <c r="B332" s="1816">
        <v>5137</v>
      </c>
      <c r="C332" s="1972">
        <v>36513003</v>
      </c>
      <c r="D332" s="1836" t="s">
        <v>155</v>
      </c>
      <c r="E332" s="1845">
        <v>0</v>
      </c>
      <c r="F332" s="1845">
        <v>2085</v>
      </c>
      <c r="G332" s="1845">
        <v>1989</v>
      </c>
      <c r="H332" s="1821">
        <f t="shared" si="15"/>
        <v>95.39568345323741</v>
      </c>
    </row>
    <row r="333" spans="1:8" s="1638" customFormat="1" ht="15" x14ac:dyDescent="0.2">
      <c r="A333" s="1815">
        <v>4357</v>
      </c>
      <c r="B333" s="1816">
        <v>5153</v>
      </c>
      <c r="C333" s="1972">
        <v>36100874</v>
      </c>
      <c r="D333" s="1836" t="s">
        <v>1226</v>
      </c>
      <c r="E333" s="1845">
        <v>0</v>
      </c>
      <c r="F333" s="1845">
        <v>90</v>
      </c>
      <c r="G333" s="1845">
        <v>64</v>
      </c>
      <c r="H333" s="1821">
        <f t="shared" si="15"/>
        <v>71.111111111111114</v>
      </c>
    </row>
    <row r="334" spans="1:8" s="1638" customFormat="1" ht="15" x14ac:dyDescent="0.2">
      <c r="A334" s="1815">
        <v>4357</v>
      </c>
      <c r="B334" s="1816">
        <v>5154</v>
      </c>
      <c r="C334" s="1972">
        <v>36100874</v>
      </c>
      <c r="D334" s="1836" t="s">
        <v>297</v>
      </c>
      <c r="E334" s="1845">
        <v>0</v>
      </c>
      <c r="F334" s="1845">
        <v>50</v>
      </c>
      <c r="G334" s="1845">
        <v>12</v>
      </c>
      <c r="H334" s="1821">
        <f t="shared" si="15"/>
        <v>24</v>
      </c>
    </row>
    <row r="335" spans="1:8" s="1638" customFormat="1" ht="15" x14ac:dyDescent="0.2">
      <c r="A335" s="1815">
        <v>4357</v>
      </c>
      <c r="B335" s="1816">
        <v>6121</v>
      </c>
      <c r="C335" s="1972">
        <v>36100874</v>
      </c>
      <c r="D335" s="1836" t="s">
        <v>603</v>
      </c>
      <c r="E335" s="1845">
        <v>0</v>
      </c>
      <c r="F335" s="1845">
        <v>5550</v>
      </c>
      <c r="G335" s="1845">
        <v>5292</v>
      </c>
      <c r="H335" s="1821">
        <f t="shared" si="15"/>
        <v>95.351351351351354</v>
      </c>
    </row>
    <row r="336" spans="1:8" s="1638" customFormat="1" ht="15" x14ac:dyDescent="0.2">
      <c r="A336" s="1815">
        <v>4357</v>
      </c>
      <c r="B336" s="1816">
        <v>6121</v>
      </c>
      <c r="C336" s="1972">
        <v>36100884</v>
      </c>
      <c r="D336" s="1836" t="s">
        <v>603</v>
      </c>
      <c r="E336" s="1845">
        <v>0</v>
      </c>
      <c r="F336" s="1845">
        <v>2119</v>
      </c>
      <c r="G336" s="1845">
        <v>2070</v>
      </c>
      <c r="H336" s="1821">
        <f t="shared" si="15"/>
        <v>97.687588485134498</v>
      </c>
    </row>
    <row r="337" spans="1:8" s="1638" customFormat="1" ht="15" x14ac:dyDescent="0.2">
      <c r="A337" s="1815">
        <v>4357</v>
      </c>
      <c r="B337" s="1816">
        <v>6121</v>
      </c>
      <c r="C337" s="1972">
        <v>36113899</v>
      </c>
      <c r="D337" s="1836" t="s">
        <v>603</v>
      </c>
      <c r="E337" s="1845">
        <v>0</v>
      </c>
      <c r="F337" s="1845">
        <v>7193</v>
      </c>
      <c r="G337" s="1845">
        <v>7193</v>
      </c>
      <c r="H337" s="1821">
        <f t="shared" si="15"/>
        <v>100</v>
      </c>
    </row>
    <row r="338" spans="1:8" s="1638" customFormat="1" ht="15.75" customHeight="1" x14ac:dyDescent="0.2">
      <c r="A338" s="1815">
        <v>4357</v>
      </c>
      <c r="B338" s="1816">
        <v>6121</v>
      </c>
      <c r="C338" s="1972">
        <v>36513899</v>
      </c>
      <c r="D338" s="1836" t="s">
        <v>603</v>
      </c>
      <c r="E338" s="1845">
        <v>0</v>
      </c>
      <c r="F338" s="1845">
        <v>40759</v>
      </c>
      <c r="G338" s="1845">
        <v>40759</v>
      </c>
      <c r="H338" s="1821">
        <f t="shared" si="15"/>
        <v>100</v>
      </c>
    </row>
    <row r="339" spans="1:8" s="1638" customFormat="1" ht="15.75" customHeight="1" x14ac:dyDescent="0.2">
      <c r="A339" s="1815">
        <v>4357</v>
      </c>
      <c r="B339" s="1816">
        <v>6122</v>
      </c>
      <c r="C339" s="1972">
        <v>36113899</v>
      </c>
      <c r="D339" s="1836" t="s">
        <v>604</v>
      </c>
      <c r="E339" s="1845">
        <v>0</v>
      </c>
      <c r="F339" s="1845">
        <v>47</v>
      </c>
      <c r="G339" s="1845">
        <v>47</v>
      </c>
      <c r="H339" s="1821">
        <f t="shared" si="15"/>
        <v>100</v>
      </c>
    </row>
    <row r="340" spans="1:8" s="1638" customFormat="1" ht="15.75" customHeight="1" thickBot="1" x14ac:dyDescent="0.25">
      <c r="A340" s="1815">
        <v>4357</v>
      </c>
      <c r="B340" s="1816">
        <v>6122</v>
      </c>
      <c r="C340" s="1972">
        <v>36513899</v>
      </c>
      <c r="D340" s="1836" t="s">
        <v>604</v>
      </c>
      <c r="E340" s="1845">
        <v>0</v>
      </c>
      <c r="F340" s="1845">
        <v>267</v>
      </c>
      <c r="G340" s="1845">
        <v>267</v>
      </c>
      <c r="H340" s="1821">
        <f t="shared" si="15"/>
        <v>100</v>
      </c>
    </row>
    <row r="341" spans="1:8" s="1638" customFormat="1" ht="16.5" thickTop="1" thickBot="1" x14ac:dyDescent="0.3">
      <c r="A341" s="2751" t="s">
        <v>763</v>
      </c>
      <c r="B341" s="2752"/>
      <c r="C341" s="2752"/>
      <c r="D341" s="2752"/>
      <c r="E341" s="1818">
        <f>SUM(E330:E340)</f>
        <v>0</v>
      </c>
      <c r="F341" s="1818">
        <f t="shared" ref="F341:G341" si="16">SUM(F330:F340)</f>
        <v>58662</v>
      </c>
      <c r="G341" s="1818">
        <f t="shared" si="16"/>
        <v>58155</v>
      </c>
      <c r="H341" s="1822">
        <f t="shared" si="15"/>
        <v>99.135726705533401</v>
      </c>
    </row>
    <row r="342" spans="1:8" s="1638" customFormat="1" ht="14.25" customHeight="1" thickTop="1" x14ac:dyDescent="0.25">
      <c r="A342" s="1806"/>
      <c r="B342" s="1802"/>
      <c r="C342" s="1802"/>
      <c r="D342" s="1803"/>
      <c r="E342" s="1829"/>
      <c r="F342" s="1829"/>
      <c r="G342" s="1829"/>
      <c r="H342" s="1803"/>
    </row>
    <row r="343" spans="1:8" ht="15" hidden="1" x14ac:dyDescent="0.25">
      <c r="A343" s="1808" t="s">
        <v>1723</v>
      </c>
    </row>
    <row r="344" spans="1:8" ht="15" hidden="1" x14ac:dyDescent="0.25">
      <c r="A344" s="1808" t="s">
        <v>1724</v>
      </c>
      <c r="H344" s="1892" t="s">
        <v>161</v>
      </c>
    </row>
    <row r="345" spans="1:8" s="1638" customFormat="1" ht="25.5" hidden="1" thickTop="1" thickBot="1" x14ac:dyDescent="0.25">
      <c r="A345" s="1809" t="s">
        <v>162</v>
      </c>
      <c r="B345" s="1810" t="s">
        <v>761</v>
      </c>
      <c r="C345" s="1810" t="s">
        <v>377</v>
      </c>
      <c r="D345" s="1811" t="s">
        <v>164</v>
      </c>
      <c r="E345" s="1833" t="s">
        <v>632</v>
      </c>
      <c r="F345" s="1833" t="s">
        <v>633</v>
      </c>
      <c r="G345" s="1834" t="s">
        <v>882</v>
      </c>
      <c r="H345" s="1835" t="s">
        <v>883</v>
      </c>
    </row>
    <row r="346" spans="1:8" s="1638" customFormat="1" ht="13.5" hidden="1" thickTop="1" thickBot="1" x14ac:dyDescent="0.25">
      <c r="A346" s="1643">
        <v>1</v>
      </c>
      <c r="B346" s="1642">
        <v>2</v>
      </c>
      <c r="C346" s="1642">
        <v>3</v>
      </c>
      <c r="D346" s="1642">
        <v>4</v>
      </c>
      <c r="E346" s="1641">
        <v>5</v>
      </c>
      <c r="F346" s="1641">
        <v>6</v>
      </c>
      <c r="G346" s="1877">
        <v>7</v>
      </c>
      <c r="H346" s="1901" t="s">
        <v>61</v>
      </c>
    </row>
    <row r="347" spans="1:8" s="1638" customFormat="1" ht="15.75" hidden="1" customHeight="1" thickTop="1" x14ac:dyDescent="0.2">
      <c r="A347" s="1815">
        <v>2143</v>
      </c>
      <c r="B347" s="1816">
        <v>5169</v>
      </c>
      <c r="C347" s="1816">
        <v>53100870</v>
      </c>
      <c r="D347" s="1836" t="s">
        <v>603</v>
      </c>
      <c r="E347" s="1845">
        <v>0</v>
      </c>
      <c r="F347" s="1845"/>
      <c r="G347" s="1845"/>
      <c r="H347" s="1821" t="e">
        <f>G347/F347*100</f>
        <v>#DIV/0!</v>
      </c>
    </row>
    <row r="348" spans="1:8" s="1638" customFormat="1" ht="15.75" hidden="1" customHeight="1" x14ac:dyDescent="0.2">
      <c r="A348" s="1815">
        <v>2143</v>
      </c>
      <c r="B348" s="1816">
        <v>5169</v>
      </c>
      <c r="C348" s="1816">
        <v>53100874</v>
      </c>
      <c r="D348" s="1836" t="s">
        <v>603</v>
      </c>
      <c r="E348" s="1845">
        <v>0</v>
      </c>
      <c r="F348" s="1845"/>
      <c r="G348" s="1845"/>
      <c r="H348" s="1821" t="e">
        <f>G348/F348*100</f>
        <v>#DIV/0!</v>
      </c>
    </row>
    <row r="349" spans="1:8" s="1638" customFormat="1" ht="15.75" hidden="1" customHeight="1" thickBot="1" x14ac:dyDescent="0.25">
      <c r="A349" s="1815">
        <v>2143</v>
      </c>
      <c r="B349" s="1816">
        <v>5169</v>
      </c>
      <c r="C349" s="1816">
        <v>53190877</v>
      </c>
      <c r="D349" s="1836" t="s">
        <v>603</v>
      </c>
      <c r="E349" s="1845">
        <v>0</v>
      </c>
      <c r="F349" s="1845"/>
      <c r="G349" s="1845"/>
      <c r="H349" s="1821" t="e">
        <f>G349/F349*100</f>
        <v>#DIV/0!</v>
      </c>
    </row>
    <row r="350" spans="1:8" s="1638" customFormat="1" ht="15.75" hidden="1" customHeight="1" thickBot="1" x14ac:dyDescent="0.25">
      <c r="A350" s="1815">
        <v>3122</v>
      </c>
      <c r="B350" s="1816">
        <v>6121</v>
      </c>
      <c r="C350" s="1816">
        <v>83515835</v>
      </c>
      <c r="D350" s="1836" t="s">
        <v>603</v>
      </c>
      <c r="E350" s="1845">
        <v>0</v>
      </c>
      <c r="F350" s="1845"/>
      <c r="G350" s="1845"/>
      <c r="H350" s="1821" t="e">
        <f>G350/F350*100</f>
        <v>#DIV/0!</v>
      </c>
    </row>
    <row r="351" spans="1:8" s="1638" customFormat="1" ht="16.5" hidden="1" thickTop="1" thickBot="1" x14ac:dyDescent="0.3">
      <c r="A351" s="2751" t="s">
        <v>763</v>
      </c>
      <c r="B351" s="2752"/>
      <c r="C351" s="2752"/>
      <c r="D351" s="2752"/>
      <c r="E351" s="1818">
        <f>SUM(E347:E350)</f>
        <v>0</v>
      </c>
      <c r="F351" s="1818">
        <f>SUM(F347:F350)</f>
        <v>0</v>
      </c>
      <c r="G351" s="1818">
        <f>SUM(G347:G350)</f>
        <v>0</v>
      </c>
      <c r="H351" s="1822" t="e">
        <f>G351/F351*100</f>
        <v>#DIV/0!</v>
      </c>
    </row>
    <row r="352" spans="1:8" s="1638" customFormat="1" ht="14.25" customHeight="1" x14ac:dyDescent="0.25">
      <c r="A352" s="1806"/>
      <c r="B352" s="1802"/>
      <c r="C352" s="1802"/>
      <c r="D352" s="1803"/>
      <c r="E352" s="1829"/>
      <c r="F352" s="1829"/>
      <c r="G352" s="1829"/>
      <c r="H352" s="1803"/>
    </row>
    <row r="353" spans="1:8" ht="15" x14ac:dyDescent="0.25">
      <c r="A353" s="1808" t="s">
        <v>1511</v>
      </c>
    </row>
    <row r="354" spans="1:8" ht="15.75" thickBot="1" x14ac:dyDescent="0.3">
      <c r="A354" s="1808" t="s">
        <v>1512</v>
      </c>
      <c r="H354" s="1892" t="s">
        <v>161</v>
      </c>
    </row>
    <row r="355" spans="1:8" s="1638" customFormat="1" ht="25.5" thickTop="1" thickBot="1" x14ac:dyDescent="0.25">
      <c r="A355" s="1809" t="s">
        <v>162</v>
      </c>
      <c r="B355" s="1810" t="s">
        <v>761</v>
      </c>
      <c r="C355" s="1810" t="s">
        <v>377</v>
      </c>
      <c r="D355" s="1811" t="s">
        <v>164</v>
      </c>
      <c r="E355" s="1833" t="s">
        <v>632</v>
      </c>
      <c r="F355" s="1833" t="s">
        <v>633</v>
      </c>
      <c r="G355" s="1834" t="s">
        <v>882</v>
      </c>
      <c r="H355" s="1835" t="s">
        <v>883</v>
      </c>
    </row>
    <row r="356" spans="1:8" s="1638" customFormat="1" ht="13.5" thickTop="1" thickBot="1" x14ac:dyDescent="0.25">
      <c r="A356" s="1643">
        <v>1</v>
      </c>
      <c r="B356" s="1642">
        <v>2</v>
      </c>
      <c r="C356" s="1642">
        <v>3</v>
      </c>
      <c r="D356" s="1642">
        <v>4</v>
      </c>
      <c r="E356" s="1641">
        <v>5</v>
      </c>
      <c r="F356" s="1641">
        <v>6</v>
      </c>
      <c r="G356" s="1877">
        <v>7</v>
      </c>
      <c r="H356" s="1901" t="s">
        <v>61</v>
      </c>
    </row>
    <row r="357" spans="1:8" s="1638" customFormat="1" ht="15.75" customHeight="1" thickTop="1" x14ac:dyDescent="0.2">
      <c r="A357" s="1815">
        <v>3122</v>
      </c>
      <c r="B357" s="1816">
        <v>5139</v>
      </c>
      <c r="C357" s="1816">
        <v>38100880</v>
      </c>
      <c r="D357" s="1836" t="s">
        <v>625</v>
      </c>
      <c r="E357" s="1845">
        <v>0</v>
      </c>
      <c r="F357" s="1845">
        <v>0</v>
      </c>
      <c r="G357" s="1845">
        <v>0</v>
      </c>
      <c r="H357" s="1821">
        <v>0</v>
      </c>
    </row>
    <row r="358" spans="1:8" s="1638" customFormat="1" ht="15.75" customHeight="1" x14ac:dyDescent="0.2">
      <c r="A358" s="1815">
        <v>3122</v>
      </c>
      <c r="B358" s="1816">
        <v>5139</v>
      </c>
      <c r="C358" s="1816">
        <v>38500881</v>
      </c>
      <c r="D358" s="1836" t="s">
        <v>625</v>
      </c>
      <c r="E358" s="1845">
        <v>0</v>
      </c>
      <c r="F358" s="1845">
        <v>2</v>
      </c>
      <c r="G358" s="1845">
        <v>1</v>
      </c>
      <c r="H358" s="1821">
        <f t="shared" ref="H358:H363" si="17">G358/F358*100</f>
        <v>50</v>
      </c>
    </row>
    <row r="359" spans="1:8" s="1638" customFormat="1" ht="15.75" customHeight="1" x14ac:dyDescent="0.2">
      <c r="A359" s="1815">
        <v>3122</v>
      </c>
      <c r="B359" s="1816">
        <v>5191</v>
      </c>
      <c r="C359" s="1816">
        <v>38100884</v>
      </c>
      <c r="D359" s="1836" t="s">
        <v>2002</v>
      </c>
      <c r="E359" s="1845">
        <v>0</v>
      </c>
      <c r="F359" s="1845">
        <v>29</v>
      </c>
      <c r="G359" s="1845">
        <v>26</v>
      </c>
      <c r="H359" s="1821">
        <f t="shared" si="17"/>
        <v>89.65517241379311</v>
      </c>
    </row>
    <row r="360" spans="1:8" s="1638" customFormat="1" ht="15.75" customHeight="1" x14ac:dyDescent="0.2">
      <c r="A360" s="1815">
        <v>3122</v>
      </c>
      <c r="B360" s="1816">
        <v>6122</v>
      </c>
      <c r="C360" s="1816">
        <v>38100870</v>
      </c>
      <c r="D360" s="1836" t="s">
        <v>604</v>
      </c>
      <c r="E360" s="1845">
        <v>0</v>
      </c>
      <c r="F360" s="1845">
        <v>2972</v>
      </c>
      <c r="G360" s="1845">
        <v>2972</v>
      </c>
      <c r="H360" s="1821">
        <f t="shared" si="17"/>
        <v>100</v>
      </c>
    </row>
    <row r="361" spans="1:8" s="1638" customFormat="1" ht="15.75" customHeight="1" x14ac:dyDescent="0.2">
      <c r="A361" s="1815">
        <v>3122</v>
      </c>
      <c r="B361" s="1816">
        <v>6122</v>
      </c>
      <c r="C361" s="1816">
        <v>38100880</v>
      </c>
      <c r="D361" s="1836" t="s">
        <v>604</v>
      </c>
      <c r="E361" s="1845">
        <v>0</v>
      </c>
      <c r="F361" s="1845">
        <v>277</v>
      </c>
      <c r="G361" s="1845">
        <v>263</v>
      </c>
      <c r="H361" s="1821">
        <f t="shared" si="17"/>
        <v>94.945848375451263</v>
      </c>
    </row>
    <row r="362" spans="1:8" s="1638" customFormat="1" ht="15.75" customHeight="1" x14ac:dyDescent="0.2">
      <c r="A362" s="1815">
        <v>3122</v>
      </c>
      <c r="B362" s="1816">
        <v>6122</v>
      </c>
      <c r="C362" s="1816">
        <v>38500871</v>
      </c>
      <c r="D362" s="1836" t="s">
        <v>604</v>
      </c>
      <c r="E362" s="1845">
        <v>0</v>
      </c>
      <c r="F362" s="1845">
        <v>8669</v>
      </c>
      <c r="G362" s="1845">
        <v>8669</v>
      </c>
      <c r="H362" s="1821">
        <f t="shared" si="17"/>
        <v>100</v>
      </c>
    </row>
    <row r="363" spans="1:8" s="1638" customFormat="1" ht="15.75" customHeight="1" x14ac:dyDescent="0.2">
      <c r="A363" s="1815">
        <v>3122</v>
      </c>
      <c r="B363" s="1816">
        <v>6122</v>
      </c>
      <c r="C363" s="1816">
        <v>38500881</v>
      </c>
      <c r="D363" s="1836" t="s">
        <v>604</v>
      </c>
      <c r="E363" s="1845">
        <v>0</v>
      </c>
      <c r="F363" s="1845">
        <v>9742</v>
      </c>
      <c r="G363" s="1845">
        <v>9659</v>
      </c>
      <c r="H363" s="1821">
        <f t="shared" si="17"/>
        <v>99.148018887292139</v>
      </c>
    </row>
    <row r="364" spans="1:8" s="1638" customFormat="1" ht="15.75" customHeight="1" thickBot="1" x14ac:dyDescent="0.25">
      <c r="A364" s="1815">
        <v>3122</v>
      </c>
      <c r="B364" s="1816">
        <v>6122</v>
      </c>
      <c r="C364" s="1816">
        <v>38587505</v>
      </c>
      <c r="D364" s="1836" t="s">
        <v>604</v>
      </c>
      <c r="E364" s="1845">
        <v>0</v>
      </c>
      <c r="F364" s="1845">
        <v>8177</v>
      </c>
      <c r="G364" s="1845">
        <v>0</v>
      </c>
      <c r="H364" s="1821">
        <f>G364/F364*100</f>
        <v>0</v>
      </c>
    </row>
    <row r="365" spans="1:8" s="1638" customFormat="1" ht="15.75" hidden="1" thickBot="1" x14ac:dyDescent="0.25">
      <c r="A365" s="1815">
        <v>3122</v>
      </c>
      <c r="B365" s="1816">
        <v>6121</v>
      </c>
      <c r="C365" s="1816">
        <v>53190877</v>
      </c>
      <c r="D365" s="1836" t="s">
        <v>603</v>
      </c>
      <c r="E365" s="1845">
        <v>0</v>
      </c>
      <c r="F365" s="1845"/>
      <c r="G365" s="1845"/>
      <c r="H365" s="1821" t="e">
        <f>G365/F365*100</f>
        <v>#DIV/0!</v>
      </c>
    </row>
    <row r="366" spans="1:8" s="1638" customFormat="1" ht="15.75" hidden="1" thickBot="1" x14ac:dyDescent="0.25">
      <c r="A366" s="1815">
        <v>3122</v>
      </c>
      <c r="B366" s="1903">
        <v>6121</v>
      </c>
      <c r="C366" s="1972">
        <v>53115835</v>
      </c>
      <c r="D366" s="1836" t="s">
        <v>603</v>
      </c>
      <c r="E366" s="1845">
        <v>0</v>
      </c>
      <c r="F366" s="1845"/>
      <c r="G366" s="1845"/>
      <c r="H366" s="1821" t="e">
        <f>G366/F366*100</f>
        <v>#DIV/0!</v>
      </c>
    </row>
    <row r="367" spans="1:8" s="1638" customFormat="1" ht="16.5" thickTop="1" thickBot="1" x14ac:dyDescent="0.3">
      <c r="A367" s="2751" t="s">
        <v>763</v>
      </c>
      <c r="B367" s="2752"/>
      <c r="C367" s="2752"/>
      <c r="D367" s="2752"/>
      <c r="E367" s="1818">
        <f>SUM(E357:E366)</f>
        <v>0</v>
      </c>
      <c r="F367" s="1818">
        <f>SUM(F357:F366)</f>
        <v>29868</v>
      </c>
      <c r="G367" s="1818">
        <f>SUM(G357:G366)</f>
        <v>21590</v>
      </c>
      <c r="H367" s="1822">
        <f>G367/F367*100</f>
        <v>72.284719432168203</v>
      </c>
    </row>
    <row r="368" spans="1:8" s="1638" customFormat="1" ht="14.25" customHeight="1" thickTop="1" x14ac:dyDescent="0.25">
      <c r="A368" s="1806"/>
      <c r="B368" s="1802"/>
      <c r="C368" s="1802"/>
      <c r="D368" s="1803"/>
      <c r="E368" s="1829"/>
      <c r="F368" s="1829"/>
      <c r="G368" s="1829"/>
      <c r="H368" s="1803"/>
    </row>
    <row r="369" spans="1:8" ht="15" x14ac:dyDescent="0.25">
      <c r="A369" s="1808" t="s">
        <v>1513</v>
      </c>
    </row>
    <row r="370" spans="1:8" ht="15.75" thickBot="1" x14ac:dyDescent="0.3">
      <c r="A370" s="1808" t="s">
        <v>1514</v>
      </c>
      <c r="H370" s="1892" t="s">
        <v>161</v>
      </c>
    </row>
    <row r="371" spans="1:8" s="1638" customFormat="1" ht="25.5" thickTop="1" thickBot="1" x14ac:dyDescent="0.25">
      <c r="A371" s="1809" t="s">
        <v>162</v>
      </c>
      <c r="B371" s="1810" t="s">
        <v>761</v>
      </c>
      <c r="C371" s="1810" t="s">
        <v>377</v>
      </c>
      <c r="D371" s="1811" t="s">
        <v>164</v>
      </c>
      <c r="E371" s="1833" t="s">
        <v>632</v>
      </c>
      <c r="F371" s="1833" t="s">
        <v>633</v>
      </c>
      <c r="G371" s="1834" t="s">
        <v>882</v>
      </c>
      <c r="H371" s="1835" t="s">
        <v>883</v>
      </c>
    </row>
    <row r="372" spans="1:8" s="1638" customFormat="1" ht="13.5" thickTop="1" thickBot="1" x14ac:dyDescent="0.25">
      <c r="A372" s="1643">
        <v>1</v>
      </c>
      <c r="B372" s="1642">
        <v>2</v>
      </c>
      <c r="C372" s="1642">
        <v>3</v>
      </c>
      <c r="D372" s="1642">
        <v>4</v>
      </c>
      <c r="E372" s="1641">
        <v>5</v>
      </c>
      <c r="F372" s="1641">
        <v>6</v>
      </c>
      <c r="G372" s="1877">
        <v>7</v>
      </c>
      <c r="H372" s="1901" t="s">
        <v>61</v>
      </c>
    </row>
    <row r="373" spans="1:8" s="1638" customFormat="1" ht="15.75" customHeight="1" thickTop="1" x14ac:dyDescent="0.2">
      <c r="A373" s="1815">
        <v>3122</v>
      </c>
      <c r="B373" s="1816">
        <v>5139</v>
      </c>
      <c r="C373" s="1816">
        <v>38100870</v>
      </c>
      <c r="D373" s="1836" t="s">
        <v>625</v>
      </c>
      <c r="E373" s="1845">
        <v>0</v>
      </c>
      <c r="F373" s="1845">
        <v>0</v>
      </c>
      <c r="G373" s="1845">
        <v>0</v>
      </c>
      <c r="H373" s="1821">
        <v>0</v>
      </c>
    </row>
    <row r="374" spans="1:8" s="1638" customFormat="1" ht="15.75" customHeight="1" x14ac:dyDescent="0.2">
      <c r="A374" s="1815">
        <v>3122</v>
      </c>
      <c r="B374" s="1816">
        <v>5139</v>
      </c>
      <c r="C374" s="1816">
        <v>38500871</v>
      </c>
      <c r="D374" s="1836" t="s">
        <v>625</v>
      </c>
      <c r="E374" s="1845">
        <v>0</v>
      </c>
      <c r="F374" s="1845">
        <v>0</v>
      </c>
      <c r="G374" s="1845">
        <v>0</v>
      </c>
      <c r="H374" s="1821">
        <v>0</v>
      </c>
    </row>
    <row r="375" spans="1:8" s="1638" customFormat="1" ht="15.75" customHeight="1" x14ac:dyDescent="0.2">
      <c r="A375" s="1815">
        <v>3122</v>
      </c>
      <c r="B375" s="1816">
        <v>6122</v>
      </c>
      <c r="C375" s="1816">
        <v>38100870</v>
      </c>
      <c r="D375" s="1836" t="s">
        <v>604</v>
      </c>
      <c r="E375" s="1845">
        <v>0</v>
      </c>
      <c r="F375" s="1845">
        <v>421</v>
      </c>
      <c r="G375" s="1845">
        <v>372</v>
      </c>
      <c r="H375" s="1821">
        <f t="shared" ref="H375:H379" si="18">G375/F375*100</f>
        <v>88.36104513064133</v>
      </c>
    </row>
    <row r="376" spans="1:8" s="1638" customFormat="1" ht="15.75" customHeight="1" x14ac:dyDescent="0.2">
      <c r="A376" s="1815">
        <v>3122</v>
      </c>
      <c r="B376" s="1816">
        <v>6122</v>
      </c>
      <c r="C376" s="1816">
        <v>38100880</v>
      </c>
      <c r="D376" s="1836" t="s">
        <v>604</v>
      </c>
      <c r="E376" s="1845">
        <v>0</v>
      </c>
      <c r="F376" s="1845">
        <v>771</v>
      </c>
      <c r="G376" s="1845">
        <v>723</v>
      </c>
      <c r="H376" s="1821">
        <f t="shared" si="18"/>
        <v>93.774319066147854</v>
      </c>
    </row>
    <row r="377" spans="1:8" s="1638" customFormat="1" ht="15.75" customHeight="1" x14ac:dyDescent="0.2">
      <c r="A377" s="1815">
        <v>3122</v>
      </c>
      <c r="B377" s="1816">
        <v>6122</v>
      </c>
      <c r="C377" s="1816">
        <v>38100884</v>
      </c>
      <c r="D377" s="1836" t="s">
        <v>604</v>
      </c>
      <c r="E377" s="1845">
        <v>0</v>
      </c>
      <c r="F377" s="1845">
        <v>473</v>
      </c>
      <c r="G377" s="1845">
        <v>444</v>
      </c>
      <c r="H377" s="1821">
        <f t="shared" si="18"/>
        <v>93.868921775898514</v>
      </c>
    </row>
    <row r="378" spans="1:8" s="1638" customFormat="1" ht="15.75" customHeight="1" x14ac:dyDescent="0.2">
      <c r="A378" s="1815">
        <v>3122</v>
      </c>
      <c r="B378" s="1816">
        <v>6122</v>
      </c>
      <c r="C378" s="1816">
        <v>38500871</v>
      </c>
      <c r="D378" s="1836" t="s">
        <v>604</v>
      </c>
      <c r="E378" s="1845">
        <v>0</v>
      </c>
      <c r="F378" s="1845">
        <v>2122</v>
      </c>
      <c r="G378" s="1845">
        <v>2107</v>
      </c>
      <c r="H378" s="1821">
        <f t="shared" si="18"/>
        <v>99.293119698397732</v>
      </c>
    </row>
    <row r="379" spans="1:8" s="1638" customFormat="1" ht="15.75" customHeight="1" x14ac:dyDescent="0.2">
      <c r="A379" s="1815">
        <v>3122</v>
      </c>
      <c r="B379" s="1816">
        <v>6122</v>
      </c>
      <c r="C379" s="1816">
        <v>38500881</v>
      </c>
      <c r="D379" s="1836" t="s">
        <v>604</v>
      </c>
      <c r="E379" s="1845">
        <v>0</v>
      </c>
      <c r="F379" s="1845">
        <v>264</v>
      </c>
      <c r="G379" s="1845">
        <v>0</v>
      </c>
      <c r="H379" s="1821">
        <f t="shared" si="18"/>
        <v>0</v>
      </c>
    </row>
    <row r="380" spans="1:8" s="1638" customFormat="1" ht="15.75" customHeight="1" thickBot="1" x14ac:dyDescent="0.25">
      <c r="A380" s="1815">
        <v>3122</v>
      </c>
      <c r="B380" s="1816">
        <v>6122</v>
      </c>
      <c r="C380" s="1816">
        <v>38587505</v>
      </c>
      <c r="D380" s="1836" t="s">
        <v>604</v>
      </c>
      <c r="E380" s="1845">
        <v>0</v>
      </c>
      <c r="F380" s="1845">
        <v>4364</v>
      </c>
      <c r="G380" s="1845">
        <v>4100</v>
      </c>
      <c r="H380" s="1821">
        <f>G380/F380*100</f>
        <v>93.950504124656277</v>
      </c>
    </row>
    <row r="381" spans="1:8" s="1638" customFormat="1" ht="15.75" hidden="1" thickBot="1" x14ac:dyDescent="0.25">
      <c r="A381" s="1815">
        <v>3122</v>
      </c>
      <c r="B381" s="1816">
        <v>6121</v>
      </c>
      <c r="C381" s="1816">
        <v>53190877</v>
      </c>
      <c r="D381" s="1836" t="s">
        <v>603</v>
      </c>
      <c r="E381" s="1845">
        <v>0</v>
      </c>
      <c r="F381" s="1845"/>
      <c r="G381" s="1845"/>
      <c r="H381" s="1821" t="e">
        <f>G381/F381*100</f>
        <v>#DIV/0!</v>
      </c>
    </row>
    <row r="382" spans="1:8" s="1638" customFormat="1" ht="15.75" hidden="1" thickBot="1" x14ac:dyDescent="0.25">
      <c r="A382" s="1815">
        <v>3122</v>
      </c>
      <c r="B382" s="1903">
        <v>6121</v>
      </c>
      <c r="C382" s="1972">
        <v>53115835</v>
      </c>
      <c r="D382" s="1836" t="s">
        <v>603</v>
      </c>
      <c r="E382" s="1845">
        <v>0</v>
      </c>
      <c r="F382" s="1845"/>
      <c r="G382" s="1845"/>
      <c r="H382" s="1821" t="e">
        <f>G382/F382*100</f>
        <v>#DIV/0!</v>
      </c>
    </row>
    <row r="383" spans="1:8" s="1638" customFormat="1" ht="16.5" thickTop="1" thickBot="1" x14ac:dyDescent="0.3">
      <c r="A383" s="2751" t="s">
        <v>763</v>
      </c>
      <c r="B383" s="2752"/>
      <c r="C383" s="2752"/>
      <c r="D383" s="2752"/>
      <c r="E383" s="1818">
        <f>SUM(E373:E382)</f>
        <v>0</v>
      </c>
      <c r="F383" s="1818">
        <f>SUM(F373:F382)</f>
        <v>8415</v>
      </c>
      <c r="G383" s="1818">
        <f>SUM(G373:G382)</f>
        <v>7746</v>
      </c>
      <c r="H383" s="1822">
        <f>G383/F383*100</f>
        <v>92.049910873440282</v>
      </c>
    </row>
    <row r="384" spans="1:8" s="1638" customFormat="1" ht="14.25" customHeight="1" thickTop="1" x14ac:dyDescent="0.25">
      <c r="A384" s="1806"/>
      <c r="B384" s="1802"/>
      <c r="C384" s="1802"/>
      <c r="D384" s="1803"/>
      <c r="E384" s="1829"/>
      <c r="F384" s="1829"/>
      <c r="G384" s="1829"/>
      <c r="H384" s="1803"/>
    </row>
    <row r="385" spans="1:8" ht="15" x14ac:dyDescent="0.25">
      <c r="A385" s="1808" t="s">
        <v>1515</v>
      </c>
    </row>
    <row r="386" spans="1:8" ht="15.75" thickBot="1" x14ac:dyDescent="0.3">
      <c r="A386" s="1808" t="s">
        <v>1516</v>
      </c>
      <c r="H386" s="1892" t="s">
        <v>161</v>
      </c>
    </row>
    <row r="387" spans="1:8" s="1638" customFormat="1" ht="25.5" thickTop="1" thickBot="1" x14ac:dyDescent="0.25">
      <c r="A387" s="1809" t="s">
        <v>162</v>
      </c>
      <c r="B387" s="1810" t="s">
        <v>761</v>
      </c>
      <c r="C387" s="1810" t="s">
        <v>377</v>
      </c>
      <c r="D387" s="1811" t="s">
        <v>164</v>
      </c>
      <c r="E387" s="1833" t="s">
        <v>632</v>
      </c>
      <c r="F387" s="1833" t="s">
        <v>633</v>
      </c>
      <c r="G387" s="1834" t="s">
        <v>882</v>
      </c>
      <c r="H387" s="1835" t="s">
        <v>883</v>
      </c>
    </row>
    <row r="388" spans="1:8" s="1638" customFormat="1" ht="13.5" thickTop="1" thickBot="1" x14ac:dyDescent="0.25">
      <c r="A388" s="1643">
        <v>1</v>
      </c>
      <c r="B388" s="1642">
        <v>2</v>
      </c>
      <c r="C388" s="1642">
        <v>3</v>
      </c>
      <c r="D388" s="1642">
        <v>4</v>
      </c>
      <c r="E388" s="1641">
        <v>5</v>
      </c>
      <c r="F388" s="1641">
        <v>6</v>
      </c>
      <c r="G388" s="1877">
        <v>7</v>
      </c>
      <c r="H388" s="1901" t="s">
        <v>61</v>
      </c>
    </row>
    <row r="389" spans="1:8" s="1638" customFormat="1" ht="15.75" customHeight="1" thickTop="1" x14ac:dyDescent="0.2">
      <c r="A389" s="1815">
        <v>3122</v>
      </c>
      <c r="B389" s="1816">
        <v>6122</v>
      </c>
      <c r="C389" s="1816">
        <v>38100870</v>
      </c>
      <c r="D389" s="1836" t="s">
        <v>604</v>
      </c>
      <c r="E389" s="1845">
        <v>0</v>
      </c>
      <c r="F389" s="1845">
        <v>1849</v>
      </c>
      <c r="G389" s="1845">
        <v>0</v>
      </c>
      <c r="H389" s="1821">
        <f t="shared" ref="H389:H395" si="19">G389/F389*100</f>
        <v>0</v>
      </c>
    </row>
    <row r="390" spans="1:8" s="1638" customFormat="1" ht="15.75" customHeight="1" x14ac:dyDescent="0.2">
      <c r="A390" s="1815">
        <v>3122</v>
      </c>
      <c r="B390" s="1816">
        <v>6122</v>
      </c>
      <c r="C390" s="1816">
        <v>38500881</v>
      </c>
      <c r="D390" s="1836" t="s">
        <v>604</v>
      </c>
      <c r="E390" s="1845">
        <v>0</v>
      </c>
      <c r="F390" s="1845">
        <v>680</v>
      </c>
      <c r="G390" s="1845">
        <v>1</v>
      </c>
      <c r="H390" s="1821">
        <f t="shared" si="19"/>
        <v>0.14705882352941177</v>
      </c>
    </row>
    <row r="391" spans="1:8" s="1638" customFormat="1" ht="15.75" customHeight="1" thickBot="1" x14ac:dyDescent="0.25">
      <c r="A391" s="1815">
        <v>3122</v>
      </c>
      <c r="B391" s="1816">
        <v>6122</v>
      </c>
      <c r="C391" s="1816">
        <v>38587505</v>
      </c>
      <c r="D391" s="1836" t="s">
        <v>604</v>
      </c>
      <c r="E391" s="1845">
        <v>0</v>
      </c>
      <c r="F391" s="1845">
        <v>6074</v>
      </c>
      <c r="G391" s="1845">
        <v>0</v>
      </c>
      <c r="H391" s="1821">
        <f t="shared" si="19"/>
        <v>0</v>
      </c>
    </row>
    <row r="392" spans="1:8" s="1638" customFormat="1" ht="15.75" hidden="1" customHeight="1" x14ac:dyDescent="0.2">
      <c r="A392" s="1815">
        <v>3122</v>
      </c>
      <c r="B392" s="1816">
        <v>6122</v>
      </c>
      <c r="C392" s="1816">
        <v>38100880</v>
      </c>
      <c r="D392" s="1836" t="s">
        <v>604</v>
      </c>
      <c r="E392" s="1845">
        <v>0</v>
      </c>
      <c r="F392" s="1845"/>
      <c r="G392" s="1845"/>
      <c r="H392" s="1821" t="e">
        <f t="shared" si="19"/>
        <v>#DIV/0!</v>
      </c>
    </row>
    <row r="393" spans="1:8" s="1638" customFormat="1" ht="15.75" hidden="1" customHeight="1" x14ac:dyDescent="0.2">
      <c r="A393" s="1815">
        <v>3122</v>
      </c>
      <c r="B393" s="1816">
        <v>6122</v>
      </c>
      <c r="C393" s="1816">
        <v>38100884</v>
      </c>
      <c r="D393" s="1836" t="s">
        <v>604</v>
      </c>
      <c r="E393" s="1845">
        <v>0</v>
      </c>
      <c r="F393" s="1845"/>
      <c r="G393" s="1845"/>
      <c r="H393" s="1821" t="e">
        <f t="shared" si="19"/>
        <v>#DIV/0!</v>
      </c>
    </row>
    <row r="394" spans="1:8" s="1638" customFormat="1" ht="15.75" hidden="1" customHeight="1" x14ac:dyDescent="0.2">
      <c r="A394" s="1815">
        <v>3122</v>
      </c>
      <c r="B394" s="1816">
        <v>6122</v>
      </c>
      <c r="C394" s="1816">
        <v>38500871</v>
      </c>
      <c r="D394" s="1836" t="s">
        <v>604</v>
      </c>
      <c r="E394" s="1845">
        <v>0</v>
      </c>
      <c r="F394" s="1845"/>
      <c r="G394" s="1845"/>
      <c r="H394" s="1821" t="e">
        <f t="shared" si="19"/>
        <v>#DIV/0!</v>
      </c>
    </row>
    <row r="395" spans="1:8" s="1638" customFormat="1" ht="15.75" hidden="1" customHeight="1" x14ac:dyDescent="0.2">
      <c r="A395" s="1815">
        <v>3122</v>
      </c>
      <c r="B395" s="1816">
        <v>6122</v>
      </c>
      <c r="C395" s="1816">
        <v>38500881</v>
      </c>
      <c r="D395" s="1836" t="s">
        <v>604</v>
      </c>
      <c r="E395" s="1845">
        <v>0</v>
      </c>
      <c r="F395" s="1845"/>
      <c r="G395" s="1845"/>
      <c r="H395" s="1821" t="e">
        <f t="shared" si="19"/>
        <v>#DIV/0!</v>
      </c>
    </row>
    <row r="396" spans="1:8" s="1638" customFormat="1" ht="15.75" hidden="1" customHeight="1" thickBot="1" x14ac:dyDescent="0.25">
      <c r="A396" s="1815">
        <v>3122</v>
      </c>
      <c r="B396" s="1816">
        <v>6122</v>
      </c>
      <c r="C396" s="1816">
        <v>38587505</v>
      </c>
      <c r="D396" s="1836" t="s">
        <v>604</v>
      </c>
      <c r="E396" s="1845">
        <v>0</v>
      </c>
      <c r="F396" s="1845"/>
      <c r="G396" s="1845"/>
      <c r="H396" s="1821" t="e">
        <f>G396/F396*100</f>
        <v>#DIV/0!</v>
      </c>
    </row>
    <row r="397" spans="1:8" s="1638" customFormat="1" ht="15.75" hidden="1" thickBot="1" x14ac:dyDescent="0.25">
      <c r="A397" s="1815">
        <v>3122</v>
      </c>
      <c r="B397" s="1816">
        <v>6121</v>
      </c>
      <c r="C397" s="1816">
        <v>53190877</v>
      </c>
      <c r="D397" s="1836" t="s">
        <v>603</v>
      </c>
      <c r="E397" s="1845">
        <v>0</v>
      </c>
      <c r="F397" s="1845"/>
      <c r="G397" s="1845"/>
      <c r="H397" s="1821" t="e">
        <f>G397/F397*100</f>
        <v>#DIV/0!</v>
      </c>
    </row>
    <row r="398" spans="1:8" s="1638" customFormat="1" ht="15.75" hidden="1" thickBot="1" x14ac:dyDescent="0.25">
      <c r="A398" s="1815">
        <v>3122</v>
      </c>
      <c r="B398" s="1903">
        <v>6121</v>
      </c>
      <c r="C398" s="1972">
        <v>53115835</v>
      </c>
      <c r="D398" s="1836" t="s">
        <v>603</v>
      </c>
      <c r="E398" s="1845">
        <v>0</v>
      </c>
      <c r="F398" s="1845"/>
      <c r="G398" s="1845"/>
      <c r="H398" s="1821" t="e">
        <f>G398/F398*100</f>
        <v>#DIV/0!</v>
      </c>
    </row>
    <row r="399" spans="1:8" s="1638" customFormat="1" ht="16.5" thickTop="1" thickBot="1" x14ac:dyDescent="0.3">
      <c r="A399" s="2751" t="s">
        <v>763</v>
      </c>
      <c r="B399" s="2752"/>
      <c r="C399" s="2752"/>
      <c r="D399" s="2752"/>
      <c r="E399" s="1818">
        <f>SUM(E389:E398)</f>
        <v>0</v>
      </c>
      <c r="F399" s="1818">
        <f>SUM(F389:F398)</f>
        <v>8603</v>
      </c>
      <c r="G399" s="1818">
        <f>SUM(G389:G398)</f>
        <v>1</v>
      </c>
      <c r="H399" s="1822">
        <f>G399/F399*100</f>
        <v>1.1623852144600721E-2</v>
      </c>
    </row>
    <row r="400" spans="1:8" s="1638" customFormat="1" ht="14.25" customHeight="1" thickTop="1" x14ac:dyDescent="0.25">
      <c r="A400" s="1806"/>
      <c r="B400" s="1802"/>
      <c r="C400" s="1802"/>
      <c r="D400" s="1803"/>
      <c r="E400" s="1829"/>
      <c r="F400" s="1829"/>
      <c r="G400" s="1829"/>
      <c r="H400" s="1803"/>
    </row>
    <row r="401" spans="1:8" ht="15" x14ac:dyDescent="0.25">
      <c r="A401" s="1808" t="s">
        <v>1517</v>
      </c>
    </row>
    <row r="402" spans="1:8" ht="15.75" thickBot="1" x14ac:dyDescent="0.3">
      <c r="A402" s="1808" t="s">
        <v>1518</v>
      </c>
      <c r="H402" s="1892" t="s">
        <v>161</v>
      </c>
    </row>
    <row r="403" spans="1:8" s="1638" customFormat="1" ht="25.5" thickTop="1" thickBot="1" x14ac:dyDescent="0.25">
      <c r="A403" s="1809" t="s">
        <v>162</v>
      </c>
      <c r="B403" s="1810" t="s">
        <v>761</v>
      </c>
      <c r="C403" s="1810" t="s">
        <v>377</v>
      </c>
      <c r="D403" s="1811" t="s">
        <v>164</v>
      </c>
      <c r="E403" s="1833" t="s">
        <v>632</v>
      </c>
      <c r="F403" s="1833" t="s">
        <v>633</v>
      </c>
      <c r="G403" s="1834" t="s">
        <v>882</v>
      </c>
      <c r="H403" s="1835" t="s">
        <v>883</v>
      </c>
    </row>
    <row r="404" spans="1:8" s="1638" customFormat="1" ht="13.5" thickTop="1" thickBot="1" x14ac:dyDescent="0.25">
      <c r="A404" s="1643">
        <v>1</v>
      </c>
      <c r="B404" s="1642">
        <v>2</v>
      </c>
      <c r="C404" s="1642">
        <v>3</v>
      </c>
      <c r="D404" s="1642">
        <v>4</v>
      </c>
      <c r="E404" s="1641">
        <v>5</v>
      </c>
      <c r="F404" s="1641">
        <v>6</v>
      </c>
      <c r="G404" s="1877">
        <v>7</v>
      </c>
      <c r="H404" s="1901" t="s">
        <v>61</v>
      </c>
    </row>
    <row r="405" spans="1:8" s="1638" customFormat="1" ht="15.75" customHeight="1" thickTop="1" x14ac:dyDescent="0.2">
      <c r="A405" s="1815">
        <v>3122</v>
      </c>
      <c r="B405" s="1816">
        <v>5137</v>
      </c>
      <c r="C405" s="1816">
        <v>38100880</v>
      </c>
      <c r="D405" s="1836" t="s">
        <v>155</v>
      </c>
      <c r="E405" s="1845">
        <v>0</v>
      </c>
      <c r="F405" s="1845">
        <v>189</v>
      </c>
      <c r="G405" s="1845">
        <v>24</v>
      </c>
      <c r="H405" s="1821">
        <f t="shared" ref="H405:H411" si="20">G405/F405*100</f>
        <v>12.698412698412698</v>
      </c>
    </row>
    <row r="406" spans="1:8" s="1638" customFormat="1" ht="15.75" customHeight="1" x14ac:dyDescent="0.2">
      <c r="A406" s="1815">
        <v>3122</v>
      </c>
      <c r="B406" s="1816">
        <v>5137</v>
      </c>
      <c r="C406" s="1816">
        <v>38500881</v>
      </c>
      <c r="D406" s="1836" t="s">
        <v>155</v>
      </c>
      <c r="E406" s="1845">
        <v>0</v>
      </c>
      <c r="F406" s="1845">
        <v>260</v>
      </c>
      <c r="G406" s="1845">
        <v>135</v>
      </c>
      <c r="H406" s="1821">
        <f t="shared" si="20"/>
        <v>51.923076923076927</v>
      </c>
    </row>
    <row r="407" spans="1:8" s="1638" customFormat="1" ht="15.75" customHeight="1" x14ac:dyDescent="0.2">
      <c r="A407" s="1815">
        <v>3122</v>
      </c>
      <c r="B407" s="1816">
        <v>6121</v>
      </c>
      <c r="C407" s="1816">
        <v>10</v>
      </c>
      <c r="D407" s="1836" t="s">
        <v>603</v>
      </c>
      <c r="E407" s="1845">
        <v>2432</v>
      </c>
      <c r="F407" s="1845">
        <v>0</v>
      </c>
      <c r="G407" s="1845">
        <v>0</v>
      </c>
      <c r="H407" s="1821">
        <v>0</v>
      </c>
    </row>
    <row r="408" spans="1:8" s="1638" customFormat="1" ht="15" x14ac:dyDescent="0.2">
      <c r="A408" s="1815">
        <v>3122</v>
      </c>
      <c r="B408" s="1816">
        <v>6122</v>
      </c>
      <c r="C408" s="1816">
        <v>38100880</v>
      </c>
      <c r="D408" s="1836" t="s">
        <v>604</v>
      </c>
      <c r="E408" s="1845">
        <v>0</v>
      </c>
      <c r="F408" s="1845">
        <v>583</v>
      </c>
      <c r="G408" s="1845">
        <v>582</v>
      </c>
      <c r="H408" s="1821">
        <f t="shared" si="20"/>
        <v>99.828473413379072</v>
      </c>
    </row>
    <row r="409" spans="1:8" s="1638" customFormat="1" ht="15.75" thickBot="1" x14ac:dyDescent="0.25">
      <c r="A409" s="1815">
        <v>3122</v>
      </c>
      <c r="B409" s="1816">
        <v>6122</v>
      </c>
      <c r="C409" s="1816">
        <v>38500881</v>
      </c>
      <c r="D409" s="1836" t="s">
        <v>604</v>
      </c>
      <c r="E409" s="1845">
        <v>0</v>
      </c>
      <c r="F409" s="1845">
        <v>3298</v>
      </c>
      <c r="G409" s="1845">
        <v>3298</v>
      </c>
      <c r="H409" s="1821">
        <f t="shared" si="20"/>
        <v>100</v>
      </c>
    </row>
    <row r="410" spans="1:8" s="1638" customFormat="1" ht="15.75" hidden="1" thickBot="1" x14ac:dyDescent="0.25">
      <c r="A410" s="1815">
        <v>3122</v>
      </c>
      <c r="B410" s="1816">
        <v>6122</v>
      </c>
      <c r="C410" s="1816">
        <v>38500871</v>
      </c>
      <c r="D410" s="1836" t="s">
        <v>604</v>
      </c>
      <c r="E410" s="1845">
        <v>0</v>
      </c>
      <c r="F410" s="1845"/>
      <c r="G410" s="1845"/>
      <c r="H410" s="1821" t="e">
        <f t="shared" si="20"/>
        <v>#DIV/0!</v>
      </c>
    </row>
    <row r="411" spans="1:8" s="1638" customFormat="1" ht="15.75" hidden="1" thickBot="1" x14ac:dyDescent="0.25">
      <c r="A411" s="1815">
        <v>3122</v>
      </c>
      <c r="B411" s="1816">
        <v>6122</v>
      </c>
      <c r="C411" s="1816">
        <v>38500881</v>
      </c>
      <c r="D411" s="1836" t="s">
        <v>604</v>
      </c>
      <c r="E411" s="1845">
        <v>0</v>
      </c>
      <c r="F411" s="1845"/>
      <c r="G411" s="1845"/>
      <c r="H411" s="1821" t="e">
        <f t="shared" si="20"/>
        <v>#DIV/0!</v>
      </c>
    </row>
    <row r="412" spans="1:8" s="1638" customFormat="1" ht="15.75" hidden="1" thickBot="1" x14ac:dyDescent="0.25">
      <c r="A412" s="1815">
        <v>3122</v>
      </c>
      <c r="B412" s="1816">
        <v>6122</v>
      </c>
      <c r="C412" s="1816">
        <v>38587505</v>
      </c>
      <c r="D412" s="1836" t="s">
        <v>604</v>
      </c>
      <c r="E412" s="1845">
        <v>0</v>
      </c>
      <c r="F412" s="1845"/>
      <c r="G412" s="1845"/>
      <c r="H412" s="1821" t="e">
        <f>G412/F412*100</f>
        <v>#DIV/0!</v>
      </c>
    </row>
    <row r="413" spans="1:8" s="1638" customFormat="1" ht="15.75" hidden="1" thickBot="1" x14ac:dyDescent="0.25">
      <c r="A413" s="1815">
        <v>3122</v>
      </c>
      <c r="B413" s="1816">
        <v>6121</v>
      </c>
      <c r="C413" s="1816">
        <v>53190877</v>
      </c>
      <c r="D413" s="1836" t="s">
        <v>603</v>
      </c>
      <c r="E413" s="1845">
        <v>0</v>
      </c>
      <c r="F413" s="1845"/>
      <c r="G413" s="1845"/>
      <c r="H413" s="1821" t="e">
        <f>G413/F413*100</f>
        <v>#DIV/0!</v>
      </c>
    </row>
    <row r="414" spans="1:8" s="1638" customFormat="1" ht="15.75" hidden="1" thickBot="1" x14ac:dyDescent="0.25">
      <c r="A414" s="1815">
        <v>3122</v>
      </c>
      <c r="B414" s="1903">
        <v>6121</v>
      </c>
      <c r="C414" s="1972">
        <v>53115835</v>
      </c>
      <c r="D414" s="1836" t="s">
        <v>603</v>
      </c>
      <c r="E414" s="1845">
        <v>0</v>
      </c>
      <c r="F414" s="1845"/>
      <c r="G414" s="1845"/>
      <c r="H414" s="1821" t="e">
        <f>G414/F414*100</f>
        <v>#DIV/0!</v>
      </c>
    </row>
    <row r="415" spans="1:8" s="1638" customFormat="1" ht="16.5" thickTop="1" thickBot="1" x14ac:dyDescent="0.3">
      <c r="A415" s="2751" t="s">
        <v>763</v>
      </c>
      <c r="B415" s="2752"/>
      <c r="C415" s="2752"/>
      <c r="D415" s="2752"/>
      <c r="E415" s="1818">
        <f>SUM(E405:E414)</f>
        <v>2432</v>
      </c>
      <c r="F415" s="1818">
        <f>SUM(F405:F414)</f>
        <v>4330</v>
      </c>
      <c r="G415" s="1818">
        <f>SUM(G405:G414)</f>
        <v>4039</v>
      </c>
      <c r="H415" s="1822">
        <f>G415/F415*100</f>
        <v>93.279445727482681</v>
      </c>
    </row>
    <row r="416" spans="1:8" s="1638" customFormat="1" ht="14.25" customHeight="1" thickTop="1" x14ac:dyDescent="0.25">
      <c r="A416" s="1806"/>
      <c r="B416" s="1802"/>
      <c r="C416" s="1802"/>
      <c r="D416" s="1803"/>
      <c r="E416" s="1829"/>
      <c r="F416" s="1829"/>
      <c r="G416" s="1829"/>
      <c r="H416" s="1803"/>
    </row>
    <row r="417" spans="1:8" ht="15" x14ac:dyDescent="0.25">
      <c r="A417" s="1808" t="s">
        <v>1682</v>
      </c>
    </row>
    <row r="418" spans="1:8" ht="15.75" thickBot="1" x14ac:dyDescent="0.3">
      <c r="A418" s="1808" t="s">
        <v>1683</v>
      </c>
      <c r="H418" s="1892" t="s">
        <v>161</v>
      </c>
    </row>
    <row r="419" spans="1:8" s="1638" customFormat="1" ht="25.5" thickTop="1" thickBot="1" x14ac:dyDescent="0.25">
      <c r="A419" s="1809" t="s">
        <v>162</v>
      </c>
      <c r="B419" s="1810" t="s">
        <v>761</v>
      </c>
      <c r="C419" s="1810" t="s">
        <v>377</v>
      </c>
      <c r="D419" s="1811" t="s">
        <v>164</v>
      </c>
      <c r="E419" s="1833" t="s">
        <v>632</v>
      </c>
      <c r="F419" s="1833" t="s">
        <v>633</v>
      </c>
      <c r="G419" s="1834" t="s">
        <v>882</v>
      </c>
      <c r="H419" s="1835" t="s">
        <v>883</v>
      </c>
    </row>
    <row r="420" spans="1:8" s="1638" customFormat="1" ht="13.5" thickTop="1" thickBot="1" x14ac:dyDescent="0.25">
      <c r="A420" s="1643">
        <v>1</v>
      </c>
      <c r="B420" s="1642">
        <v>2</v>
      </c>
      <c r="C420" s="1642">
        <v>3</v>
      </c>
      <c r="D420" s="1642">
        <v>4</v>
      </c>
      <c r="E420" s="1641">
        <v>5</v>
      </c>
      <c r="F420" s="1641">
        <v>6</v>
      </c>
      <c r="G420" s="1877">
        <v>7</v>
      </c>
      <c r="H420" s="1901" t="s">
        <v>61</v>
      </c>
    </row>
    <row r="421" spans="1:8" s="1638" customFormat="1" ht="15.75" customHeight="1" thickTop="1" thickBot="1" x14ac:dyDescent="0.25">
      <c r="A421" s="1815">
        <v>3122</v>
      </c>
      <c r="B421" s="1816">
        <v>6121</v>
      </c>
      <c r="C421" s="1816">
        <v>10</v>
      </c>
      <c r="D421" s="1836" t="s">
        <v>603</v>
      </c>
      <c r="E421" s="1845">
        <v>4795</v>
      </c>
      <c r="F421" s="1845">
        <v>1200</v>
      </c>
      <c r="G421" s="1845">
        <v>821</v>
      </c>
      <c r="H421" s="1821">
        <f t="shared" ref="H421:H422" si="21">G421/F421*100</f>
        <v>68.416666666666671</v>
      </c>
    </row>
    <row r="422" spans="1:8" s="1638" customFormat="1" ht="15.75" hidden="1" customHeight="1" x14ac:dyDescent="0.2">
      <c r="A422" s="1815">
        <v>3122</v>
      </c>
      <c r="B422" s="1816">
        <v>5137</v>
      </c>
      <c r="C422" s="1816">
        <v>38500881</v>
      </c>
      <c r="D422" s="1836" t="s">
        <v>155</v>
      </c>
      <c r="E422" s="1845"/>
      <c r="F422" s="1845"/>
      <c r="G422" s="1845"/>
      <c r="H422" s="1821" t="e">
        <f t="shared" si="21"/>
        <v>#DIV/0!</v>
      </c>
    </row>
    <row r="423" spans="1:8" s="1638" customFormat="1" ht="15.75" hidden="1" customHeight="1" x14ac:dyDescent="0.2">
      <c r="A423" s="1815">
        <v>3122</v>
      </c>
      <c r="B423" s="1816">
        <v>6121</v>
      </c>
      <c r="C423" s="1816">
        <v>10</v>
      </c>
      <c r="D423" s="1836" t="s">
        <v>603</v>
      </c>
      <c r="E423" s="1845"/>
      <c r="F423" s="1845"/>
      <c r="G423" s="1845"/>
      <c r="H423" s="1821">
        <v>0</v>
      </c>
    </row>
    <row r="424" spans="1:8" s="1638" customFormat="1" ht="15.75" hidden="1" thickBot="1" x14ac:dyDescent="0.25">
      <c r="A424" s="1815">
        <v>3122</v>
      </c>
      <c r="B424" s="1816">
        <v>6122</v>
      </c>
      <c r="C424" s="1816">
        <v>38100880</v>
      </c>
      <c r="D424" s="1836" t="s">
        <v>604</v>
      </c>
      <c r="E424" s="1845"/>
      <c r="F424" s="1845"/>
      <c r="G424" s="1845"/>
      <c r="H424" s="1821" t="e">
        <f t="shared" ref="H424:H427" si="22">G424/F424*100</f>
        <v>#DIV/0!</v>
      </c>
    </row>
    <row r="425" spans="1:8" s="1638" customFormat="1" ht="15.75" hidden="1" thickBot="1" x14ac:dyDescent="0.25">
      <c r="A425" s="1815">
        <v>3122</v>
      </c>
      <c r="B425" s="1816">
        <v>6122</v>
      </c>
      <c r="C425" s="1816">
        <v>38500881</v>
      </c>
      <c r="D425" s="1836" t="s">
        <v>604</v>
      </c>
      <c r="E425" s="1845"/>
      <c r="F425" s="1845"/>
      <c r="G425" s="1845"/>
      <c r="H425" s="1821" t="e">
        <f t="shared" si="22"/>
        <v>#DIV/0!</v>
      </c>
    </row>
    <row r="426" spans="1:8" s="1638" customFormat="1" ht="15.75" hidden="1" thickBot="1" x14ac:dyDescent="0.25">
      <c r="A426" s="1815">
        <v>3122</v>
      </c>
      <c r="B426" s="1816">
        <v>6122</v>
      </c>
      <c r="C426" s="1816">
        <v>38500871</v>
      </c>
      <c r="D426" s="1836" t="s">
        <v>604</v>
      </c>
      <c r="E426" s="1845">
        <v>0</v>
      </c>
      <c r="F426" s="1845"/>
      <c r="G426" s="1845"/>
      <c r="H426" s="1821" t="e">
        <f t="shared" si="22"/>
        <v>#DIV/0!</v>
      </c>
    </row>
    <row r="427" spans="1:8" s="1638" customFormat="1" ht="15.75" hidden="1" thickBot="1" x14ac:dyDescent="0.25">
      <c r="A427" s="1815">
        <v>3122</v>
      </c>
      <c r="B427" s="1816">
        <v>6122</v>
      </c>
      <c r="C427" s="1816">
        <v>38500881</v>
      </c>
      <c r="D427" s="1836" t="s">
        <v>604</v>
      </c>
      <c r="E427" s="1845">
        <v>0</v>
      </c>
      <c r="F427" s="1845"/>
      <c r="G427" s="1845"/>
      <c r="H427" s="1821" t="e">
        <f t="shared" si="22"/>
        <v>#DIV/0!</v>
      </c>
    </row>
    <row r="428" spans="1:8" s="1638" customFormat="1" ht="15.75" hidden="1" thickBot="1" x14ac:dyDescent="0.25">
      <c r="A428" s="1815">
        <v>3122</v>
      </c>
      <c r="B428" s="1816">
        <v>6122</v>
      </c>
      <c r="C428" s="1816">
        <v>38587505</v>
      </c>
      <c r="D428" s="1836" t="s">
        <v>604</v>
      </c>
      <c r="E428" s="1845">
        <v>0</v>
      </c>
      <c r="F428" s="1845"/>
      <c r="G428" s="1845"/>
      <c r="H428" s="1821" t="e">
        <f>G428/F428*100</f>
        <v>#DIV/0!</v>
      </c>
    </row>
    <row r="429" spans="1:8" s="1638" customFormat="1" ht="15.75" hidden="1" thickBot="1" x14ac:dyDescent="0.25">
      <c r="A429" s="1815">
        <v>3122</v>
      </c>
      <c r="B429" s="1816">
        <v>6121</v>
      </c>
      <c r="C429" s="1816">
        <v>53190877</v>
      </c>
      <c r="D429" s="1836" t="s">
        <v>603</v>
      </c>
      <c r="E429" s="1845">
        <v>0</v>
      </c>
      <c r="F429" s="1845"/>
      <c r="G429" s="1845"/>
      <c r="H429" s="1821" t="e">
        <f>G429/F429*100</f>
        <v>#DIV/0!</v>
      </c>
    </row>
    <row r="430" spans="1:8" s="1638" customFormat="1" ht="15.75" hidden="1" thickBot="1" x14ac:dyDescent="0.25">
      <c r="A430" s="1815">
        <v>3122</v>
      </c>
      <c r="B430" s="1903">
        <v>6121</v>
      </c>
      <c r="C430" s="1972">
        <v>53115835</v>
      </c>
      <c r="D430" s="1836" t="s">
        <v>603</v>
      </c>
      <c r="E430" s="1845">
        <v>0</v>
      </c>
      <c r="F430" s="1845"/>
      <c r="G430" s="1845"/>
      <c r="H430" s="1821" t="e">
        <f>G430/F430*100</f>
        <v>#DIV/0!</v>
      </c>
    </row>
    <row r="431" spans="1:8" s="1638" customFormat="1" ht="16.5" thickTop="1" thickBot="1" x14ac:dyDescent="0.3">
      <c r="A431" s="2751" t="s">
        <v>763</v>
      </c>
      <c r="B431" s="2752"/>
      <c r="C431" s="2752"/>
      <c r="D431" s="2752"/>
      <c r="E431" s="1818">
        <f>SUM(E421:E430)</f>
        <v>4795</v>
      </c>
      <c r="F431" s="1818">
        <f>SUM(F421:F430)</f>
        <v>1200</v>
      </c>
      <c r="G431" s="1818">
        <f>SUM(G421:G430)</f>
        <v>821</v>
      </c>
      <c r="H431" s="1822">
        <f>G431/F431*100</f>
        <v>68.416666666666671</v>
      </c>
    </row>
    <row r="432" spans="1:8" s="1638" customFormat="1" ht="14.25" customHeight="1" thickTop="1" x14ac:dyDescent="0.25">
      <c r="A432" s="1806"/>
      <c r="B432" s="1802"/>
      <c r="C432" s="1802"/>
      <c r="D432" s="1803"/>
      <c r="E432" s="1829"/>
      <c r="F432" s="1829"/>
      <c r="G432" s="1829"/>
      <c r="H432" s="1803"/>
    </row>
    <row r="433" spans="1:8" ht="15" x14ac:dyDescent="0.25">
      <c r="A433" s="1808" t="s">
        <v>1684</v>
      </c>
    </row>
    <row r="434" spans="1:8" ht="15.75" thickBot="1" x14ac:dyDescent="0.3">
      <c r="A434" s="1808" t="s">
        <v>1685</v>
      </c>
      <c r="H434" s="1892" t="s">
        <v>161</v>
      </c>
    </row>
    <row r="435" spans="1:8" s="1638" customFormat="1" ht="25.5" thickTop="1" thickBot="1" x14ac:dyDescent="0.25">
      <c r="A435" s="1809" t="s">
        <v>162</v>
      </c>
      <c r="B435" s="1810" t="s">
        <v>761</v>
      </c>
      <c r="C435" s="1810" t="s">
        <v>377</v>
      </c>
      <c r="D435" s="1811" t="s">
        <v>164</v>
      </c>
      <c r="E435" s="1833" t="s">
        <v>632</v>
      </c>
      <c r="F435" s="1833" t="s">
        <v>633</v>
      </c>
      <c r="G435" s="1834" t="s">
        <v>882</v>
      </c>
      <c r="H435" s="1835" t="s">
        <v>883</v>
      </c>
    </row>
    <row r="436" spans="1:8" s="1638" customFormat="1" ht="13.5" thickTop="1" thickBot="1" x14ac:dyDescent="0.25">
      <c r="A436" s="1643">
        <v>1</v>
      </c>
      <c r="B436" s="1642">
        <v>2</v>
      </c>
      <c r="C436" s="1642">
        <v>3</v>
      </c>
      <c r="D436" s="1642">
        <v>4</v>
      </c>
      <c r="E436" s="1641">
        <v>5</v>
      </c>
      <c r="F436" s="1641">
        <v>6</v>
      </c>
      <c r="G436" s="1877">
        <v>7</v>
      </c>
      <c r="H436" s="1901" t="s">
        <v>61</v>
      </c>
    </row>
    <row r="437" spans="1:8" s="1638" customFormat="1" ht="15.75" customHeight="1" thickTop="1" thickBot="1" x14ac:dyDescent="0.25">
      <c r="A437" s="1815">
        <v>3122</v>
      </c>
      <c r="B437" s="1816">
        <v>6121</v>
      </c>
      <c r="C437" s="1816">
        <v>10</v>
      </c>
      <c r="D437" s="1836" t="s">
        <v>603</v>
      </c>
      <c r="E437" s="1845">
        <v>4108</v>
      </c>
      <c r="F437" s="1845">
        <v>1008</v>
      </c>
      <c r="G437" s="1845">
        <v>861</v>
      </c>
      <c r="H437" s="1821">
        <f t="shared" ref="H437:H438" si="23">G437/F437*100</f>
        <v>85.416666666666657</v>
      </c>
    </row>
    <row r="438" spans="1:8" s="1638" customFormat="1" ht="15.75" hidden="1" customHeight="1" x14ac:dyDescent="0.2">
      <c r="A438" s="1815">
        <v>3122</v>
      </c>
      <c r="B438" s="1816">
        <v>5137</v>
      </c>
      <c r="C438" s="1816">
        <v>38500881</v>
      </c>
      <c r="D438" s="1836" t="s">
        <v>155</v>
      </c>
      <c r="E438" s="1845"/>
      <c r="F438" s="1845"/>
      <c r="G438" s="1845"/>
      <c r="H438" s="1821" t="e">
        <f t="shared" si="23"/>
        <v>#DIV/0!</v>
      </c>
    </row>
    <row r="439" spans="1:8" s="1638" customFormat="1" ht="15.75" hidden="1" customHeight="1" x14ac:dyDescent="0.2">
      <c r="A439" s="1815">
        <v>3122</v>
      </c>
      <c r="B439" s="1816">
        <v>6121</v>
      </c>
      <c r="C439" s="1816">
        <v>10</v>
      </c>
      <c r="D439" s="1836" t="s">
        <v>603</v>
      </c>
      <c r="E439" s="1845"/>
      <c r="F439" s="1845"/>
      <c r="G439" s="1845"/>
      <c r="H439" s="1821">
        <v>0</v>
      </c>
    </row>
    <row r="440" spans="1:8" s="1638" customFormat="1" ht="15.75" hidden="1" thickBot="1" x14ac:dyDescent="0.25">
      <c r="A440" s="1815">
        <v>3122</v>
      </c>
      <c r="B440" s="1816">
        <v>6122</v>
      </c>
      <c r="C440" s="1816">
        <v>38100880</v>
      </c>
      <c r="D440" s="1836" t="s">
        <v>604</v>
      </c>
      <c r="E440" s="1845"/>
      <c r="F440" s="1845"/>
      <c r="G440" s="1845"/>
      <c r="H440" s="1821" t="e">
        <f t="shared" ref="H440:H443" si="24">G440/F440*100</f>
        <v>#DIV/0!</v>
      </c>
    </row>
    <row r="441" spans="1:8" s="1638" customFormat="1" ht="15.75" hidden="1" thickBot="1" x14ac:dyDescent="0.25">
      <c r="A441" s="1815">
        <v>3122</v>
      </c>
      <c r="B441" s="1816">
        <v>6122</v>
      </c>
      <c r="C441" s="1816">
        <v>38500881</v>
      </c>
      <c r="D441" s="1836" t="s">
        <v>604</v>
      </c>
      <c r="E441" s="1845"/>
      <c r="F441" s="1845"/>
      <c r="G441" s="1845"/>
      <c r="H441" s="1821" t="e">
        <f t="shared" si="24"/>
        <v>#DIV/0!</v>
      </c>
    </row>
    <row r="442" spans="1:8" s="1638" customFormat="1" ht="15.75" hidden="1" thickBot="1" x14ac:dyDescent="0.25">
      <c r="A442" s="1815">
        <v>3122</v>
      </c>
      <c r="B442" s="1816">
        <v>6122</v>
      </c>
      <c r="C442" s="1816">
        <v>38500871</v>
      </c>
      <c r="D442" s="1836" t="s">
        <v>604</v>
      </c>
      <c r="E442" s="1845">
        <v>0</v>
      </c>
      <c r="F442" s="1845"/>
      <c r="G442" s="1845"/>
      <c r="H442" s="1821" t="e">
        <f t="shared" si="24"/>
        <v>#DIV/0!</v>
      </c>
    </row>
    <row r="443" spans="1:8" s="1638" customFormat="1" ht="15.75" hidden="1" thickBot="1" x14ac:dyDescent="0.25">
      <c r="A443" s="1815">
        <v>3122</v>
      </c>
      <c r="B443" s="1816">
        <v>6122</v>
      </c>
      <c r="C443" s="1816">
        <v>38500881</v>
      </c>
      <c r="D443" s="1836" t="s">
        <v>604</v>
      </c>
      <c r="E443" s="1845">
        <v>0</v>
      </c>
      <c r="F443" s="1845"/>
      <c r="G443" s="1845"/>
      <c r="H443" s="1821" t="e">
        <f t="shared" si="24"/>
        <v>#DIV/0!</v>
      </c>
    </row>
    <row r="444" spans="1:8" s="1638" customFormat="1" ht="15.75" hidden="1" thickBot="1" x14ac:dyDescent="0.25">
      <c r="A444" s="1815">
        <v>3122</v>
      </c>
      <c r="B444" s="1816">
        <v>6122</v>
      </c>
      <c r="C444" s="1816">
        <v>38587505</v>
      </c>
      <c r="D444" s="1836" t="s">
        <v>604</v>
      </c>
      <c r="E444" s="1845">
        <v>0</v>
      </c>
      <c r="F444" s="1845"/>
      <c r="G444" s="1845"/>
      <c r="H444" s="1821" t="e">
        <f>G444/F444*100</f>
        <v>#DIV/0!</v>
      </c>
    </row>
    <row r="445" spans="1:8" s="1638" customFormat="1" ht="15.75" hidden="1" thickBot="1" x14ac:dyDescent="0.25">
      <c r="A445" s="1815">
        <v>3122</v>
      </c>
      <c r="B445" s="1816">
        <v>6121</v>
      </c>
      <c r="C445" s="1816">
        <v>53190877</v>
      </c>
      <c r="D445" s="1836" t="s">
        <v>603</v>
      </c>
      <c r="E445" s="1845">
        <v>0</v>
      </c>
      <c r="F445" s="1845"/>
      <c r="G445" s="1845"/>
      <c r="H445" s="1821" t="e">
        <f>G445/F445*100</f>
        <v>#DIV/0!</v>
      </c>
    </row>
    <row r="446" spans="1:8" s="1638" customFormat="1" ht="15.75" hidden="1" thickBot="1" x14ac:dyDescent="0.25">
      <c r="A446" s="1815">
        <v>3122</v>
      </c>
      <c r="B446" s="1903">
        <v>6121</v>
      </c>
      <c r="C446" s="1972">
        <v>53115835</v>
      </c>
      <c r="D446" s="1836" t="s">
        <v>603</v>
      </c>
      <c r="E446" s="1845">
        <v>0</v>
      </c>
      <c r="F446" s="1845"/>
      <c r="G446" s="1845"/>
      <c r="H446" s="1821" t="e">
        <f>G446/F446*100</f>
        <v>#DIV/0!</v>
      </c>
    </row>
    <row r="447" spans="1:8" s="1638" customFormat="1" ht="16.5" thickTop="1" thickBot="1" x14ac:dyDescent="0.3">
      <c r="A447" s="2751" t="s">
        <v>763</v>
      </c>
      <c r="B447" s="2752"/>
      <c r="C447" s="2752"/>
      <c r="D447" s="2752"/>
      <c r="E447" s="1818">
        <f>SUM(E437:E446)</f>
        <v>4108</v>
      </c>
      <c r="F447" s="1818">
        <f>SUM(F437:F446)</f>
        <v>1008</v>
      </c>
      <c r="G447" s="1818">
        <f>SUM(G437:G446)</f>
        <v>861</v>
      </c>
      <c r="H447" s="1822">
        <f>G447/F447*100</f>
        <v>85.416666666666657</v>
      </c>
    </row>
    <row r="448" spans="1:8" s="1638" customFormat="1" ht="14.25" customHeight="1" thickTop="1" x14ac:dyDescent="0.25">
      <c r="A448" s="1806"/>
      <c r="B448" s="1802"/>
      <c r="C448" s="1802"/>
      <c r="D448" s="1803"/>
      <c r="E448" s="1829"/>
      <c r="F448" s="1829"/>
      <c r="G448" s="1829"/>
      <c r="H448" s="1803"/>
    </row>
    <row r="449" spans="1:8" s="1638" customFormat="1" ht="14.25" customHeight="1" x14ac:dyDescent="0.25">
      <c r="A449" s="1806"/>
      <c r="B449" s="1802"/>
      <c r="C449" s="1802"/>
      <c r="D449" s="1803"/>
      <c r="E449" s="1829"/>
      <c r="F449" s="1829"/>
      <c r="G449" s="1829"/>
      <c r="H449" s="1803"/>
    </row>
    <row r="450" spans="1:8" ht="15" x14ac:dyDescent="0.25">
      <c r="A450" s="1808" t="s">
        <v>1519</v>
      </c>
    </row>
    <row r="451" spans="1:8" ht="15.75" thickBot="1" x14ac:dyDescent="0.3">
      <c r="A451" s="1808" t="s">
        <v>1520</v>
      </c>
      <c r="H451" s="1892" t="s">
        <v>161</v>
      </c>
    </row>
    <row r="452" spans="1:8" s="1638" customFormat="1" ht="25.5" thickTop="1" thickBot="1" x14ac:dyDescent="0.25">
      <c r="A452" s="1809" t="s">
        <v>162</v>
      </c>
      <c r="B452" s="1810" t="s">
        <v>761</v>
      </c>
      <c r="C452" s="1810" t="s">
        <v>377</v>
      </c>
      <c r="D452" s="1811" t="s">
        <v>164</v>
      </c>
      <c r="E452" s="1833" t="s">
        <v>632</v>
      </c>
      <c r="F452" s="1833" t="s">
        <v>633</v>
      </c>
      <c r="G452" s="1834" t="s">
        <v>882</v>
      </c>
      <c r="H452" s="1835" t="s">
        <v>883</v>
      </c>
    </row>
    <row r="453" spans="1:8" s="1638" customFormat="1" ht="13.5" thickTop="1" thickBot="1" x14ac:dyDescent="0.25">
      <c r="A453" s="1643">
        <v>1</v>
      </c>
      <c r="B453" s="1642">
        <v>2</v>
      </c>
      <c r="C453" s="1642">
        <v>3</v>
      </c>
      <c r="D453" s="1642">
        <v>4</v>
      </c>
      <c r="E453" s="1641">
        <v>5</v>
      </c>
      <c r="F453" s="1641">
        <v>6</v>
      </c>
      <c r="G453" s="1877">
        <v>7</v>
      </c>
      <c r="H453" s="1901" t="s">
        <v>61</v>
      </c>
    </row>
    <row r="454" spans="1:8" s="1638" customFormat="1" ht="15.75" thickTop="1" x14ac:dyDescent="0.2">
      <c r="A454" s="1815">
        <v>4357</v>
      </c>
      <c r="B454" s="1816">
        <v>5137</v>
      </c>
      <c r="C454" s="1816">
        <v>38100870</v>
      </c>
      <c r="D454" s="1836" t="s">
        <v>155</v>
      </c>
      <c r="E454" s="1845">
        <v>0</v>
      </c>
      <c r="F454" s="1845">
        <v>515</v>
      </c>
      <c r="G454" s="1845">
        <v>515</v>
      </c>
      <c r="H454" s="1821">
        <f>G454/F454*100</f>
        <v>100</v>
      </c>
    </row>
    <row r="455" spans="1:8" s="1638" customFormat="1" ht="15" x14ac:dyDescent="0.2">
      <c r="A455" s="1815">
        <v>4357</v>
      </c>
      <c r="B455" s="1816">
        <v>5137</v>
      </c>
      <c r="C455" s="1816">
        <v>38500871</v>
      </c>
      <c r="D455" s="1836" t="s">
        <v>155</v>
      </c>
      <c r="E455" s="1845">
        <v>0</v>
      </c>
      <c r="F455" s="1845">
        <v>1545</v>
      </c>
      <c r="G455" s="1845">
        <v>1545</v>
      </c>
      <c r="H455" s="1821">
        <f t="shared" ref="H455:H459" si="25">G455/F455*100</f>
        <v>100</v>
      </c>
    </row>
    <row r="456" spans="1:8" s="1638" customFormat="1" ht="15" x14ac:dyDescent="0.2">
      <c r="A456" s="1815">
        <v>4357</v>
      </c>
      <c r="B456" s="1816">
        <v>6121</v>
      </c>
      <c r="C456" s="1816">
        <v>38100870</v>
      </c>
      <c r="D456" s="1836" t="s">
        <v>603</v>
      </c>
      <c r="E456" s="1845">
        <v>0</v>
      </c>
      <c r="F456" s="1845">
        <v>4879</v>
      </c>
      <c r="G456" s="1845">
        <v>4879</v>
      </c>
      <c r="H456" s="1821">
        <f t="shared" si="25"/>
        <v>100</v>
      </c>
    </row>
    <row r="457" spans="1:8" s="1638" customFormat="1" ht="15" x14ac:dyDescent="0.2">
      <c r="A457" s="1815">
        <v>4357</v>
      </c>
      <c r="B457" s="1816">
        <v>6121</v>
      </c>
      <c r="C457" s="1816">
        <v>38100874</v>
      </c>
      <c r="D457" s="1836" t="s">
        <v>603</v>
      </c>
      <c r="E457" s="1845">
        <v>0</v>
      </c>
      <c r="F457" s="1845">
        <v>1261</v>
      </c>
      <c r="G457" s="1845">
        <v>1261</v>
      </c>
      <c r="H457" s="1821">
        <f t="shared" si="25"/>
        <v>100</v>
      </c>
    </row>
    <row r="458" spans="1:8" s="1638" customFormat="1" ht="15" x14ac:dyDescent="0.2">
      <c r="A458" s="1815">
        <v>4357</v>
      </c>
      <c r="B458" s="1816">
        <v>6121</v>
      </c>
      <c r="C458" s="1816">
        <v>38500871</v>
      </c>
      <c r="D458" s="1836" t="s">
        <v>603</v>
      </c>
      <c r="E458" s="1845">
        <v>0</v>
      </c>
      <c r="F458" s="1845">
        <v>55</v>
      </c>
      <c r="G458" s="1845">
        <v>55</v>
      </c>
      <c r="H458" s="1821">
        <f t="shared" si="25"/>
        <v>100</v>
      </c>
    </row>
    <row r="459" spans="1:8" s="1638" customFormat="1" ht="15" x14ac:dyDescent="0.2">
      <c r="A459" s="1815">
        <v>4357</v>
      </c>
      <c r="B459" s="1816">
        <v>6121</v>
      </c>
      <c r="C459" s="1816">
        <v>38587505</v>
      </c>
      <c r="D459" s="1836" t="s">
        <v>603</v>
      </c>
      <c r="E459" s="1845">
        <v>0</v>
      </c>
      <c r="F459" s="1845">
        <v>14582</v>
      </c>
      <c r="G459" s="1845">
        <v>14582</v>
      </c>
      <c r="H459" s="1821">
        <f t="shared" si="25"/>
        <v>100</v>
      </c>
    </row>
    <row r="460" spans="1:8" s="1638" customFormat="1" ht="15" x14ac:dyDescent="0.2">
      <c r="A460" s="1815">
        <v>4357</v>
      </c>
      <c r="B460" s="1816">
        <v>6122</v>
      </c>
      <c r="C460" s="1816">
        <v>38100870</v>
      </c>
      <c r="D460" s="1836" t="s">
        <v>2003</v>
      </c>
      <c r="E460" s="1845">
        <v>0</v>
      </c>
      <c r="F460" s="1845">
        <v>538</v>
      </c>
      <c r="G460" s="1845">
        <v>538</v>
      </c>
      <c r="H460" s="1821">
        <f>G460/F460*100</f>
        <v>100</v>
      </c>
    </row>
    <row r="461" spans="1:8" s="1638" customFormat="1" ht="15.75" customHeight="1" thickBot="1" x14ac:dyDescent="0.25">
      <c r="A461" s="1815">
        <v>4357</v>
      </c>
      <c r="B461" s="1816">
        <v>6122</v>
      </c>
      <c r="C461" s="1816">
        <v>38500871</v>
      </c>
      <c r="D461" s="1836" t="s">
        <v>2003</v>
      </c>
      <c r="E461" s="1845">
        <v>0</v>
      </c>
      <c r="F461" s="1845">
        <v>1614</v>
      </c>
      <c r="G461" s="1845">
        <v>1614</v>
      </c>
      <c r="H461" s="1821">
        <f>G461/F461*100</f>
        <v>100</v>
      </c>
    </row>
    <row r="462" spans="1:8" s="1638" customFormat="1" ht="16.5" thickTop="1" thickBot="1" x14ac:dyDescent="0.3">
      <c r="A462" s="2751" t="s">
        <v>763</v>
      </c>
      <c r="B462" s="2752"/>
      <c r="C462" s="2752"/>
      <c r="D462" s="2752"/>
      <c r="E462" s="1818">
        <f>SUM(E459:E461)</f>
        <v>0</v>
      </c>
      <c r="F462" s="1818">
        <f>SUM(F454:F461)</f>
        <v>24989</v>
      </c>
      <c r="G462" s="1818">
        <f>SUM(G454:G461)</f>
        <v>24989</v>
      </c>
      <c r="H462" s="1822">
        <f>G462/F462*100</f>
        <v>100</v>
      </c>
    </row>
    <row r="463" spans="1:8" s="1638" customFormat="1" ht="15.75" thickTop="1" x14ac:dyDescent="0.25">
      <c r="A463" s="1823"/>
      <c r="B463" s="1823"/>
      <c r="C463" s="1823"/>
      <c r="D463" s="1823"/>
      <c r="E463" s="1824"/>
      <c r="F463" s="1824"/>
      <c r="G463" s="1824"/>
      <c r="H463" s="1849"/>
    </row>
    <row r="464" spans="1:8" ht="15" customHeight="1" x14ac:dyDescent="0.25">
      <c r="A464" s="1808" t="s">
        <v>511</v>
      </c>
    </row>
    <row r="465" spans="1:8" ht="15.75" thickBot="1" x14ac:dyDescent="0.3">
      <c r="A465" s="1808" t="s">
        <v>512</v>
      </c>
      <c r="H465" s="1892" t="s">
        <v>161</v>
      </c>
    </row>
    <row r="466" spans="1:8" s="1638" customFormat="1" ht="25.5" thickTop="1" thickBot="1" x14ac:dyDescent="0.25">
      <c r="A466" s="1809" t="s">
        <v>162</v>
      </c>
      <c r="B466" s="1810" t="s">
        <v>761</v>
      </c>
      <c r="C466" s="1810" t="s">
        <v>377</v>
      </c>
      <c r="D466" s="1811" t="s">
        <v>164</v>
      </c>
      <c r="E466" s="1833" t="s">
        <v>632</v>
      </c>
      <c r="F466" s="1833" t="s">
        <v>633</v>
      </c>
      <c r="G466" s="1834" t="s">
        <v>882</v>
      </c>
      <c r="H466" s="1835" t="s">
        <v>883</v>
      </c>
    </row>
    <row r="467" spans="1:8" s="1638" customFormat="1" ht="13.5" thickTop="1" thickBot="1" x14ac:dyDescent="0.25">
      <c r="A467" s="1643">
        <v>1</v>
      </c>
      <c r="B467" s="1642">
        <v>2</v>
      </c>
      <c r="C467" s="1642">
        <v>3</v>
      </c>
      <c r="D467" s="1642">
        <v>4</v>
      </c>
      <c r="E467" s="1641">
        <v>5</v>
      </c>
      <c r="F467" s="1641">
        <v>6</v>
      </c>
      <c r="G467" s="1877">
        <v>7</v>
      </c>
      <c r="H467" s="1901" t="s">
        <v>61</v>
      </c>
    </row>
    <row r="468" spans="1:8" s="1638" customFormat="1" ht="15.75" customHeight="1" thickTop="1" x14ac:dyDescent="0.2">
      <c r="A468" s="1815">
        <v>4357</v>
      </c>
      <c r="B468" s="1816">
        <v>5169</v>
      </c>
      <c r="C468" s="1816">
        <v>53100880</v>
      </c>
      <c r="D468" s="1836" t="s">
        <v>852</v>
      </c>
      <c r="E468" s="1845">
        <v>0</v>
      </c>
      <c r="F468" s="1845">
        <v>526</v>
      </c>
      <c r="G468" s="1845">
        <v>91</v>
      </c>
      <c r="H468" s="1821">
        <f t="shared" ref="H468:H472" si="26">G468/F468*100</f>
        <v>17.300380228136884</v>
      </c>
    </row>
    <row r="469" spans="1:8" s="1638" customFormat="1" ht="15.75" customHeight="1" x14ac:dyDescent="0.2">
      <c r="A469" s="1815">
        <v>4357</v>
      </c>
      <c r="B469" s="1816">
        <v>5169</v>
      </c>
      <c r="C469" s="1816">
        <v>53100882</v>
      </c>
      <c r="D469" s="1836" t="s">
        <v>852</v>
      </c>
      <c r="E469" s="1845">
        <v>0</v>
      </c>
      <c r="F469" s="1845">
        <v>32</v>
      </c>
      <c r="G469" s="1845">
        <v>18</v>
      </c>
      <c r="H469" s="1821">
        <f t="shared" si="26"/>
        <v>56.25</v>
      </c>
    </row>
    <row r="470" spans="1:8" s="1638" customFormat="1" ht="15.75" customHeight="1" x14ac:dyDescent="0.2">
      <c r="A470" s="1815">
        <v>4357</v>
      </c>
      <c r="B470" s="1816">
        <v>5169</v>
      </c>
      <c r="C470" s="1816">
        <v>53500881</v>
      </c>
      <c r="D470" s="1836" t="s">
        <v>852</v>
      </c>
      <c r="E470" s="1845">
        <v>0</v>
      </c>
      <c r="F470" s="1845">
        <v>430</v>
      </c>
      <c r="G470" s="1845">
        <v>256</v>
      </c>
      <c r="H470" s="1821">
        <f t="shared" si="26"/>
        <v>59.534883720930232</v>
      </c>
    </row>
    <row r="471" spans="1:8" s="1638" customFormat="1" ht="15.75" customHeight="1" x14ac:dyDescent="0.2">
      <c r="A471" s="1815">
        <v>4357</v>
      </c>
      <c r="B471" s="1816">
        <v>6121</v>
      </c>
      <c r="C471" s="1816">
        <v>53100880</v>
      </c>
      <c r="D471" s="1836" t="s">
        <v>603</v>
      </c>
      <c r="E471" s="1845">
        <v>0</v>
      </c>
      <c r="F471" s="1845">
        <v>48</v>
      </c>
      <c r="G471" s="1845">
        <v>0</v>
      </c>
      <c r="H471" s="1821">
        <f t="shared" si="26"/>
        <v>0</v>
      </c>
    </row>
    <row r="472" spans="1:8" s="1638" customFormat="1" ht="15.75" customHeight="1" thickBot="1" x14ac:dyDescent="0.25">
      <c r="A472" s="1815">
        <v>4357</v>
      </c>
      <c r="B472" s="1816">
        <v>6121</v>
      </c>
      <c r="C472" s="1816">
        <v>53100884</v>
      </c>
      <c r="D472" s="1836" t="s">
        <v>603</v>
      </c>
      <c r="E472" s="1845">
        <v>0</v>
      </c>
      <c r="F472" s="1845">
        <v>267</v>
      </c>
      <c r="G472" s="1845">
        <v>267</v>
      </c>
      <c r="H472" s="1827">
        <f t="shared" si="26"/>
        <v>100</v>
      </c>
    </row>
    <row r="473" spans="1:8" s="1638" customFormat="1" ht="13.5" hidden="1" thickTop="1" thickBot="1" x14ac:dyDescent="0.25">
      <c r="A473" s="2163"/>
      <c r="B473" s="1856"/>
      <c r="C473" s="1856"/>
      <c r="D473" s="1856"/>
      <c r="E473" s="2164"/>
      <c r="F473" s="2164"/>
      <c r="G473" s="2165"/>
      <c r="H473" s="2166"/>
    </row>
    <row r="474" spans="1:8" s="1638" customFormat="1" ht="16.5" thickTop="1" thickBot="1" x14ac:dyDescent="0.3">
      <c r="A474" s="2751" t="s">
        <v>763</v>
      </c>
      <c r="B474" s="2752"/>
      <c r="C474" s="2752"/>
      <c r="D474" s="2752"/>
      <c r="E474" s="1818">
        <f>SUM(E468:E473)</f>
        <v>0</v>
      </c>
      <c r="F474" s="1818">
        <f>SUM(F468:F473)</f>
        <v>1303</v>
      </c>
      <c r="G474" s="1818">
        <f>SUM(G468:G473)</f>
        <v>632</v>
      </c>
      <c r="H474" s="1827">
        <f>G474/F474*100</f>
        <v>48.503453568687647</v>
      </c>
    </row>
    <row r="475" spans="1:8" s="1638" customFormat="1" ht="14.25" customHeight="1" thickTop="1" x14ac:dyDescent="0.25">
      <c r="A475" s="1806"/>
      <c r="B475" s="1802"/>
      <c r="C475" s="1802"/>
      <c r="D475" s="1803"/>
      <c r="E475" s="1829"/>
      <c r="F475" s="1829"/>
      <c r="G475" s="1829"/>
      <c r="H475" s="1803"/>
    </row>
    <row r="476" spans="1:8" ht="15" customHeight="1" x14ac:dyDescent="0.25">
      <c r="A476" s="1808" t="s">
        <v>1527</v>
      </c>
    </row>
    <row r="477" spans="1:8" ht="15.75" thickBot="1" x14ac:dyDescent="0.3">
      <c r="A477" s="1808" t="s">
        <v>1528</v>
      </c>
      <c r="H477" s="1892" t="s">
        <v>161</v>
      </c>
    </row>
    <row r="478" spans="1:8" s="1638" customFormat="1" ht="25.5" thickTop="1" thickBot="1" x14ac:dyDescent="0.25">
      <c r="A478" s="1809" t="s">
        <v>162</v>
      </c>
      <c r="B478" s="1810" t="s">
        <v>761</v>
      </c>
      <c r="C478" s="1810" t="s">
        <v>377</v>
      </c>
      <c r="D478" s="1811" t="s">
        <v>164</v>
      </c>
      <c r="E478" s="1833" t="s">
        <v>632</v>
      </c>
      <c r="F478" s="1833" t="s">
        <v>633</v>
      </c>
      <c r="G478" s="1834" t="s">
        <v>882</v>
      </c>
      <c r="H478" s="1835" t="s">
        <v>883</v>
      </c>
    </row>
    <row r="479" spans="1:8" s="1638" customFormat="1" ht="13.5" thickTop="1" thickBot="1" x14ac:dyDescent="0.25">
      <c r="A479" s="1643">
        <v>1</v>
      </c>
      <c r="B479" s="1642">
        <v>2</v>
      </c>
      <c r="C479" s="1642">
        <v>3</v>
      </c>
      <c r="D479" s="1642">
        <v>4</v>
      </c>
      <c r="E479" s="1641">
        <v>5</v>
      </c>
      <c r="F479" s="1641">
        <v>6</v>
      </c>
      <c r="G479" s="1877">
        <v>7</v>
      </c>
      <c r="H479" s="1901" t="s">
        <v>61</v>
      </c>
    </row>
    <row r="480" spans="1:8" s="1638" customFormat="1" ht="15.75" customHeight="1" thickTop="1" x14ac:dyDescent="0.2">
      <c r="A480" s="1815">
        <v>4356</v>
      </c>
      <c r="B480" s="1816">
        <v>6121</v>
      </c>
      <c r="C480" s="1816">
        <v>11</v>
      </c>
      <c r="D480" s="1836" t="s">
        <v>603</v>
      </c>
      <c r="E480" s="1845">
        <v>8025</v>
      </c>
      <c r="F480" s="1845">
        <v>0</v>
      </c>
      <c r="G480" s="1845">
        <v>0</v>
      </c>
      <c r="H480" s="1821">
        <v>0</v>
      </c>
    </row>
    <row r="481" spans="1:8" s="1638" customFormat="1" ht="15.75" customHeight="1" x14ac:dyDescent="0.2">
      <c r="A481" s="1815">
        <v>4356</v>
      </c>
      <c r="B481" s="1816">
        <v>6121</v>
      </c>
      <c r="C481" s="1816">
        <v>38100880</v>
      </c>
      <c r="D481" s="1836" t="s">
        <v>603</v>
      </c>
      <c r="E481" s="1845">
        <v>0</v>
      </c>
      <c r="F481" s="1845">
        <v>1388</v>
      </c>
      <c r="G481" s="1845">
        <v>19</v>
      </c>
      <c r="H481" s="1821">
        <f t="shared" ref="H481:H484" si="27">G481/F481*100</f>
        <v>1.3688760806916427</v>
      </c>
    </row>
    <row r="482" spans="1:8" s="1638" customFormat="1" ht="15.75" customHeight="1" x14ac:dyDescent="0.2">
      <c r="A482" s="1815">
        <v>4356</v>
      </c>
      <c r="B482" s="1816">
        <v>6121</v>
      </c>
      <c r="C482" s="1816">
        <v>38100884</v>
      </c>
      <c r="D482" s="1836" t="s">
        <v>603</v>
      </c>
      <c r="E482" s="1845">
        <v>0</v>
      </c>
      <c r="F482" s="1845">
        <v>97</v>
      </c>
      <c r="G482" s="1845">
        <v>97</v>
      </c>
      <c r="H482" s="1821">
        <f t="shared" si="27"/>
        <v>100</v>
      </c>
    </row>
    <row r="483" spans="1:8" s="1638" customFormat="1" ht="15.75" customHeight="1" x14ac:dyDescent="0.2">
      <c r="A483" s="1815">
        <v>4356</v>
      </c>
      <c r="B483" s="1816">
        <v>6121</v>
      </c>
      <c r="C483" s="1816">
        <v>38500881</v>
      </c>
      <c r="D483" s="1836" t="s">
        <v>603</v>
      </c>
      <c r="E483" s="1845">
        <v>0</v>
      </c>
      <c r="F483" s="1845">
        <v>540</v>
      </c>
      <c r="G483" s="1845">
        <v>57</v>
      </c>
      <c r="H483" s="1821">
        <f t="shared" si="27"/>
        <v>10.555555555555555</v>
      </c>
    </row>
    <row r="484" spans="1:8" s="1638" customFormat="1" ht="15.75" customHeight="1" thickBot="1" x14ac:dyDescent="0.25">
      <c r="A484" s="1815">
        <v>4356</v>
      </c>
      <c r="B484" s="1816">
        <v>6121</v>
      </c>
      <c r="C484" s="1816">
        <v>38587505</v>
      </c>
      <c r="D484" s="1836" t="s">
        <v>603</v>
      </c>
      <c r="E484" s="1845">
        <v>0</v>
      </c>
      <c r="F484" s="1845">
        <v>15000</v>
      </c>
      <c r="G484" s="1845">
        <v>0</v>
      </c>
      <c r="H484" s="1827">
        <f t="shared" si="27"/>
        <v>0</v>
      </c>
    </row>
    <row r="485" spans="1:8" s="1638" customFormat="1" ht="13.5" hidden="1" thickTop="1" thickBot="1" x14ac:dyDescent="0.25">
      <c r="A485" s="2163"/>
      <c r="B485" s="1856"/>
      <c r="C485" s="1856"/>
      <c r="D485" s="1856"/>
      <c r="E485" s="2164"/>
      <c r="F485" s="2164"/>
      <c r="G485" s="2165"/>
      <c r="H485" s="2166"/>
    </row>
    <row r="486" spans="1:8" s="1638" customFormat="1" ht="16.5" thickTop="1" thickBot="1" x14ac:dyDescent="0.3">
      <c r="A486" s="2751" t="s">
        <v>763</v>
      </c>
      <c r="B486" s="2752"/>
      <c r="C486" s="2752"/>
      <c r="D486" s="2752"/>
      <c r="E486" s="1818">
        <f>SUM(E480:E485)</f>
        <v>8025</v>
      </c>
      <c r="F486" s="1818">
        <f>SUM(F480:F485)</f>
        <v>17025</v>
      </c>
      <c r="G486" s="1818">
        <f>SUM(G480:G485)</f>
        <v>173</v>
      </c>
      <c r="H486" s="1827">
        <f>G486/F486*100</f>
        <v>1.0161527165932451</v>
      </c>
    </row>
    <row r="487" spans="1:8" s="1638" customFormat="1" ht="14.25" customHeight="1" thickTop="1" x14ac:dyDescent="0.25">
      <c r="A487" s="1806"/>
      <c r="B487" s="1802"/>
      <c r="C487" s="1802"/>
      <c r="D487" s="1803"/>
      <c r="E487" s="1829"/>
      <c r="F487" s="1829"/>
      <c r="G487" s="1829"/>
      <c r="H487" s="1803"/>
    </row>
    <row r="488" spans="1:8" ht="15" customHeight="1" x14ac:dyDescent="0.25">
      <c r="A488" s="1808" t="s">
        <v>1686</v>
      </c>
    </row>
    <row r="489" spans="1:8" ht="15.75" thickBot="1" x14ac:dyDescent="0.3">
      <c r="A489" s="1808" t="s">
        <v>1687</v>
      </c>
      <c r="H489" s="1892" t="s">
        <v>161</v>
      </c>
    </row>
    <row r="490" spans="1:8" s="1638" customFormat="1" ht="25.5" thickTop="1" thickBot="1" x14ac:dyDescent="0.25">
      <c r="A490" s="1809" t="s">
        <v>162</v>
      </c>
      <c r="B490" s="1810" t="s">
        <v>761</v>
      </c>
      <c r="C490" s="1810" t="s">
        <v>377</v>
      </c>
      <c r="D490" s="1811" t="s">
        <v>164</v>
      </c>
      <c r="E490" s="1833" t="s">
        <v>632</v>
      </c>
      <c r="F490" s="1833" t="s">
        <v>633</v>
      </c>
      <c r="G490" s="1834" t="s">
        <v>882</v>
      </c>
      <c r="H490" s="1835" t="s">
        <v>883</v>
      </c>
    </row>
    <row r="491" spans="1:8" s="1638" customFormat="1" ht="13.5" thickTop="1" thickBot="1" x14ac:dyDescent="0.25">
      <c r="A491" s="1643">
        <v>1</v>
      </c>
      <c r="B491" s="1642">
        <v>2</v>
      </c>
      <c r="C491" s="1642">
        <v>3</v>
      </c>
      <c r="D491" s="1642">
        <v>4</v>
      </c>
      <c r="E491" s="1641">
        <v>5</v>
      </c>
      <c r="F491" s="1641">
        <v>6</v>
      </c>
      <c r="G491" s="1877">
        <v>7</v>
      </c>
      <c r="H491" s="1901" t="s">
        <v>61</v>
      </c>
    </row>
    <row r="492" spans="1:8" s="1638" customFormat="1" ht="15.75" customHeight="1" thickTop="1" x14ac:dyDescent="0.2">
      <c r="A492" s="1815">
        <v>4357</v>
      </c>
      <c r="B492" s="1816">
        <v>6121</v>
      </c>
      <c r="C492" s="1816">
        <v>11</v>
      </c>
      <c r="D492" s="1836" t="s">
        <v>603</v>
      </c>
      <c r="E492" s="1845">
        <v>5405</v>
      </c>
      <c r="F492" s="1845">
        <v>0</v>
      </c>
      <c r="G492" s="1845">
        <v>0</v>
      </c>
      <c r="H492" s="1821">
        <v>0</v>
      </c>
    </row>
    <row r="493" spans="1:8" s="1638" customFormat="1" ht="15.75" customHeight="1" x14ac:dyDescent="0.2">
      <c r="A493" s="1815">
        <v>4357</v>
      </c>
      <c r="B493" s="1816">
        <v>6121</v>
      </c>
      <c r="C493" s="1816">
        <v>38100880</v>
      </c>
      <c r="D493" s="1836" t="s">
        <v>603</v>
      </c>
      <c r="E493" s="1845">
        <v>0</v>
      </c>
      <c r="F493" s="1845">
        <v>54</v>
      </c>
      <c r="G493" s="1845">
        <v>1</v>
      </c>
      <c r="H493" s="1821">
        <f t="shared" ref="H493:H496" si="28">G493/F493*100</f>
        <v>1.8518518518518516</v>
      </c>
    </row>
    <row r="494" spans="1:8" s="1638" customFormat="1" ht="15.75" customHeight="1" x14ac:dyDescent="0.2">
      <c r="A494" s="1815">
        <v>4357</v>
      </c>
      <c r="B494" s="1816">
        <v>6121</v>
      </c>
      <c r="C494" s="1816">
        <v>38100884</v>
      </c>
      <c r="D494" s="1836" t="s">
        <v>603</v>
      </c>
      <c r="E494" s="1845">
        <v>0</v>
      </c>
      <c r="F494" s="1845">
        <v>97</v>
      </c>
      <c r="G494" s="1845">
        <v>97</v>
      </c>
      <c r="H494" s="1821">
        <f t="shared" si="28"/>
        <v>100</v>
      </c>
    </row>
    <row r="495" spans="1:8" s="1638" customFormat="1" ht="15.75" customHeight="1" thickBot="1" x14ac:dyDescent="0.25">
      <c r="A495" s="1815">
        <v>4357</v>
      </c>
      <c r="B495" s="1816">
        <v>6121</v>
      </c>
      <c r="C495" s="1816">
        <v>38500881</v>
      </c>
      <c r="D495" s="1836" t="s">
        <v>603</v>
      </c>
      <c r="E495" s="1845">
        <v>0</v>
      </c>
      <c r="F495" s="1845">
        <v>308</v>
      </c>
      <c r="G495" s="1845">
        <v>4</v>
      </c>
      <c r="H495" s="1821">
        <f t="shared" si="28"/>
        <v>1.2987012987012987</v>
      </c>
    </row>
    <row r="496" spans="1:8" s="1638" customFormat="1" ht="15.75" hidden="1" customHeight="1" thickBot="1" x14ac:dyDescent="0.25">
      <c r="A496" s="1815">
        <v>4357</v>
      </c>
      <c r="B496" s="1816">
        <v>6121</v>
      </c>
      <c r="C496" s="1816">
        <v>38587505</v>
      </c>
      <c r="D496" s="1836" t="s">
        <v>603</v>
      </c>
      <c r="E496" s="1845">
        <v>0</v>
      </c>
      <c r="F496" s="1845">
        <v>0</v>
      </c>
      <c r="G496" s="1845">
        <v>0</v>
      </c>
      <c r="H496" s="1827" t="e">
        <f t="shared" si="28"/>
        <v>#DIV/0!</v>
      </c>
    </row>
    <row r="497" spans="1:8" s="1638" customFormat="1" hidden="1" thickBot="1" x14ac:dyDescent="0.25">
      <c r="A497" s="2163"/>
      <c r="B497" s="1856"/>
      <c r="C497" s="1856"/>
      <c r="D497" s="1856"/>
      <c r="E497" s="2164"/>
      <c r="F497" s="2164"/>
      <c r="G497" s="2165"/>
      <c r="H497" s="2166"/>
    </row>
    <row r="498" spans="1:8" s="1638" customFormat="1" ht="16.5" thickTop="1" thickBot="1" x14ac:dyDescent="0.3">
      <c r="A498" s="2751" t="s">
        <v>763</v>
      </c>
      <c r="B498" s="2752"/>
      <c r="C498" s="2752"/>
      <c r="D498" s="2752"/>
      <c r="E498" s="1818">
        <f>SUM(E492:E497)</f>
        <v>5405</v>
      </c>
      <c r="F498" s="1818">
        <f>SUM(F492:F497)</f>
        <v>459</v>
      </c>
      <c r="G498" s="1818">
        <f>SUM(G492:G497)</f>
        <v>102</v>
      </c>
      <c r="H498" s="1822">
        <f>G498/F498*100</f>
        <v>22.222222222222221</v>
      </c>
    </row>
    <row r="499" spans="1:8" s="1638" customFormat="1" ht="14.25" customHeight="1" thickTop="1" x14ac:dyDescent="0.25">
      <c r="A499" s="1806"/>
      <c r="B499" s="1802"/>
      <c r="C499" s="1802"/>
      <c r="D499" s="1803"/>
      <c r="E499" s="1829"/>
      <c r="F499" s="1829"/>
      <c r="G499" s="1829"/>
      <c r="H499" s="1803"/>
    </row>
    <row r="500" spans="1:8" ht="15" customHeight="1" x14ac:dyDescent="0.25">
      <c r="A500" s="1808" t="s">
        <v>2004</v>
      </c>
    </row>
    <row r="501" spans="1:8" ht="15.75" thickBot="1" x14ac:dyDescent="0.3">
      <c r="A501" s="1808" t="s">
        <v>2005</v>
      </c>
      <c r="H501" s="1892" t="s">
        <v>161</v>
      </c>
    </row>
    <row r="502" spans="1:8" s="1638" customFormat="1" ht="25.5" thickTop="1" thickBot="1" x14ac:dyDescent="0.25">
      <c r="A502" s="1809" t="s">
        <v>162</v>
      </c>
      <c r="B502" s="1810" t="s">
        <v>761</v>
      </c>
      <c r="C502" s="1810" t="s">
        <v>377</v>
      </c>
      <c r="D502" s="1811" t="s">
        <v>164</v>
      </c>
      <c r="E502" s="1833" t="s">
        <v>632</v>
      </c>
      <c r="F502" s="1833" t="s">
        <v>633</v>
      </c>
      <c r="G502" s="1834" t="s">
        <v>882</v>
      </c>
      <c r="H502" s="1835" t="s">
        <v>883</v>
      </c>
    </row>
    <row r="503" spans="1:8" s="1638" customFormat="1" ht="13.5" thickTop="1" thickBot="1" x14ac:dyDescent="0.25">
      <c r="A503" s="1643">
        <v>1</v>
      </c>
      <c r="B503" s="1642">
        <v>2</v>
      </c>
      <c r="C503" s="1642">
        <v>3</v>
      </c>
      <c r="D503" s="1642">
        <v>4</v>
      </c>
      <c r="E503" s="1641">
        <v>5</v>
      </c>
      <c r="F503" s="1641">
        <v>6</v>
      </c>
      <c r="G503" s="1877">
        <v>7</v>
      </c>
      <c r="H503" s="1901" t="s">
        <v>61</v>
      </c>
    </row>
    <row r="504" spans="1:8" s="1638" customFormat="1" ht="15.75" hidden="1" customHeight="1" thickTop="1" x14ac:dyDescent="0.2">
      <c r="A504" s="1815">
        <v>4357</v>
      </c>
      <c r="B504" s="1816">
        <v>6121</v>
      </c>
      <c r="C504" s="1816">
        <v>11</v>
      </c>
      <c r="D504" s="1836" t="s">
        <v>603</v>
      </c>
      <c r="E504" s="1845"/>
      <c r="F504" s="1845"/>
      <c r="G504" s="1845"/>
      <c r="H504" s="1821">
        <v>0</v>
      </c>
    </row>
    <row r="505" spans="1:8" s="1638" customFormat="1" ht="15.75" hidden="1" customHeight="1" x14ac:dyDescent="0.2">
      <c r="A505" s="1815">
        <v>4357</v>
      </c>
      <c r="B505" s="1816">
        <v>6121</v>
      </c>
      <c r="C505" s="1816">
        <v>38100880</v>
      </c>
      <c r="D505" s="1836" t="s">
        <v>603</v>
      </c>
      <c r="E505" s="1845"/>
      <c r="F505" s="1845"/>
      <c r="G505" s="1845"/>
      <c r="H505" s="1821" t="e">
        <f t="shared" ref="H505:H508" si="29">G505/F505*100</f>
        <v>#DIV/0!</v>
      </c>
    </row>
    <row r="506" spans="1:8" s="1638" customFormat="1" ht="15.75" customHeight="1" thickTop="1" thickBot="1" x14ac:dyDescent="0.25">
      <c r="A506" s="1815">
        <v>3315</v>
      </c>
      <c r="B506" s="1816">
        <v>6121</v>
      </c>
      <c r="C506" s="1816">
        <v>38100884</v>
      </c>
      <c r="D506" s="1836" t="s">
        <v>603</v>
      </c>
      <c r="E506" s="1845">
        <v>0</v>
      </c>
      <c r="F506" s="1845">
        <v>613</v>
      </c>
      <c r="G506" s="1845">
        <v>383</v>
      </c>
      <c r="H506" s="1821">
        <f t="shared" si="29"/>
        <v>62.479608482871129</v>
      </c>
    </row>
    <row r="507" spans="1:8" s="1638" customFormat="1" ht="15.75" hidden="1" customHeight="1" thickBot="1" x14ac:dyDescent="0.25">
      <c r="A507" s="1815">
        <v>4357</v>
      </c>
      <c r="B507" s="1816">
        <v>6121</v>
      </c>
      <c r="C507" s="1816">
        <v>38500881</v>
      </c>
      <c r="D507" s="1836" t="s">
        <v>603</v>
      </c>
      <c r="E507" s="1845"/>
      <c r="F507" s="1845"/>
      <c r="G507" s="1845"/>
      <c r="H507" s="1821" t="e">
        <f t="shared" si="29"/>
        <v>#DIV/0!</v>
      </c>
    </row>
    <row r="508" spans="1:8" s="1638" customFormat="1" ht="15.75" hidden="1" customHeight="1" x14ac:dyDescent="0.2">
      <c r="A508" s="1815">
        <v>4357</v>
      </c>
      <c r="B508" s="1816">
        <v>6121</v>
      </c>
      <c r="C508" s="1816">
        <v>38587505</v>
      </c>
      <c r="D508" s="1836" t="s">
        <v>603</v>
      </c>
      <c r="E508" s="1845">
        <v>0</v>
      </c>
      <c r="F508" s="1845">
        <v>0</v>
      </c>
      <c r="G508" s="1845">
        <v>0</v>
      </c>
      <c r="H508" s="1827" t="e">
        <f t="shared" si="29"/>
        <v>#DIV/0!</v>
      </c>
    </row>
    <row r="509" spans="1:8" s="1638" customFormat="1" hidden="1" thickBot="1" x14ac:dyDescent="0.25">
      <c r="A509" s="2163"/>
      <c r="B509" s="1856"/>
      <c r="C509" s="1856"/>
      <c r="D509" s="1856"/>
      <c r="E509" s="2164"/>
      <c r="F509" s="2164"/>
      <c r="G509" s="2165"/>
      <c r="H509" s="2166"/>
    </row>
    <row r="510" spans="1:8" s="1638" customFormat="1" ht="16.5" thickTop="1" thickBot="1" x14ac:dyDescent="0.3">
      <c r="A510" s="2751" t="s">
        <v>763</v>
      </c>
      <c r="B510" s="2752"/>
      <c r="C510" s="2752"/>
      <c r="D510" s="2752"/>
      <c r="E510" s="1818">
        <f>SUM(E504:E509)</f>
        <v>0</v>
      </c>
      <c r="F510" s="1818">
        <f>SUM(F504:F509)</f>
        <v>613</v>
      </c>
      <c r="G510" s="1818">
        <f>SUM(G504:G509)</f>
        <v>383</v>
      </c>
      <c r="H510" s="1822">
        <f>G510/F510*100</f>
        <v>62.479608482871129</v>
      </c>
    </row>
    <row r="511" spans="1:8" s="1638" customFormat="1" ht="14.25" customHeight="1" thickTop="1" x14ac:dyDescent="0.25">
      <c r="A511" s="1806"/>
      <c r="B511" s="1802"/>
      <c r="C511" s="1802"/>
      <c r="D511" s="1803"/>
      <c r="E511" s="1829"/>
      <c r="F511" s="1829"/>
      <c r="G511" s="1829"/>
      <c r="H511" s="1803"/>
    </row>
    <row r="512" spans="1:8" ht="15" customHeight="1" x14ac:dyDescent="0.25">
      <c r="A512" s="1808" t="s">
        <v>1713</v>
      </c>
    </row>
    <row r="513" spans="1:8" ht="15.75" thickBot="1" x14ac:dyDescent="0.3">
      <c r="A513" s="1808" t="s">
        <v>1073</v>
      </c>
      <c r="H513" s="1892" t="s">
        <v>161</v>
      </c>
    </row>
    <row r="514" spans="1:8" s="1638" customFormat="1" ht="25.5" thickTop="1" thickBot="1" x14ac:dyDescent="0.25">
      <c r="A514" s="1809" t="s">
        <v>162</v>
      </c>
      <c r="B514" s="1810" t="s">
        <v>761</v>
      </c>
      <c r="C514" s="1810" t="s">
        <v>377</v>
      </c>
      <c r="D514" s="1811" t="s">
        <v>164</v>
      </c>
      <c r="E514" s="1833" t="s">
        <v>632</v>
      </c>
      <c r="F514" s="1833" t="s">
        <v>633</v>
      </c>
      <c r="G514" s="1834" t="s">
        <v>882</v>
      </c>
      <c r="H514" s="1835" t="s">
        <v>883</v>
      </c>
    </row>
    <row r="515" spans="1:8" s="1638" customFormat="1" ht="13.5" thickTop="1" thickBot="1" x14ac:dyDescent="0.25">
      <c r="A515" s="1643">
        <v>1</v>
      </c>
      <c r="B515" s="1642">
        <v>2</v>
      </c>
      <c r="C515" s="1642">
        <v>3</v>
      </c>
      <c r="D515" s="1642">
        <v>4</v>
      </c>
      <c r="E515" s="1641">
        <v>5</v>
      </c>
      <c r="F515" s="1641">
        <v>6</v>
      </c>
      <c r="G515" s="1877">
        <v>7</v>
      </c>
      <c r="H515" s="1901" t="s">
        <v>61</v>
      </c>
    </row>
    <row r="516" spans="1:8" s="1638" customFormat="1" ht="15.75" hidden="1" customHeight="1" x14ac:dyDescent="0.2">
      <c r="A516" s="1815">
        <v>4357</v>
      </c>
      <c r="B516" s="1816">
        <v>6121</v>
      </c>
      <c r="C516" s="1816">
        <v>11</v>
      </c>
      <c r="D516" s="1836" t="s">
        <v>603</v>
      </c>
      <c r="E516" s="1845"/>
      <c r="F516" s="1845"/>
      <c r="G516" s="1845"/>
      <c r="H516" s="1821">
        <v>0</v>
      </c>
    </row>
    <row r="517" spans="1:8" s="1638" customFormat="1" ht="15.75" thickTop="1" x14ac:dyDescent="0.2">
      <c r="A517" s="1815">
        <v>3523</v>
      </c>
      <c r="B517" s="1816">
        <v>5169</v>
      </c>
      <c r="C517" s="1816">
        <v>60100884</v>
      </c>
      <c r="D517" s="1836" t="s">
        <v>852</v>
      </c>
      <c r="E517" s="1845">
        <v>0</v>
      </c>
      <c r="F517" s="1845">
        <v>50</v>
      </c>
      <c r="G517" s="1845">
        <v>0</v>
      </c>
      <c r="H517" s="1821">
        <f t="shared" ref="H517:H521" si="30">G517/F517*100</f>
        <v>0</v>
      </c>
    </row>
    <row r="518" spans="1:8" s="1638" customFormat="1" ht="15.75" customHeight="1" x14ac:dyDescent="0.2">
      <c r="A518" s="1815">
        <v>3523</v>
      </c>
      <c r="B518" s="1816">
        <v>6121</v>
      </c>
      <c r="C518" s="1816">
        <v>14</v>
      </c>
      <c r="D518" s="1836" t="s">
        <v>603</v>
      </c>
      <c r="E518" s="1845">
        <v>6843</v>
      </c>
      <c r="F518" s="1845">
        <v>0</v>
      </c>
      <c r="G518" s="1845">
        <v>0</v>
      </c>
      <c r="H518" s="1821">
        <v>0</v>
      </c>
    </row>
    <row r="519" spans="1:8" s="1638" customFormat="1" ht="15.75" hidden="1" customHeight="1" x14ac:dyDescent="0.2">
      <c r="A519" s="1815">
        <v>4357</v>
      </c>
      <c r="B519" s="1816">
        <v>6121</v>
      </c>
      <c r="C519" s="1816">
        <v>38500881</v>
      </c>
      <c r="D519" s="1836" t="s">
        <v>603</v>
      </c>
      <c r="E519" s="1845"/>
      <c r="F519" s="1845"/>
      <c r="G519" s="1845"/>
      <c r="H519" s="1821" t="e">
        <f t="shared" si="30"/>
        <v>#DIV/0!</v>
      </c>
    </row>
    <row r="520" spans="1:8" s="1638" customFormat="1" ht="15.75" hidden="1" customHeight="1" x14ac:dyDescent="0.2">
      <c r="A520" s="1815">
        <v>4357</v>
      </c>
      <c r="B520" s="1816">
        <v>6121</v>
      </c>
      <c r="C520" s="1816">
        <v>38587505</v>
      </c>
      <c r="D520" s="1836" t="s">
        <v>603</v>
      </c>
      <c r="E520" s="1845">
        <v>0</v>
      </c>
      <c r="F520" s="1845">
        <v>0</v>
      </c>
      <c r="G520" s="1845">
        <v>0</v>
      </c>
      <c r="H520" s="1827" t="e">
        <f t="shared" si="30"/>
        <v>#DIV/0!</v>
      </c>
    </row>
    <row r="521" spans="1:8" s="1638" customFormat="1" ht="15.75" customHeight="1" thickBot="1" x14ac:dyDescent="0.25">
      <c r="A521" s="1815">
        <v>3523</v>
      </c>
      <c r="B521" s="1816">
        <v>6121</v>
      </c>
      <c r="C521" s="1816">
        <v>60100884</v>
      </c>
      <c r="D521" s="1836" t="s">
        <v>603</v>
      </c>
      <c r="E521" s="1845">
        <v>0</v>
      </c>
      <c r="F521" s="1845">
        <v>146</v>
      </c>
      <c r="G521" s="1845">
        <v>55</v>
      </c>
      <c r="H521" s="1821">
        <f t="shared" si="30"/>
        <v>37.671232876712331</v>
      </c>
    </row>
    <row r="522" spans="1:8" s="1638" customFormat="1" ht="16.5" thickTop="1" thickBot="1" x14ac:dyDescent="0.3">
      <c r="A522" s="2751" t="s">
        <v>763</v>
      </c>
      <c r="B522" s="2752"/>
      <c r="C522" s="2752"/>
      <c r="D522" s="2752"/>
      <c r="E522" s="1818">
        <f>SUM(E516:E521)</f>
        <v>6843</v>
      </c>
      <c r="F522" s="1818">
        <f>SUM(F516:F521)</f>
        <v>196</v>
      </c>
      <c r="G522" s="1818">
        <f>SUM(G516:G521)</f>
        <v>55</v>
      </c>
      <c r="H522" s="1822">
        <f>G522/F522*100</f>
        <v>28.061224489795915</v>
      </c>
    </row>
    <row r="523" spans="1:8" s="1638" customFormat="1" ht="14.25" customHeight="1" thickTop="1" x14ac:dyDescent="0.25">
      <c r="A523" s="1806"/>
      <c r="B523" s="1802"/>
      <c r="C523" s="1802"/>
      <c r="D523" s="1803"/>
      <c r="E523" s="1829"/>
      <c r="F523" s="1829"/>
      <c r="G523" s="1829"/>
      <c r="H523" s="1803"/>
    </row>
    <row r="524" spans="1:8" s="1638" customFormat="1" ht="14.25" hidden="1" customHeight="1" x14ac:dyDescent="0.25">
      <c r="A524" s="1806"/>
      <c r="B524" s="1802"/>
      <c r="C524" s="1802"/>
      <c r="D524" s="1803"/>
      <c r="E524" s="1829"/>
      <c r="F524" s="1829"/>
      <c r="G524" s="1829"/>
      <c r="H524" s="1803"/>
    </row>
    <row r="525" spans="1:8" s="1638" customFormat="1" ht="14.25" hidden="1" customHeight="1" x14ac:dyDescent="0.25">
      <c r="A525" s="1806"/>
      <c r="B525" s="1802"/>
      <c r="C525" s="1802"/>
      <c r="D525" s="1803"/>
      <c r="E525" s="1829"/>
      <c r="F525" s="1829"/>
      <c r="G525" s="1829"/>
      <c r="H525" s="1803"/>
    </row>
    <row r="526" spans="1:8" s="1638" customFormat="1" ht="14.25" hidden="1" customHeight="1" x14ac:dyDescent="0.25">
      <c r="A526" s="1806"/>
      <c r="B526" s="1802"/>
      <c r="C526" s="1802"/>
      <c r="D526" s="1803"/>
      <c r="E526" s="1829"/>
      <c r="F526" s="1829"/>
      <c r="G526" s="1829"/>
      <c r="H526" s="1803"/>
    </row>
    <row r="527" spans="1:8" s="1638" customFormat="1" ht="14.25" hidden="1" customHeight="1" x14ac:dyDescent="0.25">
      <c r="A527" s="1806"/>
      <c r="B527" s="1802"/>
      <c r="C527" s="1802"/>
      <c r="D527" s="1803"/>
      <c r="E527" s="1829"/>
      <c r="F527" s="1829"/>
      <c r="G527" s="1829"/>
      <c r="H527" s="1803"/>
    </row>
    <row r="528" spans="1:8" s="1638" customFormat="1" ht="14.25" hidden="1" customHeight="1" x14ac:dyDescent="0.25">
      <c r="A528" s="1806"/>
      <c r="B528" s="1802"/>
      <c r="C528" s="1802"/>
      <c r="D528" s="1803"/>
      <c r="E528" s="1829"/>
      <c r="F528" s="1829"/>
      <c r="G528" s="1829"/>
      <c r="H528" s="1803"/>
    </row>
    <row r="529" spans="1:8" s="1638" customFormat="1" ht="14.25" hidden="1" customHeight="1" x14ac:dyDescent="0.25">
      <c r="A529" s="1806"/>
      <c r="B529" s="1802"/>
      <c r="C529" s="1802"/>
      <c r="D529" s="1803"/>
      <c r="E529" s="1829"/>
      <c r="F529" s="1829"/>
      <c r="G529" s="1829"/>
      <c r="H529" s="1803"/>
    </row>
    <row r="530" spans="1:8" s="1638" customFormat="1" ht="14.25" hidden="1" customHeight="1" x14ac:dyDescent="0.25">
      <c r="A530" s="1806"/>
      <c r="B530" s="1802"/>
      <c r="C530" s="1802"/>
      <c r="D530" s="1803"/>
      <c r="E530" s="1829"/>
      <c r="F530" s="1829"/>
      <c r="G530" s="1829"/>
      <c r="H530" s="1803"/>
    </row>
    <row r="531" spans="1:8" s="1638" customFormat="1" ht="14.25" hidden="1" customHeight="1" x14ac:dyDescent="0.25">
      <c r="A531" s="1806"/>
      <c r="B531" s="1802"/>
      <c r="C531" s="1802"/>
      <c r="D531" s="1803"/>
      <c r="E531" s="1829"/>
      <c r="F531" s="1829"/>
      <c r="G531" s="1829"/>
      <c r="H531" s="1803"/>
    </row>
    <row r="532" spans="1:8" s="1638" customFormat="1" ht="14.25" customHeight="1" x14ac:dyDescent="0.25">
      <c r="A532" s="1806"/>
      <c r="B532" s="1802"/>
      <c r="C532" s="1802"/>
      <c r="D532" s="1803"/>
      <c r="E532" s="1829"/>
      <c r="F532" s="1829"/>
      <c r="G532" s="1829"/>
      <c r="H532" s="1803"/>
    </row>
    <row r="533" spans="1:8" ht="15" x14ac:dyDescent="0.25">
      <c r="A533" s="1808" t="s">
        <v>272</v>
      </c>
    </row>
    <row r="534" spans="1:8" ht="15.75" thickBot="1" x14ac:dyDescent="0.3">
      <c r="A534" s="1808" t="s">
        <v>544</v>
      </c>
      <c r="H534" s="1892" t="s">
        <v>161</v>
      </c>
    </row>
    <row r="535" spans="1:8" s="1638" customFormat="1" ht="25.5" thickTop="1" thickBot="1" x14ac:dyDescent="0.25">
      <c r="A535" s="1809" t="s">
        <v>162</v>
      </c>
      <c r="B535" s="1810" t="s">
        <v>761</v>
      </c>
      <c r="C535" s="1810" t="s">
        <v>377</v>
      </c>
      <c r="D535" s="1811" t="s">
        <v>164</v>
      </c>
      <c r="E535" s="1833" t="s">
        <v>632</v>
      </c>
      <c r="F535" s="1833" t="s">
        <v>633</v>
      </c>
      <c r="G535" s="1834" t="s">
        <v>882</v>
      </c>
      <c r="H535" s="1835" t="s">
        <v>883</v>
      </c>
    </row>
    <row r="536" spans="1:8" s="1638" customFormat="1" ht="13.5" thickTop="1" thickBot="1" x14ac:dyDescent="0.25">
      <c r="A536" s="1643">
        <v>1</v>
      </c>
      <c r="B536" s="1642">
        <v>2</v>
      </c>
      <c r="C536" s="1642">
        <v>3</v>
      </c>
      <c r="D536" s="1642">
        <v>4</v>
      </c>
      <c r="E536" s="1641">
        <v>5</v>
      </c>
      <c r="F536" s="1641">
        <v>6</v>
      </c>
      <c r="G536" s="1877">
        <v>7</v>
      </c>
      <c r="H536" s="1901" t="s">
        <v>61</v>
      </c>
    </row>
    <row r="537" spans="1:8" s="1638" customFormat="1" ht="15.75" customHeight="1" thickTop="1" x14ac:dyDescent="0.2">
      <c r="A537" s="1815">
        <v>2143</v>
      </c>
      <c r="B537" s="1816">
        <v>5139</v>
      </c>
      <c r="C537" s="1816">
        <v>38100880</v>
      </c>
      <c r="D537" s="1836" t="s">
        <v>270</v>
      </c>
      <c r="E537" s="1845">
        <v>0</v>
      </c>
      <c r="F537" s="1845">
        <v>144</v>
      </c>
      <c r="G537" s="1845">
        <v>144</v>
      </c>
      <c r="H537" s="1821">
        <v>0</v>
      </c>
    </row>
    <row r="538" spans="1:8" s="1638" customFormat="1" ht="15.75" customHeight="1" x14ac:dyDescent="0.2">
      <c r="A538" s="1815">
        <v>2143</v>
      </c>
      <c r="B538" s="1816">
        <v>5139</v>
      </c>
      <c r="C538" s="1816">
        <v>38500881</v>
      </c>
      <c r="D538" s="1836" t="s">
        <v>270</v>
      </c>
      <c r="E538" s="1845">
        <v>0</v>
      </c>
      <c r="F538" s="1845">
        <v>815</v>
      </c>
      <c r="G538" s="1845">
        <v>815</v>
      </c>
      <c r="H538" s="1821">
        <f>G538/F538*100</f>
        <v>100</v>
      </c>
    </row>
    <row r="539" spans="1:8" s="1638" customFormat="1" ht="15.75" customHeight="1" x14ac:dyDescent="0.2">
      <c r="A539" s="1815">
        <v>2143</v>
      </c>
      <c r="B539" s="1816">
        <v>5163</v>
      </c>
      <c r="C539" s="1816">
        <v>38100880</v>
      </c>
      <c r="D539" s="1836" t="s">
        <v>892</v>
      </c>
      <c r="E539" s="1845">
        <v>2</v>
      </c>
      <c r="F539" s="1845">
        <v>2</v>
      </c>
      <c r="G539" s="1845">
        <v>0</v>
      </c>
      <c r="H539" s="1821">
        <v>0</v>
      </c>
    </row>
    <row r="540" spans="1:8" s="1638" customFormat="1" ht="15.75" customHeight="1" x14ac:dyDescent="0.2">
      <c r="A540" s="1815">
        <v>2143</v>
      </c>
      <c r="B540" s="1816">
        <v>5163</v>
      </c>
      <c r="C540" s="1816">
        <v>38500881</v>
      </c>
      <c r="D540" s="1836" t="s">
        <v>892</v>
      </c>
      <c r="E540" s="1845">
        <v>8</v>
      </c>
      <c r="F540" s="1845">
        <v>8</v>
      </c>
      <c r="G540" s="1845">
        <v>0</v>
      </c>
      <c r="H540" s="1821">
        <f>G540/F540*100</f>
        <v>0</v>
      </c>
    </row>
    <row r="541" spans="1:8" s="1638" customFormat="1" ht="15.75" hidden="1" customHeight="1" x14ac:dyDescent="0.2">
      <c r="A541" s="1815">
        <v>2143</v>
      </c>
      <c r="B541" s="1816">
        <v>5166</v>
      </c>
      <c r="C541" s="1816">
        <v>38100880</v>
      </c>
      <c r="D541" s="1836" t="s">
        <v>609</v>
      </c>
      <c r="E541" s="1845"/>
      <c r="F541" s="1845"/>
      <c r="G541" s="1845"/>
      <c r="H541" s="1821">
        <v>0</v>
      </c>
    </row>
    <row r="542" spans="1:8" s="1638" customFormat="1" ht="15.75" hidden="1" customHeight="1" x14ac:dyDescent="0.2">
      <c r="A542" s="1815">
        <v>2143</v>
      </c>
      <c r="B542" s="1816">
        <v>5166</v>
      </c>
      <c r="C542" s="1816">
        <v>38500881</v>
      </c>
      <c r="D542" s="1836" t="s">
        <v>609</v>
      </c>
      <c r="E542" s="1845"/>
      <c r="F542" s="1845"/>
      <c r="G542" s="1845"/>
      <c r="H542" s="1821">
        <v>0</v>
      </c>
    </row>
    <row r="543" spans="1:8" s="1638" customFormat="1" ht="15.75" customHeight="1" x14ac:dyDescent="0.2">
      <c r="A543" s="1815">
        <v>2143</v>
      </c>
      <c r="B543" s="1816">
        <v>5169</v>
      </c>
      <c r="C543" s="1816">
        <v>38100880</v>
      </c>
      <c r="D543" s="1836" t="s">
        <v>852</v>
      </c>
      <c r="E543" s="1845">
        <v>513</v>
      </c>
      <c r="F543" s="1845">
        <v>369</v>
      </c>
      <c r="G543" s="1845">
        <v>64</v>
      </c>
      <c r="H543" s="1821">
        <v>0</v>
      </c>
    </row>
    <row r="544" spans="1:8" s="1638" customFormat="1" ht="15.75" customHeight="1" x14ac:dyDescent="0.2">
      <c r="A544" s="1815">
        <v>2143</v>
      </c>
      <c r="B544" s="1816">
        <v>5169</v>
      </c>
      <c r="C544" s="1816">
        <v>38500881</v>
      </c>
      <c r="D544" s="1836" t="s">
        <v>852</v>
      </c>
      <c r="E544" s="1845">
        <v>2907</v>
      </c>
      <c r="F544" s="1845">
        <v>2092</v>
      </c>
      <c r="G544" s="1845">
        <v>361</v>
      </c>
      <c r="H544" s="1821">
        <f>G544/F544*100</f>
        <v>17.256214149139577</v>
      </c>
    </row>
    <row r="545" spans="1:8" s="1638" customFormat="1" ht="15.75" customHeight="1" x14ac:dyDescent="0.2">
      <c r="A545" s="1815">
        <v>2143</v>
      </c>
      <c r="B545" s="1816">
        <v>5173</v>
      </c>
      <c r="C545" s="1816">
        <v>38100880</v>
      </c>
      <c r="D545" s="1836" t="s">
        <v>1152</v>
      </c>
      <c r="E545" s="1845">
        <v>11</v>
      </c>
      <c r="F545" s="1845">
        <v>11</v>
      </c>
      <c r="G545" s="1845">
        <v>0</v>
      </c>
      <c r="H545" s="1821">
        <f>G545/F545*100</f>
        <v>0</v>
      </c>
    </row>
    <row r="546" spans="1:8" s="1638" customFormat="1" ht="15.75" customHeight="1" thickBot="1" x14ac:dyDescent="0.25">
      <c r="A546" s="1815">
        <v>2143</v>
      </c>
      <c r="B546" s="1816">
        <v>5173</v>
      </c>
      <c r="C546" s="1816">
        <v>38500881</v>
      </c>
      <c r="D546" s="1836" t="s">
        <v>1152</v>
      </c>
      <c r="E546" s="1845">
        <v>59</v>
      </c>
      <c r="F546" s="1845">
        <v>59</v>
      </c>
      <c r="G546" s="1845">
        <v>0</v>
      </c>
      <c r="H546" s="1821">
        <f>G546/F546*100</f>
        <v>0</v>
      </c>
    </row>
    <row r="547" spans="1:8" s="1638" customFormat="1" ht="16.5" thickTop="1" thickBot="1" x14ac:dyDescent="0.3">
      <c r="A547" s="2751" t="s">
        <v>763</v>
      </c>
      <c r="B547" s="2752"/>
      <c r="C547" s="2752"/>
      <c r="D547" s="2752"/>
      <c r="E547" s="1818">
        <f>SUM(E537:E546)</f>
        <v>3500</v>
      </c>
      <c r="F547" s="1818">
        <f>SUM(F537:F546)</f>
        <v>3500</v>
      </c>
      <c r="G547" s="1818">
        <f>SUM(G537:G546)</f>
        <v>1384</v>
      </c>
      <c r="H547" s="1822">
        <f>G547/F547*100</f>
        <v>39.542857142857137</v>
      </c>
    </row>
    <row r="548" spans="1:8" s="1638" customFormat="1" ht="14.25" customHeight="1" thickTop="1" x14ac:dyDescent="0.25">
      <c r="A548" s="1806"/>
      <c r="B548" s="1802"/>
      <c r="C548" s="1802"/>
      <c r="D548" s="1803"/>
      <c r="E548" s="1829"/>
      <c r="F548" s="1829"/>
      <c r="G548" s="1829"/>
      <c r="H548" s="1803"/>
    </row>
    <row r="549" spans="1:8" ht="15" hidden="1" customHeight="1" x14ac:dyDescent="0.25">
      <c r="A549" s="1808" t="s">
        <v>1290</v>
      </c>
    </row>
    <row r="550" spans="1:8" ht="15" hidden="1" x14ac:dyDescent="0.25">
      <c r="A550" s="1808" t="s">
        <v>1291</v>
      </c>
      <c r="H550" s="1892" t="s">
        <v>161</v>
      </c>
    </row>
    <row r="551" spans="1:8" s="1638" customFormat="1" ht="25.5" hidden="1" thickTop="1" thickBot="1" x14ac:dyDescent="0.25">
      <c r="A551" s="1809" t="s">
        <v>162</v>
      </c>
      <c r="B551" s="1810" t="s">
        <v>761</v>
      </c>
      <c r="C551" s="1810" t="s">
        <v>377</v>
      </c>
      <c r="D551" s="1811" t="s">
        <v>164</v>
      </c>
      <c r="E551" s="1833" t="s">
        <v>632</v>
      </c>
      <c r="F551" s="1833" t="s">
        <v>633</v>
      </c>
      <c r="G551" s="1834" t="s">
        <v>882</v>
      </c>
      <c r="H551" s="1835" t="s">
        <v>883</v>
      </c>
    </row>
    <row r="552" spans="1:8" s="1638" customFormat="1" ht="13.5" hidden="1" thickTop="1" thickBot="1" x14ac:dyDescent="0.25">
      <c r="A552" s="1643">
        <v>1</v>
      </c>
      <c r="B552" s="1642">
        <v>2</v>
      </c>
      <c r="C552" s="1642">
        <v>3</v>
      </c>
      <c r="D552" s="1642">
        <v>4</v>
      </c>
      <c r="E552" s="1641">
        <v>5</v>
      </c>
      <c r="F552" s="1641">
        <v>6</v>
      </c>
      <c r="G552" s="1877">
        <v>7</v>
      </c>
      <c r="H552" s="1901" t="s">
        <v>61</v>
      </c>
    </row>
    <row r="553" spans="1:8" s="1638" customFormat="1" ht="15" hidden="1" x14ac:dyDescent="0.2">
      <c r="A553" s="1815">
        <v>3315</v>
      </c>
      <c r="B553" s="1816">
        <v>5169</v>
      </c>
      <c r="C553" s="1971" t="s">
        <v>1725</v>
      </c>
      <c r="D553" s="1836" t="s">
        <v>852</v>
      </c>
      <c r="E553" s="1845"/>
      <c r="F553" s="1845"/>
      <c r="G553" s="1845"/>
      <c r="H553" s="1821" t="e">
        <f>G553/F553*100</f>
        <v>#DIV/0!</v>
      </c>
    </row>
    <row r="554" spans="1:8" s="1638" customFormat="1" ht="15" hidden="1" x14ac:dyDescent="0.2">
      <c r="A554" s="1815">
        <v>3315</v>
      </c>
      <c r="B554" s="1816">
        <v>5169</v>
      </c>
      <c r="C554" s="1971" t="s">
        <v>1726</v>
      </c>
      <c r="D554" s="1836" t="s">
        <v>852</v>
      </c>
      <c r="E554" s="1845"/>
      <c r="F554" s="1845"/>
      <c r="G554" s="1845"/>
      <c r="H554" s="1821" t="e">
        <f>G554/F554*100</f>
        <v>#DIV/0!</v>
      </c>
    </row>
    <row r="555" spans="1:8" s="1638" customFormat="1" ht="15" hidden="1" x14ac:dyDescent="0.2">
      <c r="A555" s="1815">
        <v>3315</v>
      </c>
      <c r="B555" s="1816">
        <v>5169</v>
      </c>
      <c r="C555" s="1971" t="s">
        <v>1727</v>
      </c>
      <c r="D555" s="1836" t="s">
        <v>852</v>
      </c>
      <c r="E555" s="1845"/>
      <c r="F555" s="1845"/>
      <c r="G555" s="1845"/>
      <c r="H555" s="1821" t="e">
        <f>G555/F555*100</f>
        <v>#DIV/0!</v>
      </c>
    </row>
    <row r="556" spans="1:8" s="1638" customFormat="1" ht="15" hidden="1" x14ac:dyDescent="0.2">
      <c r="A556" s="1815">
        <v>3315</v>
      </c>
      <c r="B556" s="1816">
        <v>5169</v>
      </c>
      <c r="C556" s="1971" t="s">
        <v>1722</v>
      </c>
      <c r="D556" s="1836" t="s">
        <v>852</v>
      </c>
      <c r="E556" s="1845"/>
      <c r="F556" s="1845"/>
      <c r="G556" s="1845"/>
      <c r="H556" s="1821" t="e">
        <f>G556/F556*100</f>
        <v>#DIV/0!</v>
      </c>
    </row>
    <row r="557" spans="1:8" s="1638" customFormat="1" ht="16.5" hidden="1" thickTop="1" thickBot="1" x14ac:dyDescent="0.3">
      <c r="A557" s="2751" t="s">
        <v>763</v>
      </c>
      <c r="B557" s="2752"/>
      <c r="C557" s="2752"/>
      <c r="D557" s="2752"/>
      <c r="E557" s="1818">
        <f>SUM(E553:E556)</f>
        <v>0</v>
      </c>
      <c r="F557" s="1818">
        <f>SUM(F553:F556)</f>
        <v>0</v>
      </c>
      <c r="G557" s="1818">
        <f>SUM(G553:G556)</f>
        <v>0</v>
      </c>
      <c r="H557" s="1819" t="e">
        <f>G557/F557*100</f>
        <v>#DIV/0!</v>
      </c>
    </row>
    <row r="558" spans="1:8" s="1638" customFormat="1" ht="15" x14ac:dyDescent="0.25">
      <c r="A558" s="1823"/>
      <c r="B558" s="1823"/>
      <c r="C558" s="1823"/>
      <c r="D558" s="1823"/>
      <c r="E558" s="1824"/>
      <c r="F558" s="1824"/>
      <c r="G558" s="1824"/>
      <c r="H558" s="1849"/>
    </row>
    <row r="559" spans="1:8" ht="15" hidden="1" x14ac:dyDescent="0.25">
      <c r="A559" s="1808" t="s">
        <v>1544</v>
      </c>
    </row>
    <row r="560" spans="1:8" ht="15" hidden="1" x14ac:dyDescent="0.25">
      <c r="A560" s="1808" t="s">
        <v>543</v>
      </c>
      <c r="H560" s="1892" t="s">
        <v>161</v>
      </c>
    </row>
    <row r="561" spans="1:10" s="1638" customFormat="1" ht="25.5" hidden="1" thickTop="1" thickBot="1" x14ac:dyDescent="0.25">
      <c r="A561" s="1809" t="s">
        <v>162</v>
      </c>
      <c r="B561" s="1810" t="s">
        <v>761</v>
      </c>
      <c r="C561" s="1810" t="s">
        <v>377</v>
      </c>
      <c r="D561" s="1811" t="s">
        <v>164</v>
      </c>
      <c r="E561" s="1833" t="s">
        <v>632</v>
      </c>
      <c r="F561" s="1833" t="s">
        <v>633</v>
      </c>
      <c r="G561" s="1834" t="s">
        <v>882</v>
      </c>
      <c r="H561" s="1835" t="s">
        <v>883</v>
      </c>
    </row>
    <row r="562" spans="1:10" s="1638" customFormat="1" ht="13.5" hidden="1" thickTop="1" thickBot="1" x14ac:dyDescent="0.25">
      <c r="A562" s="1643">
        <v>1</v>
      </c>
      <c r="B562" s="1642">
        <v>2</v>
      </c>
      <c r="C562" s="1642">
        <v>3</v>
      </c>
      <c r="D562" s="1642">
        <v>4</v>
      </c>
      <c r="E562" s="1641">
        <v>5</v>
      </c>
      <c r="F562" s="1641">
        <v>6</v>
      </c>
      <c r="G562" s="1877">
        <v>7</v>
      </c>
      <c r="H562" s="1901" t="s">
        <v>61</v>
      </c>
    </row>
    <row r="563" spans="1:10" s="1638" customFormat="1" ht="15.75" hidden="1" customHeight="1" thickTop="1" x14ac:dyDescent="0.2">
      <c r="A563" s="1815">
        <v>3522</v>
      </c>
      <c r="B563" s="1816">
        <v>6121</v>
      </c>
      <c r="C563" s="1971" t="s">
        <v>1545</v>
      </c>
      <c r="D563" s="1836" t="s">
        <v>603</v>
      </c>
      <c r="E563" s="1845">
        <v>0</v>
      </c>
      <c r="F563" s="1845"/>
      <c r="G563" s="1845"/>
      <c r="H563" s="1821" t="e">
        <f>G563/F563*100</f>
        <v>#DIV/0!</v>
      </c>
    </row>
    <row r="564" spans="1:10" s="1638" customFormat="1" ht="15.75" hidden="1" customHeight="1" x14ac:dyDescent="0.2">
      <c r="A564" s="1815">
        <v>3522</v>
      </c>
      <c r="B564" s="1816">
        <v>6121</v>
      </c>
      <c r="C564" s="1816">
        <v>38100870</v>
      </c>
      <c r="D564" s="1836" t="s">
        <v>603</v>
      </c>
      <c r="E564" s="1845">
        <v>0</v>
      </c>
      <c r="F564" s="1845"/>
      <c r="G564" s="1845"/>
      <c r="H564" s="1821" t="e">
        <f>G564/F564*100</f>
        <v>#DIV/0!</v>
      </c>
    </row>
    <row r="565" spans="1:10" s="1638" customFormat="1" ht="15.75" hidden="1" customHeight="1" x14ac:dyDescent="0.2">
      <c r="A565" s="1815">
        <v>3522</v>
      </c>
      <c r="B565" s="1816">
        <v>6121</v>
      </c>
      <c r="C565" s="1816">
        <v>38100874</v>
      </c>
      <c r="D565" s="1836" t="s">
        <v>603</v>
      </c>
      <c r="E565" s="1845">
        <v>0</v>
      </c>
      <c r="F565" s="1845"/>
      <c r="G565" s="1845"/>
      <c r="H565" s="1821" t="e">
        <f>G565/F565*100</f>
        <v>#DIV/0!</v>
      </c>
    </row>
    <row r="566" spans="1:10" s="1638" customFormat="1" ht="15.75" hidden="1" customHeight="1" thickBot="1" x14ac:dyDescent="0.25">
      <c r="A566" s="1815">
        <v>3522</v>
      </c>
      <c r="B566" s="1903">
        <v>6121</v>
      </c>
      <c r="C566" s="1972">
        <v>38500871</v>
      </c>
      <c r="D566" s="1836" t="s">
        <v>603</v>
      </c>
      <c r="E566" s="1845">
        <v>0</v>
      </c>
      <c r="F566" s="1845"/>
      <c r="G566" s="1845"/>
      <c r="H566" s="1821" t="e">
        <f>G566/F566*100</f>
        <v>#DIV/0!</v>
      </c>
    </row>
    <row r="567" spans="1:10" s="1638" customFormat="1" ht="16.5" hidden="1" thickTop="1" thickBot="1" x14ac:dyDescent="0.3">
      <c r="A567" s="2751" t="s">
        <v>763</v>
      </c>
      <c r="B567" s="2752"/>
      <c r="C567" s="2752"/>
      <c r="D567" s="2752"/>
      <c r="E567" s="1818">
        <f>SUM(E563:E566)</f>
        <v>0</v>
      </c>
      <c r="F567" s="1818">
        <f>SUM(F563:F566)</f>
        <v>0</v>
      </c>
      <c r="G567" s="1818">
        <f>SUM(G563:G566)</f>
        <v>0</v>
      </c>
      <c r="H567" s="1822" t="e">
        <f>G567/F567*100</f>
        <v>#DIV/0!</v>
      </c>
    </row>
    <row r="568" spans="1:10" s="1638" customFormat="1" ht="8.25" customHeight="1" x14ac:dyDescent="0.25">
      <c r="A568" s="1823"/>
      <c r="B568" s="1823"/>
      <c r="C568" s="1823"/>
      <c r="D568" s="1823"/>
      <c r="E568" s="1824"/>
      <c r="F568" s="1824"/>
      <c r="G568" s="1824"/>
      <c r="H568" s="1849"/>
    </row>
    <row r="569" spans="1:10" ht="15" x14ac:dyDescent="0.25">
      <c r="A569" s="1808" t="s">
        <v>1364</v>
      </c>
      <c r="J569" s="1850"/>
    </row>
    <row r="570" spans="1:10" ht="15.75" thickBot="1" x14ac:dyDescent="0.3">
      <c r="A570" s="1808" t="s">
        <v>1363</v>
      </c>
      <c r="H570" s="1892" t="s">
        <v>161</v>
      </c>
    </row>
    <row r="571" spans="1:10" s="1638" customFormat="1" ht="25.5" thickTop="1" thickBot="1" x14ac:dyDescent="0.25">
      <c r="A571" s="1809" t="s">
        <v>162</v>
      </c>
      <c r="B571" s="1810" t="s">
        <v>761</v>
      </c>
      <c r="C571" s="1810" t="s">
        <v>377</v>
      </c>
      <c r="D571" s="1811" t="s">
        <v>164</v>
      </c>
      <c r="E571" s="1833" t="s">
        <v>632</v>
      </c>
      <c r="F571" s="1833" t="s">
        <v>633</v>
      </c>
      <c r="G571" s="1834" t="s">
        <v>882</v>
      </c>
      <c r="H571" s="1835" t="s">
        <v>883</v>
      </c>
    </row>
    <row r="572" spans="1:10" s="1638" customFormat="1" ht="13.5" thickTop="1" thickBot="1" x14ac:dyDescent="0.25">
      <c r="A572" s="1643">
        <v>1</v>
      </c>
      <c r="B572" s="1642">
        <v>2</v>
      </c>
      <c r="C572" s="1642">
        <v>3</v>
      </c>
      <c r="D572" s="1642">
        <v>4</v>
      </c>
      <c r="E572" s="1641">
        <v>5</v>
      </c>
      <c r="F572" s="1641">
        <v>6</v>
      </c>
      <c r="G572" s="1877">
        <v>7</v>
      </c>
      <c r="H572" s="1901" t="s">
        <v>61</v>
      </c>
    </row>
    <row r="573" spans="1:10" s="1638" customFormat="1" ht="15.75" hidden="1" customHeight="1" thickTop="1" x14ac:dyDescent="0.2">
      <c r="A573" s="1815">
        <v>3522</v>
      </c>
      <c r="B573" s="1903">
        <v>6121</v>
      </c>
      <c r="C573" s="1971" t="s">
        <v>446</v>
      </c>
      <c r="D573" s="1836" t="s">
        <v>603</v>
      </c>
      <c r="E573" s="1845">
        <v>0</v>
      </c>
      <c r="F573" s="1845"/>
      <c r="G573" s="1845"/>
      <c r="H573" s="1821" t="e">
        <f t="shared" ref="H573:H578" si="31">G573/F573*100</f>
        <v>#DIV/0!</v>
      </c>
    </row>
    <row r="574" spans="1:10" s="1638" customFormat="1" ht="15.75" customHeight="1" thickTop="1" x14ac:dyDescent="0.2">
      <c r="A574" s="1815">
        <v>3522</v>
      </c>
      <c r="B574" s="1816">
        <v>6121</v>
      </c>
      <c r="C574" s="1971" t="s">
        <v>1545</v>
      </c>
      <c r="D574" s="1836" t="s">
        <v>603</v>
      </c>
      <c r="E574" s="1845">
        <v>0</v>
      </c>
      <c r="F574" s="1845">
        <v>11</v>
      </c>
      <c r="G574" s="1845">
        <v>0</v>
      </c>
      <c r="H574" s="1821">
        <f t="shared" si="31"/>
        <v>0</v>
      </c>
    </row>
    <row r="575" spans="1:10" s="1638" customFormat="1" ht="15.75" hidden="1" customHeight="1" x14ac:dyDescent="0.2">
      <c r="A575" s="1815">
        <v>3522</v>
      </c>
      <c r="B575" s="1816">
        <v>6121</v>
      </c>
      <c r="C575" s="1816">
        <v>38100870</v>
      </c>
      <c r="D575" s="1836" t="s">
        <v>603</v>
      </c>
      <c r="E575" s="1845">
        <v>0</v>
      </c>
      <c r="F575" s="1845"/>
      <c r="G575" s="1845"/>
      <c r="H575" s="1821" t="e">
        <f t="shared" si="31"/>
        <v>#DIV/0!</v>
      </c>
    </row>
    <row r="576" spans="1:10" s="1638" customFormat="1" ht="15.75" customHeight="1" thickBot="1" x14ac:dyDescent="0.25">
      <c r="A576" s="1815">
        <v>3522</v>
      </c>
      <c r="B576" s="1816">
        <v>6121</v>
      </c>
      <c r="C576" s="1816">
        <v>38100874</v>
      </c>
      <c r="D576" s="1836" t="s">
        <v>603</v>
      </c>
      <c r="E576" s="1845">
        <v>0</v>
      </c>
      <c r="F576" s="1845">
        <v>54</v>
      </c>
      <c r="G576" s="1845">
        <v>2</v>
      </c>
      <c r="H576" s="1821">
        <f t="shared" si="31"/>
        <v>3.7037037037037033</v>
      </c>
    </row>
    <row r="577" spans="1:8" s="1638" customFormat="1" ht="15.75" hidden="1" customHeight="1" thickBot="1" x14ac:dyDescent="0.25">
      <c r="A577" s="1815">
        <v>3522</v>
      </c>
      <c r="B577" s="1903">
        <v>6121</v>
      </c>
      <c r="C577" s="1972">
        <v>38500871</v>
      </c>
      <c r="D577" s="1836" t="s">
        <v>603</v>
      </c>
      <c r="E577" s="1845">
        <v>0</v>
      </c>
      <c r="F577" s="1845"/>
      <c r="G577" s="1845"/>
      <c r="H577" s="1821" t="e">
        <f t="shared" si="31"/>
        <v>#DIV/0!</v>
      </c>
    </row>
    <row r="578" spans="1:8" s="1638" customFormat="1" ht="16.5" thickTop="1" thickBot="1" x14ac:dyDescent="0.3">
      <c r="A578" s="2751" t="s">
        <v>763</v>
      </c>
      <c r="B578" s="2752"/>
      <c r="C578" s="2752"/>
      <c r="D578" s="2752"/>
      <c r="E578" s="1818">
        <f>SUM(E573:E577)</f>
        <v>0</v>
      </c>
      <c r="F578" s="1818">
        <f>SUM(F573:F577)</f>
        <v>65</v>
      </c>
      <c r="G578" s="1818">
        <f>SUM(G573:G577)</f>
        <v>2</v>
      </c>
      <c r="H578" s="1822">
        <f t="shared" si="31"/>
        <v>3.0769230769230771</v>
      </c>
    </row>
    <row r="579" spans="1:8" s="1638" customFormat="1" ht="15.75" thickTop="1" x14ac:dyDescent="0.25">
      <c r="A579" s="1823"/>
      <c r="B579" s="1823"/>
      <c r="C579" s="1823"/>
      <c r="D579" s="1823"/>
      <c r="E579" s="1824"/>
      <c r="F579" s="1824"/>
      <c r="G579" s="1824"/>
      <c r="H579" s="1849"/>
    </row>
    <row r="580" spans="1:8" ht="15" hidden="1" x14ac:dyDescent="0.25">
      <c r="A580" s="1808" t="s">
        <v>1728</v>
      </c>
    </row>
    <row r="581" spans="1:8" ht="1.5" hidden="1" customHeight="1" thickBot="1" x14ac:dyDescent="0.3">
      <c r="A581" s="1808"/>
      <c r="H581" s="1892" t="s">
        <v>161</v>
      </c>
    </row>
    <row r="582" spans="1:8" s="1638" customFormat="1" ht="25.5" hidden="1" thickTop="1" thickBot="1" x14ac:dyDescent="0.25">
      <c r="A582" s="1809" t="s">
        <v>162</v>
      </c>
      <c r="B582" s="1810" t="s">
        <v>761</v>
      </c>
      <c r="C582" s="1810" t="s">
        <v>377</v>
      </c>
      <c r="D582" s="1811" t="s">
        <v>164</v>
      </c>
      <c r="E582" s="1833" t="s">
        <v>632</v>
      </c>
      <c r="F582" s="1833" t="s">
        <v>633</v>
      </c>
      <c r="G582" s="1834" t="s">
        <v>882</v>
      </c>
      <c r="H582" s="1835" t="s">
        <v>883</v>
      </c>
    </row>
    <row r="583" spans="1:8" s="1638" customFormat="1" ht="13.5" hidden="1" thickTop="1" thickBot="1" x14ac:dyDescent="0.25">
      <c r="A583" s="1643">
        <v>1</v>
      </c>
      <c r="B583" s="1642">
        <v>2</v>
      </c>
      <c r="C583" s="1642">
        <v>3</v>
      </c>
      <c r="D583" s="1642">
        <v>4</v>
      </c>
      <c r="E583" s="1641">
        <v>5</v>
      </c>
      <c r="F583" s="1641">
        <v>6</v>
      </c>
      <c r="G583" s="1877">
        <v>7</v>
      </c>
      <c r="H583" s="1901" t="s">
        <v>61</v>
      </c>
    </row>
    <row r="584" spans="1:8" s="1638" customFormat="1" ht="15" hidden="1" x14ac:dyDescent="0.2">
      <c r="A584" s="1815">
        <v>2143</v>
      </c>
      <c r="B584" s="1816">
        <v>5169</v>
      </c>
      <c r="C584" s="1816"/>
      <c r="D584" s="1836" t="s">
        <v>852</v>
      </c>
      <c r="E584" s="1845"/>
      <c r="F584" s="1845">
        <v>0</v>
      </c>
      <c r="G584" s="1845">
        <v>0</v>
      </c>
      <c r="H584" s="1821">
        <v>0</v>
      </c>
    </row>
    <row r="585" spans="1:8" s="1638" customFormat="1" ht="15" hidden="1" x14ac:dyDescent="0.2">
      <c r="A585" s="1815">
        <v>3122</v>
      </c>
      <c r="B585" s="1816">
        <v>6122</v>
      </c>
      <c r="C585" s="1816"/>
      <c r="D585" s="1836" t="s">
        <v>604</v>
      </c>
      <c r="E585" s="1845">
        <v>0</v>
      </c>
      <c r="F585" s="1845"/>
      <c r="G585" s="1845"/>
      <c r="H585" s="1821" t="e">
        <f>G585/F585*100</f>
        <v>#DIV/0!</v>
      </c>
    </row>
    <row r="586" spans="1:8" s="1638" customFormat="1" ht="16.5" hidden="1" thickTop="1" thickBot="1" x14ac:dyDescent="0.3">
      <c r="A586" s="2751" t="s">
        <v>763</v>
      </c>
      <c r="B586" s="2752"/>
      <c r="C586" s="2752"/>
      <c r="D586" s="2752"/>
      <c r="E586" s="1818">
        <f>SUM(E584:E585)</f>
        <v>0</v>
      </c>
      <c r="F586" s="1818">
        <f>SUM(F584:F585)</f>
        <v>0</v>
      </c>
      <c r="G586" s="1818">
        <f>SUM(G584:G585)</f>
        <v>0</v>
      </c>
      <c r="H586" s="1822">
        <v>0</v>
      </c>
    </row>
    <row r="587" spans="1:8" s="1638" customFormat="1" ht="14.25" customHeight="1" x14ac:dyDescent="0.25">
      <c r="A587" s="1806"/>
      <c r="B587" s="1802"/>
      <c r="C587" s="1802"/>
      <c r="D587" s="1803"/>
      <c r="E587" s="1829"/>
      <c r="F587" s="1829"/>
      <c r="G587" s="1829"/>
      <c r="H587" s="1803"/>
    </row>
    <row r="588" spans="1:8" ht="15" hidden="1" x14ac:dyDescent="0.25">
      <c r="A588" s="1808" t="s">
        <v>1546</v>
      </c>
    </row>
    <row r="589" spans="1:8" ht="15" hidden="1" x14ac:dyDescent="0.25">
      <c r="A589" s="1808" t="s">
        <v>1547</v>
      </c>
      <c r="H589" s="1892" t="s">
        <v>161</v>
      </c>
    </row>
    <row r="590" spans="1:8" s="1638" customFormat="1" ht="25.5" hidden="1" thickTop="1" thickBot="1" x14ac:dyDescent="0.25">
      <c r="A590" s="1809" t="s">
        <v>162</v>
      </c>
      <c r="B590" s="1810" t="s">
        <v>761</v>
      </c>
      <c r="C590" s="1810" t="s">
        <v>377</v>
      </c>
      <c r="D590" s="1811" t="s">
        <v>164</v>
      </c>
      <c r="E590" s="1833" t="s">
        <v>632</v>
      </c>
      <c r="F590" s="1833" t="s">
        <v>633</v>
      </c>
      <c r="G590" s="1834" t="s">
        <v>882</v>
      </c>
      <c r="H590" s="1835" t="s">
        <v>883</v>
      </c>
    </row>
    <row r="591" spans="1:8" s="1638" customFormat="1" ht="13.5" hidden="1" thickTop="1" thickBot="1" x14ac:dyDescent="0.25">
      <c r="A591" s="1643">
        <v>1</v>
      </c>
      <c r="B591" s="1642">
        <v>2</v>
      </c>
      <c r="C591" s="1642">
        <v>3</v>
      </c>
      <c r="D591" s="1642">
        <v>4</v>
      </c>
      <c r="E591" s="1641">
        <v>5</v>
      </c>
      <c r="F591" s="1641">
        <v>6</v>
      </c>
      <c r="G591" s="1877">
        <v>7</v>
      </c>
      <c r="H591" s="1901" t="s">
        <v>61</v>
      </c>
    </row>
    <row r="592" spans="1:8" s="1638" customFormat="1" ht="15" hidden="1" x14ac:dyDescent="0.2">
      <c r="A592" s="1815">
        <v>4357</v>
      </c>
      <c r="B592" s="1816">
        <v>5137</v>
      </c>
      <c r="C592" s="1816">
        <v>36113003</v>
      </c>
      <c r="D592" s="1836" t="s">
        <v>155</v>
      </c>
      <c r="E592" s="1845"/>
      <c r="F592" s="1845"/>
      <c r="G592" s="1845"/>
      <c r="H592" s="1821" t="e">
        <f t="shared" ref="H592:H597" si="32">G592/F592*100</f>
        <v>#DIV/0!</v>
      </c>
    </row>
    <row r="593" spans="1:13" s="1638" customFormat="1" ht="15" hidden="1" x14ac:dyDescent="0.2">
      <c r="A593" s="1815">
        <v>4357</v>
      </c>
      <c r="B593" s="1816">
        <v>5137</v>
      </c>
      <c r="C593" s="1816">
        <v>36513003</v>
      </c>
      <c r="D593" s="1836"/>
      <c r="E593" s="1845"/>
      <c r="F593" s="1845"/>
      <c r="G593" s="1845"/>
      <c r="H593" s="1821" t="e">
        <f t="shared" si="32"/>
        <v>#DIV/0!</v>
      </c>
    </row>
    <row r="594" spans="1:13" s="1638" customFormat="1" ht="15" hidden="1" x14ac:dyDescent="0.2">
      <c r="A594" s="1815">
        <v>4357</v>
      </c>
      <c r="B594" s="1816">
        <v>6121</v>
      </c>
      <c r="C594" s="1816">
        <v>36100874</v>
      </c>
      <c r="D594" s="1836" t="s">
        <v>603</v>
      </c>
      <c r="E594" s="1845"/>
      <c r="F594" s="1845"/>
      <c r="G594" s="1845"/>
      <c r="H594" s="1821" t="e">
        <f t="shared" si="32"/>
        <v>#DIV/0!</v>
      </c>
      <c r="K594" s="1638">
        <v>207865</v>
      </c>
    </row>
    <row r="595" spans="1:13" s="1638" customFormat="1" ht="15" hidden="1" x14ac:dyDescent="0.2">
      <c r="A595" s="1815">
        <v>4357</v>
      </c>
      <c r="B595" s="1816">
        <v>6121</v>
      </c>
      <c r="C595" s="1816">
        <v>36113899</v>
      </c>
      <c r="D595" s="1836" t="s">
        <v>603</v>
      </c>
      <c r="E595" s="1845"/>
      <c r="F595" s="1845"/>
      <c r="G595" s="1845"/>
      <c r="H595" s="1821" t="e">
        <f t="shared" si="32"/>
        <v>#DIV/0!</v>
      </c>
      <c r="I595" s="2167" t="e">
        <f>E50+E51+E52+E53+E55+E58+E73+E104+E105+E159+E160+E163+E164+E166+E167+E168+E169+#REF!+#REF!+#REF!+E228+E229+E230+E231+E246+E291+E292+E293+E294+#REF!+#REF!+#REF!+#REF!+#REF!+E312+#REF!+E313+E314+E315+#REF!+E316+E317+E318+E319+E320+E321+#REF!+#REF!+#REF!+#REF!+E468+E469+E470+E471+E537+E538+E539+E540+E543+E544+E545+E546+E584+E592+E593+E553+E554+E555+E556</f>
        <v>#REF!</v>
      </c>
      <c r="J595" s="2167" t="e">
        <f>F50+F51+F52+F53+F55+F58+F73+F104+F105+F159+F160+F163+F164+F166+F167+F168+F169+#REF!+#REF!+#REF!+F228+F229+F230+F231+F246+F291+F292+F293+F294+#REF!+#REF!+#REF!+#REF!+#REF!+F312+#REF!+F313+F314+F315+#REF!+F316+F317+F318+F319+F320+F321+#REF!+#REF!+#REF!+#REF!+F468+F469+F470+F471+F537+F538+F539+F540+F543+F544+F545+F546+F584+F592+F593+F553+F554+F555+F556</f>
        <v>#REF!</v>
      </c>
      <c r="K595" s="2167" t="e">
        <f>G50+G51+G52+G53+G55+G58+G73+G104+G105+G159+G160+G163+G164+G166+G167+G168+G169+#REF!+#REF!+#REF!+G228+G229+G230+G231+G246+G291+G292+G293+G294+#REF!+#REF!+#REF!+#REF!+#REF!+G312+#REF!+G313+G314+G315+#REF!+G316+G317+G318+G319+G320+G321+#REF!+#REF!+#REF!+#REF!+G468+G469+G470+G471+G537+G538+G539+G540+G543+G544+G545+G546+G584+G592+G593+G553+G554+G555+G556</f>
        <v>#REF!</v>
      </c>
    </row>
    <row r="596" spans="1:13" s="1638" customFormat="1" ht="15" hidden="1" x14ac:dyDescent="0.2">
      <c r="A596" s="1815">
        <v>4357</v>
      </c>
      <c r="B596" s="1816">
        <v>6121</v>
      </c>
      <c r="C596" s="1816">
        <v>36513899</v>
      </c>
      <c r="D596" s="1836" t="s">
        <v>603</v>
      </c>
      <c r="E596" s="1845"/>
      <c r="F596" s="1845"/>
      <c r="G596" s="1845"/>
      <c r="H596" s="1821" t="e">
        <f t="shared" si="32"/>
        <v>#DIV/0!</v>
      </c>
      <c r="J596" s="2167" t="e">
        <f>F106+F107+F108+F109+F110+F111+F112+F136+#REF!+#REF!+#REF!+#REF!+#REF!+F199+F235+F322+F323+#REF!+#REF!+#REF!+#REF!+#REF!+#REF!+#REF!+F338+F339+F340+#REF!+#REF!+#REF!+F347+F348+F349+F357+F364+F459+F461+F472+F573+F574+F575+F576+F577+F594+F595+F596</f>
        <v>#REF!</v>
      </c>
      <c r="K596" s="2167" t="e">
        <f>G106+G107+G108+G109+G110+G111+G112+G136+#REF!+#REF!+#REF!+#REF!+#REF!+G199+G235+G322+G323+#REF!+#REF!+#REF!+#REF!+#REF!+#REF!+#REF!+G338+G339+G340+#REF!+#REF!+#REF!+G347+G348+G349+G357+G364+G459+G461+G472+G573+G574+G575+G576+G577+G594+G595+G596</f>
        <v>#REF!</v>
      </c>
    </row>
    <row r="597" spans="1:13" s="1638" customFormat="1" ht="16.5" hidden="1" thickTop="1" thickBot="1" x14ac:dyDescent="0.3">
      <c r="A597" s="2751" t="s">
        <v>763</v>
      </c>
      <c r="B597" s="2752"/>
      <c r="C597" s="2752"/>
      <c r="D597" s="2752"/>
      <c r="E597" s="1818">
        <f>SUM(E592:E596)</f>
        <v>0</v>
      </c>
      <c r="F597" s="1818">
        <f>SUM(F592:F596)</f>
        <v>0</v>
      </c>
      <c r="G597" s="1818">
        <f>SUM(G592:G596)</f>
        <v>0</v>
      </c>
      <c r="H597" s="1822" t="e">
        <f t="shared" si="32"/>
        <v>#DIV/0!</v>
      </c>
      <c r="J597" s="2167">
        <f>F597+F586+F578+F557+F547+F474+F462+F367+F351+F341+F324+F295+F247+F236+F221+F170+F140+F113+F80+F13</f>
        <v>137988</v>
      </c>
      <c r="K597" s="2167">
        <f>G597+G586+G578+G557+G547+G474+G462+G367+G351+G341+G324+G295+G247+G236+G221+G170+G140+G113+G80+G13</f>
        <v>310765</v>
      </c>
    </row>
    <row r="598" spans="1:13" s="1638" customFormat="1" ht="14.25" customHeight="1" x14ac:dyDescent="0.25">
      <c r="A598" s="1806"/>
      <c r="B598" s="1802"/>
      <c r="C598" s="1802"/>
      <c r="D598" s="1803"/>
      <c r="E598" s="1829"/>
      <c r="F598" s="1829"/>
      <c r="G598" s="1829"/>
      <c r="H598" s="1803"/>
    </row>
    <row r="599" spans="1:13" s="1638" customFormat="1" ht="14.25" customHeight="1" x14ac:dyDescent="0.25">
      <c r="A599" s="1806"/>
      <c r="B599" s="1802"/>
      <c r="C599" s="1802"/>
      <c r="D599" s="1803"/>
      <c r="E599" s="1829"/>
      <c r="F599" s="1829"/>
      <c r="G599" s="1829"/>
      <c r="H599" s="1803"/>
    </row>
    <row r="600" spans="1:13" s="1638" customFormat="1" ht="13.5" customHeight="1" x14ac:dyDescent="0.25">
      <c r="A600" s="1806"/>
      <c r="B600" s="1802"/>
      <c r="C600" s="1802"/>
      <c r="D600" s="1803"/>
      <c r="E600" s="1829"/>
      <c r="F600" s="1829"/>
      <c r="G600" s="1829"/>
      <c r="H600" s="1803"/>
    </row>
    <row r="601" spans="1:13" s="1638" customFormat="1" ht="6.75" customHeight="1" x14ac:dyDescent="0.25">
      <c r="A601" s="1806"/>
      <c r="B601" s="1802"/>
      <c r="C601" s="1802"/>
      <c r="D601" s="1803"/>
      <c r="E601" s="1829"/>
      <c r="F601" s="1829"/>
      <c r="G601" s="1829"/>
      <c r="H601" s="1803"/>
    </row>
    <row r="602" spans="1:13" ht="6.75" customHeight="1" x14ac:dyDescent="0.2"/>
    <row r="603" spans="1:13" ht="16.5" x14ac:dyDescent="0.25">
      <c r="A603" s="1860" t="s">
        <v>465</v>
      </c>
      <c r="B603" s="1861"/>
      <c r="C603" s="1862"/>
      <c r="D603" s="1863"/>
      <c r="E603" s="1864">
        <f>SUM(E604:E606)</f>
        <v>68255</v>
      </c>
      <c r="F603" s="1864">
        <f>F604+F605+F606+F607</f>
        <v>269709</v>
      </c>
      <c r="G603" s="1864">
        <f>G604+G605+G606+G607</f>
        <v>359446</v>
      </c>
      <c r="H603" s="1884">
        <f>G603/F603*100</f>
        <v>133.2717855169831</v>
      </c>
      <c r="J603" s="1866">
        <f>J604+J605+J606</f>
        <v>68255000</v>
      </c>
      <c r="K603" s="1866">
        <f>K604+K605+K606</f>
        <v>269709011.97000003</v>
      </c>
      <c r="L603" s="1866">
        <f>L604+L605+L606</f>
        <v>359446281.26999998</v>
      </c>
    </row>
    <row r="604" spans="1:13" ht="15" x14ac:dyDescent="0.2">
      <c r="A604" s="1600" t="s">
        <v>263</v>
      </c>
      <c r="B604" s="1603"/>
      <c r="C604" s="1598"/>
      <c r="D604" s="1867"/>
      <c r="E604" s="1601">
        <f>E73+E86+E87+E88+E89+E104+E105+E119+E120+E159+E160+E161+E162+E163+E164+E165+E166+E167+E168+E169+E176+E177+E178+E179+E180+E181+E182+E183+E199+E242+E243+E244+E245+E312+E313+E314+E315+E316+E317+E318+E319+E320+E321+E330+E331+E332+E333+E334+E357+E358+E359+E373+E374+E405+E406+E454+E455+E468+E469+E470+E517+E537+E538+E539+E540+E543+E544+E545+E546</f>
        <v>14941</v>
      </c>
      <c r="F604" s="1601">
        <f t="shared" ref="F604:G604" si="33">F73+F86+F87+F88+F89+F104+F105+F119+F120+F159+F160+F161+F162+F163+F164+F165+F166+F167+F168+F169+F176+F177+F178+F179+F180+F181+F182+F183+F199+F242+F243+F244+F245+F312+F313+F314+F315+F316+F317+F318+F319+F320+F321+F330+F331+F332+F333+F334+F357+F358+F359+F373+F374+F405+F406+F454+F455+F468+F469+F470+F517+F537+F538+F539+F540+F543+F544+F545+F546</f>
        <v>32230</v>
      </c>
      <c r="G604" s="1601">
        <f t="shared" si="33"/>
        <v>21025</v>
      </c>
      <c r="H604" s="1883">
        <f>G604/F604*100</f>
        <v>65.234253800806698</v>
      </c>
      <c r="J604" s="1868">
        <v>14941000</v>
      </c>
      <c r="K604" s="1868">
        <v>32229905.789999999</v>
      </c>
      <c r="L604" s="1868">
        <f>206889855.28-185864752.51</f>
        <v>21025102.770000011</v>
      </c>
      <c r="M604" s="1804"/>
    </row>
    <row r="605" spans="1:13" ht="15" x14ac:dyDescent="0.2">
      <c r="A605" s="1600" t="s">
        <v>264</v>
      </c>
      <c r="B605" s="1599"/>
      <c r="C605" s="1598"/>
      <c r="D605" s="1869"/>
      <c r="E605" s="1601">
        <f>E90+E91+E92+E93+E94+E95+E96+E97+E106+E107+E108+E109+E110+E112+E121+E122+E123+E124+E125+E126+E127+E128+E136+E137+E138+E146+E147+E190+E191+E246+E253+E254+E255+E256+E263+E264+E265+E266+E267+E274+E275+E276+E277+E278+E322+E323+E335+E336+E337+E338+E339+E340+E360+E361+E362+E363+E364+E375+E376+E377+E378+E379+E380+E389+E390+E391+E407+E408+E409+E421+E437+E456+E457+E458+E459+E460+E461+E471+E472+E480+E481+E482+E483+E484+E492+E493+E494+E495+E506+E518+E521+E574+E576</f>
        <v>53314</v>
      </c>
      <c r="F605" s="1601">
        <f t="shared" ref="F605:G605" si="34">F90+F91+F92+F93+F94+F95+F96+F97+F106+F107+F108+F109+F110+F112+F121+F122+F123+F124+F125+F126+F127+F128+F136+F137+F138+F146+F147+F190+F191+F246+F253+F254+F255+F256+F263+F264+F265+F266+F267+F274+F275+F276+F277+F278+F322+F323+F335+F336+F337+F338+F339+F340+F360+F361+F362+F363+F364+F375+F376+F377+F378+F379+F380+F389+F390+F391+F407+F408+F409+F421+F437+F456+F457+F458+F459+F460+F461+F471+F472+F480+F481+F482+F483+F484+F492+F493+F494+F495+F506+F518+F521+F574+F576</f>
        <v>237479</v>
      </c>
      <c r="G605" s="1601">
        <f t="shared" si="34"/>
        <v>152556</v>
      </c>
      <c r="H605" s="1883">
        <f>G605/F605*100</f>
        <v>64.239785412604903</v>
      </c>
      <c r="J605" s="1868">
        <v>53314000</v>
      </c>
      <c r="K605" s="1868">
        <v>237479106.18000001</v>
      </c>
      <c r="L605" s="1868">
        <v>152556425.99000001</v>
      </c>
      <c r="M605" s="1804"/>
    </row>
    <row r="606" spans="1:13" ht="15" x14ac:dyDescent="0.2">
      <c r="A606" s="1600" t="s">
        <v>466</v>
      </c>
      <c r="B606" s="1599"/>
      <c r="C606" s="1598"/>
      <c r="D606" s="1869"/>
      <c r="E606" s="1601">
        <f>E12</f>
        <v>0</v>
      </c>
      <c r="F606" s="1601">
        <f>F12</f>
        <v>0</v>
      </c>
      <c r="G606" s="1601">
        <f>G12</f>
        <v>185865</v>
      </c>
      <c r="H606" s="1883">
        <v>0</v>
      </c>
      <c r="J606" s="1868">
        <v>0</v>
      </c>
      <c r="K606" s="1868">
        <v>0</v>
      </c>
      <c r="L606" s="1868">
        <v>185864752.50999999</v>
      </c>
    </row>
    <row r="607" spans="1:13" ht="15" x14ac:dyDescent="0.2">
      <c r="A607" s="1600"/>
      <c r="B607" s="1599"/>
      <c r="C607" s="1598"/>
      <c r="D607" s="1869"/>
      <c r="E607" s="1601"/>
      <c r="F607" s="1601"/>
      <c r="G607" s="1601"/>
      <c r="H607" s="1597"/>
    </row>
    <row r="608" spans="1:13" ht="24" customHeight="1" thickBot="1" x14ac:dyDescent="0.4">
      <c r="A608" s="2741" t="s">
        <v>306</v>
      </c>
      <c r="B608" s="2741"/>
      <c r="C608" s="2741"/>
      <c r="D608" s="2741"/>
      <c r="E608" s="1591">
        <f>SUM(E603)</f>
        <v>68255</v>
      </c>
      <c r="F608" s="1591">
        <f>SUM(F603)</f>
        <v>269709</v>
      </c>
      <c r="G608" s="1591">
        <f>SUM(G603)</f>
        <v>359446</v>
      </c>
      <c r="H608" s="1590">
        <f>(G608/F608)*100</f>
        <v>133.2717855169831</v>
      </c>
    </row>
    <row r="609" ht="13.5" thickTop="1" x14ac:dyDescent="0.2"/>
  </sheetData>
  <mergeCells count="45">
    <mergeCell ref="A150:D150"/>
    <mergeCell ref="A1:H1"/>
    <mergeCell ref="A13:D13"/>
    <mergeCell ref="A22:D22"/>
    <mergeCell ref="A30:D30"/>
    <mergeCell ref="A37:D37"/>
    <mergeCell ref="A44:D44"/>
    <mergeCell ref="A80:D80"/>
    <mergeCell ref="A98:D98"/>
    <mergeCell ref="A113:D113"/>
    <mergeCell ref="A129:D129"/>
    <mergeCell ref="A140:D140"/>
    <mergeCell ref="A324:D324"/>
    <mergeCell ref="A170:D170"/>
    <mergeCell ref="A184:D184"/>
    <mergeCell ref="A192:D192"/>
    <mergeCell ref="A221:D221"/>
    <mergeCell ref="A236:D236"/>
    <mergeCell ref="A247:D247"/>
    <mergeCell ref="A257:D257"/>
    <mergeCell ref="A268:D268"/>
    <mergeCell ref="A279:D279"/>
    <mergeCell ref="A295:D295"/>
    <mergeCell ref="A306:D306"/>
    <mergeCell ref="A498:D498"/>
    <mergeCell ref="A341:D341"/>
    <mergeCell ref="A351:D351"/>
    <mergeCell ref="A367:D367"/>
    <mergeCell ref="A383:D383"/>
    <mergeCell ref="A399:D399"/>
    <mergeCell ref="A415:D415"/>
    <mergeCell ref="A431:D431"/>
    <mergeCell ref="A447:D447"/>
    <mergeCell ref="A462:D462"/>
    <mergeCell ref="A474:D474"/>
    <mergeCell ref="A486:D486"/>
    <mergeCell ref="A586:D586"/>
    <mergeCell ref="A597:D597"/>
    <mergeCell ref="A608:D608"/>
    <mergeCell ref="A510:D510"/>
    <mergeCell ref="A522:D522"/>
    <mergeCell ref="A547:D547"/>
    <mergeCell ref="A557:D557"/>
    <mergeCell ref="A567:D567"/>
    <mergeCell ref="A578:D578"/>
  </mergeCells>
  <pageMargins left="0.98425196850393704" right="0.78740157480314965" top="0.98425196850393704" bottom="0.98425196850393704" header="0.51181102362204722" footer="0.51181102362204722"/>
  <pageSetup paperSize="9" scale="65" firstPageNumber="141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5" manualBreakCount="5">
    <brk id="129" max="7" man="1"/>
    <brk id="221" max="7" man="1"/>
    <brk id="324" max="7" man="1"/>
    <brk id="415" max="7" man="1"/>
    <brk id="498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40"/>
  <sheetViews>
    <sheetView showGridLines="0" view="pageBreakPreview" topLeftCell="E73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1802" customWidth="1"/>
    <col min="2" max="2" width="6.140625" style="1802" customWidth="1"/>
    <col min="3" max="3" width="8.7109375" style="1802" customWidth="1"/>
    <col min="4" max="4" width="42" style="1803" customWidth="1"/>
    <col min="5" max="5" width="10.42578125" style="1829" customWidth="1"/>
    <col min="6" max="6" width="15.85546875" style="1829" customWidth="1"/>
    <col min="7" max="7" width="14.42578125" style="1829" customWidth="1"/>
    <col min="8" max="8" width="8.140625" style="1803" customWidth="1"/>
    <col min="9" max="9" width="14.28515625" style="1803" bestFit="1" customWidth="1"/>
    <col min="10" max="10" width="9.140625" style="1803"/>
    <col min="11" max="12" width="17.28515625" style="1803" bestFit="1" customWidth="1"/>
    <col min="13" max="256" width="9.140625" style="1803"/>
    <col min="257" max="257" width="4.7109375" style="1803" customWidth="1"/>
    <col min="258" max="258" width="6.140625" style="1803" customWidth="1"/>
    <col min="259" max="259" width="8.7109375" style="1803" customWidth="1"/>
    <col min="260" max="260" width="42" style="1803" customWidth="1"/>
    <col min="261" max="261" width="10.42578125" style="1803" customWidth="1"/>
    <col min="262" max="262" width="15.85546875" style="1803" customWidth="1"/>
    <col min="263" max="263" width="14.42578125" style="1803" customWidth="1"/>
    <col min="264" max="264" width="6.42578125" style="1803" customWidth="1"/>
    <col min="265" max="265" width="14.28515625" style="1803" bestFit="1" customWidth="1"/>
    <col min="266" max="266" width="9.140625" style="1803"/>
    <col min="267" max="268" width="17.28515625" style="1803" bestFit="1" customWidth="1"/>
    <col min="269" max="512" width="9.140625" style="1803"/>
    <col min="513" max="513" width="4.7109375" style="1803" customWidth="1"/>
    <col min="514" max="514" width="6.140625" style="1803" customWidth="1"/>
    <col min="515" max="515" width="8.7109375" style="1803" customWidth="1"/>
    <col min="516" max="516" width="42" style="1803" customWidth="1"/>
    <col min="517" max="517" width="10.42578125" style="1803" customWidth="1"/>
    <col min="518" max="518" width="15.85546875" style="1803" customWidth="1"/>
    <col min="519" max="519" width="14.42578125" style="1803" customWidth="1"/>
    <col min="520" max="520" width="6.42578125" style="1803" customWidth="1"/>
    <col min="521" max="521" width="14.28515625" style="1803" bestFit="1" customWidth="1"/>
    <col min="522" max="522" width="9.140625" style="1803"/>
    <col min="523" max="524" width="17.28515625" style="1803" bestFit="1" customWidth="1"/>
    <col min="525" max="768" width="9.140625" style="1803"/>
    <col min="769" max="769" width="4.7109375" style="1803" customWidth="1"/>
    <col min="770" max="770" width="6.140625" style="1803" customWidth="1"/>
    <col min="771" max="771" width="8.7109375" style="1803" customWidth="1"/>
    <col min="772" max="772" width="42" style="1803" customWidth="1"/>
    <col min="773" max="773" width="10.42578125" style="1803" customWidth="1"/>
    <col min="774" max="774" width="15.85546875" style="1803" customWidth="1"/>
    <col min="775" max="775" width="14.42578125" style="1803" customWidth="1"/>
    <col min="776" max="776" width="6.42578125" style="1803" customWidth="1"/>
    <col min="777" max="777" width="14.28515625" style="1803" bestFit="1" customWidth="1"/>
    <col min="778" max="778" width="9.140625" style="1803"/>
    <col min="779" max="780" width="17.28515625" style="1803" bestFit="1" customWidth="1"/>
    <col min="781" max="1024" width="9.140625" style="1803"/>
    <col min="1025" max="1025" width="4.7109375" style="1803" customWidth="1"/>
    <col min="1026" max="1026" width="6.140625" style="1803" customWidth="1"/>
    <col min="1027" max="1027" width="8.7109375" style="1803" customWidth="1"/>
    <col min="1028" max="1028" width="42" style="1803" customWidth="1"/>
    <col min="1029" max="1029" width="10.42578125" style="1803" customWidth="1"/>
    <col min="1030" max="1030" width="15.85546875" style="1803" customWidth="1"/>
    <col min="1031" max="1031" width="14.42578125" style="1803" customWidth="1"/>
    <col min="1032" max="1032" width="6.42578125" style="1803" customWidth="1"/>
    <col min="1033" max="1033" width="14.28515625" style="1803" bestFit="1" customWidth="1"/>
    <col min="1034" max="1034" width="9.140625" style="1803"/>
    <col min="1035" max="1036" width="17.28515625" style="1803" bestFit="1" customWidth="1"/>
    <col min="1037" max="1280" width="9.140625" style="1803"/>
    <col min="1281" max="1281" width="4.7109375" style="1803" customWidth="1"/>
    <col min="1282" max="1282" width="6.140625" style="1803" customWidth="1"/>
    <col min="1283" max="1283" width="8.7109375" style="1803" customWidth="1"/>
    <col min="1284" max="1284" width="42" style="1803" customWidth="1"/>
    <col min="1285" max="1285" width="10.42578125" style="1803" customWidth="1"/>
    <col min="1286" max="1286" width="15.85546875" style="1803" customWidth="1"/>
    <col min="1287" max="1287" width="14.42578125" style="1803" customWidth="1"/>
    <col min="1288" max="1288" width="6.42578125" style="1803" customWidth="1"/>
    <col min="1289" max="1289" width="14.28515625" style="1803" bestFit="1" customWidth="1"/>
    <col min="1290" max="1290" width="9.140625" style="1803"/>
    <col min="1291" max="1292" width="17.28515625" style="1803" bestFit="1" customWidth="1"/>
    <col min="1293" max="1536" width="9.140625" style="1803"/>
    <col min="1537" max="1537" width="4.7109375" style="1803" customWidth="1"/>
    <col min="1538" max="1538" width="6.140625" style="1803" customWidth="1"/>
    <col min="1539" max="1539" width="8.7109375" style="1803" customWidth="1"/>
    <col min="1540" max="1540" width="42" style="1803" customWidth="1"/>
    <col min="1541" max="1541" width="10.42578125" style="1803" customWidth="1"/>
    <col min="1542" max="1542" width="15.85546875" style="1803" customWidth="1"/>
    <col min="1543" max="1543" width="14.42578125" style="1803" customWidth="1"/>
    <col min="1544" max="1544" width="6.42578125" style="1803" customWidth="1"/>
    <col min="1545" max="1545" width="14.28515625" style="1803" bestFit="1" customWidth="1"/>
    <col min="1546" max="1546" width="9.140625" style="1803"/>
    <col min="1547" max="1548" width="17.28515625" style="1803" bestFit="1" customWidth="1"/>
    <col min="1549" max="1792" width="9.140625" style="1803"/>
    <col min="1793" max="1793" width="4.7109375" style="1803" customWidth="1"/>
    <col min="1794" max="1794" width="6.140625" style="1803" customWidth="1"/>
    <col min="1795" max="1795" width="8.7109375" style="1803" customWidth="1"/>
    <col min="1796" max="1796" width="42" style="1803" customWidth="1"/>
    <col min="1797" max="1797" width="10.42578125" style="1803" customWidth="1"/>
    <col min="1798" max="1798" width="15.85546875" style="1803" customWidth="1"/>
    <col min="1799" max="1799" width="14.42578125" style="1803" customWidth="1"/>
    <col min="1800" max="1800" width="6.42578125" style="1803" customWidth="1"/>
    <col min="1801" max="1801" width="14.28515625" style="1803" bestFit="1" customWidth="1"/>
    <col min="1802" max="1802" width="9.140625" style="1803"/>
    <col min="1803" max="1804" width="17.28515625" style="1803" bestFit="1" customWidth="1"/>
    <col min="1805" max="2048" width="9.140625" style="1803"/>
    <col min="2049" max="2049" width="4.7109375" style="1803" customWidth="1"/>
    <col min="2050" max="2050" width="6.140625" style="1803" customWidth="1"/>
    <col min="2051" max="2051" width="8.7109375" style="1803" customWidth="1"/>
    <col min="2052" max="2052" width="42" style="1803" customWidth="1"/>
    <col min="2053" max="2053" width="10.42578125" style="1803" customWidth="1"/>
    <col min="2054" max="2054" width="15.85546875" style="1803" customWidth="1"/>
    <col min="2055" max="2055" width="14.42578125" style="1803" customWidth="1"/>
    <col min="2056" max="2056" width="6.42578125" style="1803" customWidth="1"/>
    <col min="2057" max="2057" width="14.28515625" style="1803" bestFit="1" customWidth="1"/>
    <col min="2058" max="2058" width="9.140625" style="1803"/>
    <col min="2059" max="2060" width="17.28515625" style="1803" bestFit="1" customWidth="1"/>
    <col min="2061" max="2304" width="9.140625" style="1803"/>
    <col min="2305" max="2305" width="4.7109375" style="1803" customWidth="1"/>
    <col min="2306" max="2306" width="6.140625" style="1803" customWidth="1"/>
    <col min="2307" max="2307" width="8.7109375" style="1803" customWidth="1"/>
    <col min="2308" max="2308" width="42" style="1803" customWidth="1"/>
    <col min="2309" max="2309" width="10.42578125" style="1803" customWidth="1"/>
    <col min="2310" max="2310" width="15.85546875" style="1803" customWidth="1"/>
    <col min="2311" max="2311" width="14.42578125" style="1803" customWidth="1"/>
    <col min="2312" max="2312" width="6.42578125" style="1803" customWidth="1"/>
    <col min="2313" max="2313" width="14.28515625" style="1803" bestFit="1" customWidth="1"/>
    <col min="2314" max="2314" width="9.140625" style="1803"/>
    <col min="2315" max="2316" width="17.28515625" style="1803" bestFit="1" customWidth="1"/>
    <col min="2317" max="2560" width="9.140625" style="1803"/>
    <col min="2561" max="2561" width="4.7109375" style="1803" customWidth="1"/>
    <col min="2562" max="2562" width="6.140625" style="1803" customWidth="1"/>
    <col min="2563" max="2563" width="8.7109375" style="1803" customWidth="1"/>
    <col min="2564" max="2564" width="42" style="1803" customWidth="1"/>
    <col min="2565" max="2565" width="10.42578125" style="1803" customWidth="1"/>
    <col min="2566" max="2566" width="15.85546875" style="1803" customWidth="1"/>
    <col min="2567" max="2567" width="14.42578125" style="1803" customWidth="1"/>
    <col min="2568" max="2568" width="6.42578125" style="1803" customWidth="1"/>
    <col min="2569" max="2569" width="14.28515625" style="1803" bestFit="1" customWidth="1"/>
    <col min="2570" max="2570" width="9.140625" style="1803"/>
    <col min="2571" max="2572" width="17.28515625" style="1803" bestFit="1" customWidth="1"/>
    <col min="2573" max="2816" width="9.140625" style="1803"/>
    <col min="2817" max="2817" width="4.7109375" style="1803" customWidth="1"/>
    <col min="2818" max="2818" width="6.140625" style="1803" customWidth="1"/>
    <col min="2819" max="2819" width="8.7109375" style="1803" customWidth="1"/>
    <col min="2820" max="2820" width="42" style="1803" customWidth="1"/>
    <col min="2821" max="2821" width="10.42578125" style="1803" customWidth="1"/>
    <col min="2822" max="2822" width="15.85546875" style="1803" customWidth="1"/>
    <col min="2823" max="2823" width="14.42578125" style="1803" customWidth="1"/>
    <col min="2824" max="2824" width="6.42578125" style="1803" customWidth="1"/>
    <col min="2825" max="2825" width="14.28515625" style="1803" bestFit="1" customWidth="1"/>
    <col min="2826" max="2826" width="9.140625" style="1803"/>
    <col min="2827" max="2828" width="17.28515625" style="1803" bestFit="1" customWidth="1"/>
    <col min="2829" max="3072" width="9.140625" style="1803"/>
    <col min="3073" max="3073" width="4.7109375" style="1803" customWidth="1"/>
    <col min="3074" max="3074" width="6.140625" style="1803" customWidth="1"/>
    <col min="3075" max="3075" width="8.7109375" style="1803" customWidth="1"/>
    <col min="3076" max="3076" width="42" style="1803" customWidth="1"/>
    <col min="3077" max="3077" width="10.42578125" style="1803" customWidth="1"/>
    <col min="3078" max="3078" width="15.85546875" style="1803" customWidth="1"/>
    <col min="3079" max="3079" width="14.42578125" style="1803" customWidth="1"/>
    <col min="3080" max="3080" width="6.42578125" style="1803" customWidth="1"/>
    <col min="3081" max="3081" width="14.28515625" style="1803" bestFit="1" customWidth="1"/>
    <col min="3082" max="3082" width="9.140625" style="1803"/>
    <col min="3083" max="3084" width="17.28515625" style="1803" bestFit="1" customWidth="1"/>
    <col min="3085" max="3328" width="9.140625" style="1803"/>
    <col min="3329" max="3329" width="4.7109375" style="1803" customWidth="1"/>
    <col min="3330" max="3330" width="6.140625" style="1803" customWidth="1"/>
    <col min="3331" max="3331" width="8.7109375" style="1803" customWidth="1"/>
    <col min="3332" max="3332" width="42" style="1803" customWidth="1"/>
    <col min="3333" max="3333" width="10.42578125" style="1803" customWidth="1"/>
    <col min="3334" max="3334" width="15.85546875" style="1803" customWidth="1"/>
    <col min="3335" max="3335" width="14.42578125" style="1803" customWidth="1"/>
    <col min="3336" max="3336" width="6.42578125" style="1803" customWidth="1"/>
    <col min="3337" max="3337" width="14.28515625" style="1803" bestFit="1" customWidth="1"/>
    <col min="3338" max="3338" width="9.140625" style="1803"/>
    <col min="3339" max="3340" width="17.28515625" style="1803" bestFit="1" customWidth="1"/>
    <col min="3341" max="3584" width="9.140625" style="1803"/>
    <col min="3585" max="3585" width="4.7109375" style="1803" customWidth="1"/>
    <col min="3586" max="3586" width="6.140625" style="1803" customWidth="1"/>
    <col min="3587" max="3587" width="8.7109375" style="1803" customWidth="1"/>
    <col min="3588" max="3588" width="42" style="1803" customWidth="1"/>
    <col min="3589" max="3589" width="10.42578125" style="1803" customWidth="1"/>
    <col min="3590" max="3590" width="15.85546875" style="1803" customWidth="1"/>
    <col min="3591" max="3591" width="14.42578125" style="1803" customWidth="1"/>
    <col min="3592" max="3592" width="6.42578125" style="1803" customWidth="1"/>
    <col min="3593" max="3593" width="14.28515625" style="1803" bestFit="1" customWidth="1"/>
    <col min="3594" max="3594" width="9.140625" style="1803"/>
    <col min="3595" max="3596" width="17.28515625" style="1803" bestFit="1" customWidth="1"/>
    <col min="3597" max="3840" width="9.140625" style="1803"/>
    <col min="3841" max="3841" width="4.7109375" style="1803" customWidth="1"/>
    <col min="3842" max="3842" width="6.140625" style="1803" customWidth="1"/>
    <col min="3843" max="3843" width="8.7109375" style="1803" customWidth="1"/>
    <col min="3844" max="3844" width="42" style="1803" customWidth="1"/>
    <col min="3845" max="3845" width="10.42578125" style="1803" customWidth="1"/>
    <col min="3846" max="3846" width="15.85546875" style="1803" customWidth="1"/>
    <col min="3847" max="3847" width="14.42578125" style="1803" customWidth="1"/>
    <col min="3848" max="3848" width="6.42578125" style="1803" customWidth="1"/>
    <col min="3849" max="3849" width="14.28515625" style="1803" bestFit="1" customWidth="1"/>
    <col min="3850" max="3850" width="9.140625" style="1803"/>
    <col min="3851" max="3852" width="17.28515625" style="1803" bestFit="1" customWidth="1"/>
    <col min="3853" max="4096" width="9.140625" style="1803"/>
    <col min="4097" max="4097" width="4.7109375" style="1803" customWidth="1"/>
    <col min="4098" max="4098" width="6.140625" style="1803" customWidth="1"/>
    <col min="4099" max="4099" width="8.7109375" style="1803" customWidth="1"/>
    <col min="4100" max="4100" width="42" style="1803" customWidth="1"/>
    <col min="4101" max="4101" width="10.42578125" style="1803" customWidth="1"/>
    <col min="4102" max="4102" width="15.85546875" style="1803" customWidth="1"/>
    <col min="4103" max="4103" width="14.42578125" style="1803" customWidth="1"/>
    <col min="4104" max="4104" width="6.42578125" style="1803" customWidth="1"/>
    <col min="4105" max="4105" width="14.28515625" style="1803" bestFit="1" customWidth="1"/>
    <col min="4106" max="4106" width="9.140625" style="1803"/>
    <col min="4107" max="4108" width="17.28515625" style="1803" bestFit="1" customWidth="1"/>
    <col min="4109" max="4352" width="9.140625" style="1803"/>
    <col min="4353" max="4353" width="4.7109375" style="1803" customWidth="1"/>
    <col min="4354" max="4354" width="6.140625" style="1803" customWidth="1"/>
    <col min="4355" max="4355" width="8.7109375" style="1803" customWidth="1"/>
    <col min="4356" max="4356" width="42" style="1803" customWidth="1"/>
    <col min="4357" max="4357" width="10.42578125" style="1803" customWidth="1"/>
    <col min="4358" max="4358" width="15.85546875" style="1803" customWidth="1"/>
    <col min="4359" max="4359" width="14.42578125" style="1803" customWidth="1"/>
    <col min="4360" max="4360" width="6.42578125" style="1803" customWidth="1"/>
    <col min="4361" max="4361" width="14.28515625" style="1803" bestFit="1" customWidth="1"/>
    <col min="4362" max="4362" width="9.140625" style="1803"/>
    <col min="4363" max="4364" width="17.28515625" style="1803" bestFit="1" customWidth="1"/>
    <col min="4365" max="4608" width="9.140625" style="1803"/>
    <col min="4609" max="4609" width="4.7109375" style="1803" customWidth="1"/>
    <col min="4610" max="4610" width="6.140625" style="1803" customWidth="1"/>
    <col min="4611" max="4611" width="8.7109375" style="1803" customWidth="1"/>
    <col min="4612" max="4612" width="42" style="1803" customWidth="1"/>
    <col min="4613" max="4613" width="10.42578125" style="1803" customWidth="1"/>
    <col min="4614" max="4614" width="15.85546875" style="1803" customWidth="1"/>
    <col min="4615" max="4615" width="14.42578125" style="1803" customWidth="1"/>
    <col min="4616" max="4616" width="6.42578125" style="1803" customWidth="1"/>
    <col min="4617" max="4617" width="14.28515625" style="1803" bestFit="1" customWidth="1"/>
    <col min="4618" max="4618" width="9.140625" style="1803"/>
    <col min="4619" max="4620" width="17.28515625" style="1803" bestFit="1" customWidth="1"/>
    <col min="4621" max="4864" width="9.140625" style="1803"/>
    <col min="4865" max="4865" width="4.7109375" style="1803" customWidth="1"/>
    <col min="4866" max="4866" width="6.140625" style="1803" customWidth="1"/>
    <col min="4867" max="4867" width="8.7109375" style="1803" customWidth="1"/>
    <col min="4868" max="4868" width="42" style="1803" customWidth="1"/>
    <col min="4869" max="4869" width="10.42578125" style="1803" customWidth="1"/>
    <col min="4870" max="4870" width="15.85546875" style="1803" customWidth="1"/>
    <col min="4871" max="4871" width="14.42578125" style="1803" customWidth="1"/>
    <col min="4872" max="4872" width="6.42578125" style="1803" customWidth="1"/>
    <col min="4873" max="4873" width="14.28515625" style="1803" bestFit="1" customWidth="1"/>
    <col min="4874" max="4874" width="9.140625" style="1803"/>
    <col min="4875" max="4876" width="17.28515625" style="1803" bestFit="1" customWidth="1"/>
    <col min="4877" max="5120" width="9.140625" style="1803"/>
    <col min="5121" max="5121" width="4.7109375" style="1803" customWidth="1"/>
    <col min="5122" max="5122" width="6.140625" style="1803" customWidth="1"/>
    <col min="5123" max="5123" width="8.7109375" style="1803" customWidth="1"/>
    <col min="5124" max="5124" width="42" style="1803" customWidth="1"/>
    <col min="5125" max="5125" width="10.42578125" style="1803" customWidth="1"/>
    <col min="5126" max="5126" width="15.85546875" style="1803" customWidth="1"/>
    <col min="5127" max="5127" width="14.42578125" style="1803" customWidth="1"/>
    <col min="5128" max="5128" width="6.42578125" style="1803" customWidth="1"/>
    <col min="5129" max="5129" width="14.28515625" style="1803" bestFit="1" customWidth="1"/>
    <col min="5130" max="5130" width="9.140625" style="1803"/>
    <col min="5131" max="5132" width="17.28515625" style="1803" bestFit="1" customWidth="1"/>
    <col min="5133" max="5376" width="9.140625" style="1803"/>
    <col min="5377" max="5377" width="4.7109375" style="1803" customWidth="1"/>
    <col min="5378" max="5378" width="6.140625" style="1803" customWidth="1"/>
    <col min="5379" max="5379" width="8.7109375" style="1803" customWidth="1"/>
    <col min="5380" max="5380" width="42" style="1803" customWidth="1"/>
    <col min="5381" max="5381" width="10.42578125" style="1803" customWidth="1"/>
    <col min="5382" max="5382" width="15.85546875" style="1803" customWidth="1"/>
    <col min="5383" max="5383" width="14.42578125" style="1803" customWidth="1"/>
    <col min="5384" max="5384" width="6.42578125" style="1803" customWidth="1"/>
    <col min="5385" max="5385" width="14.28515625" style="1803" bestFit="1" customWidth="1"/>
    <col min="5386" max="5386" width="9.140625" style="1803"/>
    <col min="5387" max="5388" width="17.28515625" style="1803" bestFit="1" customWidth="1"/>
    <col min="5389" max="5632" width="9.140625" style="1803"/>
    <col min="5633" max="5633" width="4.7109375" style="1803" customWidth="1"/>
    <col min="5634" max="5634" width="6.140625" style="1803" customWidth="1"/>
    <col min="5635" max="5635" width="8.7109375" style="1803" customWidth="1"/>
    <col min="5636" max="5636" width="42" style="1803" customWidth="1"/>
    <col min="5637" max="5637" width="10.42578125" style="1803" customWidth="1"/>
    <col min="5638" max="5638" width="15.85546875" style="1803" customWidth="1"/>
    <col min="5639" max="5639" width="14.42578125" style="1803" customWidth="1"/>
    <col min="5640" max="5640" width="6.42578125" style="1803" customWidth="1"/>
    <col min="5641" max="5641" width="14.28515625" style="1803" bestFit="1" customWidth="1"/>
    <col min="5642" max="5642" width="9.140625" style="1803"/>
    <col min="5643" max="5644" width="17.28515625" style="1803" bestFit="1" customWidth="1"/>
    <col min="5645" max="5888" width="9.140625" style="1803"/>
    <col min="5889" max="5889" width="4.7109375" style="1803" customWidth="1"/>
    <col min="5890" max="5890" width="6.140625" style="1803" customWidth="1"/>
    <col min="5891" max="5891" width="8.7109375" style="1803" customWidth="1"/>
    <col min="5892" max="5892" width="42" style="1803" customWidth="1"/>
    <col min="5893" max="5893" width="10.42578125" style="1803" customWidth="1"/>
    <col min="5894" max="5894" width="15.85546875" style="1803" customWidth="1"/>
    <col min="5895" max="5895" width="14.42578125" style="1803" customWidth="1"/>
    <col min="5896" max="5896" width="6.42578125" style="1803" customWidth="1"/>
    <col min="5897" max="5897" width="14.28515625" style="1803" bestFit="1" customWidth="1"/>
    <col min="5898" max="5898" width="9.140625" style="1803"/>
    <col min="5899" max="5900" width="17.28515625" style="1803" bestFit="1" customWidth="1"/>
    <col min="5901" max="6144" width="9.140625" style="1803"/>
    <col min="6145" max="6145" width="4.7109375" style="1803" customWidth="1"/>
    <col min="6146" max="6146" width="6.140625" style="1803" customWidth="1"/>
    <col min="6147" max="6147" width="8.7109375" style="1803" customWidth="1"/>
    <col min="6148" max="6148" width="42" style="1803" customWidth="1"/>
    <col min="6149" max="6149" width="10.42578125" style="1803" customWidth="1"/>
    <col min="6150" max="6150" width="15.85546875" style="1803" customWidth="1"/>
    <col min="6151" max="6151" width="14.42578125" style="1803" customWidth="1"/>
    <col min="6152" max="6152" width="6.42578125" style="1803" customWidth="1"/>
    <col min="6153" max="6153" width="14.28515625" style="1803" bestFit="1" customWidth="1"/>
    <col min="6154" max="6154" width="9.140625" style="1803"/>
    <col min="6155" max="6156" width="17.28515625" style="1803" bestFit="1" customWidth="1"/>
    <col min="6157" max="6400" width="9.140625" style="1803"/>
    <col min="6401" max="6401" width="4.7109375" style="1803" customWidth="1"/>
    <col min="6402" max="6402" width="6.140625" style="1803" customWidth="1"/>
    <col min="6403" max="6403" width="8.7109375" style="1803" customWidth="1"/>
    <col min="6404" max="6404" width="42" style="1803" customWidth="1"/>
    <col min="6405" max="6405" width="10.42578125" style="1803" customWidth="1"/>
    <col min="6406" max="6406" width="15.85546875" style="1803" customWidth="1"/>
    <col min="6407" max="6407" width="14.42578125" style="1803" customWidth="1"/>
    <col min="6408" max="6408" width="6.42578125" style="1803" customWidth="1"/>
    <col min="6409" max="6409" width="14.28515625" style="1803" bestFit="1" customWidth="1"/>
    <col min="6410" max="6410" width="9.140625" style="1803"/>
    <col min="6411" max="6412" width="17.28515625" style="1803" bestFit="1" customWidth="1"/>
    <col min="6413" max="6656" width="9.140625" style="1803"/>
    <col min="6657" max="6657" width="4.7109375" style="1803" customWidth="1"/>
    <col min="6658" max="6658" width="6.140625" style="1803" customWidth="1"/>
    <col min="6659" max="6659" width="8.7109375" style="1803" customWidth="1"/>
    <col min="6660" max="6660" width="42" style="1803" customWidth="1"/>
    <col min="6661" max="6661" width="10.42578125" style="1803" customWidth="1"/>
    <col min="6662" max="6662" width="15.85546875" style="1803" customWidth="1"/>
    <col min="6663" max="6663" width="14.42578125" style="1803" customWidth="1"/>
    <col min="6664" max="6664" width="6.42578125" style="1803" customWidth="1"/>
    <col min="6665" max="6665" width="14.28515625" style="1803" bestFit="1" customWidth="1"/>
    <col min="6666" max="6666" width="9.140625" style="1803"/>
    <col min="6667" max="6668" width="17.28515625" style="1803" bestFit="1" customWidth="1"/>
    <col min="6669" max="6912" width="9.140625" style="1803"/>
    <col min="6913" max="6913" width="4.7109375" style="1803" customWidth="1"/>
    <col min="6914" max="6914" width="6.140625" style="1803" customWidth="1"/>
    <col min="6915" max="6915" width="8.7109375" style="1803" customWidth="1"/>
    <col min="6916" max="6916" width="42" style="1803" customWidth="1"/>
    <col min="6917" max="6917" width="10.42578125" style="1803" customWidth="1"/>
    <col min="6918" max="6918" width="15.85546875" style="1803" customWidth="1"/>
    <col min="6919" max="6919" width="14.42578125" style="1803" customWidth="1"/>
    <col min="6920" max="6920" width="6.42578125" style="1803" customWidth="1"/>
    <col min="6921" max="6921" width="14.28515625" style="1803" bestFit="1" customWidth="1"/>
    <col min="6922" max="6922" width="9.140625" style="1803"/>
    <col min="6923" max="6924" width="17.28515625" style="1803" bestFit="1" customWidth="1"/>
    <col min="6925" max="7168" width="9.140625" style="1803"/>
    <col min="7169" max="7169" width="4.7109375" style="1803" customWidth="1"/>
    <col min="7170" max="7170" width="6.140625" style="1803" customWidth="1"/>
    <col min="7171" max="7171" width="8.7109375" style="1803" customWidth="1"/>
    <col min="7172" max="7172" width="42" style="1803" customWidth="1"/>
    <col min="7173" max="7173" width="10.42578125" style="1803" customWidth="1"/>
    <col min="7174" max="7174" width="15.85546875" style="1803" customWidth="1"/>
    <col min="7175" max="7175" width="14.42578125" style="1803" customWidth="1"/>
    <col min="7176" max="7176" width="6.42578125" style="1803" customWidth="1"/>
    <col min="7177" max="7177" width="14.28515625" style="1803" bestFit="1" customWidth="1"/>
    <col min="7178" max="7178" width="9.140625" style="1803"/>
    <col min="7179" max="7180" width="17.28515625" style="1803" bestFit="1" customWidth="1"/>
    <col min="7181" max="7424" width="9.140625" style="1803"/>
    <col min="7425" max="7425" width="4.7109375" style="1803" customWidth="1"/>
    <col min="7426" max="7426" width="6.140625" style="1803" customWidth="1"/>
    <col min="7427" max="7427" width="8.7109375" style="1803" customWidth="1"/>
    <col min="7428" max="7428" width="42" style="1803" customWidth="1"/>
    <col min="7429" max="7429" width="10.42578125" style="1803" customWidth="1"/>
    <col min="7430" max="7430" width="15.85546875" style="1803" customWidth="1"/>
    <col min="7431" max="7431" width="14.42578125" style="1803" customWidth="1"/>
    <col min="7432" max="7432" width="6.42578125" style="1803" customWidth="1"/>
    <col min="7433" max="7433" width="14.28515625" style="1803" bestFit="1" customWidth="1"/>
    <col min="7434" max="7434" width="9.140625" style="1803"/>
    <col min="7435" max="7436" width="17.28515625" style="1803" bestFit="1" customWidth="1"/>
    <col min="7437" max="7680" width="9.140625" style="1803"/>
    <col min="7681" max="7681" width="4.7109375" style="1803" customWidth="1"/>
    <col min="7682" max="7682" width="6.140625" style="1803" customWidth="1"/>
    <col min="7683" max="7683" width="8.7109375" style="1803" customWidth="1"/>
    <col min="7684" max="7684" width="42" style="1803" customWidth="1"/>
    <col min="7685" max="7685" width="10.42578125" style="1803" customWidth="1"/>
    <col min="7686" max="7686" width="15.85546875" style="1803" customWidth="1"/>
    <col min="7687" max="7687" width="14.42578125" style="1803" customWidth="1"/>
    <col min="7688" max="7688" width="6.42578125" style="1803" customWidth="1"/>
    <col min="7689" max="7689" width="14.28515625" style="1803" bestFit="1" customWidth="1"/>
    <col min="7690" max="7690" width="9.140625" style="1803"/>
    <col min="7691" max="7692" width="17.28515625" style="1803" bestFit="1" customWidth="1"/>
    <col min="7693" max="7936" width="9.140625" style="1803"/>
    <col min="7937" max="7937" width="4.7109375" style="1803" customWidth="1"/>
    <col min="7938" max="7938" width="6.140625" style="1803" customWidth="1"/>
    <col min="7939" max="7939" width="8.7109375" style="1803" customWidth="1"/>
    <col min="7940" max="7940" width="42" style="1803" customWidth="1"/>
    <col min="7941" max="7941" width="10.42578125" style="1803" customWidth="1"/>
    <col min="7942" max="7942" width="15.85546875" style="1803" customWidth="1"/>
    <col min="7943" max="7943" width="14.42578125" style="1803" customWidth="1"/>
    <col min="7944" max="7944" width="6.42578125" style="1803" customWidth="1"/>
    <col min="7945" max="7945" width="14.28515625" style="1803" bestFit="1" customWidth="1"/>
    <col min="7946" max="7946" width="9.140625" style="1803"/>
    <col min="7947" max="7948" width="17.28515625" style="1803" bestFit="1" customWidth="1"/>
    <col min="7949" max="8192" width="9.140625" style="1803"/>
    <col min="8193" max="8193" width="4.7109375" style="1803" customWidth="1"/>
    <col min="8194" max="8194" width="6.140625" style="1803" customWidth="1"/>
    <col min="8195" max="8195" width="8.7109375" style="1803" customWidth="1"/>
    <col min="8196" max="8196" width="42" style="1803" customWidth="1"/>
    <col min="8197" max="8197" width="10.42578125" style="1803" customWidth="1"/>
    <col min="8198" max="8198" width="15.85546875" style="1803" customWidth="1"/>
    <col min="8199" max="8199" width="14.42578125" style="1803" customWidth="1"/>
    <col min="8200" max="8200" width="6.42578125" style="1803" customWidth="1"/>
    <col min="8201" max="8201" width="14.28515625" style="1803" bestFit="1" customWidth="1"/>
    <col min="8202" max="8202" width="9.140625" style="1803"/>
    <col min="8203" max="8204" width="17.28515625" style="1803" bestFit="1" customWidth="1"/>
    <col min="8205" max="8448" width="9.140625" style="1803"/>
    <col min="8449" max="8449" width="4.7109375" style="1803" customWidth="1"/>
    <col min="8450" max="8450" width="6.140625" style="1803" customWidth="1"/>
    <col min="8451" max="8451" width="8.7109375" style="1803" customWidth="1"/>
    <col min="8452" max="8452" width="42" style="1803" customWidth="1"/>
    <col min="8453" max="8453" width="10.42578125" style="1803" customWidth="1"/>
    <col min="8454" max="8454" width="15.85546875" style="1803" customWidth="1"/>
    <col min="8455" max="8455" width="14.42578125" style="1803" customWidth="1"/>
    <col min="8456" max="8456" width="6.42578125" style="1803" customWidth="1"/>
    <col min="8457" max="8457" width="14.28515625" style="1803" bestFit="1" customWidth="1"/>
    <col min="8458" max="8458" width="9.140625" style="1803"/>
    <col min="8459" max="8460" width="17.28515625" style="1803" bestFit="1" customWidth="1"/>
    <col min="8461" max="8704" width="9.140625" style="1803"/>
    <col min="8705" max="8705" width="4.7109375" style="1803" customWidth="1"/>
    <col min="8706" max="8706" width="6.140625" style="1803" customWidth="1"/>
    <col min="8707" max="8707" width="8.7109375" style="1803" customWidth="1"/>
    <col min="8708" max="8708" width="42" style="1803" customWidth="1"/>
    <col min="8709" max="8709" width="10.42578125" style="1803" customWidth="1"/>
    <col min="8710" max="8710" width="15.85546875" style="1803" customWidth="1"/>
    <col min="8711" max="8711" width="14.42578125" style="1803" customWidth="1"/>
    <col min="8712" max="8712" width="6.42578125" style="1803" customWidth="1"/>
    <col min="8713" max="8713" width="14.28515625" style="1803" bestFit="1" customWidth="1"/>
    <col min="8714" max="8714" width="9.140625" style="1803"/>
    <col min="8715" max="8716" width="17.28515625" style="1803" bestFit="1" customWidth="1"/>
    <col min="8717" max="8960" width="9.140625" style="1803"/>
    <col min="8961" max="8961" width="4.7109375" style="1803" customWidth="1"/>
    <col min="8962" max="8962" width="6.140625" style="1803" customWidth="1"/>
    <col min="8963" max="8963" width="8.7109375" style="1803" customWidth="1"/>
    <col min="8964" max="8964" width="42" style="1803" customWidth="1"/>
    <col min="8965" max="8965" width="10.42578125" style="1803" customWidth="1"/>
    <col min="8966" max="8966" width="15.85546875" style="1803" customWidth="1"/>
    <col min="8967" max="8967" width="14.42578125" style="1803" customWidth="1"/>
    <col min="8968" max="8968" width="6.42578125" style="1803" customWidth="1"/>
    <col min="8969" max="8969" width="14.28515625" style="1803" bestFit="1" customWidth="1"/>
    <col min="8970" max="8970" width="9.140625" style="1803"/>
    <col min="8971" max="8972" width="17.28515625" style="1803" bestFit="1" customWidth="1"/>
    <col min="8973" max="9216" width="9.140625" style="1803"/>
    <col min="9217" max="9217" width="4.7109375" style="1803" customWidth="1"/>
    <col min="9218" max="9218" width="6.140625" style="1803" customWidth="1"/>
    <col min="9219" max="9219" width="8.7109375" style="1803" customWidth="1"/>
    <col min="9220" max="9220" width="42" style="1803" customWidth="1"/>
    <col min="9221" max="9221" width="10.42578125" style="1803" customWidth="1"/>
    <col min="9222" max="9222" width="15.85546875" style="1803" customWidth="1"/>
    <col min="9223" max="9223" width="14.42578125" style="1803" customWidth="1"/>
    <col min="9224" max="9224" width="6.42578125" style="1803" customWidth="1"/>
    <col min="9225" max="9225" width="14.28515625" style="1803" bestFit="1" customWidth="1"/>
    <col min="9226" max="9226" width="9.140625" style="1803"/>
    <col min="9227" max="9228" width="17.28515625" style="1803" bestFit="1" customWidth="1"/>
    <col min="9229" max="9472" width="9.140625" style="1803"/>
    <col min="9473" max="9473" width="4.7109375" style="1803" customWidth="1"/>
    <col min="9474" max="9474" width="6.140625" style="1803" customWidth="1"/>
    <col min="9475" max="9475" width="8.7109375" style="1803" customWidth="1"/>
    <col min="9476" max="9476" width="42" style="1803" customWidth="1"/>
    <col min="9477" max="9477" width="10.42578125" style="1803" customWidth="1"/>
    <col min="9478" max="9478" width="15.85546875" style="1803" customWidth="1"/>
    <col min="9479" max="9479" width="14.42578125" style="1803" customWidth="1"/>
    <col min="9480" max="9480" width="6.42578125" style="1803" customWidth="1"/>
    <col min="9481" max="9481" width="14.28515625" style="1803" bestFit="1" customWidth="1"/>
    <col min="9482" max="9482" width="9.140625" style="1803"/>
    <col min="9483" max="9484" width="17.28515625" style="1803" bestFit="1" customWidth="1"/>
    <col min="9485" max="9728" width="9.140625" style="1803"/>
    <col min="9729" max="9729" width="4.7109375" style="1803" customWidth="1"/>
    <col min="9730" max="9730" width="6.140625" style="1803" customWidth="1"/>
    <col min="9731" max="9731" width="8.7109375" style="1803" customWidth="1"/>
    <col min="9732" max="9732" width="42" style="1803" customWidth="1"/>
    <col min="9733" max="9733" width="10.42578125" style="1803" customWidth="1"/>
    <col min="9734" max="9734" width="15.85546875" style="1803" customWidth="1"/>
    <col min="9735" max="9735" width="14.42578125" style="1803" customWidth="1"/>
    <col min="9736" max="9736" width="6.42578125" style="1803" customWidth="1"/>
    <col min="9737" max="9737" width="14.28515625" style="1803" bestFit="1" customWidth="1"/>
    <col min="9738" max="9738" width="9.140625" style="1803"/>
    <col min="9739" max="9740" width="17.28515625" style="1803" bestFit="1" customWidth="1"/>
    <col min="9741" max="9984" width="9.140625" style="1803"/>
    <col min="9985" max="9985" width="4.7109375" style="1803" customWidth="1"/>
    <col min="9986" max="9986" width="6.140625" style="1803" customWidth="1"/>
    <col min="9987" max="9987" width="8.7109375" style="1803" customWidth="1"/>
    <col min="9988" max="9988" width="42" style="1803" customWidth="1"/>
    <col min="9989" max="9989" width="10.42578125" style="1803" customWidth="1"/>
    <col min="9990" max="9990" width="15.85546875" style="1803" customWidth="1"/>
    <col min="9991" max="9991" width="14.42578125" style="1803" customWidth="1"/>
    <col min="9992" max="9992" width="6.42578125" style="1803" customWidth="1"/>
    <col min="9993" max="9993" width="14.28515625" style="1803" bestFit="1" customWidth="1"/>
    <col min="9994" max="9994" width="9.140625" style="1803"/>
    <col min="9995" max="9996" width="17.28515625" style="1803" bestFit="1" customWidth="1"/>
    <col min="9997" max="10240" width="9.140625" style="1803"/>
    <col min="10241" max="10241" width="4.7109375" style="1803" customWidth="1"/>
    <col min="10242" max="10242" width="6.140625" style="1803" customWidth="1"/>
    <col min="10243" max="10243" width="8.7109375" style="1803" customWidth="1"/>
    <col min="10244" max="10244" width="42" style="1803" customWidth="1"/>
    <col min="10245" max="10245" width="10.42578125" style="1803" customWidth="1"/>
    <col min="10246" max="10246" width="15.85546875" style="1803" customWidth="1"/>
    <col min="10247" max="10247" width="14.42578125" style="1803" customWidth="1"/>
    <col min="10248" max="10248" width="6.42578125" style="1803" customWidth="1"/>
    <col min="10249" max="10249" width="14.28515625" style="1803" bestFit="1" customWidth="1"/>
    <col min="10250" max="10250" width="9.140625" style="1803"/>
    <col min="10251" max="10252" width="17.28515625" style="1803" bestFit="1" customWidth="1"/>
    <col min="10253" max="10496" width="9.140625" style="1803"/>
    <col min="10497" max="10497" width="4.7109375" style="1803" customWidth="1"/>
    <col min="10498" max="10498" width="6.140625" style="1803" customWidth="1"/>
    <col min="10499" max="10499" width="8.7109375" style="1803" customWidth="1"/>
    <col min="10500" max="10500" width="42" style="1803" customWidth="1"/>
    <col min="10501" max="10501" width="10.42578125" style="1803" customWidth="1"/>
    <col min="10502" max="10502" width="15.85546875" style="1803" customWidth="1"/>
    <col min="10503" max="10503" width="14.42578125" style="1803" customWidth="1"/>
    <col min="10504" max="10504" width="6.42578125" style="1803" customWidth="1"/>
    <col min="10505" max="10505" width="14.28515625" style="1803" bestFit="1" customWidth="1"/>
    <col min="10506" max="10506" width="9.140625" style="1803"/>
    <col min="10507" max="10508" width="17.28515625" style="1803" bestFit="1" customWidth="1"/>
    <col min="10509" max="10752" width="9.140625" style="1803"/>
    <col min="10753" max="10753" width="4.7109375" style="1803" customWidth="1"/>
    <col min="10754" max="10754" width="6.140625" style="1803" customWidth="1"/>
    <col min="10755" max="10755" width="8.7109375" style="1803" customWidth="1"/>
    <col min="10756" max="10756" width="42" style="1803" customWidth="1"/>
    <col min="10757" max="10757" width="10.42578125" style="1803" customWidth="1"/>
    <col min="10758" max="10758" width="15.85546875" style="1803" customWidth="1"/>
    <col min="10759" max="10759" width="14.42578125" style="1803" customWidth="1"/>
    <col min="10760" max="10760" width="6.42578125" style="1803" customWidth="1"/>
    <col min="10761" max="10761" width="14.28515625" style="1803" bestFit="1" customWidth="1"/>
    <col min="10762" max="10762" width="9.140625" style="1803"/>
    <col min="10763" max="10764" width="17.28515625" style="1803" bestFit="1" customWidth="1"/>
    <col min="10765" max="11008" width="9.140625" style="1803"/>
    <col min="11009" max="11009" width="4.7109375" style="1803" customWidth="1"/>
    <col min="11010" max="11010" width="6.140625" style="1803" customWidth="1"/>
    <col min="11011" max="11011" width="8.7109375" style="1803" customWidth="1"/>
    <col min="11012" max="11012" width="42" style="1803" customWidth="1"/>
    <col min="11013" max="11013" width="10.42578125" style="1803" customWidth="1"/>
    <col min="11014" max="11014" width="15.85546875" style="1803" customWidth="1"/>
    <col min="11015" max="11015" width="14.42578125" style="1803" customWidth="1"/>
    <col min="11016" max="11016" width="6.42578125" style="1803" customWidth="1"/>
    <col min="11017" max="11017" width="14.28515625" style="1803" bestFit="1" customWidth="1"/>
    <col min="11018" max="11018" width="9.140625" style="1803"/>
    <col min="11019" max="11020" width="17.28515625" style="1803" bestFit="1" customWidth="1"/>
    <col min="11021" max="11264" width="9.140625" style="1803"/>
    <col min="11265" max="11265" width="4.7109375" style="1803" customWidth="1"/>
    <col min="11266" max="11266" width="6.140625" style="1803" customWidth="1"/>
    <col min="11267" max="11267" width="8.7109375" style="1803" customWidth="1"/>
    <col min="11268" max="11268" width="42" style="1803" customWidth="1"/>
    <col min="11269" max="11269" width="10.42578125" style="1803" customWidth="1"/>
    <col min="11270" max="11270" width="15.85546875" style="1803" customWidth="1"/>
    <col min="11271" max="11271" width="14.42578125" style="1803" customWidth="1"/>
    <col min="11272" max="11272" width="6.42578125" style="1803" customWidth="1"/>
    <col min="11273" max="11273" width="14.28515625" style="1803" bestFit="1" customWidth="1"/>
    <col min="11274" max="11274" width="9.140625" style="1803"/>
    <col min="11275" max="11276" width="17.28515625" style="1803" bestFit="1" customWidth="1"/>
    <col min="11277" max="11520" width="9.140625" style="1803"/>
    <col min="11521" max="11521" width="4.7109375" style="1803" customWidth="1"/>
    <col min="11522" max="11522" width="6.140625" style="1803" customWidth="1"/>
    <col min="11523" max="11523" width="8.7109375" style="1803" customWidth="1"/>
    <col min="11524" max="11524" width="42" style="1803" customWidth="1"/>
    <col min="11525" max="11525" width="10.42578125" style="1803" customWidth="1"/>
    <col min="11526" max="11526" width="15.85546875" style="1803" customWidth="1"/>
    <col min="11527" max="11527" width="14.42578125" style="1803" customWidth="1"/>
    <col min="11528" max="11528" width="6.42578125" style="1803" customWidth="1"/>
    <col min="11529" max="11529" width="14.28515625" style="1803" bestFit="1" customWidth="1"/>
    <col min="11530" max="11530" width="9.140625" style="1803"/>
    <col min="11531" max="11532" width="17.28515625" style="1803" bestFit="1" customWidth="1"/>
    <col min="11533" max="11776" width="9.140625" style="1803"/>
    <col min="11777" max="11777" width="4.7109375" style="1803" customWidth="1"/>
    <col min="11778" max="11778" width="6.140625" style="1803" customWidth="1"/>
    <col min="11779" max="11779" width="8.7109375" style="1803" customWidth="1"/>
    <col min="11780" max="11780" width="42" style="1803" customWidth="1"/>
    <col min="11781" max="11781" width="10.42578125" style="1803" customWidth="1"/>
    <col min="11782" max="11782" width="15.85546875" style="1803" customWidth="1"/>
    <col min="11783" max="11783" width="14.42578125" style="1803" customWidth="1"/>
    <col min="11784" max="11784" width="6.42578125" style="1803" customWidth="1"/>
    <col min="11785" max="11785" width="14.28515625" style="1803" bestFit="1" customWidth="1"/>
    <col min="11786" max="11786" width="9.140625" style="1803"/>
    <col min="11787" max="11788" width="17.28515625" style="1803" bestFit="1" customWidth="1"/>
    <col min="11789" max="12032" width="9.140625" style="1803"/>
    <col min="12033" max="12033" width="4.7109375" style="1803" customWidth="1"/>
    <col min="12034" max="12034" width="6.140625" style="1803" customWidth="1"/>
    <col min="12035" max="12035" width="8.7109375" style="1803" customWidth="1"/>
    <col min="12036" max="12036" width="42" style="1803" customWidth="1"/>
    <col min="12037" max="12037" width="10.42578125" style="1803" customWidth="1"/>
    <col min="12038" max="12038" width="15.85546875" style="1803" customWidth="1"/>
    <col min="12039" max="12039" width="14.42578125" style="1803" customWidth="1"/>
    <col min="12040" max="12040" width="6.42578125" style="1803" customWidth="1"/>
    <col min="12041" max="12041" width="14.28515625" style="1803" bestFit="1" customWidth="1"/>
    <col min="12042" max="12042" width="9.140625" style="1803"/>
    <col min="12043" max="12044" width="17.28515625" style="1803" bestFit="1" customWidth="1"/>
    <col min="12045" max="12288" width="9.140625" style="1803"/>
    <col min="12289" max="12289" width="4.7109375" style="1803" customWidth="1"/>
    <col min="12290" max="12290" width="6.140625" style="1803" customWidth="1"/>
    <col min="12291" max="12291" width="8.7109375" style="1803" customWidth="1"/>
    <col min="12292" max="12292" width="42" style="1803" customWidth="1"/>
    <col min="12293" max="12293" width="10.42578125" style="1803" customWidth="1"/>
    <col min="12294" max="12294" width="15.85546875" style="1803" customWidth="1"/>
    <col min="12295" max="12295" width="14.42578125" style="1803" customWidth="1"/>
    <col min="12296" max="12296" width="6.42578125" style="1803" customWidth="1"/>
    <col min="12297" max="12297" width="14.28515625" style="1803" bestFit="1" customWidth="1"/>
    <col min="12298" max="12298" width="9.140625" style="1803"/>
    <col min="12299" max="12300" width="17.28515625" style="1803" bestFit="1" customWidth="1"/>
    <col min="12301" max="12544" width="9.140625" style="1803"/>
    <col min="12545" max="12545" width="4.7109375" style="1803" customWidth="1"/>
    <col min="12546" max="12546" width="6.140625" style="1803" customWidth="1"/>
    <col min="12547" max="12547" width="8.7109375" style="1803" customWidth="1"/>
    <col min="12548" max="12548" width="42" style="1803" customWidth="1"/>
    <col min="12549" max="12549" width="10.42578125" style="1803" customWidth="1"/>
    <col min="12550" max="12550" width="15.85546875" style="1803" customWidth="1"/>
    <col min="12551" max="12551" width="14.42578125" style="1803" customWidth="1"/>
    <col min="12552" max="12552" width="6.42578125" style="1803" customWidth="1"/>
    <col min="12553" max="12553" width="14.28515625" style="1803" bestFit="1" customWidth="1"/>
    <col min="12554" max="12554" width="9.140625" style="1803"/>
    <col min="12555" max="12556" width="17.28515625" style="1803" bestFit="1" customWidth="1"/>
    <col min="12557" max="12800" width="9.140625" style="1803"/>
    <col min="12801" max="12801" width="4.7109375" style="1803" customWidth="1"/>
    <col min="12802" max="12802" width="6.140625" style="1803" customWidth="1"/>
    <col min="12803" max="12803" width="8.7109375" style="1803" customWidth="1"/>
    <col min="12804" max="12804" width="42" style="1803" customWidth="1"/>
    <col min="12805" max="12805" width="10.42578125" style="1803" customWidth="1"/>
    <col min="12806" max="12806" width="15.85546875" style="1803" customWidth="1"/>
    <col min="12807" max="12807" width="14.42578125" style="1803" customWidth="1"/>
    <col min="12808" max="12808" width="6.42578125" style="1803" customWidth="1"/>
    <col min="12809" max="12809" width="14.28515625" style="1803" bestFit="1" customWidth="1"/>
    <col min="12810" max="12810" width="9.140625" style="1803"/>
    <col min="12811" max="12812" width="17.28515625" style="1803" bestFit="1" customWidth="1"/>
    <col min="12813" max="13056" width="9.140625" style="1803"/>
    <col min="13057" max="13057" width="4.7109375" style="1803" customWidth="1"/>
    <col min="13058" max="13058" width="6.140625" style="1803" customWidth="1"/>
    <col min="13059" max="13059" width="8.7109375" style="1803" customWidth="1"/>
    <col min="13060" max="13060" width="42" style="1803" customWidth="1"/>
    <col min="13061" max="13061" width="10.42578125" style="1803" customWidth="1"/>
    <col min="13062" max="13062" width="15.85546875" style="1803" customWidth="1"/>
    <col min="13063" max="13063" width="14.42578125" style="1803" customWidth="1"/>
    <col min="13064" max="13064" width="6.42578125" style="1803" customWidth="1"/>
    <col min="13065" max="13065" width="14.28515625" style="1803" bestFit="1" customWidth="1"/>
    <col min="13066" max="13066" width="9.140625" style="1803"/>
    <col min="13067" max="13068" width="17.28515625" style="1803" bestFit="1" customWidth="1"/>
    <col min="13069" max="13312" width="9.140625" style="1803"/>
    <col min="13313" max="13313" width="4.7109375" style="1803" customWidth="1"/>
    <col min="13314" max="13314" width="6.140625" style="1803" customWidth="1"/>
    <col min="13315" max="13315" width="8.7109375" style="1803" customWidth="1"/>
    <col min="13316" max="13316" width="42" style="1803" customWidth="1"/>
    <col min="13317" max="13317" width="10.42578125" style="1803" customWidth="1"/>
    <col min="13318" max="13318" width="15.85546875" style="1803" customWidth="1"/>
    <col min="13319" max="13319" width="14.42578125" style="1803" customWidth="1"/>
    <col min="13320" max="13320" width="6.42578125" style="1803" customWidth="1"/>
    <col min="13321" max="13321" width="14.28515625" style="1803" bestFit="1" customWidth="1"/>
    <col min="13322" max="13322" width="9.140625" style="1803"/>
    <col min="13323" max="13324" width="17.28515625" style="1803" bestFit="1" customWidth="1"/>
    <col min="13325" max="13568" width="9.140625" style="1803"/>
    <col min="13569" max="13569" width="4.7109375" style="1803" customWidth="1"/>
    <col min="13570" max="13570" width="6.140625" style="1803" customWidth="1"/>
    <col min="13571" max="13571" width="8.7109375" style="1803" customWidth="1"/>
    <col min="13572" max="13572" width="42" style="1803" customWidth="1"/>
    <col min="13573" max="13573" width="10.42578125" style="1803" customWidth="1"/>
    <col min="13574" max="13574" width="15.85546875" style="1803" customWidth="1"/>
    <col min="13575" max="13575" width="14.42578125" style="1803" customWidth="1"/>
    <col min="13576" max="13576" width="6.42578125" style="1803" customWidth="1"/>
    <col min="13577" max="13577" width="14.28515625" style="1803" bestFit="1" customWidth="1"/>
    <col min="13578" max="13578" width="9.140625" style="1803"/>
    <col min="13579" max="13580" width="17.28515625" style="1803" bestFit="1" customWidth="1"/>
    <col min="13581" max="13824" width="9.140625" style="1803"/>
    <col min="13825" max="13825" width="4.7109375" style="1803" customWidth="1"/>
    <col min="13826" max="13826" width="6.140625" style="1803" customWidth="1"/>
    <col min="13827" max="13827" width="8.7109375" style="1803" customWidth="1"/>
    <col min="13828" max="13828" width="42" style="1803" customWidth="1"/>
    <col min="13829" max="13829" width="10.42578125" style="1803" customWidth="1"/>
    <col min="13830" max="13830" width="15.85546875" style="1803" customWidth="1"/>
    <col min="13831" max="13831" width="14.42578125" style="1803" customWidth="1"/>
    <col min="13832" max="13832" width="6.42578125" style="1803" customWidth="1"/>
    <col min="13833" max="13833" width="14.28515625" style="1803" bestFit="1" customWidth="1"/>
    <col min="13834" max="13834" width="9.140625" style="1803"/>
    <col min="13835" max="13836" width="17.28515625" style="1803" bestFit="1" customWidth="1"/>
    <col min="13837" max="14080" width="9.140625" style="1803"/>
    <col min="14081" max="14081" width="4.7109375" style="1803" customWidth="1"/>
    <col min="14082" max="14082" width="6.140625" style="1803" customWidth="1"/>
    <col min="14083" max="14083" width="8.7109375" style="1803" customWidth="1"/>
    <col min="14084" max="14084" width="42" style="1803" customWidth="1"/>
    <col min="14085" max="14085" width="10.42578125" style="1803" customWidth="1"/>
    <col min="14086" max="14086" width="15.85546875" style="1803" customWidth="1"/>
    <col min="14087" max="14087" width="14.42578125" style="1803" customWidth="1"/>
    <col min="14088" max="14088" width="6.42578125" style="1803" customWidth="1"/>
    <col min="14089" max="14089" width="14.28515625" style="1803" bestFit="1" customWidth="1"/>
    <col min="14090" max="14090" width="9.140625" style="1803"/>
    <col min="14091" max="14092" width="17.28515625" style="1803" bestFit="1" customWidth="1"/>
    <col min="14093" max="14336" width="9.140625" style="1803"/>
    <col min="14337" max="14337" width="4.7109375" style="1803" customWidth="1"/>
    <col min="14338" max="14338" width="6.140625" style="1803" customWidth="1"/>
    <col min="14339" max="14339" width="8.7109375" style="1803" customWidth="1"/>
    <col min="14340" max="14340" width="42" style="1803" customWidth="1"/>
    <col min="14341" max="14341" width="10.42578125" style="1803" customWidth="1"/>
    <col min="14342" max="14342" width="15.85546875" style="1803" customWidth="1"/>
    <col min="14343" max="14343" width="14.42578125" style="1803" customWidth="1"/>
    <col min="14344" max="14344" width="6.42578125" style="1803" customWidth="1"/>
    <col min="14345" max="14345" width="14.28515625" style="1803" bestFit="1" customWidth="1"/>
    <col min="14346" max="14346" width="9.140625" style="1803"/>
    <col min="14347" max="14348" width="17.28515625" style="1803" bestFit="1" customWidth="1"/>
    <col min="14349" max="14592" width="9.140625" style="1803"/>
    <col min="14593" max="14593" width="4.7109375" style="1803" customWidth="1"/>
    <col min="14594" max="14594" width="6.140625" style="1803" customWidth="1"/>
    <col min="14595" max="14595" width="8.7109375" style="1803" customWidth="1"/>
    <col min="14596" max="14596" width="42" style="1803" customWidth="1"/>
    <col min="14597" max="14597" width="10.42578125" style="1803" customWidth="1"/>
    <col min="14598" max="14598" width="15.85546875" style="1803" customWidth="1"/>
    <col min="14599" max="14599" width="14.42578125" style="1803" customWidth="1"/>
    <col min="14600" max="14600" width="6.42578125" style="1803" customWidth="1"/>
    <col min="14601" max="14601" width="14.28515625" style="1803" bestFit="1" customWidth="1"/>
    <col min="14602" max="14602" width="9.140625" style="1803"/>
    <col min="14603" max="14604" width="17.28515625" style="1803" bestFit="1" customWidth="1"/>
    <col min="14605" max="14848" width="9.140625" style="1803"/>
    <col min="14849" max="14849" width="4.7109375" style="1803" customWidth="1"/>
    <col min="14850" max="14850" width="6.140625" style="1803" customWidth="1"/>
    <col min="14851" max="14851" width="8.7109375" style="1803" customWidth="1"/>
    <col min="14852" max="14852" width="42" style="1803" customWidth="1"/>
    <col min="14853" max="14853" width="10.42578125" style="1803" customWidth="1"/>
    <col min="14854" max="14854" width="15.85546875" style="1803" customWidth="1"/>
    <col min="14855" max="14855" width="14.42578125" style="1803" customWidth="1"/>
    <col min="14856" max="14856" width="6.42578125" style="1803" customWidth="1"/>
    <col min="14857" max="14857" width="14.28515625" style="1803" bestFit="1" customWidth="1"/>
    <col min="14858" max="14858" width="9.140625" style="1803"/>
    <col min="14859" max="14860" width="17.28515625" style="1803" bestFit="1" customWidth="1"/>
    <col min="14861" max="15104" width="9.140625" style="1803"/>
    <col min="15105" max="15105" width="4.7109375" style="1803" customWidth="1"/>
    <col min="15106" max="15106" width="6.140625" style="1803" customWidth="1"/>
    <col min="15107" max="15107" width="8.7109375" style="1803" customWidth="1"/>
    <col min="15108" max="15108" width="42" style="1803" customWidth="1"/>
    <col min="15109" max="15109" width="10.42578125" style="1803" customWidth="1"/>
    <col min="15110" max="15110" width="15.85546875" style="1803" customWidth="1"/>
    <col min="15111" max="15111" width="14.42578125" style="1803" customWidth="1"/>
    <col min="15112" max="15112" width="6.42578125" style="1803" customWidth="1"/>
    <col min="15113" max="15113" width="14.28515625" style="1803" bestFit="1" customWidth="1"/>
    <col min="15114" max="15114" width="9.140625" style="1803"/>
    <col min="15115" max="15116" width="17.28515625" style="1803" bestFit="1" customWidth="1"/>
    <col min="15117" max="15360" width="9.140625" style="1803"/>
    <col min="15361" max="15361" width="4.7109375" style="1803" customWidth="1"/>
    <col min="15362" max="15362" width="6.140625" style="1803" customWidth="1"/>
    <col min="15363" max="15363" width="8.7109375" style="1803" customWidth="1"/>
    <col min="15364" max="15364" width="42" style="1803" customWidth="1"/>
    <col min="15365" max="15365" width="10.42578125" style="1803" customWidth="1"/>
    <col min="15366" max="15366" width="15.85546875" style="1803" customWidth="1"/>
    <col min="15367" max="15367" width="14.42578125" style="1803" customWidth="1"/>
    <col min="15368" max="15368" width="6.42578125" style="1803" customWidth="1"/>
    <col min="15369" max="15369" width="14.28515625" style="1803" bestFit="1" customWidth="1"/>
    <col min="15370" max="15370" width="9.140625" style="1803"/>
    <col min="15371" max="15372" width="17.28515625" style="1803" bestFit="1" customWidth="1"/>
    <col min="15373" max="15616" width="9.140625" style="1803"/>
    <col min="15617" max="15617" width="4.7109375" style="1803" customWidth="1"/>
    <col min="15618" max="15618" width="6.140625" style="1803" customWidth="1"/>
    <col min="15619" max="15619" width="8.7109375" style="1803" customWidth="1"/>
    <col min="15620" max="15620" width="42" style="1803" customWidth="1"/>
    <col min="15621" max="15621" width="10.42578125" style="1803" customWidth="1"/>
    <col min="15622" max="15622" width="15.85546875" style="1803" customWidth="1"/>
    <col min="15623" max="15623" width="14.42578125" style="1803" customWidth="1"/>
    <col min="15624" max="15624" width="6.42578125" style="1803" customWidth="1"/>
    <col min="15625" max="15625" width="14.28515625" style="1803" bestFit="1" customWidth="1"/>
    <col min="15626" max="15626" width="9.140625" style="1803"/>
    <col min="15627" max="15628" width="17.28515625" style="1803" bestFit="1" customWidth="1"/>
    <col min="15629" max="15872" width="9.140625" style="1803"/>
    <col min="15873" max="15873" width="4.7109375" style="1803" customWidth="1"/>
    <col min="15874" max="15874" width="6.140625" style="1803" customWidth="1"/>
    <col min="15875" max="15875" width="8.7109375" style="1803" customWidth="1"/>
    <col min="15876" max="15876" width="42" style="1803" customWidth="1"/>
    <col min="15877" max="15877" width="10.42578125" style="1803" customWidth="1"/>
    <col min="15878" max="15878" width="15.85546875" style="1803" customWidth="1"/>
    <col min="15879" max="15879" width="14.42578125" style="1803" customWidth="1"/>
    <col min="15880" max="15880" width="6.42578125" style="1803" customWidth="1"/>
    <col min="15881" max="15881" width="14.28515625" style="1803" bestFit="1" customWidth="1"/>
    <col min="15882" max="15882" width="9.140625" style="1803"/>
    <col min="15883" max="15884" width="17.28515625" style="1803" bestFit="1" customWidth="1"/>
    <col min="15885" max="16128" width="9.140625" style="1803"/>
    <col min="16129" max="16129" width="4.7109375" style="1803" customWidth="1"/>
    <col min="16130" max="16130" width="6.140625" style="1803" customWidth="1"/>
    <col min="16131" max="16131" width="8.7109375" style="1803" customWidth="1"/>
    <col min="16132" max="16132" width="42" style="1803" customWidth="1"/>
    <col min="16133" max="16133" width="10.42578125" style="1803" customWidth="1"/>
    <col min="16134" max="16134" width="15.85546875" style="1803" customWidth="1"/>
    <col min="16135" max="16135" width="14.42578125" style="1803" customWidth="1"/>
    <col min="16136" max="16136" width="6.42578125" style="1803" customWidth="1"/>
    <col min="16137" max="16137" width="14.28515625" style="1803" bestFit="1" customWidth="1"/>
    <col min="16138" max="16138" width="9.140625" style="1803"/>
    <col min="16139" max="16140" width="17.28515625" style="1803" bestFit="1" customWidth="1"/>
    <col min="16141" max="16384" width="9.140625" style="1803"/>
  </cols>
  <sheetData>
    <row r="1" spans="1:8" ht="19.5" customHeight="1" thickBot="1" x14ac:dyDescent="0.25">
      <c r="A1" s="2753" t="s">
        <v>307</v>
      </c>
      <c r="B1" s="2753"/>
      <c r="C1" s="2753"/>
      <c r="D1" s="2753"/>
      <c r="E1" s="2753"/>
      <c r="F1" s="2753"/>
      <c r="G1" s="2753"/>
      <c r="H1" s="2753"/>
    </row>
    <row r="2" spans="1:8" ht="19.5" customHeight="1" x14ac:dyDescent="0.25">
      <c r="A2" s="1973"/>
      <c r="B2" s="2448"/>
      <c r="C2" s="2448"/>
      <c r="D2" s="2448"/>
      <c r="E2" s="2448"/>
      <c r="F2" s="2448"/>
      <c r="G2" s="2448"/>
      <c r="H2" s="1876" t="s">
        <v>308</v>
      </c>
    </row>
    <row r="3" spans="1:8" ht="19.5" customHeight="1" x14ac:dyDescent="0.2">
      <c r="A3" s="1705" t="s">
        <v>367</v>
      </c>
      <c r="B3" s="2448"/>
      <c r="C3" s="1801" t="s">
        <v>347</v>
      </c>
      <c r="D3" s="2448"/>
      <c r="E3" s="2448"/>
      <c r="F3" s="2448"/>
      <c r="G3" s="2448"/>
      <c r="H3" s="2448"/>
    </row>
    <row r="4" spans="1:8" ht="19.5" customHeight="1" x14ac:dyDescent="0.25">
      <c r="A4" s="1973"/>
      <c r="B4" s="2448"/>
      <c r="C4" s="1801" t="s">
        <v>348</v>
      </c>
      <c r="D4" s="2448"/>
      <c r="E4" s="2448"/>
      <c r="F4" s="2448"/>
      <c r="G4" s="2448"/>
      <c r="H4" s="2448"/>
    </row>
    <row r="5" spans="1:8" ht="19.5" hidden="1" customHeight="1" x14ac:dyDescent="0.25">
      <c r="A5" s="1973"/>
      <c r="B5" s="2448"/>
      <c r="C5" s="1801"/>
      <c r="D5" s="2448"/>
      <c r="E5" s="2448"/>
      <c r="F5" s="2448"/>
      <c r="G5" s="2448"/>
      <c r="H5" s="2448"/>
    </row>
    <row r="6" spans="1:8" ht="18" x14ac:dyDescent="0.25">
      <c r="A6" s="1806" t="s">
        <v>309</v>
      </c>
      <c r="B6" s="1831"/>
      <c r="C6" s="1831"/>
      <c r="D6" s="1831"/>
      <c r="E6" s="1831"/>
      <c r="F6" s="1831"/>
      <c r="G6" s="1831"/>
      <c r="H6" s="1876"/>
    </row>
    <row r="7" spans="1:8" ht="18" x14ac:dyDescent="0.25">
      <c r="A7" s="1806"/>
      <c r="B7" s="1831"/>
      <c r="C7" s="1831"/>
      <c r="D7" s="1831"/>
      <c r="E7" s="1831"/>
      <c r="F7" s="1831"/>
      <c r="G7" s="1831"/>
      <c r="H7" s="1876"/>
    </row>
    <row r="8" spans="1:8" ht="18" x14ac:dyDescent="0.25">
      <c r="A8" s="1808" t="s">
        <v>1529</v>
      </c>
      <c r="B8" s="1831"/>
      <c r="C8" s="1831"/>
      <c r="D8" s="1831"/>
      <c r="E8" s="1831"/>
      <c r="F8" s="1831"/>
      <c r="G8" s="1831"/>
      <c r="H8" s="1876"/>
    </row>
    <row r="9" spans="1:8" ht="15.75" thickBot="1" x14ac:dyDescent="0.3">
      <c r="A9" s="1808" t="s">
        <v>1530</v>
      </c>
      <c r="H9" s="1892" t="s">
        <v>161</v>
      </c>
    </row>
    <row r="10" spans="1:8" s="1638" customFormat="1" ht="25.5" thickTop="1" thickBot="1" x14ac:dyDescent="0.25">
      <c r="A10" s="1809" t="s">
        <v>162</v>
      </c>
      <c r="B10" s="1810" t="s">
        <v>761</v>
      </c>
      <c r="C10" s="1810" t="s">
        <v>377</v>
      </c>
      <c r="D10" s="1811" t="s">
        <v>164</v>
      </c>
      <c r="E10" s="1833" t="s">
        <v>632</v>
      </c>
      <c r="F10" s="1833" t="s">
        <v>633</v>
      </c>
      <c r="G10" s="1834" t="s">
        <v>882</v>
      </c>
      <c r="H10" s="1835" t="s">
        <v>883</v>
      </c>
    </row>
    <row r="11" spans="1:8" s="1638" customFormat="1" ht="13.5" thickTop="1" thickBot="1" x14ac:dyDescent="0.25">
      <c r="A11" s="1643">
        <v>1</v>
      </c>
      <c r="B11" s="1642">
        <v>2</v>
      </c>
      <c r="C11" s="1642">
        <v>3</v>
      </c>
      <c r="D11" s="1642">
        <v>4</v>
      </c>
      <c r="E11" s="1641">
        <v>5</v>
      </c>
      <c r="F11" s="1641">
        <v>6</v>
      </c>
      <c r="G11" s="1877">
        <v>7</v>
      </c>
      <c r="H11" s="1901" t="s">
        <v>61</v>
      </c>
    </row>
    <row r="12" spans="1:8" ht="15.75" customHeight="1" thickTop="1" x14ac:dyDescent="0.2">
      <c r="A12" s="1830">
        <v>4344</v>
      </c>
      <c r="B12" s="1817">
        <v>5169</v>
      </c>
      <c r="C12" s="1902">
        <v>33113233</v>
      </c>
      <c r="D12" s="1836" t="s">
        <v>852</v>
      </c>
      <c r="E12" s="1832">
        <v>0</v>
      </c>
      <c r="F12" s="1832">
        <v>1514</v>
      </c>
      <c r="G12" s="1832">
        <v>1514</v>
      </c>
      <c r="H12" s="1819">
        <f t="shared" ref="H12:H29" si="0">G12/F12*100</f>
        <v>100</v>
      </c>
    </row>
    <row r="13" spans="1:8" ht="15.75" customHeight="1" x14ac:dyDescent="0.2">
      <c r="A13" s="1815">
        <v>4344</v>
      </c>
      <c r="B13" s="1816">
        <v>5169</v>
      </c>
      <c r="C13" s="1974">
        <v>33513233</v>
      </c>
      <c r="D13" s="1836" t="s">
        <v>852</v>
      </c>
      <c r="E13" s="1845">
        <v>0</v>
      </c>
      <c r="F13" s="1845">
        <v>8576</v>
      </c>
      <c r="G13" s="1845">
        <v>8576</v>
      </c>
      <c r="H13" s="1821">
        <f t="shared" si="0"/>
        <v>100</v>
      </c>
    </row>
    <row r="14" spans="1:8" ht="15.75" hidden="1" customHeight="1" x14ac:dyDescent="0.2">
      <c r="A14" s="1815">
        <v>4374</v>
      </c>
      <c r="B14" s="1816">
        <v>5169</v>
      </c>
      <c r="C14" s="1974">
        <v>33113233</v>
      </c>
      <c r="D14" s="1836" t="s">
        <v>852</v>
      </c>
      <c r="E14" s="1845">
        <v>0</v>
      </c>
      <c r="F14" s="1845"/>
      <c r="G14" s="1845"/>
      <c r="H14" s="1821" t="e">
        <f t="shared" si="0"/>
        <v>#DIV/0!</v>
      </c>
    </row>
    <row r="15" spans="1:8" ht="15.75" hidden="1" customHeight="1" x14ac:dyDescent="0.2">
      <c r="A15" s="1815">
        <v>4374</v>
      </c>
      <c r="B15" s="1816">
        <v>5169</v>
      </c>
      <c r="C15" s="1974">
        <v>33513233</v>
      </c>
      <c r="D15" s="1836" t="s">
        <v>852</v>
      </c>
      <c r="E15" s="1845">
        <v>0</v>
      </c>
      <c r="F15" s="1845"/>
      <c r="G15" s="1845"/>
      <c r="H15" s="1821" t="e">
        <f t="shared" si="0"/>
        <v>#DIV/0!</v>
      </c>
    </row>
    <row r="16" spans="1:8" ht="15.75" hidden="1" customHeight="1" x14ac:dyDescent="0.2">
      <c r="A16" s="1815">
        <v>4371</v>
      </c>
      <c r="B16" s="1816">
        <v>5169</v>
      </c>
      <c r="C16" s="1974">
        <v>33113233</v>
      </c>
      <c r="D16" s="1836" t="s">
        <v>852</v>
      </c>
      <c r="E16" s="1845">
        <v>0</v>
      </c>
      <c r="F16" s="1845"/>
      <c r="G16" s="1845"/>
      <c r="H16" s="1821" t="e">
        <f t="shared" si="0"/>
        <v>#DIV/0!</v>
      </c>
    </row>
    <row r="17" spans="1:8" ht="15.75" hidden="1" customHeight="1" x14ac:dyDescent="0.2">
      <c r="A17" s="1815">
        <v>4371</v>
      </c>
      <c r="B17" s="1816">
        <v>5169</v>
      </c>
      <c r="C17" s="1974">
        <v>33513233</v>
      </c>
      <c r="D17" s="1836" t="s">
        <v>852</v>
      </c>
      <c r="E17" s="1845">
        <v>0</v>
      </c>
      <c r="F17" s="1845"/>
      <c r="G17" s="1845"/>
      <c r="H17" s="1821" t="e">
        <f t="shared" si="0"/>
        <v>#DIV/0!</v>
      </c>
    </row>
    <row r="18" spans="1:8" ht="15.75" hidden="1" customHeight="1" x14ac:dyDescent="0.2">
      <c r="A18" s="1815">
        <v>4372</v>
      </c>
      <c r="B18" s="1816">
        <v>5169</v>
      </c>
      <c r="C18" s="1974">
        <v>33113233</v>
      </c>
      <c r="D18" s="1836" t="s">
        <v>852</v>
      </c>
      <c r="E18" s="1845">
        <v>0</v>
      </c>
      <c r="F18" s="1845"/>
      <c r="G18" s="1845"/>
      <c r="H18" s="1821" t="e">
        <f t="shared" si="0"/>
        <v>#DIV/0!</v>
      </c>
    </row>
    <row r="19" spans="1:8" ht="15.75" hidden="1" customHeight="1" x14ac:dyDescent="0.2">
      <c r="A19" s="1815">
        <v>4372</v>
      </c>
      <c r="B19" s="1816">
        <v>5169</v>
      </c>
      <c r="C19" s="1974">
        <v>33513233</v>
      </c>
      <c r="D19" s="1836" t="s">
        <v>852</v>
      </c>
      <c r="E19" s="1845">
        <v>0</v>
      </c>
      <c r="F19" s="1845"/>
      <c r="G19" s="1845"/>
      <c r="H19" s="1821" t="e">
        <f t="shared" si="0"/>
        <v>#DIV/0!</v>
      </c>
    </row>
    <row r="20" spans="1:8" ht="15.75" hidden="1" customHeight="1" x14ac:dyDescent="0.2">
      <c r="A20" s="1815">
        <v>4373</v>
      </c>
      <c r="B20" s="1816">
        <v>5169</v>
      </c>
      <c r="C20" s="1974">
        <v>33113233</v>
      </c>
      <c r="D20" s="1836" t="s">
        <v>852</v>
      </c>
      <c r="E20" s="1845">
        <v>0</v>
      </c>
      <c r="F20" s="1845"/>
      <c r="G20" s="1845"/>
      <c r="H20" s="1821" t="e">
        <f t="shared" si="0"/>
        <v>#DIV/0!</v>
      </c>
    </row>
    <row r="21" spans="1:8" ht="15.75" hidden="1" customHeight="1" x14ac:dyDescent="0.2">
      <c r="A21" s="1815">
        <v>4373</v>
      </c>
      <c r="B21" s="1816">
        <v>5169</v>
      </c>
      <c r="C21" s="1974">
        <v>33513233</v>
      </c>
      <c r="D21" s="1836" t="s">
        <v>852</v>
      </c>
      <c r="E21" s="1845">
        <v>0</v>
      </c>
      <c r="F21" s="1845"/>
      <c r="G21" s="1845"/>
      <c r="H21" s="1821" t="e">
        <f t="shared" si="0"/>
        <v>#DIV/0!</v>
      </c>
    </row>
    <row r="22" spans="1:8" ht="15.75" customHeight="1" x14ac:dyDescent="0.2">
      <c r="A22" s="1815">
        <v>4374</v>
      </c>
      <c r="B22" s="1816">
        <v>5169</v>
      </c>
      <c r="C22" s="1974">
        <v>33113233</v>
      </c>
      <c r="D22" s="1836" t="s">
        <v>852</v>
      </c>
      <c r="E22" s="1845">
        <v>0</v>
      </c>
      <c r="F22" s="1845">
        <v>6231</v>
      </c>
      <c r="G22" s="1845">
        <v>6222</v>
      </c>
      <c r="H22" s="1821">
        <f t="shared" si="0"/>
        <v>99.855560905151663</v>
      </c>
    </row>
    <row r="23" spans="1:8" ht="15.75" customHeight="1" x14ac:dyDescent="0.2">
      <c r="A23" s="1815">
        <v>4374</v>
      </c>
      <c r="B23" s="1816">
        <v>5169</v>
      </c>
      <c r="C23" s="1974">
        <v>33513233</v>
      </c>
      <c r="D23" s="1836" t="s">
        <v>852</v>
      </c>
      <c r="E23" s="1845">
        <v>0</v>
      </c>
      <c r="F23" s="1845">
        <v>35311</v>
      </c>
      <c r="G23" s="1845">
        <v>35260</v>
      </c>
      <c r="H23" s="1821">
        <f t="shared" si="0"/>
        <v>99.855569086120482</v>
      </c>
    </row>
    <row r="24" spans="1:8" ht="15.75" hidden="1" customHeight="1" x14ac:dyDescent="0.2">
      <c r="A24" s="1815">
        <v>4379</v>
      </c>
      <c r="B24" s="1816">
        <v>5137</v>
      </c>
      <c r="C24" s="1974">
        <v>33113233</v>
      </c>
      <c r="D24" s="1836" t="s">
        <v>155</v>
      </c>
      <c r="E24" s="1845">
        <v>0</v>
      </c>
      <c r="F24" s="1845"/>
      <c r="G24" s="1845"/>
      <c r="H24" s="1821" t="e">
        <f t="shared" si="0"/>
        <v>#DIV/0!</v>
      </c>
    </row>
    <row r="25" spans="1:8" ht="15.75" hidden="1" customHeight="1" x14ac:dyDescent="0.2">
      <c r="A25" s="1815">
        <v>4379</v>
      </c>
      <c r="B25" s="1816">
        <v>5137</v>
      </c>
      <c r="C25" s="1974">
        <v>33513233</v>
      </c>
      <c r="D25" s="1836" t="s">
        <v>155</v>
      </c>
      <c r="E25" s="1845">
        <v>0</v>
      </c>
      <c r="F25" s="1845"/>
      <c r="G25" s="1845"/>
      <c r="H25" s="1821" t="e">
        <f t="shared" si="0"/>
        <v>#DIV/0!</v>
      </c>
    </row>
    <row r="26" spans="1:8" ht="15.75" hidden="1" customHeight="1" x14ac:dyDescent="0.2">
      <c r="A26" s="1815">
        <v>4379</v>
      </c>
      <c r="B26" s="1816">
        <v>5139</v>
      </c>
      <c r="C26" s="1974">
        <v>33113233</v>
      </c>
      <c r="D26" s="1836" t="s">
        <v>625</v>
      </c>
      <c r="E26" s="1845">
        <v>0</v>
      </c>
      <c r="F26" s="1845"/>
      <c r="G26" s="1845"/>
      <c r="H26" s="1821" t="e">
        <f t="shared" si="0"/>
        <v>#DIV/0!</v>
      </c>
    </row>
    <row r="27" spans="1:8" ht="15.75" hidden="1" customHeight="1" x14ac:dyDescent="0.2">
      <c r="A27" s="1815">
        <v>4379</v>
      </c>
      <c r="B27" s="1816">
        <v>5139</v>
      </c>
      <c r="C27" s="1974">
        <v>33513233</v>
      </c>
      <c r="D27" s="1836" t="s">
        <v>625</v>
      </c>
      <c r="E27" s="1845">
        <v>0</v>
      </c>
      <c r="F27" s="1845"/>
      <c r="G27" s="1845"/>
      <c r="H27" s="1821" t="e">
        <f t="shared" si="0"/>
        <v>#DIV/0!</v>
      </c>
    </row>
    <row r="28" spans="1:8" ht="15.75" customHeight="1" x14ac:dyDescent="0.2">
      <c r="A28" s="1815">
        <v>4379</v>
      </c>
      <c r="B28" s="1816">
        <v>5164</v>
      </c>
      <c r="C28" s="1974">
        <v>33113233</v>
      </c>
      <c r="D28" s="1836" t="s">
        <v>170</v>
      </c>
      <c r="E28" s="1845">
        <v>0</v>
      </c>
      <c r="F28" s="1845">
        <v>3</v>
      </c>
      <c r="G28" s="1845">
        <v>0</v>
      </c>
      <c r="H28" s="1821">
        <f t="shared" si="0"/>
        <v>0</v>
      </c>
    </row>
    <row r="29" spans="1:8" ht="15.75" customHeight="1" x14ac:dyDescent="0.2">
      <c r="A29" s="1815">
        <v>4379</v>
      </c>
      <c r="B29" s="1816">
        <v>5164</v>
      </c>
      <c r="C29" s="1974">
        <v>33513233</v>
      </c>
      <c r="D29" s="1836" t="s">
        <v>170</v>
      </c>
      <c r="E29" s="1845">
        <v>0</v>
      </c>
      <c r="F29" s="1845">
        <v>17</v>
      </c>
      <c r="G29" s="1845">
        <v>0</v>
      </c>
      <c r="H29" s="1821">
        <f t="shared" si="0"/>
        <v>0</v>
      </c>
    </row>
    <row r="30" spans="1:8" ht="15.75" hidden="1" customHeight="1" x14ac:dyDescent="0.2">
      <c r="A30" s="1815">
        <v>4379</v>
      </c>
      <c r="B30" s="1816">
        <v>5137</v>
      </c>
      <c r="C30" s="1974">
        <v>33113233</v>
      </c>
      <c r="D30" s="1836" t="s">
        <v>155</v>
      </c>
      <c r="E30" s="1845">
        <v>0</v>
      </c>
      <c r="F30" s="1845">
        <v>0</v>
      </c>
      <c r="G30" s="1845">
        <v>0</v>
      </c>
      <c r="H30" s="1821">
        <v>0</v>
      </c>
    </row>
    <row r="31" spans="1:8" ht="15.75" hidden="1" customHeight="1" x14ac:dyDescent="0.2">
      <c r="A31" s="1815">
        <v>4379</v>
      </c>
      <c r="B31" s="1816">
        <v>5137</v>
      </c>
      <c r="C31" s="1974">
        <v>33513233</v>
      </c>
      <c r="D31" s="1836" t="s">
        <v>155</v>
      </c>
      <c r="E31" s="1845">
        <v>0</v>
      </c>
      <c r="F31" s="1845">
        <v>0</v>
      </c>
      <c r="G31" s="1845">
        <v>0</v>
      </c>
      <c r="H31" s="1821">
        <v>0</v>
      </c>
    </row>
    <row r="32" spans="1:8" ht="15.75" hidden="1" customHeight="1" x14ac:dyDescent="0.2">
      <c r="A32" s="1815">
        <v>4379</v>
      </c>
      <c r="B32" s="1816">
        <v>5139</v>
      </c>
      <c r="C32" s="1974">
        <v>33113233</v>
      </c>
      <c r="D32" s="1836" t="s">
        <v>765</v>
      </c>
      <c r="E32" s="1845">
        <v>0</v>
      </c>
      <c r="F32" s="1845">
        <v>0</v>
      </c>
      <c r="G32" s="1845">
        <v>0</v>
      </c>
      <c r="H32" s="1821">
        <v>0</v>
      </c>
    </row>
    <row r="33" spans="1:8" ht="15.75" hidden="1" customHeight="1" x14ac:dyDescent="0.2">
      <c r="A33" s="1815">
        <v>4379</v>
      </c>
      <c r="B33" s="1816">
        <v>5139</v>
      </c>
      <c r="C33" s="1974">
        <v>33513233</v>
      </c>
      <c r="D33" s="1836" t="s">
        <v>765</v>
      </c>
      <c r="E33" s="1845">
        <v>0</v>
      </c>
      <c r="F33" s="1845">
        <v>0</v>
      </c>
      <c r="G33" s="1845">
        <v>0</v>
      </c>
      <c r="H33" s="1821" t="e">
        <f>G33/F33*100</f>
        <v>#DIV/0!</v>
      </c>
    </row>
    <row r="34" spans="1:8" ht="15.75" hidden="1" customHeight="1" x14ac:dyDescent="0.2">
      <c r="A34" s="1815">
        <v>4379</v>
      </c>
      <c r="B34" s="1816">
        <v>5163</v>
      </c>
      <c r="C34" s="1974">
        <v>33113233</v>
      </c>
      <c r="D34" s="1836" t="s">
        <v>892</v>
      </c>
      <c r="E34" s="1845">
        <v>0</v>
      </c>
      <c r="F34" s="1845"/>
      <c r="G34" s="1845"/>
      <c r="H34" s="1821">
        <v>0</v>
      </c>
    </row>
    <row r="35" spans="1:8" ht="15.75" hidden="1" customHeight="1" x14ac:dyDescent="0.2">
      <c r="A35" s="1815">
        <v>4379</v>
      </c>
      <c r="B35" s="1816">
        <v>5163</v>
      </c>
      <c r="C35" s="1974">
        <v>33513233</v>
      </c>
      <c r="D35" s="1836" t="s">
        <v>892</v>
      </c>
      <c r="E35" s="1845">
        <v>0</v>
      </c>
      <c r="F35" s="1845"/>
      <c r="G35" s="1845"/>
      <c r="H35" s="1821" t="e">
        <f t="shared" ref="H35:H65" si="1">G35/F35*100</f>
        <v>#DIV/0!</v>
      </c>
    </row>
    <row r="36" spans="1:8" ht="15.75" hidden="1" customHeight="1" x14ac:dyDescent="0.2">
      <c r="A36" s="1815">
        <v>4379</v>
      </c>
      <c r="B36" s="1816">
        <v>5164</v>
      </c>
      <c r="C36" s="1974">
        <v>33113233</v>
      </c>
      <c r="D36" s="1836" t="s">
        <v>170</v>
      </c>
      <c r="E36" s="1845">
        <v>0</v>
      </c>
      <c r="F36" s="1845"/>
      <c r="G36" s="1845"/>
      <c r="H36" s="1821" t="e">
        <f t="shared" si="1"/>
        <v>#DIV/0!</v>
      </c>
    </row>
    <row r="37" spans="1:8" ht="15.75" hidden="1" customHeight="1" x14ac:dyDescent="0.2">
      <c r="A37" s="1815">
        <v>4379</v>
      </c>
      <c r="B37" s="1816">
        <v>5164</v>
      </c>
      <c r="C37" s="1974">
        <v>33513233</v>
      </c>
      <c r="D37" s="1836" t="s">
        <v>170</v>
      </c>
      <c r="E37" s="1845">
        <v>0</v>
      </c>
      <c r="F37" s="1845"/>
      <c r="G37" s="1845"/>
      <c r="H37" s="1821" t="e">
        <f t="shared" si="1"/>
        <v>#DIV/0!</v>
      </c>
    </row>
    <row r="38" spans="1:8" s="1846" customFormat="1" ht="15.75" customHeight="1" x14ac:dyDescent="0.2">
      <c r="A38" s="1896">
        <v>4379</v>
      </c>
      <c r="B38" s="1903">
        <v>5166</v>
      </c>
      <c r="C38" s="1904">
        <v>33113233</v>
      </c>
      <c r="D38" s="1836" t="s">
        <v>609</v>
      </c>
      <c r="E38" s="1845">
        <v>0</v>
      </c>
      <c r="F38" s="1845">
        <v>19</v>
      </c>
      <c r="G38" s="1845">
        <v>0</v>
      </c>
      <c r="H38" s="1821">
        <f t="shared" si="1"/>
        <v>0</v>
      </c>
    </row>
    <row r="39" spans="1:8" s="1846" customFormat="1" ht="15.75" customHeight="1" x14ac:dyDescent="0.2">
      <c r="A39" s="1896">
        <v>4379</v>
      </c>
      <c r="B39" s="1903">
        <v>5166</v>
      </c>
      <c r="C39" s="1904">
        <v>33513233</v>
      </c>
      <c r="D39" s="1836" t="s">
        <v>609</v>
      </c>
      <c r="E39" s="1845">
        <v>0</v>
      </c>
      <c r="F39" s="1845">
        <v>110</v>
      </c>
      <c r="G39" s="1845">
        <v>0</v>
      </c>
      <c r="H39" s="1821">
        <f t="shared" si="1"/>
        <v>0</v>
      </c>
    </row>
    <row r="40" spans="1:8" ht="15.75" customHeight="1" x14ac:dyDescent="0.2">
      <c r="A40" s="1815">
        <v>4379</v>
      </c>
      <c r="B40" s="1816">
        <v>5169</v>
      </c>
      <c r="C40" s="1974">
        <v>33113233</v>
      </c>
      <c r="D40" s="1836" t="s">
        <v>852</v>
      </c>
      <c r="E40" s="1845">
        <v>0</v>
      </c>
      <c r="F40" s="1845">
        <v>9</v>
      </c>
      <c r="G40" s="1845">
        <v>0</v>
      </c>
      <c r="H40" s="1821">
        <f t="shared" si="1"/>
        <v>0</v>
      </c>
    </row>
    <row r="41" spans="1:8" ht="15.75" customHeight="1" x14ac:dyDescent="0.2">
      <c r="A41" s="1815">
        <v>4379</v>
      </c>
      <c r="B41" s="1816">
        <v>5169</v>
      </c>
      <c r="C41" s="1974">
        <v>33513233</v>
      </c>
      <c r="D41" s="1836" t="s">
        <v>852</v>
      </c>
      <c r="E41" s="1845">
        <v>0</v>
      </c>
      <c r="F41" s="1845">
        <v>51</v>
      </c>
      <c r="G41" s="1845">
        <v>0</v>
      </c>
      <c r="H41" s="1821">
        <f t="shared" si="1"/>
        <v>0</v>
      </c>
    </row>
    <row r="42" spans="1:8" ht="15.75" customHeight="1" x14ac:dyDescent="0.2">
      <c r="A42" s="1815">
        <v>4379</v>
      </c>
      <c r="B42" s="1816">
        <v>5175</v>
      </c>
      <c r="C42" s="1974">
        <v>33113233</v>
      </c>
      <c r="D42" s="1836" t="s">
        <v>669</v>
      </c>
      <c r="E42" s="1845">
        <v>0</v>
      </c>
      <c r="F42" s="1845">
        <v>6</v>
      </c>
      <c r="G42" s="1845">
        <v>0</v>
      </c>
      <c r="H42" s="1821">
        <f t="shared" si="1"/>
        <v>0</v>
      </c>
    </row>
    <row r="43" spans="1:8" ht="15.75" customHeight="1" x14ac:dyDescent="0.2">
      <c r="A43" s="1815">
        <v>4379</v>
      </c>
      <c r="B43" s="1816">
        <v>5175</v>
      </c>
      <c r="C43" s="1974">
        <v>33513233</v>
      </c>
      <c r="D43" s="1836" t="s">
        <v>669</v>
      </c>
      <c r="E43" s="1845">
        <v>0</v>
      </c>
      <c r="F43" s="1845">
        <v>34</v>
      </c>
      <c r="G43" s="1845">
        <v>0</v>
      </c>
      <c r="H43" s="1821">
        <f t="shared" si="1"/>
        <v>0</v>
      </c>
    </row>
    <row r="44" spans="1:8" ht="15.75" customHeight="1" x14ac:dyDescent="0.2">
      <c r="A44" s="1815">
        <v>4379</v>
      </c>
      <c r="B44" s="1816">
        <v>5901</v>
      </c>
      <c r="C44" s="1974">
        <v>33113233</v>
      </c>
      <c r="D44" s="1836" t="s">
        <v>602</v>
      </c>
      <c r="E44" s="1845">
        <v>0</v>
      </c>
      <c r="F44" s="1845">
        <v>937</v>
      </c>
      <c r="G44" s="1845">
        <v>0</v>
      </c>
      <c r="H44" s="1821">
        <f t="shared" si="1"/>
        <v>0</v>
      </c>
    </row>
    <row r="45" spans="1:8" ht="15" x14ac:dyDescent="0.2">
      <c r="A45" s="1815">
        <v>4379</v>
      </c>
      <c r="B45" s="1816">
        <v>5901</v>
      </c>
      <c r="C45" s="1974">
        <v>33513233</v>
      </c>
      <c r="D45" s="1836" t="s">
        <v>1392</v>
      </c>
      <c r="E45" s="1845">
        <v>0</v>
      </c>
      <c r="F45" s="1845">
        <v>5310</v>
      </c>
      <c r="G45" s="1845">
        <v>0</v>
      </c>
      <c r="H45" s="1821">
        <f t="shared" si="1"/>
        <v>0</v>
      </c>
    </row>
    <row r="46" spans="1:8" ht="15.75" customHeight="1" x14ac:dyDescent="0.2">
      <c r="A46" s="1896">
        <v>6172</v>
      </c>
      <c r="B46" s="1903">
        <v>5011</v>
      </c>
      <c r="C46" s="1904">
        <v>33113233</v>
      </c>
      <c r="D46" s="1836" t="s">
        <v>206</v>
      </c>
      <c r="E46" s="1845">
        <v>0</v>
      </c>
      <c r="F46" s="1845">
        <v>114</v>
      </c>
      <c r="G46" s="1845">
        <v>89</v>
      </c>
      <c r="H46" s="1821">
        <f t="shared" si="1"/>
        <v>78.070175438596493</v>
      </c>
    </row>
    <row r="47" spans="1:8" ht="15.75" customHeight="1" x14ac:dyDescent="0.2">
      <c r="A47" s="1896">
        <v>6172</v>
      </c>
      <c r="B47" s="1903">
        <v>5011</v>
      </c>
      <c r="C47" s="1904">
        <v>33513233</v>
      </c>
      <c r="D47" s="1836" t="s">
        <v>206</v>
      </c>
      <c r="E47" s="1845">
        <v>0</v>
      </c>
      <c r="F47" s="1845">
        <v>646</v>
      </c>
      <c r="G47" s="1845">
        <v>502</v>
      </c>
      <c r="H47" s="1821">
        <f t="shared" si="1"/>
        <v>77.708978328173373</v>
      </c>
    </row>
    <row r="48" spans="1:8" ht="15.75" customHeight="1" x14ac:dyDescent="0.2">
      <c r="A48" s="1815">
        <v>6172</v>
      </c>
      <c r="B48" s="1816">
        <v>5021</v>
      </c>
      <c r="C48" s="1974">
        <v>33113233</v>
      </c>
      <c r="D48" s="1836" t="s">
        <v>389</v>
      </c>
      <c r="E48" s="1845">
        <v>0</v>
      </c>
      <c r="F48" s="1845">
        <v>21</v>
      </c>
      <c r="G48" s="1845">
        <v>17</v>
      </c>
      <c r="H48" s="1821">
        <f t="shared" si="1"/>
        <v>80.952380952380949</v>
      </c>
    </row>
    <row r="49" spans="1:8" ht="15.75" customHeight="1" x14ac:dyDescent="0.2">
      <c r="A49" s="1815">
        <v>6172</v>
      </c>
      <c r="B49" s="1816">
        <v>5021</v>
      </c>
      <c r="C49" s="1974">
        <v>33513233</v>
      </c>
      <c r="D49" s="1836" t="s">
        <v>389</v>
      </c>
      <c r="E49" s="1845">
        <v>0</v>
      </c>
      <c r="F49" s="1845">
        <v>119</v>
      </c>
      <c r="G49" s="1845">
        <v>95</v>
      </c>
      <c r="H49" s="1821">
        <f t="shared" si="1"/>
        <v>79.831932773109244</v>
      </c>
    </row>
    <row r="50" spans="1:8" s="1846" customFormat="1" ht="45" x14ac:dyDescent="0.2">
      <c r="A50" s="1896">
        <v>6172</v>
      </c>
      <c r="B50" s="1903">
        <v>5031</v>
      </c>
      <c r="C50" s="1904">
        <v>33113233</v>
      </c>
      <c r="D50" s="1836" t="s">
        <v>1299</v>
      </c>
      <c r="E50" s="1845">
        <v>0</v>
      </c>
      <c r="F50" s="1845">
        <v>34</v>
      </c>
      <c r="G50" s="1845">
        <v>26</v>
      </c>
      <c r="H50" s="1821">
        <f t="shared" si="1"/>
        <v>76.470588235294116</v>
      </c>
    </row>
    <row r="51" spans="1:8" s="1846" customFormat="1" ht="45" x14ac:dyDescent="0.2">
      <c r="A51" s="1896">
        <v>6172</v>
      </c>
      <c r="B51" s="1903">
        <v>5031</v>
      </c>
      <c r="C51" s="1904">
        <v>33513233</v>
      </c>
      <c r="D51" s="1836" t="s">
        <v>1299</v>
      </c>
      <c r="E51" s="1845">
        <v>0</v>
      </c>
      <c r="F51" s="1845">
        <v>191</v>
      </c>
      <c r="G51" s="1845">
        <v>149</v>
      </c>
      <c r="H51" s="1821">
        <f t="shared" si="1"/>
        <v>78.010471204188477</v>
      </c>
    </row>
    <row r="52" spans="1:8" s="1846" customFormat="1" ht="30" x14ac:dyDescent="0.2">
      <c r="A52" s="1896">
        <v>6172</v>
      </c>
      <c r="B52" s="1903">
        <v>5032</v>
      </c>
      <c r="C52" s="1904">
        <v>33113233</v>
      </c>
      <c r="D52" s="1836" t="s">
        <v>1300</v>
      </c>
      <c r="E52" s="1845">
        <v>0</v>
      </c>
      <c r="F52" s="1845">
        <v>12</v>
      </c>
      <c r="G52" s="1845">
        <v>10</v>
      </c>
      <c r="H52" s="1821">
        <f t="shared" si="1"/>
        <v>83.333333333333343</v>
      </c>
    </row>
    <row r="53" spans="1:8" s="1846" customFormat="1" ht="30" x14ac:dyDescent="0.2">
      <c r="A53" s="1896">
        <v>6172</v>
      </c>
      <c r="B53" s="1903">
        <v>5032</v>
      </c>
      <c r="C53" s="1904">
        <v>33513233</v>
      </c>
      <c r="D53" s="1836" t="s">
        <v>1300</v>
      </c>
      <c r="E53" s="1845">
        <v>0</v>
      </c>
      <c r="F53" s="2168">
        <v>69</v>
      </c>
      <c r="G53" s="1845">
        <v>54</v>
      </c>
      <c r="H53" s="2169">
        <f t="shared" si="1"/>
        <v>78.260869565217391</v>
      </c>
    </row>
    <row r="54" spans="1:8" s="1907" customFormat="1" ht="15" hidden="1" x14ac:dyDescent="0.2">
      <c r="A54" s="1896">
        <v>6172</v>
      </c>
      <c r="B54" s="1903">
        <v>5137</v>
      </c>
      <c r="C54" s="1904">
        <v>33113233</v>
      </c>
      <c r="D54" s="1836" t="s">
        <v>155</v>
      </c>
      <c r="E54" s="1845">
        <v>0</v>
      </c>
      <c r="F54" s="1908">
        <v>0</v>
      </c>
      <c r="G54" s="2168">
        <v>0</v>
      </c>
      <c r="H54" s="2169" t="e">
        <f t="shared" si="1"/>
        <v>#DIV/0!</v>
      </c>
    </row>
    <row r="55" spans="1:8" s="1907" customFormat="1" ht="15" hidden="1" x14ac:dyDescent="0.2">
      <c r="A55" s="1896">
        <v>6172</v>
      </c>
      <c r="B55" s="1903">
        <v>5137</v>
      </c>
      <c r="C55" s="1904">
        <v>33513233</v>
      </c>
      <c r="D55" s="1836" t="s">
        <v>155</v>
      </c>
      <c r="E55" s="1845">
        <v>0</v>
      </c>
      <c r="F55" s="1908">
        <v>0</v>
      </c>
      <c r="G55" s="2168">
        <v>0</v>
      </c>
      <c r="H55" s="2169" t="e">
        <f t="shared" si="1"/>
        <v>#DIV/0!</v>
      </c>
    </row>
    <row r="56" spans="1:8" s="1846" customFormat="1" ht="15" x14ac:dyDescent="0.2">
      <c r="A56" s="1896">
        <v>6172</v>
      </c>
      <c r="B56" s="1905">
        <v>5139</v>
      </c>
      <c r="C56" s="1904">
        <v>33113233</v>
      </c>
      <c r="D56" s="1836" t="s">
        <v>765</v>
      </c>
      <c r="E56" s="1845">
        <v>0</v>
      </c>
      <c r="F56" s="1845">
        <v>7</v>
      </c>
      <c r="G56" s="2168">
        <v>0</v>
      </c>
      <c r="H56" s="2169">
        <f t="shared" si="1"/>
        <v>0</v>
      </c>
    </row>
    <row r="57" spans="1:8" s="1846" customFormat="1" ht="15" x14ac:dyDescent="0.2">
      <c r="A57" s="1896">
        <v>6172</v>
      </c>
      <c r="B57" s="1905">
        <v>5139</v>
      </c>
      <c r="C57" s="1974">
        <v>33513233</v>
      </c>
      <c r="D57" s="1836" t="s">
        <v>765</v>
      </c>
      <c r="E57" s="1845">
        <v>0</v>
      </c>
      <c r="F57" s="1845">
        <v>43</v>
      </c>
      <c r="G57" s="2168">
        <v>0</v>
      </c>
      <c r="H57" s="2169">
        <f t="shared" si="1"/>
        <v>0</v>
      </c>
    </row>
    <row r="58" spans="1:8" ht="15" hidden="1" x14ac:dyDescent="0.2">
      <c r="A58" s="1896">
        <v>6172</v>
      </c>
      <c r="B58" s="1905">
        <v>5156</v>
      </c>
      <c r="C58" s="1904">
        <v>33113233</v>
      </c>
      <c r="D58" s="1836" t="s">
        <v>298</v>
      </c>
      <c r="E58" s="1845">
        <v>0</v>
      </c>
      <c r="F58" s="1845"/>
      <c r="G58" s="2168"/>
      <c r="H58" s="2169" t="e">
        <f t="shared" si="1"/>
        <v>#DIV/0!</v>
      </c>
    </row>
    <row r="59" spans="1:8" ht="15" hidden="1" x14ac:dyDescent="0.2">
      <c r="A59" s="1896">
        <v>6172</v>
      </c>
      <c r="B59" s="1905">
        <v>5156</v>
      </c>
      <c r="C59" s="1904">
        <v>33513233</v>
      </c>
      <c r="D59" s="1836" t="s">
        <v>298</v>
      </c>
      <c r="E59" s="1845">
        <v>0</v>
      </c>
      <c r="F59" s="1845"/>
      <c r="G59" s="2168"/>
      <c r="H59" s="2169" t="e">
        <f t="shared" si="1"/>
        <v>#DIV/0!</v>
      </c>
    </row>
    <row r="60" spans="1:8" ht="15.75" customHeight="1" x14ac:dyDescent="0.2">
      <c r="A60" s="1896">
        <v>6172</v>
      </c>
      <c r="B60" s="1903">
        <v>5162</v>
      </c>
      <c r="C60" s="1904">
        <v>33113233</v>
      </c>
      <c r="D60" s="1836" t="s">
        <v>864</v>
      </c>
      <c r="E60" s="2168">
        <v>0</v>
      </c>
      <c r="F60" s="1845">
        <v>1</v>
      </c>
      <c r="G60" s="2168">
        <v>0</v>
      </c>
      <c r="H60" s="2169">
        <v>0</v>
      </c>
    </row>
    <row r="61" spans="1:8" ht="15.75" customHeight="1" x14ac:dyDescent="0.2">
      <c r="A61" s="1896">
        <v>6172</v>
      </c>
      <c r="B61" s="1903">
        <v>5162</v>
      </c>
      <c r="C61" s="1904">
        <v>33513233</v>
      </c>
      <c r="D61" s="1836" t="s">
        <v>864</v>
      </c>
      <c r="E61" s="1845">
        <v>0</v>
      </c>
      <c r="F61" s="1845">
        <v>3</v>
      </c>
      <c r="G61" s="1845">
        <v>0</v>
      </c>
      <c r="H61" s="1821">
        <f t="shared" si="1"/>
        <v>0</v>
      </c>
    </row>
    <row r="62" spans="1:8" ht="15.75" customHeight="1" x14ac:dyDescent="0.2">
      <c r="A62" s="1815">
        <v>6172</v>
      </c>
      <c r="B62" s="1816">
        <v>5173</v>
      </c>
      <c r="C62" s="1974">
        <v>33113233</v>
      </c>
      <c r="D62" s="1836" t="s">
        <v>1152</v>
      </c>
      <c r="E62" s="1845">
        <v>0</v>
      </c>
      <c r="F62" s="1845">
        <v>3</v>
      </c>
      <c r="G62" s="1845">
        <v>0</v>
      </c>
      <c r="H62" s="1821">
        <f t="shared" si="1"/>
        <v>0</v>
      </c>
    </row>
    <row r="63" spans="1:8" ht="15.75" customHeight="1" x14ac:dyDescent="0.2">
      <c r="A63" s="1815">
        <v>6172</v>
      </c>
      <c r="B63" s="1816">
        <v>5173</v>
      </c>
      <c r="C63" s="1974">
        <v>33513233</v>
      </c>
      <c r="D63" s="1836" t="s">
        <v>1152</v>
      </c>
      <c r="E63" s="1845">
        <v>0</v>
      </c>
      <c r="F63" s="1845">
        <v>17</v>
      </c>
      <c r="G63" s="1845">
        <v>2</v>
      </c>
      <c r="H63" s="1821">
        <f t="shared" si="1"/>
        <v>11.76470588235294</v>
      </c>
    </row>
    <row r="64" spans="1:8" s="1846" customFormat="1" ht="15.75" customHeight="1" x14ac:dyDescent="0.2">
      <c r="A64" s="1896">
        <v>6172</v>
      </c>
      <c r="B64" s="1903">
        <v>5424</v>
      </c>
      <c r="C64" s="1904">
        <v>33113233</v>
      </c>
      <c r="D64" s="1836" t="s">
        <v>650</v>
      </c>
      <c r="E64" s="1845">
        <v>0</v>
      </c>
      <c r="F64" s="1845">
        <v>8</v>
      </c>
      <c r="G64" s="1845">
        <v>0</v>
      </c>
      <c r="H64" s="1821">
        <f t="shared" si="1"/>
        <v>0</v>
      </c>
    </row>
    <row r="65" spans="1:12" s="1846" customFormat="1" ht="15.75" customHeight="1" thickBot="1" x14ac:dyDescent="0.25">
      <c r="A65" s="1896">
        <v>6172</v>
      </c>
      <c r="B65" s="1903">
        <v>5424</v>
      </c>
      <c r="C65" s="1904">
        <v>33513233</v>
      </c>
      <c r="D65" s="1836" t="s">
        <v>650</v>
      </c>
      <c r="E65" s="1845">
        <v>0</v>
      </c>
      <c r="F65" s="1845">
        <v>42</v>
      </c>
      <c r="G65" s="1845">
        <v>1</v>
      </c>
      <c r="H65" s="1821">
        <f t="shared" si="1"/>
        <v>2.3809523809523809</v>
      </c>
    </row>
    <row r="66" spans="1:12" s="1846" customFormat="1" ht="15.75" hidden="1" customHeight="1" thickBot="1" x14ac:dyDescent="0.25">
      <c r="A66" s="1896">
        <v>6330</v>
      </c>
      <c r="B66" s="1903">
        <v>5345</v>
      </c>
      <c r="C66" s="1904"/>
      <c r="D66" s="1836" t="s">
        <v>767</v>
      </c>
      <c r="E66" s="1845">
        <v>0</v>
      </c>
      <c r="F66" s="1845">
        <v>0</v>
      </c>
      <c r="G66" s="1845">
        <v>0</v>
      </c>
      <c r="H66" s="1827">
        <v>0</v>
      </c>
    </row>
    <row r="67" spans="1:12" s="1828" customFormat="1" ht="16.5" thickTop="1" thickBot="1" x14ac:dyDescent="0.3">
      <c r="A67" s="2751" t="s">
        <v>763</v>
      </c>
      <c r="B67" s="2752"/>
      <c r="C67" s="2752"/>
      <c r="D67" s="2752"/>
      <c r="E67" s="1818">
        <f>SUM(E54:E65,E12:E53)</f>
        <v>0</v>
      </c>
      <c r="F67" s="1818">
        <f>SUM(F54:F66,F12:F53)</f>
        <v>59458</v>
      </c>
      <c r="G67" s="1818">
        <f>SUM(G54:G66,G12:G53)</f>
        <v>52517</v>
      </c>
      <c r="H67" s="1822">
        <f>G67/F67*100</f>
        <v>88.32621346160316</v>
      </c>
      <c r="I67" s="1910"/>
    </row>
    <row r="68" spans="1:12" ht="13.5" thickTop="1" x14ac:dyDescent="0.2">
      <c r="I68" s="1829"/>
      <c r="L68" s="1850"/>
    </row>
    <row r="69" spans="1:12" x14ac:dyDescent="0.2">
      <c r="I69" s="1829"/>
    </row>
    <row r="70" spans="1:12" ht="15" x14ac:dyDescent="0.25">
      <c r="A70" s="1808" t="s">
        <v>2006</v>
      </c>
      <c r="I70" s="1829"/>
    </row>
    <row r="71" spans="1:12" ht="15.75" thickBot="1" x14ac:dyDescent="0.3">
      <c r="A71" s="1808" t="s">
        <v>2007</v>
      </c>
      <c r="H71" s="1892" t="s">
        <v>161</v>
      </c>
      <c r="I71" s="1829"/>
    </row>
    <row r="72" spans="1:12" s="1638" customFormat="1" ht="25.5" thickTop="1" thickBot="1" x14ac:dyDescent="0.25">
      <c r="A72" s="1809" t="s">
        <v>162</v>
      </c>
      <c r="B72" s="1810" t="s">
        <v>761</v>
      </c>
      <c r="C72" s="1810" t="s">
        <v>377</v>
      </c>
      <c r="D72" s="1811" t="s">
        <v>164</v>
      </c>
      <c r="E72" s="1833" t="s">
        <v>632</v>
      </c>
      <c r="F72" s="1833" t="s">
        <v>633</v>
      </c>
      <c r="G72" s="1834" t="s">
        <v>882</v>
      </c>
      <c r="H72" s="1835" t="s">
        <v>883</v>
      </c>
    </row>
    <row r="73" spans="1:12" s="1638" customFormat="1" ht="13.5" thickTop="1" thickBot="1" x14ac:dyDescent="0.25">
      <c r="A73" s="1643">
        <v>1</v>
      </c>
      <c r="B73" s="1642">
        <v>2</v>
      </c>
      <c r="C73" s="1642">
        <v>3</v>
      </c>
      <c r="D73" s="1642">
        <v>4</v>
      </c>
      <c r="E73" s="1641">
        <v>5</v>
      </c>
      <c r="F73" s="1641">
        <v>6</v>
      </c>
      <c r="G73" s="1877">
        <v>7</v>
      </c>
      <c r="H73" s="1901" t="s">
        <v>61</v>
      </c>
    </row>
    <row r="74" spans="1:12" ht="30.75" hidden="1" thickTop="1" x14ac:dyDescent="0.2">
      <c r="A74" s="1843">
        <v>6402</v>
      </c>
      <c r="B74" s="1844">
        <v>5364</v>
      </c>
      <c r="C74" s="2170">
        <v>19</v>
      </c>
      <c r="D74" s="1836" t="s">
        <v>1729</v>
      </c>
      <c r="E74" s="1832">
        <v>0</v>
      </c>
      <c r="F74" s="1832"/>
      <c r="G74" s="1832"/>
      <c r="H74" s="1821" t="e">
        <f t="shared" ref="H74:H101" si="2">G74/F74*100</f>
        <v>#DIV/0!</v>
      </c>
    </row>
    <row r="75" spans="1:12" ht="15.75" hidden="1" thickTop="1" x14ac:dyDescent="0.2">
      <c r="A75" s="1815">
        <v>4379</v>
      </c>
      <c r="B75" s="1816">
        <v>5137</v>
      </c>
      <c r="C75" s="1974">
        <v>33113233</v>
      </c>
      <c r="D75" s="1836" t="s">
        <v>155</v>
      </c>
      <c r="E75" s="1845">
        <v>0</v>
      </c>
      <c r="F75" s="1845"/>
      <c r="G75" s="1845"/>
      <c r="H75" s="1821" t="e">
        <f t="shared" si="2"/>
        <v>#DIV/0!</v>
      </c>
    </row>
    <row r="76" spans="1:12" ht="15.75" hidden="1" thickTop="1" x14ac:dyDescent="0.2">
      <c r="A76" s="1815">
        <v>4379</v>
      </c>
      <c r="B76" s="1816">
        <v>5137</v>
      </c>
      <c r="C76" s="1974">
        <v>33513233</v>
      </c>
      <c r="D76" s="1836" t="s">
        <v>155</v>
      </c>
      <c r="E76" s="1845">
        <v>0</v>
      </c>
      <c r="F76" s="1845"/>
      <c r="G76" s="1845"/>
      <c r="H76" s="1821" t="e">
        <f t="shared" si="2"/>
        <v>#DIV/0!</v>
      </c>
    </row>
    <row r="77" spans="1:12" ht="15.75" hidden="1" thickTop="1" x14ac:dyDescent="0.2">
      <c r="A77" s="1815">
        <v>4379</v>
      </c>
      <c r="B77" s="1816">
        <v>5139</v>
      </c>
      <c r="C77" s="1974">
        <v>33113233</v>
      </c>
      <c r="D77" s="1836" t="s">
        <v>169</v>
      </c>
      <c r="E77" s="1845">
        <v>0</v>
      </c>
      <c r="F77" s="1845"/>
      <c r="G77" s="1845"/>
      <c r="H77" s="1821" t="e">
        <f t="shared" si="2"/>
        <v>#DIV/0!</v>
      </c>
    </row>
    <row r="78" spans="1:12" ht="15.75" hidden="1" thickTop="1" x14ac:dyDescent="0.2">
      <c r="A78" s="1815">
        <v>4379</v>
      </c>
      <c r="B78" s="1816">
        <v>5139</v>
      </c>
      <c r="C78" s="1974">
        <v>33513233</v>
      </c>
      <c r="D78" s="1836" t="s">
        <v>169</v>
      </c>
      <c r="E78" s="1845">
        <v>0</v>
      </c>
      <c r="F78" s="1845"/>
      <c r="G78" s="1845"/>
      <c r="H78" s="1821" t="e">
        <f t="shared" si="2"/>
        <v>#DIV/0!</v>
      </c>
    </row>
    <row r="79" spans="1:12" ht="30.75" hidden="1" thickTop="1" x14ac:dyDescent="0.2">
      <c r="A79" s="1815">
        <v>4379</v>
      </c>
      <c r="B79" s="1816">
        <v>5166</v>
      </c>
      <c r="C79" s="1974">
        <v>33113233</v>
      </c>
      <c r="D79" s="1836" t="s">
        <v>609</v>
      </c>
      <c r="E79" s="1845">
        <v>0</v>
      </c>
      <c r="F79" s="1845"/>
      <c r="G79" s="1845"/>
      <c r="H79" s="1821" t="e">
        <f t="shared" si="2"/>
        <v>#DIV/0!</v>
      </c>
    </row>
    <row r="80" spans="1:12" ht="30.75" hidden="1" thickTop="1" x14ac:dyDescent="0.2">
      <c r="A80" s="1815">
        <v>4379</v>
      </c>
      <c r="B80" s="1816">
        <v>5166</v>
      </c>
      <c r="C80" s="1974">
        <v>33513233</v>
      </c>
      <c r="D80" s="1836" t="s">
        <v>609</v>
      </c>
      <c r="E80" s="1845">
        <v>0</v>
      </c>
      <c r="F80" s="1845"/>
      <c r="G80" s="1845"/>
      <c r="H80" s="1821" t="e">
        <f t="shared" si="2"/>
        <v>#DIV/0!</v>
      </c>
    </row>
    <row r="81" spans="1:8" ht="15.75" hidden="1" thickTop="1" x14ac:dyDescent="0.2">
      <c r="A81" s="1815">
        <v>4379</v>
      </c>
      <c r="B81" s="1816">
        <v>5169</v>
      </c>
      <c r="C81" s="1974">
        <v>33113233</v>
      </c>
      <c r="D81" s="1836" t="s">
        <v>852</v>
      </c>
      <c r="E81" s="1845">
        <v>0</v>
      </c>
      <c r="F81" s="1845"/>
      <c r="G81" s="1845"/>
      <c r="H81" s="1821" t="e">
        <f t="shared" si="2"/>
        <v>#DIV/0!</v>
      </c>
    </row>
    <row r="82" spans="1:8" ht="15.75" hidden="1" thickTop="1" x14ac:dyDescent="0.2">
      <c r="A82" s="1815">
        <v>4379</v>
      </c>
      <c r="B82" s="1816">
        <v>5169</v>
      </c>
      <c r="C82" s="1974">
        <v>33513233</v>
      </c>
      <c r="D82" s="1836" t="s">
        <v>852</v>
      </c>
      <c r="E82" s="1845">
        <v>0</v>
      </c>
      <c r="F82" s="1845"/>
      <c r="G82" s="1845"/>
      <c r="H82" s="1821" t="e">
        <f t="shared" si="2"/>
        <v>#DIV/0!</v>
      </c>
    </row>
    <row r="83" spans="1:8" ht="15.75" hidden="1" thickTop="1" x14ac:dyDescent="0.2">
      <c r="A83" s="1815">
        <v>4379</v>
      </c>
      <c r="B83" s="1816">
        <v>5175</v>
      </c>
      <c r="C83" s="1974">
        <v>33113233</v>
      </c>
      <c r="D83" s="1836" t="s">
        <v>669</v>
      </c>
      <c r="E83" s="1845">
        <v>0</v>
      </c>
      <c r="F83" s="1845"/>
      <c r="G83" s="1845"/>
      <c r="H83" s="1821" t="e">
        <f t="shared" si="2"/>
        <v>#DIV/0!</v>
      </c>
    </row>
    <row r="84" spans="1:8" ht="15.75" hidden="1" thickTop="1" x14ac:dyDescent="0.2">
      <c r="A84" s="1815">
        <v>4379</v>
      </c>
      <c r="B84" s="1816">
        <v>5175</v>
      </c>
      <c r="C84" s="1974">
        <v>33513233</v>
      </c>
      <c r="D84" s="1836" t="s">
        <v>669</v>
      </c>
      <c r="E84" s="1845">
        <v>0</v>
      </c>
      <c r="F84" s="1845"/>
      <c r="G84" s="1845"/>
      <c r="H84" s="1821" t="e">
        <f t="shared" si="2"/>
        <v>#DIV/0!</v>
      </c>
    </row>
    <row r="85" spans="1:8" ht="15.75" thickTop="1" x14ac:dyDescent="0.2">
      <c r="A85" s="1815">
        <v>4379</v>
      </c>
      <c r="B85" s="1816">
        <v>5901</v>
      </c>
      <c r="C85" s="1974">
        <v>33113233</v>
      </c>
      <c r="D85" s="1836" t="s">
        <v>602</v>
      </c>
      <c r="E85" s="1845">
        <v>0</v>
      </c>
      <c r="F85" s="1845">
        <v>1480</v>
      </c>
      <c r="G85" s="1845">
        <v>0</v>
      </c>
      <c r="H85" s="1821">
        <f t="shared" si="2"/>
        <v>0</v>
      </c>
    </row>
    <row r="86" spans="1:8" ht="15.75" thickBot="1" x14ac:dyDescent="0.25">
      <c r="A86" s="1815">
        <v>4379</v>
      </c>
      <c r="B86" s="1816">
        <v>5901</v>
      </c>
      <c r="C86" s="1974">
        <v>33513233</v>
      </c>
      <c r="D86" s="1836" t="s">
        <v>602</v>
      </c>
      <c r="E86" s="1845">
        <v>0</v>
      </c>
      <c r="F86" s="1845">
        <v>8385</v>
      </c>
      <c r="G86" s="1845">
        <v>0</v>
      </c>
      <c r="H86" s="1821">
        <f t="shared" si="2"/>
        <v>0</v>
      </c>
    </row>
    <row r="87" spans="1:8" ht="15.75" hidden="1" thickBot="1" x14ac:dyDescent="0.25">
      <c r="A87" s="1815">
        <v>4379</v>
      </c>
      <c r="B87" s="1816">
        <v>5901</v>
      </c>
      <c r="C87" s="1974">
        <v>33513233</v>
      </c>
      <c r="D87" s="1836" t="s">
        <v>1392</v>
      </c>
      <c r="E87" s="1845">
        <v>0</v>
      </c>
      <c r="F87" s="1845"/>
      <c r="G87" s="1845"/>
      <c r="H87" s="1821" t="e">
        <f t="shared" si="2"/>
        <v>#DIV/0!</v>
      </c>
    </row>
    <row r="88" spans="1:8" ht="15.75" hidden="1" thickBot="1" x14ac:dyDescent="0.25">
      <c r="A88" s="1896">
        <v>6172</v>
      </c>
      <c r="B88" s="1903">
        <v>5011</v>
      </c>
      <c r="C88" s="1904">
        <v>33113233</v>
      </c>
      <c r="D88" s="1836" t="s">
        <v>206</v>
      </c>
      <c r="E88" s="1845">
        <v>0</v>
      </c>
      <c r="F88" s="1845"/>
      <c r="G88" s="1845"/>
      <c r="H88" s="1821" t="e">
        <f t="shared" si="2"/>
        <v>#DIV/0!</v>
      </c>
    </row>
    <row r="89" spans="1:8" ht="15.75" hidden="1" thickBot="1" x14ac:dyDescent="0.25">
      <c r="A89" s="1896">
        <v>6172</v>
      </c>
      <c r="B89" s="1903">
        <v>5011</v>
      </c>
      <c r="C89" s="1904">
        <v>33513233</v>
      </c>
      <c r="D89" s="1836" t="s">
        <v>206</v>
      </c>
      <c r="E89" s="1845">
        <v>0</v>
      </c>
      <c r="F89" s="1845"/>
      <c r="G89" s="1845"/>
      <c r="H89" s="1821" t="e">
        <f t="shared" si="2"/>
        <v>#DIV/0!</v>
      </c>
    </row>
    <row r="90" spans="1:8" ht="15.75" hidden="1" thickBot="1" x14ac:dyDescent="0.25">
      <c r="A90" s="1815">
        <v>6172</v>
      </c>
      <c r="B90" s="1816">
        <v>5021</v>
      </c>
      <c r="C90" s="1974">
        <v>33113233</v>
      </c>
      <c r="D90" s="1836" t="s">
        <v>389</v>
      </c>
      <c r="E90" s="1845">
        <v>0</v>
      </c>
      <c r="F90" s="1845"/>
      <c r="G90" s="1845"/>
      <c r="H90" s="1821" t="e">
        <f t="shared" si="2"/>
        <v>#DIV/0!</v>
      </c>
    </row>
    <row r="91" spans="1:8" ht="15.75" hidden="1" thickBot="1" x14ac:dyDescent="0.25">
      <c r="A91" s="1815">
        <v>6172</v>
      </c>
      <c r="B91" s="1816">
        <v>5021</v>
      </c>
      <c r="C91" s="1974">
        <v>33513233</v>
      </c>
      <c r="D91" s="1836" t="s">
        <v>389</v>
      </c>
      <c r="E91" s="1845">
        <v>0</v>
      </c>
      <c r="F91" s="1845"/>
      <c r="G91" s="1845"/>
      <c r="H91" s="1821" t="e">
        <f t="shared" si="2"/>
        <v>#DIV/0!</v>
      </c>
    </row>
    <row r="92" spans="1:8" s="1846" customFormat="1" ht="45.75" hidden="1" thickBot="1" x14ac:dyDescent="0.25">
      <c r="A92" s="1896">
        <v>6172</v>
      </c>
      <c r="B92" s="1903">
        <v>5031</v>
      </c>
      <c r="C92" s="1904">
        <v>33113233</v>
      </c>
      <c r="D92" s="1836" t="s">
        <v>1299</v>
      </c>
      <c r="E92" s="1845">
        <v>0</v>
      </c>
      <c r="F92" s="1845"/>
      <c r="G92" s="1845"/>
      <c r="H92" s="1821" t="e">
        <f t="shared" si="2"/>
        <v>#DIV/0!</v>
      </c>
    </row>
    <row r="93" spans="1:8" s="1846" customFormat="1" ht="45.75" hidden="1" thickBot="1" x14ac:dyDescent="0.25">
      <c r="A93" s="1896">
        <v>6172</v>
      </c>
      <c r="B93" s="1903">
        <v>5031</v>
      </c>
      <c r="C93" s="1904">
        <v>33513233</v>
      </c>
      <c r="D93" s="1836" t="s">
        <v>1299</v>
      </c>
      <c r="E93" s="1845">
        <v>0</v>
      </c>
      <c r="F93" s="1845"/>
      <c r="G93" s="1845"/>
      <c r="H93" s="1821" t="e">
        <f t="shared" si="2"/>
        <v>#DIV/0!</v>
      </c>
    </row>
    <row r="94" spans="1:8" s="1846" customFormat="1" ht="30.75" hidden="1" thickBot="1" x14ac:dyDescent="0.25">
      <c r="A94" s="1896">
        <v>6172</v>
      </c>
      <c r="B94" s="1903">
        <v>5032</v>
      </c>
      <c r="C94" s="1904">
        <v>33113233</v>
      </c>
      <c r="D94" s="1836" t="s">
        <v>1300</v>
      </c>
      <c r="E94" s="1845">
        <v>0</v>
      </c>
      <c r="F94" s="1845"/>
      <c r="G94" s="1845"/>
      <c r="H94" s="1821" t="e">
        <f t="shared" si="2"/>
        <v>#DIV/0!</v>
      </c>
    </row>
    <row r="95" spans="1:8" s="1846" customFormat="1" ht="30.75" hidden="1" thickBot="1" x14ac:dyDescent="0.25">
      <c r="A95" s="1896">
        <v>6172</v>
      </c>
      <c r="B95" s="1903">
        <v>5032</v>
      </c>
      <c r="C95" s="1904">
        <v>33513233</v>
      </c>
      <c r="D95" s="1836" t="s">
        <v>1300</v>
      </c>
      <c r="E95" s="1845">
        <v>0</v>
      </c>
      <c r="F95" s="1845"/>
      <c r="G95" s="1845"/>
      <c r="H95" s="1821" t="e">
        <f t="shared" si="2"/>
        <v>#DIV/0!</v>
      </c>
    </row>
    <row r="96" spans="1:8" ht="30.75" hidden="1" thickBot="1" x14ac:dyDescent="0.25">
      <c r="A96" s="1896">
        <v>6172</v>
      </c>
      <c r="B96" s="1903">
        <v>5162</v>
      </c>
      <c r="C96" s="1904">
        <v>33113233</v>
      </c>
      <c r="D96" s="1836" t="s">
        <v>864</v>
      </c>
      <c r="E96" s="1845">
        <v>0</v>
      </c>
      <c r="F96" s="1845"/>
      <c r="G96" s="1845"/>
      <c r="H96" s="1821">
        <v>0</v>
      </c>
    </row>
    <row r="97" spans="1:12" ht="30.75" hidden="1" thickBot="1" x14ac:dyDescent="0.25">
      <c r="A97" s="1896">
        <v>6172</v>
      </c>
      <c r="B97" s="1903">
        <v>5162</v>
      </c>
      <c r="C97" s="1904">
        <v>33513233</v>
      </c>
      <c r="D97" s="1836" t="s">
        <v>864</v>
      </c>
      <c r="E97" s="1845">
        <v>0</v>
      </c>
      <c r="F97" s="1845"/>
      <c r="G97" s="1845"/>
      <c r="H97" s="1821" t="e">
        <f t="shared" si="2"/>
        <v>#DIV/0!</v>
      </c>
    </row>
    <row r="98" spans="1:12" s="1846" customFormat="1" ht="15.75" hidden="1" thickBot="1" x14ac:dyDescent="0.25">
      <c r="A98" s="1896">
        <v>6172</v>
      </c>
      <c r="B98" s="1903">
        <v>5173</v>
      </c>
      <c r="C98" s="1904">
        <v>33113233</v>
      </c>
      <c r="D98" s="1836" t="s">
        <v>1152</v>
      </c>
      <c r="E98" s="1845">
        <v>0</v>
      </c>
      <c r="F98" s="1845"/>
      <c r="G98" s="1845"/>
      <c r="H98" s="1821" t="e">
        <f t="shared" si="2"/>
        <v>#DIV/0!</v>
      </c>
    </row>
    <row r="99" spans="1:12" s="1846" customFormat="1" ht="15.75" hidden="1" thickBot="1" x14ac:dyDescent="0.25">
      <c r="A99" s="1896">
        <v>6172</v>
      </c>
      <c r="B99" s="1903">
        <v>5173</v>
      </c>
      <c r="C99" s="1904">
        <v>33513233</v>
      </c>
      <c r="D99" s="1836" t="s">
        <v>1152</v>
      </c>
      <c r="E99" s="1845">
        <v>0</v>
      </c>
      <c r="F99" s="1845"/>
      <c r="G99" s="1845"/>
      <c r="H99" s="1821" t="e">
        <f t="shared" si="2"/>
        <v>#DIV/0!</v>
      </c>
    </row>
    <row r="100" spans="1:12" s="1846" customFormat="1" ht="15.75" hidden="1" thickBot="1" x14ac:dyDescent="0.25">
      <c r="A100" s="1896">
        <v>6172</v>
      </c>
      <c r="B100" s="1903">
        <v>5424</v>
      </c>
      <c r="C100" s="1904">
        <v>33113233</v>
      </c>
      <c r="D100" s="1836" t="s">
        <v>650</v>
      </c>
      <c r="E100" s="1845">
        <v>0</v>
      </c>
      <c r="F100" s="1845"/>
      <c r="G100" s="1845"/>
      <c r="H100" s="1821" t="e">
        <f t="shared" si="2"/>
        <v>#DIV/0!</v>
      </c>
    </row>
    <row r="101" spans="1:12" s="1846" customFormat="1" ht="15.75" hidden="1" thickBot="1" x14ac:dyDescent="0.25">
      <c r="A101" s="1896">
        <v>6172</v>
      </c>
      <c r="B101" s="1917">
        <v>5424</v>
      </c>
      <c r="C101" s="1975">
        <v>33513233</v>
      </c>
      <c r="D101" s="1836" t="s">
        <v>650</v>
      </c>
      <c r="E101" s="1842">
        <v>0</v>
      </c>
      <c r="F101" s="1842"/>
      <c r="G101" s="1842"/>
      <c r="H101" s="1827" t="e">
        <f t="shared" si="2"/>
        <v>#DIV/0!</v>
      </c>
    </row>
    <row r="102" spans="1:12" ht="16.5" thickTop="1" thickBot="1" x14ac:dyDescent="0.3">
      <c r="A102" s="2751" t="s">
        <v>763</v>
      </c>
      <c r="B102" s="2752"/>
      <c r="C102" s="2752"/>
      <c r="D102" s="2752"/>
      <c r="E102" s="1818">
        <f>SUM(E74:E101)</f>
        <v>0</v>
      </c>
      <c r="F102" s="1818">
        <f>SUM(F74:F101)</f>
        <v>9865</v>
      </c>
      <c r="G102" s="1818">
        <f>SUM(G74:G101)</f>
        <v>0</v>
      </c>
      <c r="H102" s="1822">
        <f>G102/F102*100</f>
        <v>0</v>
      </c>
      <c r="I102" s="1829"/>
    </row>
    <row r="103" spans="1:12" ht="13.5" thickTop="1" x14ac:dyDescent="0.2">
      <c r="L103" s="1804"/>
    </row>
    <row r="104" spans="1:12" ht="15.75" thickBot="1" x14ac:dyDescent="0.3">
      <c r="A104" s="1808" t="s">
        <v>250</v>
      </c>
      <c r="D104" s="1802"/>
      <c r="E104" s="1803"/>
      <c r="H104" s="1892" t="s">
        <v>161</v>
      </c>
      <c r="I104" s="1891"/>
    </row>
    <row r="105" spans="1:12" ht="25.5" thickTop="1" thickBot="1" x14ac:dyDescent="0.25">
      <c r="A105" s="1809" t="s">
        <v>162</v>
      </c>
      <c r="B105" s="1810" t="s">
        <v>761</v>
      </c>
      <c r="C105" s="1810" t="s">
        <v>377</v>
      </c>
      <c r="D105" s="1811" t="s">
        <v>164</v>
      </c>
      <c r="E105" s="1833" t="s">
        <v>632</v>
      </c>
      <c r="F105" s="1833" t="s">
        <v>633</v>
      </c>
      <c r="G105" s="1834" t="s">
        <v>882</v>
      </c>
      <c r="H105" s="1835" t="s">
        <v>883</v>
      </c>
    </row>
    <row r="106" spans="1:12" ht="14.25" thickTop="1" thickBot="1" x14ac:dyDescent="0.25">
      <c r="A106" s="1643">
        <v>1</v>
      </c>
      <c r="B106" s="1642">
        <v>2</v>
      </c>
      <c r="C106" s="1642">
        <v>3</v>
      </c>
      <c r="D106" s="1642">
        <v>5</v>
      </c>
      <c r="E106" s="1641">
        <v>6</v>
      </c>
      <c r="F106" s="1641">
        <v>7</v>
      </c>
      <c r="G106" s="1877">
        <v>8</v>
      </c>
      <c r="H106" s="1814" t="s">
        <v>762</v>
      </c>
    </row>
    <row r="107" spans="1:12" s="1831" customFormat="1" ht="16.5" thickTop="1" thickBot="1" x14ac:dyDescent="0.3">
      <c r="A107" s="1890">
        <v>6330</v>
      </c>
      <c r="B107" s="1816">
        <v>5345</v>
      </c>
      <c r="C107" s="1889"/>
      <c r="D107" s="1886" t="s">
        <v>767</v>
      </c>
      <c r="E107" s="1832">
        <v>0</v>
      </c>
      <c r="F107" s="1832">
        <v>0</v>
      </c>
      <c r="G107" s="1888">
        <v>49062</v>
      </c>
      <c r="H107" s="1819">
        <v>0</v>
      </c>
    </row>
    <row r="108" spans="1:12" s="1831" customFormat="1" ht="15.75" hidden="1" thickBot="1" x14ac:dyDescent="0.3">
      <c r="A108" s="1815">
        <v>6409</v>
      </c>
      <c r="B108" s="1816">
        <v>5909</v>
      </c>
      <c r="C108" s="1887"/>
      <c r="D108" s="1886" t="s">
        <v>781</v>
      </c>
      <c r="E108" s="1845">
        <v>0</v>
      </c>
      <c r="F108" s="1845">
        <v>0</v>
      </c>
      <c r="G108" s="1885">
        <v>0</v>
      </c>
      <c r="H108" s="1821">
        <v>0</v>
      </c>
    </row>
    <row r="109" spans="1:12" ht="16.5" thickTop="1" thickBot="1" x14ac:dyDescent="0.3">
      <c r="A109" s="1837" t="s">
        <v>763</v>
      </c>
      <c r="B109" s="1838"/>
      <c r="C109" s="1838"/>
      <c r="D109" s="1839"/>
      <c r="E109" s="1818">
        <f>SUM(E107:E108)</f>
        <v>0</v>
      </c>
      <c r="F109" s="1818">
        <f>SUM(F107:F108)</f>
        <v>0</v>
      </c>
      <c r="G109" s="1818">
        <f>SUM(G107:G108)</f>
        <v>49062</v>
      </c>
      <c r="H109" s="1822">
        <v>0</v>
      </c>
    </row>
    <row r="110" spans="1:12" ht="13.5" thickTop="1" x14ac:dyDescent="0.2"/>
    <row r="112" spans="1:12" ht="16.5" x14ac:dyDescent="0.25">
      <c r="A112" s="1860" t="s">
        <v>465</v>
      </c>
      <c r="B112" s="1861"/>
      <c r="C112" s="1862"/>
      <c r="D112" s="1863"/>
      <c r="E112" s="1864">
        <f>SUM(E113:E115)</f>
        <v>0</v>
      </c>
      <c r="F112" s="1864">
        <f>F113+F114+F115+F116</f>
        <v>69323</v>
      </c>
      <c r="G112" s="1864">
        <f>G113+G114+G115+G116</f>
        <v>101579</v>
      </c>
      <c r="H112" s="1884">
        <f>G112/F112*100</f>
        <v>146.53001168443373</v>
      </c>
      <c r="J112" s="1866">
        <f>J113+J114+J115</f>
        <v>0</v>
      </c>
      <c r="K112" s="1866">
        <f>K113+K114+K115</f>
        <v>69323252.640000001</v>
      </c>
      <c r="L112" s="1866">
        <f>L113+L114+L115</f>
        <v>101579205.41</v>
      </c>
    </row>
    <row r="113" spans="1:12" ht="15" x14ac:dyDescent="0.2">
      <c r="A113" s="1600" t="s">
        <v>263</v>
      </c>
      <c r="B113" s="1603"/>
      <c r="C113" s="1598"/>
      <c r="D113" s="1867"/>
      <c r="E113" s="1601">
        <f>E12+E13+E22+E23+E28+E29+E38+E39+E40+E41+E42+E43+E44+E45+E46+E47+E48+E49+E50+E51+E52+E53+E56+E57+E60+E61+E62+E63+E64+E65+E85+E86</f>
        <v>0</v>
      </c>
      <c r="F113" s="1601">
        <f t="shared" ref="F113:G113" si="3">F12+F13+F22+F23+F28+F29+F38+F39+F40+F41+F42+F43+F44+F45+F46+F47+F48+F49+F50+F51+F52+F53+F56+F57+F60+F61+F62+F63+F64+F65+F85+F86</f>
        <v>69323</v>
      </c>
      <c r="G113" s="1601">
        <f t="shared" si="3"/>
        <v>52517</v>
      </c>
      <c r="H113" s="1883">
        <f>G113/F113*100</f>
        <v>75.756963778255411</v>
      </c>
      <c r="J113" s="1868">
        <v>0</v>
      </c>
      <c r="K113" s="1868">
        <v>69323252.640000001</v>
      </c>
      <c r="L113" s="1868">
        <v>52516771.030000001</v>
      </c>
    </row>
    <row r="114" spans="1:12" ht="15" x14ac:dyDescent="0.2">
      <c r="A114" s="1600" t="s">
        <v>264</v>
      </c>
      <c r="B114" s="1599"/>
      <c r="C114" s="1598"/>
      <c r="D114" s="1869"/>
      <c r="E114" s="1601">
        <v>0</v>
      </c>
      <c r="F114" s="1601">
        <v>0</v>
      </c>
      <c r="G114" s="1601">
        <v>0</v>
      </c>
      <c r="H114" s="1883">
        <v>0</v>
      </c>
      <c r="J114" s="1868">
        <v>0</v>
      </c>
      <c r="K114" s="1868">
        <v>0</v>
      </c>
      <c r="L114" s="1868">
        <v>0</v>
      </c>
    </row>
    <row r="115" spans="1:12" ht="15" x14ac:dyDescent="0.2">
      <c r="A115" s="1600" t="s">
        <v>466</v>
      </c>
      <c r="B115" s="1599"/>
      <c r="C115" s="1598"/>
      <c r="D115" s="1869"/>
      <c r="E115" s="1601">
        <v>0</v>
      </c>
      <c r="F115" s="1601">
        <v>0</v>
      </c>
      <c r="G115" s="1601">
        <f>G107</f>
        <v>49062</v>
      </c>
      <c r="H115" s="1883">
        <v>0</v>
      </c>
      <c r="J115" s="1868">
        <v>0</v>
      </c>
      <c r="K115" s="1868">
        <v>0</v>
      </c>
      <c r="L115" s="1868">
        <v>49062434.380000003</v>
      </c>
    </row>
    <row r="116" spans="1:12" ht="15" x14ac:dyDescent="0.2">
      <c r="A116" s="1600"/>
      <c r="B116" s="1599"/>
      <c r="C116" s="1598"/>
      <c r="D116" s="1869"/>
      <c r="E116" s="1601"/>
      <c r="F116" s="1601"/>
      <c r="G116" s="1601"/>
      <c r="H116" s="1597"/>
    </row>
    <row r="117" spans="1:12" ht="75" customHeight="1" thickBot="1" x14ac:dyDescent="0.4">
      <c r="A117" s="2741" t="s">
        <v>816</v>
      </c>
      <c r="B117" s="2756"/>
      <c r="C117" s="2756"/>
      <c r="D117" s="2756"/>
      <c r="E117" s="1591">
        <f>SUM(E112)</f>
        <v>0</v>
      </c>
      <c r="F117" s="1591">
        <f>SUM(F112)</f>
        <v>69323</v>
      </c>
      <c r="G117" s="1591">
        <f>SUM(G112)</f>
        <v>101579</v>
      </c>
      <c r="H117" s="1590">
        <f>(G117/F117)*100</f>
        <v>146.53001168443373</v>
      </c>
    </row>
    <row r="118" spans="1:12" ht="13.5" thickTop="1" x14ac:dyDescent="0.2"/>
    <row r="230" spans="1:5" ht="13.5" thickBot="1" x14ac:dyDescent="0.25">
      <c r="A230" s="1840"/>
      <c r="B230" s="1840"/>
      <c r="C230" s="1840"/>
    </row>
    <row r="231" spans="1:5" ht="13.5" thickTop="1" x14ac:dyDescent="0.2">
      <c r="A231" s="1858"/>
      <c r="B231" s="1858"/>
      <c r="C231" s="1858"/>
    </row>
    <row r="238" spans="1:5" ht="13.5" thickBot="1" x14ac:dyDescent="0.25">
      <c r="D238" s="1911"/>
      <c r="E238" s="1912"/>
    </row>
    <row r="239" spans="1:5" ht="13.5" thickTop="1" x14ac:dyDescent="0.2">
      <c r="D239" s="1850"/>
      <c r="E239" s="1913"/>
    </row>
    <row r="240" spans="1:5" x14ac:dyDescent="0.2">
      <c r="D240" s="1803" t="e">
        <f>#REF!+#REF!</f>
        <v>#REF!</v>
      </c>
    </row>
  </sheetData>
  <mergeCells count="4">
    <mergeCell ref="A1:H1"/>
    <mergeCell ref="A67:D67"/>
    <mergeCell ref="A102:D102"/>
    <mergeCell ref="A117:D117"/>
  </mergeCells>
  <pageMargins left="0.98425196850393704" right="0.98425196850393704" top="0.98425196850393704" bottom="0.98425196850393704" header="0.51181102362204722" footer="0.51181102362204722"/>
  <pageSetup paperSize="9" scale="70" firstPageNumber="147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1" manualBreakCount="1">
    <brk id="102" max="7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76"/>
  <sheetViews>
    <sheetView showGridLines="0" view="pageBreakPreview" topLeftCell="E34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1802" customWidth="1"/>
    <col min="2" max="2" width="6.140625" style="1802" customWidth="1"/>
    <col min="3" max="3" width="8.7109375" style="1802" customWidth="1"/>
    <col min="4" max="4" width="40.42578125" style="1803" customWidth="1"/>
    <col min="5" max="5" width="10.42578125" style="1829" customWidth="1"/>
    <col min="6" max="6" width="15.85546875" style="1829" customWidth="1"/>
    <col min="7" max="7" width="13.85546875" style="1829" customWidth="1"/>
    <col min="8" max="8" width="10.5703125" style="1803" customWidth="1"/>
    <col min="9" max="9" width="14.28515625" style="1803" bestFit="1" customWidth="1"/>
    <col min="10" max="10" width="11.42578125" style="1803" bestFit="1" customWidth="1"/>
    <col min="11" max="11" width="15.5703125" style="1803" customWidth="1"/>
    <col min="12" max="12" width="16" style="1803" bestFit="1" customWidth="1"/>
    <col min="13" max="256" width="9.140625" style="1803"/>
    <col min="257" max="257" width="4.7109375" style="1803" customWidth="1"/>
    <col min="258" max="258" width="6.140625" style="1803" customWidth="1"/>
    <col min="259" max="259" width="8.7109375" style="1803" customWidth="1"/>
    <col min="260" max="260" width="40.42578125" style="1803" customWidth="1"/>
    <col min="261" max="261" width="10.42578125" style="1803" customWidth="1"/>
    <col min="262" max="262" width="15.85546875" style="1803" customWidth="1"/>
    <col min="263" max="263" width="13.85546875" style="1803" customWidth="1"/>
    <col min="264" max="264" width="9.42578125" style="1803" customWidth="1"/>
    <col min="265" max="265" width="14.28515625" style="1803" bestFit="1" customWidth="1"/>
    <col min="266" max="266" width="11.42578125" style="1803" bestFit="1" customWidth="1"/>
    <col min="267" max="268" width="14.7109375" style="1803" bestFit="1" customWidth="1"/>
    <col min="269" max="512" width="9.140625" style="1803"/>
    <col min="513" max="513" width="4.7109375" style="1803" customWidth="1"/>
    <col min="514" max="514" width="6.140625" style="1803" customWidth="1"/>
    <col min="515" max="515" width="8.7109375" style="1803" customWidth="1"/>
    <col min="516" max="516" width="40.42578125" style="1803" customWidth="1"/>
    <col min="517" max="517" width="10.42578125" style="1803" customWidth="1"/>
    <col min="518" max="518" width="15.85546875" style="1803" customWidth="1"/>
    <col min="519" max="519" width="13.85546875" style="1803" customWidth="1"/>
    <col min="520" max="520" width="9.42578125" style="1803" customWidth="1"/>
    <col min="521" max="521" width="14.28515625" style="1803" bestFit="1" customWidth="1"/>
    <col min="522" max="522" width="11.42578125" style="1803" bestFit="1" customWidth="1"/>
    <col min="523" max="524" width="14.7109375" style="1803" bestFit="1" customWidth="1"/>
    <col min="525" max="768" width="9.140625" style="1803"/>
    <col min="769" max="769" width="4.7109375" style="1803" customWidth="1"/>
    <col min="770" max="770" width="6.140625" style="1803" customWidth="1"/>
    <col min="771" max="771" width="8.7109375" style="1803" customWidth="1"/>
    <col min="772" max="772" width="40.42578125" style="1803" customWidth="1"/>
    <col min="773" max="773" width="10.42578125" style="1803" customWidth="1"/>
    <col min="774" max="774" width="15.85546875" style="1803" customWidth="1"/>
    <col min="775" max="775" width="13.85546875" style="1803" customWidth="1"/>
    <col min="776" max="776" width="9.42578125" style="1803" customWidth="1"/>
    <col min="777" max="777" width="14.28515625" style="1803" bestFit="1" customWidth="1"/>
    <col min="778" max="778" width="11.42578125" style="1803" bestFit="1" customWidth="1"/>
    <col min="779" max="780" width="14.7109375" style="1803" bestFit="1" customWidth="1"/>
    <col min="781" max="1024" width="9.140625" style="1803"/>
    <col min="1025" max="1025" width="4.7109375" style="1803" customWidth="1"/>
    <col min="1026" max="1026" width="6.140625" style="1803" customWidth="1"/>
    <col min="1027" max="1027" width="8.7109375" style="1803" customWidth="1"/>
    <col min="1028" max="1028" width="40.42578125" style="1803" customWidth="1"/>
    <col min="1029" max="1029" width="10.42578125" style="1803" customWidth="1"/>
    <col min="1030" max="1030" width="15.85546875" style="1803" customWidth="1"/>
    <col min="1031" max="1031" width="13.85546875" style="1803" customWidth="1"/>
    <col min="1032" max="1032" width="9.42578125" style="1803" customWidth="1"/>
    <col min="1033" max="1033" width="14.28515625" style="1803" bestFit="1" customWidth="1"/>
    <col min="1034" max="1034" width="11.42578125" style="1803" bestFit="1" customWidth="1"/>
    <col min="1035" max="1036" width="14.7109375" style="1803" bestFit="1" customWidth="1"/>
    <col min="1037" max="1280" width="9.140625" style="1803"/>
    <col min="1281" max="1281" width="4.7109375" style="1803" customWidth="1"/>
    <col min="1282" max="1282" width="6.140625" style="1803" customWidth="1"/>
    <col min="1283" max="1283" width="8.7109375" style="1803" customWidth="1"/>
    <col min="1284" max="1284" width="40.42578125" style="1803" customWidth="1"/>
    <col min="1285" max="1285" width="10.42578125" style="1803" customWidth="1"/>
    <col min="1286" max="1286" width="15.85546875" style="1803" customWidth="1"/>
    <col min="1287" max="1287" width="13.85546875" style="1803" customWidth="1"/>
    <col min="1288" max="1288" width="9.42578125" style="1803" customWidth="1"/>
    <col min="1289" max="1289" width="14.28515625" style="1803" bestFit="1" customWidth="1"/>
    <col min="1290" max="1290" width="11.42578125" style="1803" bestFit="1" customWidth="1"/>
    <col min="1291" max="1292" width="14.7109375" style="1803" bestFit="1" customWidth="1"/>
    <col min="1293" max="1536" width="9.140625" style="1803"/>
    <col min="1537" max="1537" width="4.7109375" style="1803" customWidth="1"/>
    <col min="1538" max="1538" width="6.140625" style="1803" customWidth="1"/>
    <col min="1539" max="1539" width="8.7109375" style="1803" customWidth="1"/>
    <col min="1540" max="1540" width="40.42578125" style="1803" customWidth="1"/>
    <col min="1541" max="1541" width="10.42578125" style="1803" customWidth="1"/>
    <col min="1542" max="1542" width="15.85546875" style="1803" customWidth="1"/>
    <col min="1543" max="1543" width="13.85546875" style="1803" customWidth="1"/>
    <col min="1544" max="1544" width="9.42578125" style="1803" customWidth="1"/>
    <col min="1545" max="1545" width="14.28515625" style="1803" bestFit="1" customWidth="1"/>
    <col min="1546" max="1546" width="11.42578125" style="1803" bestFit="1" customWidth="1"/>
    <col min="1547" max="1548" width="14.7109375" style="1803" bestFit="1" customWidth="1"/>
    <col min="1549" max="1792" width="9.140625" style="1803"/>
    <col min="1793" max="1793" width="4.7109375" style="1803" customWidth="1"/>
    <col min="1794" max="1794" width="6.140625" style="1803" customWidth="1"/>
    <col min="1795" max="1795" width="8.7109375" style="1803" customWidth="1"/>
    <col min="1796" max="1796" width="40.42578125" style="1803" customWidth="1"/>
    <col min="1797" max="1797" width="10.42578125" style="1803" customWidth="1"/>
    <col min="1798" max="1798" width="15.85546875" style="1803" customWidth="1"/>
    <col min="1799" max="1799" width="13.85546875" style="1803" customWidth="1"/>
    <col min="1800" max="1800" width="9.42578125" style="1803" customWidth="1"/>
    <col min="1801" max="1801" width="14.28515625" style="1803" bestFit="1" customWidth="1"/>
    <col min="1802" max="1802" width="11.42578125" style="1803" bestFit="1" customWidth="1"/>
    <col min="1803" max="1804" width="14.7109375" style="1803" bestFit="1" customWidth="1"/>
    <col min="1805" max="2048" width="9.140625" style="1803"/>
    <col min="2049" max="2049" width="4.7109375" style="1803" customWidth="1"/>
    <col min="2050" max="2050" width="6.140625" style="1803" customWidth="1"/>
    <col min="2051" max="2051" width="8.7109375" style="1803" customWidth="1"/>
    <col min="2052" max="2052" width="40.42578125" style="1803" customWidth="1"/>
    <col min="2053" max="2053" width="10.42578125" style="1803" customWidth="1"/>
    <col min="2054" max="2054" width="15.85546875" style="1803" customWidth="1"/>
    <col min="2055" max="2055" width="13.85546875" style="1803" customWidth="1"/>
    <col min="2056" max="2056" width="9.42578125" style="1803" customWidth="1"/>
    <col min="2057" max="2057" width="14.28515625" style="1803" bestFit="1" customWidth="1"/>
    <col min="2058" max="2058" width="11.42578125" style="1803" bestFit="1" customWidth="1"/>
    <col min="2059" max="2060" width="14.7109375" style="1803" bestFit="1" customWidth="1"/>
    <col min="2061" max="2304" width="9.140625" style="1803"/>
    <col min="2305" max="2305" width="4.7109375" style="1803" customWidth="1"/>
    <col min="2306" max="2306" width="6.140625" style="1803" customWidth="1"/>
    <col min="2307" max="2307" width="8.7109375" style="1803" customWidth="1"/>
    <col min="2308" max="2308" width="40.42578125" style="1803" customWidth="1"/>
    <col min="2309" max="2309" width="10.42578125" style="1803" customWidth="1"/>
    <col min="2310" max="2310" width="15.85546875" style="1803" customWidth="1"/>
    <col min="2311" max="2311" width="13.85546875" style="1803" customWidth="1"/>
    <col min="2312" max="2312" width="9.42578125" style="1803" customWidth="1"/>
    <col min="2313" max="2313" width="14.28515625" style="1803" bestFit="1" customWidth="1"/>
    <col min="2314" max="2314" width="11.42578125" style="1803" bestFit="1" customWidth="1"/>
    <col min="2315" max="2316" width="14.7109375" style="1803" bestFit="1" customWidth="1"/>
    <col min="2317" max="2560" width="9.140625" style="1803"/>
    <col min="2561" max="2561" width="4.7109375" style="1803" customWidth="1"/>
    <col min="2562" max="2562" width="6.140625" style="1803" customWidth="1"/>
    <col min="2563" max="2563" width="8.7109375" style="1803" customWidth="1"/>
    <col min="2564" max="2564" width="40.42578125" style="1803" customWidth="1"/>
    <col min="2565" max="2565" width="10.42578125" style="1803" customWidth="1"/>
    <col min="2566" max="2566" width="15.85546875" style="1803" customWidth="1"/>
    <col min="2567" max="2567" width="13.85546875" style="1803" customWidth="1"/>
    <col min="2568" max="2568" width="9.42578125" style="1803" customWidth="1"/>
    <col min="2569" max="2569" width="14.28515625" style="1803" bestFit="1" customWidth="1"/>
    <col min="2570" max="2570" width="11.42578125" style="1803" bestFit="1" customWidth="1"/>
    <col min="2571" max="2572" width="14.7109375" style="1803" bestFit="1" customWidth="1"/>
    <col min="2573" max="2816" width="9.140625" style="1803"/>
    <col min="2817" max="2817" width="4.7109375" style="1803" customWidth="1"/>
    <col min="2818" max="2818" width="6.140625" style="1803" customWidth="1"/>
    <col min="2819" max="2819" width="8.7109375" style="1803" customWidth="1"/>
    <col min="2820" max="2820" width="40.42578125" style="1803" customWidth="1"/>
    <col min="2821" max="2821" width="10.42578125" style="1803" customWidth="1"/>
    <col min="2822" max="2822" width="15.85546875" style="1803" customWidth="1"/>
    <col min="2823" max="2823" width="13.85546875" style="1803" customWidth="1"/>
    <col min="2824" max="2824" width="9.42578125" style="1803" customWidth="1"/>
    <col min="2825" max="2825" width="14.28515625" style="1803" bestFit="1" customWidth="1"/>
    <col min="2826" max="2826" width="11.42578125" style="1803" bestFit="1" customWidth="1"/>
    <col min="2827" max="2828" width="14.7109375" style="1803" bestFit="1" customWidth="1"/>
    <col min="2829" max="3072" width="9.140625" style="1803"/>
    <col min="3073" max="3073" width="4.7109375" style="1803" customWidth="1"/>
    <col min="3074" max="3074" width="6.140625" style="1803" customWidth="1"/>
    <col min="3075" max="3075" width="8.7109375" style="1803" customWidth="1"/>
    <col min="3076" max="3076" width="40.42578125" style="1803" customWidth="1"/>
    <col min="3077" max="3077" width="10.42578125" style="1803" customWidth="1"/>
    <col min="3078" max="3078" width="15.85546875" style="1803" customWidth="1"/>
    <col min="3079" max="3079" width="13.85546875" style="1803" customWidth="1"/>
    <col min="3080" max="3080" width="9.42578125" style="1803" customWidth="1"/>
    <col min="3081" max="3081" width="14.28515625" style="1803" bestFit="1" customWidth="1"/>
    <col min="3082" max="3082" width="11.42578125" style="1803" bestFit="1" customWidth="1"/>
    <col min="3083" max="3084" width="14.7109375" style="1803" bestFit="1" customWidth="1"/>
    <col min="3085" max="3328" width="9.140625" style="1803"/>
    <col min="3329" max="3329" width="4.7109375" style="1803" customWidth="1"/>
    <col min="3330" max="3330" width="6.140625" style="1803" customWidth="1"/>
    <col min="3331" max="3331" width="8.7109375" style="1803" customWidth="1"/>
    <col min="3332" max="3332" width="40.42578125" style="1803" customWidth="1"/>
    <col min="3333" max="3333" width="10.42578125" style="1803" customWidth="1"/>
    <col min="3334" max="3334" width="15.85546875" style="1803" customWidth="1"/>
    <col min="3335" max="3335" width="13.85546875" style="1803" customWidth="1"/>
    <col min="3336" max="3336" width="9.42578125" style="1803" customWidth="1"/>
    <col min="3337" max="3337" width="14.28515625" style="1803" bestFit="1" customWidth="1"/>
    <col min="3338" max="3338" width="11.42578125" style="1803" bestFit="1" customWidth="1"/>
    <col min="3339" max="3340" width="14.7109375" style="1803" bestFit="1" customWidth="1"/>
    <col min="3341" max="3584" width="9.140625" style="1803"/>
    <col min="3585" max="3585" width="4.7109375" style="1803" customWidth="1"/>
    <col min="3586" max="3586" width="6.140625" style="1803" customWidth="1"/>
    <col min="3587" max="3587" width="8.7109375" style="1803" customWidth="1"/>
    <col min="3588" max="3588" width="40.42578125" style="1803" customWidth="1"/>
    <col min="3589" max="3589" width="10.42578125" style="1803" customWidth="1"/>
    <col min="3590" max="3590" width="15.85546875" style="1803" customWidth="1"/>
    <col min="3591" max="3591" width="13.85546875" style="1803" customWidth="1"/>
    <col min="3592" max="3592" width="9.42578125" style="1803" customWidth="1"/>
    <col min="3593" max="3593" width="14.28515625" style="1803" bestFit="1" customWidth="1"/>
    <col min="3594" max="3594" width="11.42578125" style="1803" bestFit="1" customWidth="1"/>
    <col min="3595" max="3596" width="14.7109375" style="1803" bestFit="1" customWidth="1"/>
    <col min="3597" max="3840" width="9.140625" style="1803"/>
    <col min="3841" max="3841" width="4.7109375" style="1803" customWidth="1"/>
    <col min="3842" max="3842" width="6.140625" style="1803" customWidth="1"/>
    <col min="3843" max="3843" width="8.7109375" style="1803" customWidth="1"/>
    <col min="3844" max="3844" width="40.42578125" style="1803" customWidth="1"/>
    <col min="3845" max="3845" width="10.42578125" style="1803" customWidth="1"/>
    <col min="3846" max="3846" width="15.85546875" style="1803" customWidth="1"/>
    <col min="3847" max="3847" width="13.85546875" style="1803" customWidth="1"/>
    <col min="3848" max="3848" width="9.42578125" style="1803" customWidth="1"/>
    <col min="3849" max="3849" width="14.28515625" style="1803" bestFit="1" customWidth="1"/>
    <col min="3850" max="3850" width="11.42578125" style="1803" bestFit="1" customWidth="1"/>
    <col min="3851" max="3852" width="14.7109375" style="1803" bestFit="1" customWidth="1"/>
    <col min="3853" max="4096" width="9.140625" style="1803"/>
    <col min="4097" max="4097" width="4.7109375" style="1803" customWidth="1"/>
    <col min="4098" max="4098" width="6.140625" style="1803" customWidth="1"/>
    <col min="4099" max="4099" width="8.7109375" style="1803" customWidth="1"/>
    <col min="4100" max="4100" width="40.42578125" style="1803" customWidth="1"/>
    <col min="4101" max="4101" width="10.42578125" style="1803" customWidth="1"/>
    <col min="4102" max="4102" width="15.85546875" style="1803" customWidth="1"/>
    <col min="4103" max="4103" width="13.85546875" style="1803" customWidth="1"/>
    <col min="4104" max="4104" width="9.42578125" style="1803" customWidth="1"/>
    <col min="4105" max="4105" width="14.28515625" style="1803" bestFit="1" customWidth="1"/>
    <col min="4106" max="4106" width="11.42578125" style="1803" bestFit="1" customWidth="1"/>
    <col min="4107" max="4108" width="14.7109375" style="1803" bestFit="1" customWidth="1"/>
    <col min="4109" max="4352" width="9.140625" style="1803"/>
    <col min="4353" max="4353" width="4.7109375" style="1803" customWidth="1"/>
    <col min="4354" max="4354" width="6.140625" style="1803" customWidth="1"/>
    <col min="4355" max="4355" width="8.7109375" style="1803" customWidth="1"/>
    <col min="4356" max="4356" width="40.42578125" style="1803" customWidth="1"/>
    <col min="4357" max="4357" width="10.42578125" style="1803" customWidth="1"/>
    <col min="4358" max="4358" width="15.85546875" style="1803" customWidth="1"/>
    <col min="4359" max="4359" width="13.85546875" style="1803" customWidth="1"/>
    <col min="4360" max="4360" width="9.42578125" style="1803" customWidth="1"/>
    <col min="4361" max="4361" width="14.28515625" style="1803" bestFit="1" customWidth="1"/>
    <col min="4362" max="4362" width="11.42578125" style="1803" bestFit="1" customWidth="1"/>
    <col min="4363" max="4364" width="14.7109375" style="1803" bestFit="1" customWidth="1"/>
    <col min="4365" max="4608" width="9.140625" style="1803"/>
    <col min="4609" max="4609" width="4.7109375" style="1803" customWidth="1"/>
    <col min="4610" max="4610" width="6.140625" style="1803" customWidth="1"/>
    <col min="4611" max="4611" width="8.7109375" style="1803" customWidth="1"/>
    <col min="4612" max="4612" width="40.42578125" style="1803" customWidth="1"/>
    <col min="4613" max="4613" width="10.42578125" style="1803" customWidth="1"/>
    <col min="4614" max="4614" width="15.85546875" style="1803" customWidth="1"/>
    <col min="4615" max="4615" width="13.85546875" style="1803" customWidth="1"/>
    <col min="4616" max="4616" width="9.42578125" style="1803" customWidth="1"/>
    <col min="4617" max="4617" width="14.28515625" style="1803" bestFit="1" customWidth="1"/>
    <col min="4618" max="4618" width="11.42578125" style="1803" bestFit="1" customWidth="1"/>
    <col min="4619" max="4620" width="14.7109375" style="1803" bestFit="1" customWidth="1"/>
    <col min="4621" max="4864" width="9.140625" style="1803"/>
    <col min="4865" max="4865" width="4.7109375" style="1803" customWidth="1"/>
    <col min="4866" max="4866" width="6.140625" style="1803" customWidth="1"/>
    <col min="4867" max="4867" width="8.7109375" style="1803" customWidth="1"/>
    <col min="4868" max="4868" width="40.42578125" style="1803" customWidth="1"/>
    <col min="4869" max="4869" width="10.42578125" style="1803" customWidth="1"/>
    <col min="4870" max="4870" width="15.85546875" style="1803" customWidth="1"/>
    <col min="4871" max="4871" width="13.85546875" style="1803" customWidth="1"/>
    <col min="4872" max="4872" width="9.42578125" style="1803" customWidth="1"/>
    <col min="4873" max="4873" width="14.28515625" style="1803" bestFit="1" customWidth="1"/>
    <col min="4874" max="4874" width="11.42578125" style="1803" bestFit="1" customWidth="1"/>
    <col min="4875" max="4876" width="14.7109375" style="1803" bestFit="1" customWidth="1"/>
    <col min="4877" max="5120" width="9.140625" style="1803"/>
    <col min="5121" max="5121" width="4.7109375" style="1803" customWidth="1"/>
    <col min="5122" max="5122" width="6.140625" style="1803" customWidth="1"/>
    <col min="5123" max="5123" width="8.7109375" style="1803" customWidth="1"/>
    <col min="5124" max="5124" width="40.42578125" style="1803" customWidth="1"/>
    <col min="5125" max="5125" width="10.42578125" style="1803" customWidth="1"/>
    <col min="5126" max="5126" width="15.85546875" style="1803" customWidth="1"/>
    <col min="5127" max="5127" width="13.85546875" style="1803" customWidth="1"/>
    <col min="5128" max="5128" width="9.42578125" style="1803" customWidth="1"/>
    <col min="5129" max="5129" width="14.28515625" style="1803" bestFit="1" customWidth="1"/>
    <col min="5130" max="5130" width="11.42578125" style="1803" bestFit="1" customWidth="1"/>
    <col min="5131" max="5132" width="14.7109375" style="1803" bestFit="1" customWidth="1"/>
    <col min="5133" max="5376" width="9.140625" style="1803"/>
    <col min="5377" max="5377" width="4.7109375" style="1803" customWidth="1"/>
    <col min="5378" max="5378" width="6.140625" style="1803" customWidth="1"/>
    <col min="5379" max="5379" width="8.7109375" style="1803" customWidth="1"/>
    <col min="5380" max="5380" width="40.42578125" style="1803" customWidth="1"/>
    <col min="5381" max="5381" width="10.42578125" style="1803" customWidth="1"/>
    <col min="5382" max="5382" width="15.85546875" style="1803" customWidth="1"/>
    <col min="5383" max="5383" width="13.85546875" style="1803" customWidth="1"/>
    <col min="5384" max="5384" width="9.42578125" style="1803" customWidth="1"/>
    <col min="5385" max="5385" width="14.28515625" style="1803" bestFit="1" customWidth="1"/>
    <col min="5386" max="5386" width="11.42578125" style="1803" bestFit="1" customWidth="1"/>
    <col min="5387" max="5388" width="14.7109375" style="1803" bestFit="1" customWidth="1"/>
    <col min="5389" max="5632" width="9.140625" style="1803"/>
    <col min="5633" max="5633" width="4.7109375" style="1803" customWidth="1"/>
    <col min="5634" max="5634" width="6.140625" style="1803" customWidth="1"/>
    <col min="5635" max="5635" width="8.7109375" style="1803" customWidth="1"/>
    <col min="5636" max="5636" width="40.42578125" style="1803" customWidth="1"/>
    <col min="5637" max="5637" width="10.42578125" style="1803" customWidth="1"/>
    <col min="5638" max="5638" width="15.85546875" style="1803" customWidth="1"/>
    <col min="5639" max="5639" width="13.85546875" style="1803" customWidth="1"/>
    <col min="5640" max="5640" width="9.42578125" style="1803" customWidth="1"/>
    <col min="5641" max="5641" width="14.28515625" style="1803" bestFit="1" customWidth="1"/>
    <col min="5642" max="5642" width="11.42578125" style="1803" bestFit="1" customWidth="1"/>
    <col min="5643" max="5644" width="14.7109375" style="1803" bestFit="1" customWidth="1"/>
    <col min="5645" max="5888" width="9.140625" style="1803"/>
    <col min="5889" max="5889" width="4.7109375" style="1803" customWidth="1"/>
    <col min="5890" max="5890" width="6.140625" style="1803" customWidth="1"/>
    <col min="5891" max="5891" width="8.7109375" style="1803" customWidth="1"/>
    <col min="5892" max="5892" width="40.42578125" style="1803" customWidth="1"/>
    <col min="5893" max="5893" width="10.42578125" style="1803" customWidth="1"/>
    <col min="5894" max="5894" width="15.85546875" style="1803" customWidth="1"/>
    <col min="5895" max="5895" width="13.85546875" style="1803" customWidth="1"/>
    <col min="5896" max="5896" width="9.42578125" style="1803" customWidth="1"/>
    <col min="5897" max="5897" width="14.28515625" style="1803" bestFit="1" customWidth="1"/>
    <col min="5898" max="5898" width="11.42578125" style="1803" bestFit="1" customWidth="1"/>
    <col min="5899" max="5900" width="14.7109375" style="1803" bestFit="1" customWidth="1"/>
    <col min="5901" max="6144" width="9.140625" style="1803"/>
    <col min="6145" max="6145" width="4.7109375" style="1803" customWidth="1"/>
    <col min="6146" max="6146" width="6.140625" style="1803" customWidth="1"/>
    <col min="6147" max="6147" width="8.7109375" style="1803" customWidth="1"/>
    <col min="6148" max="6148" width="40.42578125" style="1803" customWidth="1"/>
    <col min="6149" max="6149" width="10.42578125" style="1803" customWidth="1"/>
    <col min="6150" max="6150" width="15.85546875" style="1803" customWidth="1"/>
    <col min="6151" max="6151" width="13.85546875" style="1803" customWidth="1"/>
    <col min="6152" max="6152" width="9.42578125" style="1803" customWidth="1"/>
    <col min="6153" max="6153" width="14.28515625" style="1803" bestFit="1" customWidth="1"/>
    <col min="6154" max="6154" width="11.42578125" style="1803" bestFit="1" customWidth="1"/>
    <col min="6155" max="6156" width="14.7109375" style="1803" bestFit="1" customWidth="1"/>
    <col min="6157" max="6400" width="9.140625" style="1803"/>
    <col min="6401" max="6401" width="4.7109375" style="1803" customWidth="1"/>
    <col min="6402" max="6402" width="6.140625" style="1803" customWidth="1"/>
    <col min="6403" max="6403" width="8.7109375" style="1803" customWidth="1"/>
    <col min="6404" max="6404" width="40.42578125" style="1803" customWidth="1"/>
    <col min="6405" max="6405" width="10.42578125" style="1803" customWidth="1"/>
    <col min="6406" max="6406" width="15.85546875" style="1803" customWidth="1"/>
    <col min="6407" max="6407" width="13.85546875" style="1803" customWidth="1"/>
    <col min="6408" max="6408" width="9.42578125" style="1803" customWidth="1"/>
    <col min="6409" max="6409" width="14.28515625" style="1803" bestFit="1" customWidth="1"/>
    <col min="6410" max="6410" width="11.42578125" style="1803" bestFit="1" customWidth="1"/>
    <col min="6411" max="6412" width="14.7109375" style="1803" bestFit="1" customWidth="1"/>
    <col min="6413" max="6656" width="9.140625" style="1803"/>
    <col min="6657" max="6657" width="4.7109375" style="1803" customWidth="1"/>
    <col min="6658" max="6658" width="6.140625" style="1803" customWidth="1"/>
    <col min="6659" max="6659" width="8.7109375" style="1803" customWidth="1"/>
    <col min="6660" max="6660" width="40.42578125" style="1803" customWidth="1"/>
    <col min="6661" max="6661" width="10.42578125" style="1803" customWidth="1"/>
    <col min="6662" max="6662" width="15.85546875" style="1803" customWidth="1"/>
    <col min="6663" max="6663" width="13.85546875" style="1803" customWidth="1"/>
    <col min="6664" max="6664" width="9.42578125" style="1803" customWidth="1"/>
    <col min="6665" max="6665" width="14.28515625" style="1803" bestFit="1" customWidth="1"/>
    <col min="6666" max="6666" width="11.42578125" style="1803" bestFit="1" customWidth="1"/>
    <col min="6667" max="6668" width="14.7109375" style="1803" bestFit="1" customWidth="1"/>
    <col min="6669" max="6912" width="9.140625" style="1803"/>
    <col min="6913" max="6913" width="4.7109375" style="1803" customWidth="1"/>
    <col min="6914" max="6914" width="6.140625" style="1803" customWidth="1"/>
    <col min="6915" max="6915" width="8.7109375" style="1803" customWidth="1"/>
    <col min="6916" max="6916" width="40.42578125" style="1803" customWidth="1"/>
    <col min="6917" max="6917" width="10.42578125" style="1803" customWidth="1"/>
    <col min="6918" max="6918" width="15.85546875" style="1803" customWidth="1"/>
    <col min="6919" max="6919" width="13.85546875" style="1803" customWidth="1"/>
    <col min="6920" max="6920" width="9.42578125" style="1803" customWidth="1"/>
    <col min="6921" max="6921" width="14.28515625" style="1803" bestFit="1" customWidth="1"/>
    <col min="6922" max="6922" width="11.42578125" style="1803" bestFit="1" customWidth="1"/>
    <col min="6923" max="6924" width="14.7109375" style="1803" bestFit="1" customWidth="1"/>
    <col min="6925" max="7168" width="9.140625" style="1803"/>
    <col min="7169" max="7169" width="4.7109375" style="1803" customWidth="1"/>
    <col min="7170" max="7170" width="6.140625" style="1803" customWidth="1"/>
    <col min="7171" max="7171" width="8.7109375" style="1803" customWidth="1"/>
    <col min="7172" max="7172" width="40.42578125" style="1803" customWidth="1"/>
    <col min="7173" max="7173" width="10.42578125" style="1803" customWidth="1"/>
    <col min="7174" max="7174" width="15.85546875" style="1803" customWidth="1"/>
    <col min="7175" max="7175" width="13.85546875" style="1803" customWidth="1"/>
    <col min="7176" max="7176" width="9.42578125" style="1803" customWidth="1"/>
    <col min="7177" max="7177" width="14.28515625" style="1803" bestFit="1" customWidth="1"/>
    <col min="7178" max="7178" width="11.42578125" style="1803" bestFit="1" customWidth="1"/>
    <col min="7179" max="7180" width="14.7109375" style="1803" bestFit="1" customWidth="1"/>
    <col min="7181" max="7424" width="9.140625" style="1803"/>
    <col min="7425" max="7425" width="4.7109375" style="1803" customWidth="1"/>
    <col min="7426" max="7426" width="6.140625" style="1803" customWidth="1"/>
    <col min="7427" max="7427" width="8.7109375" style="1803" customWidth="1"/>
    <col min="7428" max="7428" width="40.42578125" style="1803" customWidth="1"/>
    <col min="7429" max="7429" width="10.42578125" style="1803" customWidth="1"/>
    <col min="7430" max="7430" width="15.85546875" style="1803" customWidth="1"/>
    <col min="7431" max="7431" width="13.85546875" style="1803" customWidth="1"/>
    <col min="7432" max="7432" width="9.42578125" style="1803" customWidth="1"/>
    <col min="7433" max="7433" width="14.28515625" style="1803" bestFit="1" customWidth="1"/>
    <col min="7434" max="7434" width="11.42578125" style="1803" bestFit="1" customWidth="1"/>
    <col min="7435" max="7436" width="14.7109375" style="1803" bestFit="1" customWidth="1"/>
    <col min="7437" max="7680" width="9.140625" style="1803"/>
    <col min="7681" max="7681" width="4.7109375" style="1803" customWidth="1"/>
    <col min="7682" max="7682" width="6.140625" style="1803" customWidth="1"/>
    <col min="7683" max="7683" width="8.7109375" style="1803" customWidth="1"/>
    <col min="7684" max="7684" width="40.42578125" style="1803" customWidth="1"/>
    <col min="7685" max="7685" width="10.42578125" style="1803" customWidth="1"/>
    <col min="7686" max="7686" width="15.85546875" style="1803" customWidth="1"/>
    <col min="7687" max="7687" width="13.85546875" style="1803" customWidth="1"/>
    <col min="7688" max="7688" width="9.42578125" style="1803" customWidth="1"/>
    <col min="7689" max="7689" width="14.28515625" style="1803" bestFit="1" customWidth="1"/>
    <col min="7690" max="7690" width="11.42578125" style="1803" bestFit="1" customWidth="1"/>
    <col min="7691" max="7692" width="14.7109375" style="1803" bestFit="1" customWidth="1"/>
    <col min="7693" max="7936" width="9.140625" style="1803"/>
    <col min="7937" max="7937" width="4.7109375" style="1803" customWidth="1"/>
    <col min="7938" max="7938" width="6.140625" style="1803" customWidth="1"/>
    <col min="7939" max="7939" width="8.7109375" style="1803" customWidth="1"/>
    <col min="7940" max="7940" width="40.42578125" style="1803" customWidth="1"/>
    <col min="7941" max="7941" width="10.42578125" style="1803" customWidth="1"/>
    <col min="7942" max="7942" width="15.85546875" style="1803" customWidth="1"/>
    <col min="7943" max="7943" width="13.85546875" style="1803" customWidth="1"/>
    <col min="7944" max="7944" width="9.42578125" style="1803" customWidth="1"/>
    <col min="7945" max="7945" width="14.28515625" style="1803" bestFit="1" customWidth="1"/>
    <col min="7946" max="7946" width="11.42578125" style="1803" bestFit="1" customWidth="1"/>
    <col min="7947" max="7948" width="14.7109375" style="1803" bestFit="1" customWidth="1"/>
    <col min="7949" max="8192" width="9.140625" style="1803"/>
    <col min="8193" max="8193" width="4.7109375" style="1803" customWidth="1"/>
    <col min="8194" max="8194" width="6.140625" style="1803" customWidth="1"/>
    <col min="8195" max="8195" width="8.7109375" style="1803" customWidth="1"/>
    <col min="8196" max="8196" width="40.42578125" style="1803" customWidth="1"/>
    <col min="8197" max="8197" width="10.42578125" style="1803" customWidth="1"/>
    <col min="8198" max="8198" width="15.85546875" style="1803" customWidth="1"/>
    <col min="8199" max="8199" width="13.85546875" style="1803" customWidth="1"/>
    <col min="8200" max="8200" width="9.42578125" style="1803" customWidth="1"/>
    <col min="8201" max="8201" width="14.28515625" style="1803" bestFit="1" customWidth="1"/>
    <col min="8202" max="8202" width="11.42578125" style="1803" bestFit="1" customWidth="1"/>
    <col min="8203" max="8204" width="14.7109375" style="1803" bestFit="1" customWidth="1"/>
    <col min="8205" max="8448" width="9.140625" style="1803"/>
    <col min="8449" max="8449" width="4.7109375" style="1803" customWidth="1"/>
    <col min="8450" max="8450" width="6.140625" style="1803" customWidth="1"/>
    <col min="8451" max="8451" width="8.7109375" style="1803" customWidth="1"/>
    <col min="8452" max="8452" width="40.42578125" style="1803" customWidth="1"/>
    <col min="8453" max="8453" width="10.42578125" style="1803" customWidth="1"/>
    <col min="8454" max="8454" width="15.85546875" style="1803" customWidth="1"/>
    <col min="8455" max="8455" width="13.85546875" style="1803" customWidth="1"/>
    <col min="8456" max="8456" width="9.42578125" style="1803" customWidth="1"/>
    <col min="8457" max="8457" width="14.28515625" style="1803" bestFit="1" customWidth="1"/>
    <col min="8458" max="8458" width="11.42578125" style="1803" bestFit="1" customWidth="1"/>
    <col min="8459" max="8460" width="14.7109375" style="1803" bestFit="1" customWidth="1"/>
    <col min="8461" max="8704" width="9.140625" style="1803"/>
    <col min="8705" max="8705" width="4.7109375" style="1803" customWidth="1"/>
    <col min="8706" max="8706" width="6.140625" style="1803" customWidth="1"/>
    <col min="8707" max="8707" width="8.7109375" style="1803" customWidth="1"/>
    <col min="8708" max="8708" width="40.42578125" style="1803" customWidth="1"/>
    <col min="8709" max="8709" width="10.42578125" style="1803" customWidth="1"/>
    <col min="8710" max="8710" width="15.85546875" style="1803" customWidth="1"/>
    <col min="8711" max="8711" width="13.85546875" style="1803" customWidth="1"/>
    <col min="8712" max="8712" width="9.42578125" style="1803" customWidth="1"/>
    <col min="8713" max="8713" width="14.28515625" style="1803" bestFit="1" customWidth="1"/>
    <col min="8714" max="8714" width="11.42578125" style="1803" bestFit="1" customWidth="1"/>
    <col min="8715" max="8716" width="14.7109375" style="1803" bestFit="1" customWidth="1"/>
    <col min="8717" max="8960" width="9.140625" style="1803"/>
    <col min="8961" max="8961" width="4.7109375" style="1803" customWidth="1"/>
    <col min="8962" max="8962" width="6.140625" style="1803" customWidth="1"/>
    <col min="8963" max="8963" width="8.7109375" style="1803" customWidth="1"/>
    <col min="8964" max="8964" width="40.42578125" style="1803" customWidth="1"/>
    <col min="8965" max="8965" width="10.42578125" style="1803" customWidth="1"/>
    <col min="8966" max="8966" width="15.85546875" style="1803" customWidth="1"/>
    <col min="8967" max="8967" width="13.85546875" style="1803" customWidth="1"/>
    <col min="8968" max="8968" width="9.42578125" style="1803" customWidth="1"/>
    <col min="8969" max="8969" width="14.28515625" style="1803" bestFit="1" customWidth="1"/>
    <col min="8970" max="8970" width="11.42578125" style="1803" bestFit="1" customWidth="1"/>
    <col min="8971" max="8972" width="14.7109375" style="1803" bestFit="1" customWidth="1"/>
    <col min="8973" max="9216" width="9.140625" style="1803"/>
    <col min="9217" max="9217" width="4.7109375" style="1803" customWidth="1"/>
    <col min="9218" max="9218" width="6.140625" style="1803" customWidth="1"/>
    <col min="9219" max="9219" width="8.7109375" style="1803" customWidth="1"/>
    <col min="9220" max="9220" width="40.42578125" style="1803" customWidth="1"/>
    <col min="9221" max="9221" width="10.42578125" style="1803" customWidth="1"/>
    <col min="9222" max="9222" width="15.85546875" style="1803" customWidth="1"/>
    <col min="9223" max="9223" width="13.85546875" style="1803" customWidth="1"/>
    <col min="9224" max="9224" width="9.42578125" style="1803" customWidth="1"/>
    <col min="9225" max="9225" width="14.28515625" style="1803" bestFit="1" customWidth="1"/>
    <col min="9226" max="9226" width="11.42578125" style="1803" bestFit="1" customWidth="1"/>
    <col min="9227" max="9228" width="14.7109375" style="1803" bestFit="1" customWidth="1"/>
    <col min="9229" max="9472" width="9.140625" style="1803"/>
    <col min="9473" max="9473" width="4.7109375" style="1803" customWidth="1"/>
    <col min="9474" max="9474" width="6.140625" style="1803" customWidth="1"/>
    <col min="9475" max="9475" width="8.7109375" style="1803" customWidth="1"/>
    <col min="9476" max="9476" width="40.42578125" style="1803" customWidth="1"/>
    <col min="9477" max="9477" width="10.42578125" style="1803" customWidth="1"/>
    <col min="9478" max="9478" width="15.85546875" style="1803" customWidth="1"/>
    <col min="9479" max="9479" width="13.85546875" style="1803" customWidth="1"/>
    <col min="9480" max="9480" width="9.42578125" style="1803" customWidth="1"/>
    <col min="9481" max="9481" width="14.28515625" style="1803" bestFit="1" customWidth="1"/>
    <col min="9482" max="9482" width="11.42578125" style="1803" bestFit="1" customWidth="1"/>
    <col min="9483" max="9484" width="14.7109375" style="1803" bestFit="1" customWidth="1"/>
    <col min="9485" max="9728" width="9.140625" style="1803"/>
    <col min="9729" max="9729" width="4.7109375" style="1803" customWidth="1"/>
    <col min="9730" max="9730" width="6.140625" style="1803" customWidth="1"/>
    <col min="9731" max="9731" width="8.7109375" style="1803" customWidth="1"/>
    <col min="9732" max="9732" width="40.42578125" style="1803" customWidth="1"/>
    <col min="9733" max="9733" width="10.42578125" style="1803" customWidth="1"/>
    <col min="9734" max="9734" width="15.85546875" style="1803" customWidth="1"/>
    <col min="9735" max="9735" width="13.85546875" style="1803" customWidth="1"/>
    <col min="9736" max="9736" width="9.42578125" style="1803" customWidth="1"/>
    <col min="9737" max="9737" width="14.28515625" style="1803" bestFit="1" customWidth="1"/>
    <col min="9738" max="9738" width="11.42578125" style="1803" bestFit="1" customWidth="1"/>
    <col min="9739" max="9740" width="14.7109375" style="1803" bestFit="1" customWidth="1"/>
    <col min="9741" max="9984" width="9.140625" style="1803"/>
    <col min="9985" max="9985" width="4.7109375" style="1803" customWidth="1"/>
    <col min="9986" max="9986" width="6.140625" style="1803" customWidth="1"/>
    <col min="9987" max="9987" width="8.7109375" style="1803" customWidth="1"/>
    <col min="9988" max="9988" width="40.42578125" style="1803" customWidth="1"/>
    <col min="9989" max="9989" width="10.42578125" style="1803" customWidth="1"/>
    <col min="9990" max="9990" width="15.85546875" style="1803" customWidth="1"/>
    <col min="9991" max="9991" width="13.85546875" style="1803" customWidth="1"/>
    <col min="9992" max="9992" width="9.42578125" style="1803" customWidth="1"/>
    <col min="9993" max="9993" width="14.28515625" style="1803" bestFit="1" customWidth="1"/>
    <col min="9994" max="9994" width="11.42578125" style="1803" bestFit="1" customWidth="1"/>
    <col min="9995" max="9996" width="14.7109375" style="1803" bestFit="1" customWidth="1"/>
    <col min="9997" max="10240" width="9.140625" style="1803"/>
    <col min="10241" max="10241" width="4.7109375" style="1803" customWidth="1"/>
    <col min="10242" max="10242" width="6.140625" style="1803" customWidth="1"/>
    <col min="10243" max="10243" width="8.7109375" style="1803" customWidth="1"/>
    <col min="10244" max="10244" width="40.42578125" style="1803" customWidth="1"/>
    <col min="10245" max="10245" width="10.42578125" style="1803" customWidth="1"/>
    <col min="10246" max="10246" width="15.85546875" style="1803" customWidth="1"/>
    <col min="10247" max="10247" width="13.85546875" style="1803" customWidth="1"/>
    <col min="10248" max="10248" width="9.42578125" style="1803" customWidth="1"/>
    <col min="10249" max="10249" width="14.28515625" style="1803" bestFit="1" customWidth="1"/>
    <col min="10250" max="10250" width="11.42578125" style="1803" bestFit="1" customWidth="1"/>
    <col min="10251" max="10252" width="14.7109375" style="1803" bestFit="1" customWidth="1"/>
    <col min="10253" max="10496" width="9.140625" style="1803"/>
    <col min="10497" max="10497" width="4.7109375" style="1803" customWidth="1"/>
    <col min="10498" max="10498" width="6.140625" style="1803" customWidth="1"/>
    <col min="10499" max="10499" width="8.7109375" style="1803" customWidth="1"/>
    <col min="10500" max="10500" width="40.42578125" style="1803" customWidth="1"/>
    <col min="10501" max="10501" width="10.42578125" style="1803" customWidth="1"/>
    <col min="10502" max="10502" width="15.85546875" style="1803" customWidth="1"/>
    <col min="10503" max="10503" width="13.85546875" style="1803" customWidth="1"/>
    <col min="10504" max="10504" width="9.42578125" style="1803" customWidth="1"/>
    <col min="10505" max="10505" width="14.28515625" style="1803" bestFit="1" customWidth="1"/>
    <col min="10506" max="10506" width="11.42578125" style="1803" bestFit="1" customWidth="1"/>
    <col min="10507" max="10508" width="14.7109375" style="1803" bestFit="1" customWidth="1"/>
    <col min="10509" max="10752" width="9.140625" style="1803"/>
    <col min="10753" max="10753" width="4.7109375" style="1803" customWidth="1"/>
    <col min="10754" max="10754" width="6.140625" style="1803" customWidth="1"/>
    <col min="10755" max="10755" width="8.7109375" style="1803" customWidth="1"/>
    <col min="10756" max="10756" width="40.42578125" style="1803" customWidth="1"/>
    <col min="10757" max="10757" width="10.42578125" style="1803" customWidth="1"/>
    <col min="10758" max="10758" width="15.85546875" style="1803" customWidth="1"/>
    <col min="10759" max="10759" width="13.85546875" style="1803" customWidth="1"/>
    <col min="10760" max="10760" width="9.42578125" style="1803" customWidth="1"/>
    <col min="10761" max="10761" width="14.28515625" style="1803" bestFit="1" customWidth="1"/>
    <col min="10762" max="10762" width="11.42578125" style="1803" bestFit="1" customWidth="1"/>
    <col min="10763" max="10764" width="14.7109375" style="1803" bestFit="1" customWidth="1"/>
    <col min="10765" max="11008" width="9.140625" style="1803"/>
    <col min="11009" max="11009" width="4.7109375" style="1803" customWidth="1"/>
    <col min="11010" max="11010" width="6.140625" style="1803" customWidth="1"/>
    <col min="11011" max="11011" width="8.7109375" style="1803" customWidth="1"/>
    <col min="11012" max="11012" width="40.42578125" style="1803" customWidth="1"/>
    <col min="11013" max="11013" width="10.42578125" style="1803" customWidth="1"/>
    <col min="11014" max="11014" width="15.85546875" style="1803" customWidth="1"/>
    <col min="11015" max="11015" width="13.85546875" style="1803" customWidth="1"/>
    <col min="11016" max="11016" width="9.42578125" style="1803" customWidth="1"/>
    <col min="11017" max="11017" width="14.28515625" style="1803" bestFit="1" customWidth="1"/>
    <col min="11018" max="11018" width="11.42578125" style="1803" bestFit="1" customWidth="1"/>
    <col min="11019" max="11020" width="14.7109375" style="1803" bestFit="1" customWidth="1"/>
    <col min="11021" max="11264" width="9.140625" style="1803"/>
    <col min="11265" max="11265" width="4.7109375" style="1803" customWidth="1"/>
    <col min="11266" max="11266" width="6.140625" style="1803" customWidth="1"/>
    <col min="11267" max="11267" width="8.7109375" style="1803" customWidth="1"/>
    <col min="11268" max="11268" width="40.42578125" style="1803" customWidth="1"/>
    <col min="11269" max="11269" width="10.42578125" style="1803" customWidth="1"/>
    <col min="11270" max="11270" width="15.85546875" style="1803" customWidth="1"/>
    <col min="11271" max="11271" width="13.85546875" style="1803" customWidth="1"/>
    <col min="11272" max="11272" width="9.42578125" style="1803" customWidth="1"/>
    <col min="11273" max="11273" width="14.28515625" style="1803" bestFit="1" customWidth="1"/>
    <col min="11274" max="11274" width="11.42578125" style="1803" bestFit="1" customWidth="1"/>
    <col min="11275" max="11276" width="14.7109375" style="1803" bestFit="1" customWidth="1"/>
    <col min="11277" max="11520" width="9.140625" style="1803"/>
    <col min="11521" max="11521" width="4.7109375" style="1803" customWidth="1"/>
    <col min="11522" max="11522" width="6.140625" style="1803" customWidth="1"/>
    <col min="11523" max="11523" width="8.7109375" style="1803" customWidth="1"/>
    <col min="11524" max="11524" width="40.42578125" style="1803" customWidth="1"/>
    <col min="11525" max="11525" width="10.42578125" style="1803" customWidth="1"/>
    <col min="11526" max="11526" width="15.85546875" style="1803" customWidth="1"/>
    <col min="11527" max="11527" width="13.85546875" style="1803" customWidth="1"/>
    <col min="11528" max="11528" width="9.42578125" style="1803" customWidth="1"/>
    <col min="11529" max="11529" width="14.28515625" style="1803" bestFit="1" customWidth="1"/>
    <col min="11530" max="11530" width="11.42578125" style="1803" bestFit="1" customWidth="1"/>
    <col min="11531" max="11532" width="14.7109375" style="1803" bestFit="1" customWidth="1"/>
    <col min="11533" max="11776" width="9.140625" style="1803"/>
    <col min="11777" max="11777" width="4.7109375" style="1803" customWidth="1"/>
    <col min="11778" max="11778" width="6.140625" style="1803" customWidth="1"/>
    <col min="11779" max="11779" width="8.7109375" style="1803" customWidth="1"/>
    <col min="11780" max="11780" width="40.42578125" style="1803" customWidth="1"/>
    <col min="11781" max="11781" width="10.42578125" style="1803" customWidth="1"/>
    <col min="11782" max="11782" width="15.85546875" style="1803" customWidth="1"/>
    <col min="11783" max="11783" width="13.85546875" style="1803" customWidth="1"/>
    <col min="11784" max="11784" width="9.42578125" style="1803" customWidth="1"/>
    <col min="11785" max="11785" width="14.28515625" style="1803" bestFit="1" customWidth="1"/>
    <col min="11786" max="11786" width="11.42578125" style="1803" bestFit="1" customWidth="1"/>
    <col min="11787" max="11788" width="14.7109375" style="1803" bestFit="1" customWidth="1"/>
    <col min="11789" max="12032" width="9.140625" style="1803"/>
    <col min="12033" max="12033" width="4.7109375" style="1803" customWidth="1"/>
    <col min="12034" max="12034" width="6.140625" style="1803" customWidth="1"/>
    <col min="12035" max="12035" width="8.7109375" style="1803" customWidth="1"/>
    <col min="12036" max="12036" width="40.42578125" style="1803" customWidth="1"/>
    <col min="12037" max="12037" width="10.42578125" style="1803" customWidth="1"/>
    <col min="12038" max="12038" width="15.85546875" style="1803" customWidth="1"/>
    <col min="12039" max="12039" width="13.85546875" style="1803" customWidth="1"/>
    <col min="12040" max="12040" width="9.42578125" style="1803" customWidth="1"/>
    <col min="12041" max="12041" width="14.28515625" style="1803" bestFit="1" customWidth="1"/>
    <col min="12042" max="12042" width="11.42578125" style="1803" bestFit="1" customWidth="1"/>
    <col min="12043" max="12044" width="14.7109375" style="1803" bestFit="1" customWidth="1"/>
    <col min="12045" max="12288" width="9.140625" style="1803"/>
    <col min="12289" max="12289" width="4.7109375" style="1803" customWidth="1"/>
    <col min="12290" max="12290" width="6.140625" style="1803" customWidth="1"/>
    <col min="12291" max="12291" width="8.7109375" style="1803" customWidth="1"/>
    <col min="12292" max="12292" width="40.42578125" style="1803" customWidth="1"/>
    <col min="12293" max="12293" width="10.42578125" style="1803" customWidth="1"/>
    <col min="12294" max="12294" width="15.85546875" style="1803" customWidth="1"/>
    <col min="12295" max="12295" width="13.85546875" style="1803" customWidth="1"/>
    <col min="12296" max="12296" width="9.42578125" style="1803" customWidth="1"/>
    <col min="12297" max="12297" width="14.28515625" style="1803" bestFit="1" customWidth="1"/>
    <col min="12298" max="12298" width="11.42578125" style="1803" bestFit="1" customWidth="1"/>
    <col min="12299" max="12300" width="14.7109375" style="1803" bestFit="1" customWidth="1"/>
    <col min="12301" max="12544" width="9.140625" style="1803"/>
    <col min="12545" max="12545" width="4.7109375" style="1803" customWidth="1"/>
    <col min="12546" max="12546" width="6.140625" style="1803" customWidth="1"/>
    <col min="12547" max="12547" width="8.7109375" style="1803" customWidth="1"/>
    <col min="12548" max="12548" width="40.42578125" style="1803" customWidth="1"/>
    <col min="12549" max="12549" width="10.42578125" style="1803" customWidth="1"/>
    <col min="12550" max="12550" width="15.85546875" style="1803" customWidth="1"/>
    <col min="12551" max="12551" width="13.85546875" style="1803" customWidth="1"/>
    <col min="12552" max="12552" width="9.42578125" style="1803" customWidth="1"/>
    <col min="12553" max="12553" width="14.28515625" style="1803" bestFit="1" customWidth="1"/>
    <col min="12554" max="12554" width="11.42578125" style="1803" bestFit="1" customWidth="1"/>
    <col min="12555" max="12556" width="14.7109375" style="1803" bestFit="1" customWidth="1"/>
    <col min="12557" max="12800" width="9.140625" style="1803"/>
    <col min="12801" max="12801" width="4.7109375" style="1803" customWidth="1"/>
    <col min="12802" max="12802" width="6.140625" style="1803" customWidth="1"/>
    <col min="12803" max="12803" width="8.7109375" style="1803" customWidth="1"/>
    <col min="12804" max="12804" width="40.42578125" style="1803" customWidth="1"/>
    <col min="12805" max="12805" width="10.42578125" style="1803" customWidth="1"/>
    <col min="12806" max="12806" width="15.85546875" style="1803" customWidth="1"/>
    <col min="12807" max="12807" width="13.85546875" style="1803" customWidth="1"/>
    <col min="12808" max="12808" width="9.42578125" style="1803" customWidth="1"/>
    <col min="12809" max="12809" width="14.28515625" style="1803" bestFit="1" customWidth="1"/>
    <col min="12810" max="12810" width="11.42578125" style="1803" bestFit="1" customWidth="1"/>
    <col min="12811" max="12812" width="14.7109375" style="1803" bestFit="1" customWidth="1"/>
    <col min="12813" max="13056" width="9.140625" style="1803"/>
    <col min="13057" max="13057" width="4.7109375" style="1803" customWidth="1"/>
    <col min="13058" max="13058" width="6.140625" style="1803" customWidth="1"/>
    <col min="13059" max="13059" width="8.7109375" style="1803" customWidth="1"/>
    <col min="13060" max="13060" width="40.42578125" style="1803" customWidth="1"/>
    <col min="13061" max="13061" width="10.42578125" style="1803" customWidth="1"/>
    <col min="13062" max="13062" width="15.85546875" style="1803" customWidth="1"/>
    <col min="13063" max="13063" width="13.85546875" style="1803" customWidth="1"/>
    <col min="13064" max="13064" width="9.42578125" style="1803" customWidth="1"/>
    <col min="13065" max="13065" width="14.28515625" style="1803" bestFit="1" customWidth="1"/>
    <col min="13066" max="13066" width="11.42578125" style="1803" bestFit="1" customWidth="1"/>
    <col min="13067" max="13068" width="14.7109375" style="1803" bestFit="1" customWidth="1"/>
    <col min="13069" max="13312" width="9.140625" style="1803"/>
    <col min="13313" max="13313" width="4.7109375" style="1803" customWidth="1"/>
    <col min="13314" max="13314" width="6.140625" style="1803" customWidth="1"/>
    <col min="13315" max="13315" width="8.7109375" style="1803" customWidth="1"/>
    <col min="13316" max="13316" width="40.42578125" style="1803" customWidth="1"/>
    <col min="13317" max="13317" width="10.42578125" style="1803" customWidth="1"/>
    <col min="13318" max="13318" width="15.85546875" style="1803" customWidth="1"/>
    <col min="13319" max="13319" width="13.85546875" style="1803" customWidth="1"/>
    <col min="13320" max="13320" width="9.42578125" style="1803" customWidth="1"/>
    <col min="13321" max="13321" width="14.28515625" style="1803" bestFit="1" customWidth="1"/>
    <col min="13322" max="13322" width="11.42578125" style="1803" bestFit="1" customWidth="1"/>
    <col min="13323" max="13324" width="14.7109375" style="1803" bestFit="1" customWidth="1"/>
    <col min="13325" max="13568" width="9.140625" style="1803"/>
    <col min="13569" max="13569" width="4.7109375" style="1803" customWidth="1"/>
    <col min="13570" max="13570" width="6.140625" style="1803" customWidth="1"/>
    <col min="13571" max="13571" width="8.7109375" style="1803" customWidth="1"/>
    <col min="13572" max="13572" width="40.42578125" style="1803" customWidth="1"/>
    <col min="13573" max="13573" width="10.42578125" style="1803" customWidth="1"/>
    <col min="13574" max="13574" width="15.85546875" style="1803" customWidth="1"/>
    <col min="13575" max="13575" width="13.85546875" style="1803" customWidth="1"/>
    <col min="13576" max="13576" width="9.42578125" style="1803" customWidth="1"/>
    <col min="13577" max="13577" width="14.28515625" style="1803" bestFit="1" customWidth="1"/>
    <col min="13578" max="13578" width="11.42578125" style="1803" bestFit="1" customWidth="1"/>
    <col min="13579" max="13580" width="14.7109375" style="1803" bestFit="1" customWidth="1"/>
    <col min="13581" max="13824" width="9.140625" style="1803"/>
    <col min="13825" max="13825" width="4.7109375" style="1803" customWidth="1"/>
    <col min="13826" max="13826" width="6.140625" style="1803" customWidth="1"/>
    <col min="13827" max="13827" width="8.7109375" style="1803" customWidth="1"/>
    <col min="13828" max="13828" width="40.42578125" style="1803" customWidth="1"/>
    <col min="13829" max="13829" width="10.42578125" style="1803" customWidth="1"/>
    <col min="13830" max="13830" width="15.85546875" style="1803" customWidth="1"/>
    <col min="13831" max="13831" width="13.85546875" style="1803" customWidth="1"/>
    <col min="13832" max="13832" width="9.42578125" style="1803" customWidth="1"/>
    <col min="13833" max="13833" width="14.28515625" style="1803" bestFit="1" customWidth="1"/>
    <col min="13834" max="13834" width="11.42578125" style="1803" bestFit="1" customWidth="1"/>
    <col min="13835" max="13836" width="14.7109375" style="1803" bestFit="1" customWidth="1"/>
    <col min="13837" max="14080" width="9.140625" style="1803"/>
    <col min="14081" max="14081" width="4.7109375" style="1803" customWidth="1"/>
    <col min="14082" max="14082" width="6.140625" style="1803" customWidth="1"/>
    <col min="14083" max="14083" width="8.7109375" style="1803" customWidth="1"/>
    <col min="14084" max="14084" width="40.42578125" style="1803" customWidth="1"/>
    <col min="14085" max="14085" width="10.42578125" style="1803" customWidth="1"/>
    <col min="14086" max="14086" width="15.85546875" style="1803" customWidth="1"/>
    <col min="14087" max="14087" width="13.85546875" style="1803" customWidth="1"/>
    <col min="14088" max="14088" width="9.42578125" style="1803" customWidth="1"/>
    <col min="14089" max="14089" width="14.28515625" style="1803" bestFit="1" customWidth="1"/>
    <col min="14090" max="14090" width="11.42578125" style="1803" bestFit="1" customWidth="1"/>
    <col min="14091" max="14092" width="14.7109375" style="1803" bestFit="1" customWidth="1"/>
    <col min="14093" max="14336" width="9.140625" style="1803"/>
    <col min="14337" max="14337" width="4.7109375" style="1803" customWidth="1"/>
    <col min="14338" max="14338" width="6.140625" style="1803" customWidth="1"/>
    <col min="14339" max="14339" width="8.7109375" style="1803" customWidth="1"/>
    <col min="14340" max="14340" width="40.42578125" style="1803" customWidth="1"/>
    <col min="14341" max="14341" width="10.42578125" style="1803" customWidth="1"/>
    <col min="14342" max="14342" width="15.85546875" style="1803" customWidth="1"/>
    <col min="14343" max="14343" width="13.85546875" style="1803" customWidth="1"/>
    <col min="14344" max="14344" width="9.42578125" style="1803" customWidth="1"/>
    <col min="14345" max="14345" width="14.28515625" style="1803" bestFit="1" customWidth="1"/>
    <col min="14346" max="14346" width="11.42578125" style="1803" bestFit="1" customWidth="1"/>
    <col min="14347" max="14348" width="14.7109375" style="1803" bestFit="1" customWidth="1"/>
    <col min="14349" max="14592" width="9.140625" style="1803"/>
    <col min="14593" max="14593" width="4.7109375" style="1803" customWidth="1"/>
    <col min="14594" max="14594" width="6.140625" style="1803" customWidth="1"/>
    <col min="14595" max="14595" width="8.7109375" style="1803" customWidth="1"/>
    <col min="14596" max="14596" width="40.42578125" style="1803" customWidth="1"/>
    <col min="14597" max="14597" width="10.42578125" style="1803" customWidth="1"/>
    <col min="14598" max="14598" width="15.85546875" style="1803" customWidth="1"/>
    <col min="14599" max="14599" width="13.85546875" style="1803" customWidth="1"/>
    <col min="14600" max="14600" width="9.42578125" style="1803" customWidth="1"/>
    <col min="14601" max="14601" width="14.28515625" style="1803" bestFit="1" customWidth="1"/>
    <col min="14602" max="14602" width="11.42578125" style="1803" bestFit="1" customWidth="1"/>
    <col min="14603" max="14604" width="14.7109375" style="1803" bestFit="1" customWidth="1"/>
    <col min="14605" max="14848" width="9.140625" style="1803"/>
    <col min="14849" max="14849" width="4.7109375" style="1803" customWidth="1"/>
    <col min="14850" max="14850" width="6.140625" style="1803" customWidth="1"/>
    <col min="14851" max="14851" width="8.7109375" style="1803" customWidth="1"/>
    <col min="14852" max="14852" width="40.42578125" style="1803" customWidth="1"/>
    <col min="14853" max="14853" width="10.42578125" style="1803" customWidth="1"/>
    <col min="14854" max="14854" width="15.85546875" style="1803" customWidth="1"/>
    <col min="14855" max="14855" width="13.85546875" style="1803" customWidth="1"/>
    <col min="14856" max="14856" width="9.42578125" style="1803" customWidth="1"/>
    <col min="14857" max="14857" width="14.28515625" style="1803" bestFit="1" customWidth="1"/>
    <col min="14858" max="14858" width="11.42578125" style="1803" bestFit="1" customWidth="1"/>
    <col min="14859" max="14860" width="14.7109375" style="1803" bestFit="1" customWidth="1"/>
    <col min="14861" max="15104" width="9.140625" style="1803"/>
    <col min="15105" max="15105" width="4.7109375" style="1803" customWidth="1"/>
    <col min="15106" max="15106" width="6.140625" style="1803" customWidth="1"/>
    <col min="15107" max="15107" width="8.7109375" style="1803" customWidth="1"/>
    <col min="15108" max="15108" width="40.42578125" style="1803" customWidth="1"/>
    <col min="15109" max="15109" width="10.42578125" style="1803" customWidth="1"/>
    <col min="15110" max="15110" width="15.85546875" style="1803" customWidth="1"/>
    <col min="15111" max="15111" width="13.85546875" style="1803" customWidth="1"/>
    <col min="15112" max="15112" width="9.42578125" style="1803" customWidth="1"/>
    <col min="15113" max="15113" width="14.28515625" style="1803" bestFit="1" customWidth="1"/>
    <col min="15114" max="15114" width="11.42578125" style="1803" bestFit="1" customWidth="1"/>
    <col min="15115" max="15116" width="14.7109375" style="1803" bestFit="1" customWidth="1"/>
    <col min="15117" max="15360" width="9.140625" style="1803"/>
    <col min="15361" max="15361" width="4.7109375" style="1803" customWidth="1"/>
    <col min="15362" max="15362" width="6.140625" style="1803" customWidth="1"/>
    <col min="15363" max="15363" width="8.7109375" style="1803" customWidth="1"/>
    <col min="15364" max="15364" width="40.42578125" style="1803" customWidth="1"/>
    <col min="15365" max="15365" width="10.42578125" style="1803" customWidth="1"/>
    <col min="15366" max="15366" width="15.85546875" style="1803" customWidth="1"/>
    <col min="15367" max="15367" width="13.85546875" style="1803" customWidth="1"/>
    <col min="15368" max="15368" width="9.42578125" style="1803" customWidth="1"/>
    <col min="15369" max="15369" width="14.28515625" style="1803" bestFit="1" customWidth="1"/>
    <col min="15370" max="15370" width="11.42578125" style="1803" bestFit="1" customWidth="1"/>
    <col min="15371" max="15372" width="14.7109375" style="1803" bestFit="1" customWidth="1"/>
    <col min="15373" max="15616" width="9.140625" style="1803"/>
    <col min="15617" max="15617" width="4.7109375" style="1803" customWidth="1"/>
    <col min="15618" max="15618" width="6.140625" style="1803" customWidth="1"/>
    <col min="15619" max="15619" width="8.7109375" style="1803" customWidth="1"/>
    <col min="15620" max="15620" width="40.42578125" style="1803" customWidth="1"/>
    <col min="15621" max="15621" width="10.42578125" style="1803" customWidth="1"/>
    <col min="15622" max="15622" width="15.85546875" style="1803" customWidth="1"/>
    <col min="15623" max="15623" width="13.85546875" style="1803" customWidth="1"/>
    <col min="15624" max="15624" width="9.42578125" style="1803" customWidth="1"/>
    <col min="15625" max="15625" width="14.28515625" style="1803" bestFit="1" customWidth="1"/>
    <col min="15626" max="15626" width="11.42578125" style="1803" bestFit="1" customWidth="1"/>
    <col min="15627" max="15628" width="14.7109375" style="1803" bestFit="1" customWidth="1"/>
    <col min="15629" max="15872" width="9.140625" style="1803"/>
    <col min="15873" max="15873" width="4.7109375" style="1803" customWidth="1"/>
    <col min="15874" max="15874" width="6.140625" style="1803" customWidth="1"/>
    <col min="15875" max="15875" width="8.7109375" style="1803" customWidth="1"/>
    <col min="15876" max="15876" width="40.42578125" style="1803" customWidth="1"/>
    <col min="15877" max="15877" width="10.42578125" style="1803" customWidth="1"/>
    <col min="15878" max="15878" width="15.85546875" style="1803" customWidth="1"/>
    <col min="15879" max="15879" width="13.85546875" style="1803" customWidth="1"/>
    <col min="15880" max="15880" width="9.42578125" style="1803" customWidth="1"/>
    <col min="15881" max="15881" width="14.28515625" style="1803" bestFit="1" customWidth="1"/>
    <col min="15882" max="15882" width="11.42578125" style="1803" bestFit="1" customWidth="1"/>
    <col min="15883" max="15884" width="14.7109375" style="1803" bestFit="1" customWidth="1"/>
    <col min="15885" max="16128" width="9.140625" style="1803"/>
    <col min="16129" max="16129" width="4.7109375" style="1803" customWidth="1"/>
    <col min="16130" max="16130" width="6.140625" style="1803" customWidth="1"/>
    <col min="16131" max="16131" width="8.7109375" style="1803" customWidth="1"/>
    <col min="16132" max="16132" width="40.42578125" style="1803" customWidth="1"/>
    <col min="16133" max="16133" width="10.42578125" style="1803" customWidth="1"/>
    <col min="16134" max="16134" width="15.85546875" style="1803" customWidth="1"/>
    <col min="16135" max="16135" width="13.85546875" style="1803" customWidth="1"/>
    <col min="16136" max="16136" width="9.42578125" style="1803" customWidth="1"/>
    <col min="16137" max="16137" width="14.28515625" style="1803" bestFit="1" customWidth="1"/>
    <col min="16138" max="16138" width="11.42578125" style="1803" bestFit="1" customWidth="1"/>
    <col min="16139" max="16140" width="14.7109375" style="1803" bestFit="1" customWidth="1"/>
    <col min="16141" max="16384" width="9.140625" style="1803"/>
  </cols>
  <sheetData>
    <row r="1" spans="1:9" ht="19.5" customHeight="1" thickBot="1" x14ac:dyDescent="0.25">
      <c r="A1" s="2753" t="s">
        <v>961</v>
      </c>
      <c r="B1" s="2753"/>
      <c r="C1" s="2753"/>
      <c r="D1" s="2753"/>
      <c r="E1" s="2753"/>
      <c r="F1" s="2753"/>
      <c r="G1" s="2753"/>
      <c r="H1" s="2753"/>
    </row>
    <row r="2" spans="1:9" ht="18" x14ac:dyDescent="0.25">
      <c r="A2" s="1807"/>
      <c r="B2" s="1831"/>
      <c r="C2" s="1831"/>
      <c r="D2" s="1831"/>
      <c r="E2" s="1831"/>
      <c r="F2" s="1831"/>
      <c r="G2" s="1831"/>
      <c r="H2" s="1876" t="s">
        <v>962</v>
      </c>
    </row>
    <row r="3" spans="1:9" ht="18" x14ac:dyDescent="0.25">
      <c r="A3" s="1705" t="s">
        <v>367</v>
      </c>
      <c r="B3" s="1831"/>
      <c r="C3" s="1801" t="s">
        <v>347</v>
      </c>
      <c r="D3" s="1831"/>
      <c r="E3" s="1831"/>
      <c r="F3" s="1831"/>
      <c r="G3" s="1831"/>
      <c r="H3" s="1876"/>
    </row>
    <row r="4" spans="1:9" ht="18" x14ac:dyDescent="0.25">
      <c r="A4" s="1807"/>
      <c r="B4" s="1831"/>
      <c r="C4" s="1801" t="s">
        <v>348</v>
      </c>
      <c r="D4" s="1831"/>
      <c r="E4" s="1831"/>
      <c r="F4" s="1831"/>
      <c r="G4" s="1831"/>
      <c r="H4" s="1876"/>
    </row>
    <row r="5" spans="1:9" ht="12.75" customHeight="1" x14ac:dyDescent="0.2">
      <c r="B5" s="1831"/>
      <c r="C5" s="1831"/>
      <c r="D5" s="1831"/>
      <c r="E5" s="1831"/>
      <c r="F5" s="1831"/>
      <c r="G5" s="1831"/>
    </row>
    <row r="6" spans="1:9" ht="18" x14ac:dyDescent="0.25">
      <c r="A6" s="1806" t="s">
        <v>963</v>
      </c>
      <c r="B6" s="1831"/>
      <c r="C6" s="1831"/>
      <c r="D6" s="1831"/>
      <c r="E6" s="1831"/>
      <c r="F6" s="1831"/>
      <c r="G6" s="1831"/>
      <c r="H6" s="1876"/>
    </row>
    <row r="7" spans="1:9" ht="18" x14ac:dyDescent="0.25">
      <c r="A7" s="1806"/>
      <c r="B7" s="1831"/>
      <c r="C7" s="1831"/>
      <c r="D7" s="1831"/>
      <c r="E7" s="1831"/>
      <c r="F7" s="1831"/>
      <c r="G7" s="1831"/>
      <c r="H7" s="1876"/>
    </row>
    <row r="8" spans="1:9" ht="18" x14ac:dyDescent="0.25">
      <c r="A8" s="1976" t="s">
        <v>964</v>
      </c>
      <c r="B8" s="1831"/>
      <c r="C8" s="1831"/>
      <c r="D8" s="1831"/>
      <c r="E8" s="1831"/>
      <c r="F8" s="1831"/>
      <c r="G8" s="1831"/>
      <c r="H8" s="1876"/>
    </row>
    <row r="9" spans="1:9" ht="15.75" thickBot="1" x14ac:dyDescent="0.3">
      <c r="A9" s="1977" t="s">
        <v>1075</v>
      </c>
      <c r="H9" s="1892" t="s">
        <v>161</v>
      </c>
    </row>
    <row r="10" spans="1:9" s="1638" customFormat="1" ht="25.5" thickTop="1" thickBot="1" x14ac:dyDescent="0.25">
      <c r="A10" s="1809" t="s">
        <v>162</v>
      </c>
      <c r="B10" s="1810" t="s">
        <v>761</v>
      </c>
      <c r="C10" s="1810" t="s">
        <v>377</v>
      </c>
      <c r="D10" s="1811" t="s">
        <v>164</v>
      </c>
      <c r="E10" s="1833" t="s">
        <v>632</v>
      </c>
      <c r="F10" s="1833" t="s">
        <v>633</v>
      </c>
      <c r="G10" s="1834" t="s">
        <v>882</v>
      </c>
      <c r="H10" s="1835" t="s">
        <v>883</v>
      </c>
    </row>
    <row r="11" spans="1:9" s="1638" customFormat="1" ht="13.5" thickTop="1" thickBot="1" x14ac:dyDescent="0.25">
      <c r="A11" s="1643">
        <v>1</v>
      </c>
      <c r="B11" s="1642">
        <v>2</v>
      </c>
      <c r="C11" s="1642">
        <v>3</v>
      </c>
      <c r="D11" s="1642">
        <v>4</v>
      </c>
      <c r="E11" s="1641">
        <v>5</v>
      </c>
      <c r="F11" s="1641">
        <v>6</v>
      </c>
      <c r="G11" s="1877">
        <v>7</v>
      </c>
      <c r="H11" s="1901" t="s">
        <v>61</v>
      </c>
    </row>
    <row r="12" spans="1:9" s="1638" customFormat="1" ht="15.75" hidden="1" thickTop="1" x14ac:dyDescent="0.2">
      <c r="A12" s="1896">
        <v>2143</v>
      </c>
      <c r="B12" s="1903">
        <v>5163</v>
      </c>
      <c r="C12" s="1906">
        <v>41100880</v>
      </c>
      <c r="D12" s="1836" t="s">
        <v>892</v>
      </c>
      <c r="E12" s="1845"/>
      <c r="F12" s="1845"/>
      <c r="G12" s="1845"/>
      <c r="H12" s="1821" t="e">
        <f>G12/F12*100</f>
        <v>#DIV/0!</v>
      </c>
    </row>
    <row r="13" spans="1:9" s="1638" customFormat="1" ht="15.75" hidden="1" thickTop="1" x14ac:dyDescent="0.2">
      <c r="A13" s="1896">
        <v>2143</v>
      </c>
      <c r="B13" s="1903">
        <v>5163</v>
      </c>
      <c r="C13" s="1906">
        <v>41100882</v>
      </c>
      <c r="D13" s="1836" t="s">
        <v>892</v>
      </c>
      <c r="E13" s="1845"/>
      <c r="F13" s="1845"/>
      <c r="G13" s="1845"/>
      <c r="H13" s="1821" t="e">
        <f>G13/F13*100</f>
        <v>#DIV/0!</v>
      </c>
    </row>
    <row r="14" spans="1:9" s="1638" customFormat="1" ht="15.75" hidden="1" thickTop="1" x14ac:dyDescent="0.2">
      <c r="A14" s="1896">
        <v>2143</v>
      </c>
      <c r="B14" s="1903">
        <v>5163</v>
      </c>
      <c r="C14" s="1906">
        <v>41500881</v>
      </c>
      <c r="D14" s="1836" t="s">
        <v>892</v>
      </c>
      <c r="E14" s="1845"/>
      <c r="F14" s="1845"/>
      <c r="G14" s="1845"/>
      <c r="H14" s="1821" t="e">
        <f>G14/F14*100</f>
        <v>#DIV/0!</v>
      </c>
    </row>
    <row r="15" spans="1:9" s="1638" customFormat="1" ht="16.5" thickTop="1" thickBot="1" x14ac:dyDescent="0.25">
      <c r="A15" s="1896">
        <v>6330</v>
      </c>
      <c r="B15" s="1903">
        <v>5345</v>
      </c>
      <c r="C15" s="1906">
        <v>0</v>
      </c>
      <c r="D15" s="1836" t="s">
        <v>767</v>
      </c>
      <c r="E15" s="1845">
        <v>0</v>
      </c>
      <c r="F15" s="1845">
        <v>0</v>
      </c>
      <c r="G15" s="1845">
        <v>16695</v>
      </c>
      <c r="H15" s="1827">
        <v>0</v>
      </c>
    </row>
    <row r="16" spans="1:9" s="1828" customFormat="1" ht="16.5" thickTop="1" thickBot="1" x14ac:dyDescent="0.3">
      <c r="A16" s="2751" t="s">
        <v>763</v>
      </c>
      <c r="B16" s="2752"/>
      <c r="C16" s="2752"/>
      <c r="D16" s="2752"/>
      <c r="E16" s="1818">
        <f>SUM(E12:E15)</f>
        <v>0</v>
      </c>
      <c r="F16" s="1818">
        <f>SUM(F12:F15)</f>
        <v>0</v>
      </c>
      <c r="G16" s="1818">
        <f>SUM(G12:G15)</f>
        <v>16695</v>
      </c>
      <c r="H16" s="1827">
        <v>0</v>
      </c>
      <c r="I16" s="1910"/>
    </row>
    <row r="17" spans="1:9" ht="13.5" thickTop="1" x14ac:dyDescent="0.2">
      <c r="I17" s="1829"/>
    </row>
    <row r="18" spans="1:9" ht="18" x14ac:dyDescent="0.25">
      <c r="A18" s="1976" t="s">
        <v>1723</v>
      </c>
      <c r="B18" s="1831"/>
      <c r="C18" s="1831"/>
      <c r="D18" s="1831"/>
      <c r="E18" s="1831"/>
      <c r="F18" s="1831"/>
      <c r="G18" s="1831"/>
      <c r="H18" s="1876"/>
    </row>
    <row r="19" spans="1:9" ht="15.75" thickBot="1" x14ac:dyDescent="0.3">
      <c r="A19" s="1977" t="s">
        <v>1724</v>
      </c>
      <c r="H19" s="1892" t="s">
        <v>161</v>
      </c>
    </row>
    <row r="20" spans="1:9" s="1638" customFormat="1" ht="25.5" thickTop="1" thickBot="1" x14ac:dyDescent="0.25">
      <c r="A20" s="1809" t="s">
        <v>162</v>
      </c>
      <c r="B20" s="1810" t="s">
        <v>761</v>
      </c>
      <c r="C20" s="1810" t="s">
        <v>377</v>
      </c>
      <c r="D20" s="1811" t="s">
        <v>164</v>
      </c>
      <c r="E20" s="1833" t="s">
        <v>632</v>
      </c>
      <c r="F20" s="1833" t="s">
        <v>633</v>
      </c>
      <c r="G20" s="1834" t="s">
        <v>882</v>
      </c>
      <c r="H20" s="1835" t="s">
        <v>883</v>
      </c>
    </row>
    <row r="21" spans="1:9" s="1638" customFormat="1" ht="13.5" thickTop="1" thickBot="1" x14ac:dyDescent="0.25">
      <c r="A21" s="1643">
        <v>1</v>
      </c>
      <c r="B21" s="1642">
        <v>2</v>
      </c>
      <c r="C21" s="1642">
        <v>3</v>
      </c>
      <c r="D21" s="1642">
        <v>4</v>
      </c>
      <c r="E21" s="1641">
        <v>5</v>
      </c>
      <c r="F21" s="1641">
        <v>6</v>
      </c>
      <c r="G21" s="1877">
        <v>7</v>
      </c>
      <c r="H21" s="1901" t="s">
        <v>61</v>
      </c>
    </row>
    <row r="22" spans="1:9" s="1638" customFormat="1" ht="15.75" hidden="1" thickTop="1" x14ac:dyDescent="0.2">
      <c r="A22" s="1896">
        <v>2143</v>
      </c>
      <c r="B22" s="1903">
        <v>5163</v>
      </c>
      <c r="C22" s="1906">
        <v>41100880</v>
      </c>
      <c r="D22" s="1836" t="s">
        <v>892</v>
      </c>
      <c r="E22" s="1845"/>
      <c r="F22" s="1845"/>
      <c r="G22" s="1845"/>
      <c r="H22" s="1821" t="e">
        <f>G22/F22*100</f>
        <v>#DIV/0!</v>
      </c>
    </row>
    <row r="23" spans="1:9" s="1638" customFormat="1" ht="15.75" hidden="1" thickTop="1" x14ac:dyDescent="0.2">
      <c r="A23" s="1896">
        <v>2143</v>
      </c>
      <c r="B23" s="1903">
        <v>5163</v>
      </c>
      <c r="C23" s="1906">
        <v>41100882</v>
      </c>
      <c r="D23" s="1836" t="s">
        <v>892</v>
      </c>
      <c r="E23" s="1845"/>
      <c r="F23" s="1845"/>
      <c r="G23" s="1845"/>
      <c r="H23" s="1821" t="e">
        <f>G23/F23*100</f>
        <v>#DIV/0!</v>
      </c>
    </row>
    <row r="24" spans="1:9" s="1638" customFormat="1" ht="15.75" hidden="1" thickTop="1" x14ac:dyDescent="0.2">
      <c r="A24" s="1896">
        <v>2143</v>
      </c>
      <c r="B24" s="1903">
        <v>5163</v>
      </c>
      <c r="C24" s="1906">
        <v>41500881</v>
      </c>
      <c r="D24" s="1836" t="s">
        <v>892</v>
      </c>
      <c r="E24" s="1845"/>
      <c r="F24" s="1845"/>
      <c r="G24" s="1845"/>
      <c r="H24" s="1821" t="e">
        <f>G24/F24*100</f>
        <v>#DIV/0!</v>
      </c>
    </row>
    <row r="25" spans="1:9" s="1638" customFormat="1" ht="16.5" thickTop="1" thickBot="1" x14ac:dyDescent="0.25">
      <c r="A25" s="1896">
        <v>6330</v>
      </c>
      <c r="B25" s="1903">
        <v>5345</v>
      </c>
      <c r="C25" s="1906">
        <v>0</v>
      </c>
      <c r="D25" s="1836" t="s">
        <v>767</v>
      </c>
      <c r="E25" s="1845">
        <v>0</v>
      </c>
      <c r="F25" s="1845">
        <v>0</v>
      </c>
      <c r="G25" s="1845">
        <v>696</v>
      </c>
      <c r="H25" s="1827">
        <v>0</v>
      </c>
    </row>
    <row r="26" spans="1:9" s="1828" customFormat="1" ht="16.5" thickTop="1" thickBot="1" x14ac:dyDescent="0.3">
      <c r="A26" s="2751" t="s">
        <v>763</v>
      </c>
      <c r="B26" s="2752"/>
      <c r="C26" s="2752"/>
      <c r="D26" s="2752"/>
      <c r="E26" s="1818">
        <f>SUM(E22:E25)</f>
        <v>0</v>
      </c>
      <c r="F26" s="1818">
        <f>SUM(F22:F25)</f>
        <v>0</v>
      </c>
      <c r="G26" s="1818">
        <f>SUM(G22:G25)</f>
        <v>696</v>
      </c>
      <c r="H26" s="1827">
        <v>0</v>
      </c>
      <c r="I26" s="1910"/>
    </row>
    <row r="27" spans="1:9" ht="13.5" thickTop="1" x14ac:dyDescent="0.2">
      <c r="I27" s="1829"/>
    </row>
    <row r="28" spans="1:9" ht="15" x14ac:dyDescent="0.25">
      <c r="A28" s="1808" t="s">
        <v>2008</v>
      </c>
      <c r="D28" s="1802"/>
      <c r="E28" s="1803"/>
      <c r="H28" s="1829"/>
      <c r="I28" s="1829"/>
    </row>
    <row r="29" spans="1:9" ht="15.75" thickBot="1" x14ac:dyDescent="0.3">
      <c r="A29" s="1808" t="s">
        <v>2009</v>
      </c>
      <c r="D29" s="1802"/>
      <c r="E29" s="1803"/>
      <c r="H29" s="1892" t="s">
        <v>161</v>
      </c>
      <c r="I29" s="1829"/>
    </row>
    <row r="30" spans="1:9" ht="25.5" thickTop="1" thickBot="1" x14ac:dyDescent="0.25">
      <c r="A30" s="1809" t="s">
        <v>162</v>
      </c>
      <c r="B30" s="1810" t="s">
        <v>761</v>
      </c>
      <c r="C30" s="1810" t="s">
        <v>377</v>
      </c>
      <c r="D30" s="1811" t="s">
        <v>164</v>
      </c>
      <c r="E30" s="1833" t="s">
        <v>632</v>
      </c>
      <c r="F30" s="1833" t="s">
        <v>633</v>
      </c>
      <c r="G30" s="1834" t="s">
        <v>882</v>
      </c>
      <c r="H30" s="1835" t="s">
        <v>883</v>
      </c>
      <c r="I30" s="1829"/>
    </row>
    <row r="31" spans="1:9" ht="14.25" thickTop="1" thickBot="1" x14ac:dyDescent="0.25">
      <c r="A31" s="1643">
        <v>1</v>
      </c>
      <c r="B31" s="1642">
        <v>2</v>
      </c>
      <c r="C31" s="1642">
        <v>3</v>
      </c>
      <c r="D31" s="1642">
        <v>5</v>
      </c>
      <c r="E31" s="1641">
        <v>6</v>
      </c>
      <c r="F31" s="1641">
        <v>7</v>
      </c>
      <c r="G31" s="1877">
        <v>8</v>
      </c>
      <c r="H31" s="1814" t="s">
        <v>762</v>
      </c>
      <c r="I31" s="1829"/>
    </row>
    <row r="32" spans="1:9" ht="30.75" thickTop="1" x14ac:dyDescent="0.2">
      <c r="A32" s="1896">
        <v>2143</v>
      </c>
      <c r="B32" s="1903">
        <v>5321</v>
      </c>
      <c r="C32" s="1903">
        <v>41595113</v>
      </c>
      <c r="D32" s="1836" t="s">
        <v>1037</v>
      </c>
      <c r="E32" s="1832">
        <v>0</v>
      </c>
      <c r="F32" s="1845">
        <v>8331</v>
      </c>
      <c r="G32" s="1885">
        <v>8331</v>
      </c>
      <c r="H32" s="1821">
        <f>G32/F32*100</f>
        <v>100</v>
      </c>
      <c r="I32" s="1829"/>
    </row>
    <row r="33" spans="1:12" ht="15.75" thickBot="1" x14ac:dyDescent="0.25">
      <c r="A33" s="1896">
        <v>2143</v>
      </c>
      <c r="B33" s="1903">
        <v>6341</v>
      </c>
      <c r="C33" s="1903">
        <v>41595823</v>
      </c>
      <c r="D33" s="1836" t="s">
        <v>1162</v>
      </c>
      <c r="E33" s="1842">
        <v>0</v>
      </c>
      <c r="F33" s="1842">
        <v>8141</v>
      </c>
      <c r="G33" s="1885">
        <v>8141</v>
      </c>
      <c r="H33" s="1827">
        <f>G33/F33*100</f>
        <v>100</v>
      </c>
      <c r="I33" s="1829"/>
    </row>
    <row r="34" spans="1:12" ht="16.5" thickTop="1" thickBot="1" x14ac:dyDescent="0.3">
      <c r="A34" s="1837" t="s">
        <v>763</v>
      </c>
      <c r="B34" s="1838"/>
      <c r="C34" s="1838"/>
      <c r="D34" s="1839"/>
      <c r="E34" s="1818">
        <f>SUM(E32:E33)</f>
        <v>0</v>
      </c>
      <c r="F34" s="1818">
        <f>SUM(F32:F33)</f>
        <v>16472</v>
      </c>
      <c r="G34" s="1818">
        <f>SUM(G32:G33)</f>
        <v>16472</v>
      </c>
      <c r="H34" s="1822">
        <f>G34/F34*100</f>
        <v>100</v>
      </c>
      <c r="I34" s="1829"/>
    </row>
    <row r="35" spans="1:12" ht="15.75" thickTop="1" x14ac:dyDescent="0.25">
      <c r="A35" s="1848"/>
      <c r="B35" s="1848"/>
      <c r="C35" s="1848"/>
      <c r="D35" s="1848"/>
      <c r="E35" s="1824"/>
      <c r="F35" s="1824"/>
      <c r="G35" s="1824"/>
      <c r="H35" s="1849"/>
      <c r="I35" s="1829"/>
    </row>
    <row r="36" spans="1:12" ht="15.75" thickBot="1" x14ac:dyDescent="0.3">
      <c r="A36" s="1808" t="s">
        <v>250</v>
      </c>
      <c r="B36" s="1848"/>
      <c r="C36" s="1848"/>
      <c r="D36" s="1848"/>
      <c r="E36" s="1824"/>
      <c r="F36" s="1824"/>
      <c r="G36" s="1824"/>
      <c r="H36" s="1892" t="s">
        <v>161</v>
      </c>
      <c r="I36" s="1829"/>
    </row>
    <row r="37" spans="1:12" ht="25.5" thickTop="1" thickBot="1" x14ac:dyDescent="0.25">
      <c r="A37" s="1809" t="s">
        <v>162</v>
      </c>
      <c r="B37" s="1810" t="s">
        <v>761</v>
      </c>
      <c r="C37" s="1810" t="s">
        <v>377</v>
      </c>
      <c r="D37" s="1811" t="s">
        <v>164</v>
      </c>
      <c r="E37" s="1833" t="s">
        <v>632</v>
      </c>
      <c r="F37" s="1833" t="s">
        <v>633</v>
      </c>
      <c r="G37" s="1834" t="s">
        <v>882</v>
      </c>
      <c r="H37" s="1835" t="s">
        <v>883</v>
      </c>
      <c r="I37" s="1829"/>
    </row>
    <row r="38" spans="1:12" ht="14.25" thickTop="1" thickBot="1" x14ac:dyDescent="0.25">
      <c r="A38" s="1643">
        <v>1</v>
      </c>
      <c r="B38" s="1642">
        <v>2</v>
      </c>
      <c r="C38" s="1642">
        <v>3</v>
      </c>
      <c r="D38" s="1642">
        <v>5</v>
      </c>
      <c r="E38" s="1641">
        <v>6</v>
      </c>
      <c r="F38" s="1641">
        <v>7</v>
      </c>
      <c r="G38" s="1877">
        <v>8</v>
      </c>
      <c r="H38" s="1814" t="s">
        <v>762</v>
      </c>
      <c r="I38" s="1829"/>
    </row>
    <row r="39" spans="1:12" ht="15.75" thickTop="1" x14ac:dyDescent="0.2">
      <c r="A39" s="1896">
        <v>6330</v>
      </c>
      <c r="B39" s="1903">
        <v>5345</v>
      </c>
      <c r="C39" s="1906">
        <v>0</v>
      </c>
      <c r="D39" s="1836" t="s">
        <v>767</v>
      </c>
      <c r="E39" s="1832">
        <v>0</v>
      </c>
      <c r="F39" s="1845">
        <v>0</v>
      </c>
      <c r="G39" s="1885">
        <v>7</v>
      </c>
      <c r="H39" s="1821">
        <v>0</v>
      </c>
      <c r="I39" s="1829"/>
    </row>
    <row r="40" spans="1:12" ht="15.75" thickBot="1" x14ac:dyDescent="0.25">
      <c r="A40" s="1896">
        <v>6409</v>
      </c>
      <c r="B40" s="1903">
        <v>5909</v>
      </c>
      <c r="C40" s="1906">
        <v>0</v>
      </c>
      <c r="D40" s="1836" t="s">
        <v>1548</v>
      </c>
      <c r="E40" s="1842">
        <v>0</v>
      </c>
      <c r="F40" s="1842">
        <v>0</v>
      </c>
      <c r="G40" s="1885">
        <v>7</v>
      </c>
      <c r="H40" s="1827">
        <v>0</v>
      </c>
      <c r="I40" s="1829"/>
    </row>
    <row r="41" spans="1:12" ht="16.5" thickTop="1" thickBot="1" x14ac:dyDescent="0.3">
      <c r="A41" s="1837" t="s">
        <v>763</v>
      </c>
      <c r="B41" s="1838"/>
      <c r="C41" s="1838"/>
      <c r="D41" s="1839"/>
      <c r="E41" s="1818">
        <f>SUM(E39:E40)</f>
        <v>0</v>
      </c>
      <c r="F41" s="1818">
        <f>SUM(F39:F40)</f>
        <v>0</v>
      </c>
      <c r="G41" s="1818">
        <f>SUM(G39:G40)</f>
        <v>14</v>
      </c>
      <c r="H41" s="1822">
        <v>0</v>
      </c>
      <c r="I41" s="1829"/>
    </row>
    <row r="42" spans="1:12" ht="15.75" thickTop="1" x14ac:dyDescent="0.25">
      <c r="A42" s="1848"/>
      <c r="B42" s="1848"/>
      <c r="C42" s="1848"/>
      <c r="D42" s="1848"/>
      <c r="E42" s="1824"/>
      <c r="F42" s="1824"/>
      <c r="G42" s="1824"/>
      <c r="H42" s="1849"/>
      <c r="I42" s="1829"/>
    </row>
    <row r="43" spans="1:12" ht="15" x14ac:dyDescent="0.25">
      <c r="A43" s="1848"/>
      <c r="B43" s="1848"/>
      <c r="C43" s="1848"/>
      <c r="D43" s="1848"/>
      <c r="E43" s="1824"/>
      <c r="F43" s="1824"/>
      <c r="G43" s="1824"/>
      <c r="H43" s="1849"/>
      <c r="I43" s="1829"/>
    </row>
    <row r="44" spans="1:12" ht="15" x14ac:dyDescent="0.25">
      <c r="A44" s="1848"/>
      <c r="B44" s="1848"/>
      <c r="C44" s="1848"/>
      <c r="D44" s="1848"/>
      <c r="E44" s="1824"/>
      <c r="F44" s="1824"/>
      <c r="G44" s="1824"/>
      <c r="H44" s="1849"/>
      <c r="I44" s="1829"/>
    </row>
    <row r="45" spans="1:12" ht="15" x14ac:dyDescent="0.25">
      <c r="A45" s="1848"/>
      <c r="B45" s="1848"/>
      <c r="C45" s="1848"/>
      <c r="D45" s="1848"/>
      <c r="E45" s="1824"/>
      <c r="F45" s="1824"/>
      <c r="G45" s="1824"/>
      <c r="H45" s="1849"/>
      <c r="I45" s="1829"/>
    </row>
    <row r="46" spans="1:12" ht="16.5" x14ac:dyDescent="0.25">
      <c r="A46" s="1860" t="s">
        <v>465</v>
      </c>
      <c r="B46" s="1861"/>
      <c r="C46" s="1862"/>
      <c r="D46" s="1863"/>
      <c r="E46" s="1864">
        <f>SUM(E47:E49)</f>
        <v>0</v>
      </c>
      <c r="F46" s="1864">
        <f>F47+F48+F49+F50</f>
        <v>16472</v>
      </c>
      <c r="G46" s="1864">
        <f>G47+G48+G49+G50</f>
        <v>33877</v>
      </c>
      <c r="H46" s="1884">
        <f>G46/F46*100</f>
        <v>205.66415735794075</v>
      </c>
      <c r="I46" s="1829"/>
      <c r="J46" s="1866">
        <f>J47+J48+J49</f>
        <v>0</v>
      </c>
      <c r="K46" s="1866">
        <f>K47+K48+K49</f>
        <v>16472330.359999999</v>
      </c>
      <c r="L46" s="1866">
        <f>L47+L48+L49</f>
        <v>33876499.280000001</v>
      </c>
    </row>
    <row r="47" spans="1:12" ht="15" x14ac:dyDescent="0.2">
      <c r="A47" s="1600" t="s">
        <v>263</v>
      </c>
      <c r="B47" s="1603"/>
      <c r="C47" s="1598"/>
      <c r="D47" s="1867"/>
      <c r="E47" s="1601">
        <f>E32+E40</f>
        <v>0</v>
      </c>
      <c r="F47" s="1601">
        <f t="shared" ref="F47:G47" si="0">F32+F40</f>
        <v>8331</v>
      </c>
      <c r="G47" s="1601">
        <f t="shared" si="0"/>
        <v>8338</v>
      </c>
      <c r="H47" s="1883">
        <f>G47/F47*100</f>
        <v>100.08402352658746</v>
      </c>
      <c r="J47" s="1868">
        <v>0</v>
      </c>
      <c r="K47" s="1868">
        <v>8331408.1100000003</v>
      </c>
      <c r="L47" s="1868">
        <v>8337883.7800000003</v>
      </c>
    </row>
    <row r="48" spans="1:12" ht="15" x14ac:dyDescent="0.2">
      <c r="A48" s="1600" t="s">
        <v>264</v>
      </c>
      <c r="B48" s="1599"/>
      <c r="C48" s="1598"/>
      <c r="D48" s="1869"/>
      <c r="E48" s="1601">
        <f>E33</f>
        <v>0</v>
      </c>
      <c r="F48" s="1601">
        <f t="shared" ref="F48:G48" si="1">F33</f>
        <v>8141</v>
      </c>
      <c r="G48" s="1601">
        <f t="shared" si="1"/>
        <v>8141</v>
      </c>
      <c r="H48" s="1883">
        <f>G48/F48*100</f>
        <v>100</v>
      </c>
      <c r="J48" s="1868">
        <v>0</v>
      </c>
      <c r="K48" s="1868">
        <v>8140922.25</v>
      </c>
      <c r="L48" s="1868">
        <v>8140922.25</v>
      </c>
    </row>
    <row r="49" spans="1:12" ht="15" x14ac:dyDescent="0.2">
      <c r="A49" s="1600" t="s">
        <v>466</v>
      </c>
      <c r="B49" s="1599"/>
      <c r="C49" s="1598"/>
      <c r="D49" s="1869"/>
      <c r="E49" s="1601">
        <f>E15+E25+E39</f>
        <v>0</v>
      </c>
      <c r="F49" s="1601">
        <f t="shared" ref="F49:G49" si="2">F15+F25+F39</f>
        <v>0</v>
      </c>
      <c r="G49" s="1601">
        <f t="shared" si="2"/>
        <v>17398</v>
      </c>
      <c r="H49" s="1883">
        <v>0</v>
      </c>
      <c r="J49" s="1868">
        <v>0</v>
      </c>
      <c r="K49" s="1868">
        <v>0</v>
      </c>
      <c r="L49" s="1868">
        <v>17397693.25</v>
      </c>
    </row>
    <row r="50" spans="1:12" ht="15" x14ac:dyDescent="0.2">
      <c r="A50" s="1600"/>
      <c r="B50" s="1599"/>
      <c r="C50" s="1598"/>
      <c r="D50" s="1869"/>
      <c r="E50" s="1601"/>
      <c r="F50" s="1601"/>
      <c r="G50" s="1601"/>
      <c r="H50" s="1597"/>
    </row>
    <row r="51" spans="1:12" ht="46.5" customHeight="1" thickBot="1" x14ac:dyDescent="0.4">
      <c r="A51" s="2741" t="s">
        <v>964</v>
      </c>
      <c r="B51" s="2756"/>
      <c r="C51" s="2756"/>
      <c r="D51" s="2756"/>
      <c r="E51" s="1591">
        <f>E46</f>
        <v>0</v>
      </c>
      <c r="F51" s="1591">
        <f>F46</f>
        <v>16472</v>
      </c>
      <c r="G51" s="1591">
        <f>G46</f>
        <v>33877</v>
      </c>
      <c r="H51" s="2098">
        <f>G51/F51*100</f>
        <v>205.66415735794075</v>
      </c>
    </row>
    <row r="52" spans="1:12" ht="13.5" thickTop="1" x14ac:dyDescent="0.2"/>
    <row r="166" spans="1:5" ht="13.5" thickBot="1" x14ac:dyDescent="0.25">
      <c r="A166" s="1840"/>
      <c r="B166" s="1840"/>
      <c r="C166" s="1840"/>
    </row>
    <row r="167" spans="1:5" ht="13.5" thickTop="1" x14ac:dyDescent="0.2">
      <c r="A167" s="1858"/>
      <c r="B167" s="1858"/>
      <c r="C167" s="1858"/>
    </row>
    <row r="174" spans="1:5" ht="13.5" thickBot="1" x14ac:dyDescent="0.25">
      <c r="D174" s="1911"/>
      <c r="E174" s="1912"/>
    </row>
    <row r="175" spans="1:5" ht="13.5" thickTop="1" x14ac:dyDescent="0.2">
      <c r="D175" s="1850"/>
      <c r="E175" s="1913"/>
    </row>
    <row r="176" spans="1:5" x14ac:dyDescent="0.2">
      <c r="D176" s="1803" t="e">
        <f>#REF!+#REF!</f>
        <v>#REF!</v>
      </c>
    </row>
  </sheetData>
  <mergeCells count="4">
    <mergeCell ref="A1:H1"/>
    <mergeCell ref="A16:D16"/>
    <mergeCell ref="A26:D26"/>
    <mergeCell ref="A51:D51"/>
  </mergeCells>
  <pageMargins left="0.98425196850393704" right="0.98425196850393704" top="0.98425196850393704" bottom="0.98425196850393704" header="0.51181102362204722" footer="0.51181102362204722"/>
  <pageSetup paperSize="9" scale="74" firstPageNumber="149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76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1802" customWidth="1"/>
    <col min="2" max="2" width="6.140625" style="1802" customWidth="1"/>
    <col min="3" max="3" width="8.7109375" style="1802" customWidth="1"/>
    <col min="4" max="4" width="40.42578125" style="1803" customWidth="1"/>
    <col min="5" max="5" width="10.42578125" style="1829" customWidth="1"/>
    <col min="6" max="6" width="15.85546875" style="1829" customWidth="1"/>
    <col min="7" max="7" width="13.85546875" style="1829" customWidth="1"/>
    <col min="8" max="8" width="10.5703125" style="1803" customWidth="1"/>
    <col min="9" max="9" width="14.28515625" style="1803" bestFit="1" customWidth="1"/>
    <col min="10" max="10" width="11.42578125" style="1803" bestFit="1" customWidth="1"/>
    <col min="11" max="11" width="15.5703125" style="1803" customWidth="1"/>
    <col min="12" max="12" width="16" style="1803" bestFit="1" customWidth="1"/>
    <col min="13" max="256" width="9.140625" style="1803"/>
    <col min="257" max="257" width="4.7109375" style="1803" customWidth="1"/>
    <col min="258" max="258" width="6.140625" style="1803" customWidth="1"/>
    <col min="259" max="259" width="8.7109375" style="1803" customWidth="1"/>
    <col min="260" max="260" width="40.42578125" style="1803" customWidth="1"/>
    <col min="261" max="261" width="10.42578125" style="1803" customWidth="1"/>
    <col min="262" max="262" width="15.85546875" style="1803" customWidth="1"/>
    <col min="263" max="263" width="13.85546875" style="1803" customWidth="1"/>
    <col min="264" max="264" width="9.42578125" style="1803" customWidth="1"/>
    <col min="265" max="265" width="14.28515625" style="1803" bestFit="1" customWidth="1"/>
    <col min="266" max="266" width="11.42578125" style="1803" bestFit="1" customWidth="1"/>
    <col min="267" max="268" width="14.7109375" style="1803" bestFit="1" customWidth="1"/>
    <col min="269" max="512" width="9.140625" style="1803"/>
    <col min="513" max="513" width="4.7109375" style="1803" customWidth="1"/>
    <col min="514" max="514" width="6.140625" style="1803" customWidth="1"/>
    <col min="515" max="515" width="8.7109375" style="1803" customWidth="1"/>
    <col min="516" max="516" width="40.42578125" style="1803" customWidth="1"/>
    <col min="517" max="517" width="10.42578125" style="1803" customWidth="1"/>
    <col min="518" max="518" width="15.85546875" style="1803" customWidth="1"/>
    <col min="519" max="519" width="13.85546875" style="1803" customWidth="1"/>
    <col min="520" max="520" width="9.42578125" style="1803" customWidth="1"/>
    <col min="521" max="521" width="14.28515625" style="1803" bestFit="1" customWidth="1"/>
    <col min="522" max="522" width="11.42578125" style="1803" bestFit="1" customWidth="1"/>
    <col min="523" max="524" width="14.7109375" style="1803" bestFit="1" customWidth="1"/>
    <col min="525" max="768" width="9.140625" style="1803"/>
    <col min="769" max="769" width="4.7109375" style="1803" customWidth="1"/>
    <col min="770" max="770" width="6.140625" style="1803" customWidth="1"/>
    <col min="771" max="771" width="8.7109375" style="1803" customWidth="1"/>
    <col min="772" max="772" width="40.42578125" style="1803" customWidth="1"/>
    <col min="773" max="773" width="10.42578125" style="1803" customWidth="1"/>
    <col min="774" max="774" width="15.85546875" style="1803" customWidth="1"/>
    <col min="775" max="775" width="13.85546875" style="1803" customWidth="1"/>
    <col min="776" max="776" width="9.42578125" style="1803" customWidth="1"/>
    <col min="777" max="777" width="14.28515625" style="1803" bestFit="1" customWidth="1"/>
    <col min="778" max="778" width="11.42578125" style="1803" bestFit="1" customWidth="1"/>
    <col min="779" max="780" width="14.7109375" style="1803" bestFit="1" customWidth="1"/>
    <col min="781" max="1024" width="9.140625" style="1803"/>
    <col min="1025" max="1025" width="4.7109375" style="1803" customWidth="1"/>
    <col min="1026" max="1026" width="6.140625" style="1803" customWidth="1"/>
    <col min="1027" max="1027" width="8.7109375" style="1803" customWidth="1"/>
    <col min="1028" max="1028" width="40.42578125" style="1803" customWidth="1"/>
    <col min="1029" max="1029" width="10.42578125" style="1803" customWidth="1"/>
    <col min="1030" max="1030" width="15.85546875" style="1803" customWidth="1"/>
    <col min="1031" max="1031" width="13.85546875" style="1803" customWidth="1"/>
    <col min="1032" max="1032" width="9.42578125" style="1803" customWidth="1"/>
    <col min="1033" max="1033" width="14.28515625" style="1803" bestFit="1" customWidth="1"/>
    <col min="1034" max="1034" width="11.42578125" style="1803" bestFit="1" customWidth="1"/>
    <col min="1035" max="1036" width="14.7109375" style="1803" bestFit="1" customWidth="1"/>
    <col min="1037" max="1280" width="9.140625" style="1803"/>
    <col min="1281" max="1281" width="4.7109375" style="1803" customWidth="1"/>
    <col min="1282" max="1282" width="6.140625" style="1803" customWidth="1"/>
    <col min="1283" max="1283" width="8.7109375" style="1803" customWidth="1"/>
    <col min="1284" max="1284" width="40.42578125" style="1803" customWidth="1"/>
    <col min="1285" max="1285" width="10.42578125" style="1803" customWidth="1"/>
    <col min="1286" max="1286" width="15.85546875" style="1803" customWidth="1"/>
    <col min="1287" max="1287" width="13.85546875" style="1803" customWidth="1"/>
    <col min="1288" max="1288" width="9.42578125" style="1803" customWidth="1"/>
    <col min="1289" max="1289" width="14.28515625" style="1803" bestFit="1" customWidth="1"/>
    <col min="1290" max="1290" width="11.42578125" style="1803" bestFit="1" customWidth="1"/>
    <col min="1291" max="1292" width="14.7109375" style="1803" bestFit="1" customWidth="1"/>
    <col min="1293" max="1536" width="9.140625" style="1803"/>
    <col min="1537" max="1537" width="4.7109375" style="1803" customWidth="1"/>
    <col min="1538" max="1538" width="6.140625" style="1803" customWidth="1"/>
    <col min="1539" max="1539" width="8.7109375" style="1803" customWidth="1"/>
    <col min="1540" max="1540" width="40.42578125" style="1803" customWidth="1"/>
    <col min="1541" max="1541" width="10.42578125" style="1803" customWidth="1"/>
    <col min="1542" max="1542" width="15.85546875" style="1803" customWidth="1"/>
    <col min="1543" max="1543" width="13.85546875" style="1803" customWidth="1"/>
    <col min="1544" max="1544" width="9.42578125" style="1803" customWidth="1"/>
    <col min="1545" max="1545" width="14.28515625" style="1803" bestFit="1" customWidth="1"/>
    <col min="1546" max="1546" width="11.42578125" style="1803" bestFit="1" customWidth="1"/>
    <col min="1547" max="1548" width="14.7109375" style="1803" bestFit="1" customWidth="1"/>
    <col min="1549" max="1792" width="9.140625" style="1803"/>
    <col min="1793" max="1793" width="4.7109375" style="1803" customWidth="1"/>
    <col min="1794" max="1794" width="6.140625" style="1803" customWidth="1"/>
    <col min="1795" max="1795" width="8.7109375" style="1803" customWidth="1"/>
    <col min="1796" max="1796" width="40.42578125" style="1803" customWidth="1"/>
    <col min="1797" max="1797" width="10.42578125" style="1803" customWidth="1"/>
    <col min="1798" max="1798" width="15.85546875" style="1803" customWidth="1"/>
    <col min="1799" max="1799" width="13.85546875" style="1803" customWidth="1"/>
    <col min="1800" max="1800" width="9.42578125" style="1803" customWidth="1"/>
    <col min="1801" max="1801" width="14.28515625" style="1803" bestFit="1" customWidth="1"/>
    <col min="1802" max="1802" width="11.42578125" style="1803" bestFit="1" customWidth="1"/>
    <col min="1803" max="1804" width="14.7109375" style="1803" bestFit="1" customWidth="1"/>
    <col min="1805" max="2048" width="9.140625" style="1803"/>
    <col min="2049" max="2049" width="4.7109375" style="1803" customWidth="1"/>
    <col min="2050" max="2050" width="6.140625" style="1803" customWidth="1"/>
    <col min="2051" max="2051" width="8.7109375" style="1803" customWidth="1"/>
    <col min="2052" max="2052" width="40.42578125" style="1803" customWidth="1"/>
    <col min="2053" max="2053" width="10.42578125" style="1803" customWidth="1"/>
    <col min="2054" max="2054" width="15.85546875" style="1803" customWidth="1"/>
    <col min="2055" max="2055" width="13.85546875" style="1803" customWidth="1"/>
    <col min="2056" max="2056" width="9.42578125" style="1803" customWidth="1"/>
    <col min="2057" max="2057" width="14.28515625" style="1803" bestFit="1" customWidth="1"/>
    <col min="2058" max="2058" width="11.42578125" style="1803" bestFit="1" customWidth="1"/>
    <col min="2059" max="2060" width="14.7109375" style="1803" bestFit="1" customWidth="1"/>
    <col min="2061" max="2304" width="9.140625" style="1803"/>
    <col min="2305" max="2305" width="4.7109375" style="1803" customWidth="1"/>
    <col min="2306" max="2306" width="6.140625" style="1803" customWidth="1"/>
    <col min="2307" max="2307" width="8.7109375" style="1803" customWidth="1"/>
    <col min="2308" max="2308" width="40.42578125" style="1803" customWidth="1"/>
    <col min="2309" max="2309" width="10.42578125" style="1803" customWidth="1"/>
    <col min="2310" max="2310" width="15.85546875" style="1803" customWidth="1"/>
    <col min="2311" max="2311" width="13.85546875" style="1803" customWidth="1"/>
    <col min="2312" max="2312" width="9.42578125" style="1803" customWidth="1"/>
    <col min="2313" max="2313" width="14.28515625" style="1803" bestFit="1" customWidth="1"/>
    <col min="2314" max="2314" width="11.42578125" style="1803" bestFit="1" customWidth="1"/>
    <col min="2315" max="2316" width="14.7109375" style="1803" bestFit="1" customWidth="1"/>
    <col min="2317" max="2560" width="9.140625" style="1803"/>
    <col min="2561" max="2561" width="4.7109375" style="1803" customWidth="1"/>
    <col min="2562" max="2562" width="6.140625" style="1803" customWidth="1"/>
    <col min="2563" max="2563" width="8.7109375" style="1803" customWidth="1"/>
    <col min="2564" max="2564" width="40.42578125" style="1803" customWidth="1"/>
    <col min="2565" max="2565" width="10.42578125" style="1803" customWidth="1"/>
    <col min="2566" max="2566" width="15.85546875" style="1803" customWidth="1"/>
    <col min="2567" max="2567" width="13.85546875" style="1803" customWidth="1"/>
    <col min="2568" max="2568" width="9.42578125" style="1803" customWidth="1"/>
    <col min="2569" max="2569" width="14.28515625" style="1803" bestFit="1" customWidth="1"/>
    <col min="2570" max="2570" width="11.42578125" style="1803" bestFit="1" customWidth="1"/>
    <col min="2571" max="2572" width="14.7109375" style="1803" bestFit="1" customWidth="1"/>
    <col min="2573" max="2816" width="9.140625" style="1803"/>
    <col min="2817" max="2817" width="4.7109375" style="1803" customWidth="1"/>
    <col min="2818" max="2818" width="6.140625" style="1803" customWidth="1"/>
    <col min="2819" max="2819" width="8.7109375" style="1803" customWidth="1"/>
    <col min="2820" max="2820" width="40.42578125" style="1803" customWidth="1"/>
    <col min="2821" max="2821" width="10.42578125" style="1803" customWidth="1"/>
    <col min="2822" max="2822" width="15.85546875" style="1803" customWidth="1"/>
    <col min="2823" max="2823" width="13.85546875" style="1803" customWidth="1"/>
    <col min="2824" max="2824" width="9.42578125" style="1803" customWidth="1"/>
    <col min="2825" max="2825" width="14.28515625" style="1803" bestFit="1" customWidth="1"/>
    <col min="2826" max="2826" width="11.42578125" style="1803" bestFit="1" customWidth="1"/>
    <col min="2827" max="2828" width="14.7109375" style="1803" bestFit="1" customWidth="1"/>
    <col min="2829" max="3072" width="9.140625" style="1803"/>
    <col min="3073" max="3073" width="4.7109375" style="1803" customWidth="1"/>
    <col min="3074" max="3074" width="6.140625" style="1803" customWidth="1"/>
    <col min="3075" max="3075" width="8.7109375" style="1803" customWidth="1"/>
    <col min="3076" max="3076" width="40.42578125" style="1803" customWidth="1"/>
    <col min="3077" max="3077" width="10.42578125" style="1803" customWidth="1"/>
    <col min="3078" max="3078" width="15.85546875" style="1803" customWidth="1"/>
    <col min="3079" max="3079" width="13.85546875" style="1803" customWidth="1"/>
    <col min="3080" max="3080" width="9.42578125" style="1803" customWidth="1"/>
    <col min="3081" max="3081" width="14.28515625" style="1803" bestFit="1" customWidth="1"/>
    <col min="3082" max="3082" width="11.42578125" style="1803" bestFit="1" customWidth="1"/>
    <col min="3083" max="3084" width="14.7109375" style="1803" bestFit="1" customWidth="1"/>
    <col min="3085" max="3328" width="9.140625" style="1803"/>
    <col min="3329" max="3329" width="4.7109375" style="1803" customWidth="1"/>
    <col min="3330" max="3330" width="6.140625" style="1803" customWidth="1"/>
    <col min="3331" max="3331" width="8.7109375" style="1803" customWidth="1"/>
    <col min="3332" max="3332" width="40.42578125" style="1803" customWidth="1"/>
    <col min="3333" max="3333" width="10.42578125" style="1803" customWidth="1"/>
    <col min="3334" max="3334" width="15.85546875" style="1803" customWidth="1"/>
    <col min="3335" max="3335" width="13.85546875" style="1803" customWidth="1"/>
    <col min="3336" max="3336" width="9.42578125" style="1803" customWidth="1"/>
    <col min="3337" max="3337" width="14.28515625" style="1803" bestFit="1" customWidth="1"/>
    <col min="3338" max="3338" width="11.42578125" style="1803" bestFit="1" customWidth="1"/>
    <col min="3339" max="3340" width="14.7109375" style="1803" bestFit="1" customWidth="1"/>
    <col min="3341" max="3584" width="9.140625" style="1803"/>
    <col min="3585" max="3585" width="4.7109375" style="1803" customWidth="1"/>
    <col min="3586" max="3586" width="6.140625" style="1803" customWidth="1"/>
    <col min="3587" max="3587" width="8.7109375" style="1803" customWidth="1"/>
    <col min="3588" max="3588" width="40.42578125" style="1803" customWidth="1"/>
    <col min="3589" max="3589" width="10.42578125" style="1803" customWidth="1"/>
    <col min="3590" max="3590" width="15.85546875" style="1803" customWidth="1"/>
    <col min="3591" max="3591" width="13.85546875" style="1803" customWidth="1"/>
    <col min="3592" max="3592" width="9.42578125" style="1803" customWidth="1"/>
    <col min="3593" max="3593" width="14.28515625" style="1803" bestFit="1" customWidth="1"/>
    <col min="3594" max="3594" width="11.42578125" style="1803" bestFit="1" customWidth="1"/>
    <col min="3595" max="3596" width="14.7109375" style="1803" bestFit="1" customWidth="1"/>
    <col min="3597" max="3840" width="9.140625" style="1803"/>
    <col min="3841" max="3841" width="4.7109375" style="1803" customWidth="1"/>
    <col min="3842" max="3842" width="6.140625" style="1803" customWidth="1"/>
    <col min="3843" max="3843" width="8.7109375" style="1803" customWidth="1"/>
    <col min="3844" max="3844" width="40.42578125" style="1803" customWidth="1"/>
    <col min="3845" max="3845" width="10.42578125" style="1803" customWidth="1"/>
    <col min="3846" max="3846" width="15.85546875" style="1803" customWidth="1"/>
    <col min="3847" max="3847" width="13.85546875" style="1803" customWidth="1"/>
    <col min="3848" max="3848" width="9.42578125" style="1803" customWidth="1"/>
    <col min="3849" max="3849" width="14.28515625" style="1803" bestFit="1" customWidth="1"/>
    <col min="3850" max="3850" width="11.42578125" style="1803" bestFit="1" customWidth="1"/>
    <col min="3851" max="3852" width="14.7109375" style="1803" bestFit="1" customWidth="1"/>
    <col min="3853" max="4096" width="9.140625" style="1803"/>
    <col min="4097" max="4097" width="4.7109375" style="1803" customWidth="1"/>
    <col min="4098" max="4098" width="6.140625" style="1803" customWidth="1"/>
    <col min="4099" max="4099" width="8.7109375" style="1803" customWidth="1"/>
    <col min="4100" max="4100" width="40.42578125" style="1803" customWidth="1"/>
    <col min="4101" max="4101" width="10.42578125" style="1803" customWidth="1"/>
    <col min="4102" max="4102" width="15.85546875" style="1803" customWidth="1"/>
    <col min="4103" max="4103" width="13.85546875" style="1803" customWidth="1"/>
    <col min="4104" max="4104" width="9.42578125" style="1803" customWidth="1"/>
    <col min="4105" max="4105" width="14.28515625" style="1803" bestFit="1" customWidth="1"/>
    <col min="4106" max="4106" width="11.42578125" style="1803" bestFit="1" customWidth="1"/>
    <col min="4107" max="4108" width="14.7109375" style="1803" bestFit="1" customWidth="1"/>
    <col min="4109" max="4352" width="9.140625" style="1803"/>
    <col min="4353" max="4353" width="4.7109375" style="1803" customWidth="1"/>
    <col min="4354" max="4354" width="6.140625" style="1803" customWidth="1"/>
    <col min="4355" max="4355" width="8.7109375" style="1803" customWidth="1"/>
    <col min="4356" max="4356" width="40.42578125" style="1803" customWidth="1"/>
    <col min="4357" max="4357" width="10.42578125" style="1803" customWidth="1"/>
    <col min="4358" max="4358" width="15.85546875" style="1803" customWidth="1"/>
    <col min="4359" max="4359" width="13.85546875" style="1803" customWidth="1"/>
    <col min="4360" max="4360" width="9.42578125" style="1803" customWidth="1"/>
    <col min="4361" max="4361" width="14.28515625" style="1803" bestFit="1" customWidth="1"/>
    <col min="4362" max="4362" width="11.42578125" style="1803" bestFit="1" customWidth="1"/>
    <col min="4363" max="4364" width="14.7109375" style="1803" bestFit="1" customWidth="1"/>
    <col min="4365" max="4608" width="9.140625" style="1803"/>
    <col min="4609" max="4609" width="4.7109375" style="1803" customWidth="1"/>
    <col min="4610" max="4610" width="6.140625" style="1803" customWidth="1"/>
    <col min="4611" max="4611" width="8.7109375" style="1803" customWidth="1"/>
    <col min="4612" max="4612" width="40.42578125" style="1803" customWidth="1"/>
    <col min="4613" max="4613" width="10.42578125" style="1803" customWidth="1"/>
    <col min="4614" max="4614" width="15.85546875" style="1803" customWidth="1"/>
    <col min="4615" max="4615" width="13.85546875" style="1803" customWidth="1"/>
    <col min="4616" max="4616" width="9.42578125" style="1803" customWidth="1"/>
    <col min="4617" max="4617" width="14.28515625" style="1803" bestFit="1" customWidth="1"/>
    <col min="4618" max="4618" width="11.42578125" style="1803" bestFit="1" customWidth="1"/>
    <col min="4619" max="4620" width="14.7109375" style="1803" bestFit="1" customWidth="1"/>
    <col min="4621" max="4864" width="9.140625" style="1803"/>
    <col min="4865" max="4865" width="4.7109375" style="1803" customWidth="1"/>
    <col min="4866" max="4866" width="6.140625" style="1803" customWidth="1"/>
    <col min="4867" max="4867" width="8.7109375" style="1803" customWidth="1"/>
    <col min="4868" max="4868" width="40.42578125" style="1803" customWidth="1"/>
    <col min="4869" max="4869" width="10.42578125" style="1803" customWidth="1"/>
    <col min="4870" max="4870" width="15.85546875" style="1803" customWidth="1"/>
    <col min="4871" max="4871" width="13.85546875" style="1803" customWidth="1"/>
    <col min="4872" max="4872" width="9.42578125" style="1803" customWidth="1"/>
    <col min="4873" max="4873" width="14.28515625" style="1803" bestFit="1" customWidth="1"/>
    <col min="4874" max="4874" width="11.42578125" style="1803" bestFit="1" customWidth="1"/>
    <col min="4875" max="4876" width="14.7109375" style="1803" bestFit="1" customWidth="1"/>
    <col min="4877" max="5120" width="9.140625" style="1803"/>
    <col min="5121" max="5121" width="4.7109375" style="1803" customWidth="1"/>
    <col min="5122" max="5122" width="6.140625" style="1803" customWidth="1"/>
    <col min="5123" max="5123" width="8.7109375" style="1803" customWidth="1"/>
    <col min="5124" max="5124" width="40.42578125" style="1803" customWidth="1"/>
    <col min="5125" max="5125" width="10.42578125" style="1803" customWidth="1"/>
    <col min="5126" max="5126" width="15.85546875" style="1803" customWidth="1"/>
    <col min="5127" max="5127" width="13.85546875" style="1803" customWidth="1"/>
    <col min="5128" max="5128" width="9.42578125" style="1803" customWidth="1"/>
    <col min="5129" max="5129" width="14.28515625" style="1803" bestFit="1" customWidth="1"/>
    <col min="5130" max="5130" width="11.42578125" style="1803" bestFit="1" customWidth="1"/>
    <col min="5131" max="5132" width="14.7109375" style="1803" bestFit="1" customWidth="1"/>
    <col min="5133" max="5376" width="9.140625" style="1803"/>
    <col min="5377" max="5377" width="4.7109375" style="1803" customWidth="1"/>
    <col min="5378" max="5378" width="6.140625" style="1803" customWidth="1"/>
    <col min="5379" max="5379" width="8.7109375" style="1803" customWidth="1"/>
    <col min="5380" max="5380" width="40.42578125" style="1803" customWidth="1"/>
    <col min="5381" max="5381" width="10.42578125" style="1803" customWidth="1"/>
    <col min="5382" max="5382" width="15.85546875" style="1803" customWidth="1"/>
    <col min="5383" max="5383" width="13.85546875" style="1803" customWidth="1"/>
    <col min="5384" max="5384" width="9.42578125" style="1803" customWidth="1"/>
    <col min="5385" max="5385" width="14.28515625" style="1803" bestFit="1" customWidth="1"/>
    <col min="5386" max="5386" width="11.42578125" style="1803" bestFit="1" customWidth="1"/>
    <col min="5387" max="5388" width="14.7109375" style="1803" bestFit="1" customWidth="1"/>
    <col min="5389" max="5632" width="9.140625" style="1803"/>
    <col min="5633" max="5633" width="4.7109375" style="1803" customWidth="1"/>
    <col min="5634" max="5634" width="6.140625" style="1803" customWidth="1"/>
    <col min="5635" max="5635" width="8.7109375" style="1803" customWidth="1"/>
    <col min="5636" max="5636" width="40.42578125" style="1803" customWidth="1"/>
    <col min="5637" max="5637" width="10.42578125" style="1803" customWidth="1"/>
    <col min="5638" max="5638" width="15.85546875" style="1803" customWidth="1"/>
    <col min="5639" max="5639" width="13.85546875" style="1803" customWidth="1"/>
    <col min="5640" max="5640" width="9.42578125" style="1803" customWidth="1"/>
    <col min="5641" max="5641" width="14.28515625" style="1803" bestFit="1" customWidth="1"/>
    <col min="5642" max="5642" width="11.42578125" style="1803" bestFit="1" customWidth="1"/>
    <col min="5643" max="5644" width="14.7109375" style="1803" bestFit="1" customWidth="1"/>
    <col min="5645" max="5888" width="9.140625" style="1803"/>
    <col min="5889" max="5889" width="4.7109375" style="1803" customWidth="1"/>
    <col min="5890" max="5890" width="6.140625" style="1803" customWidth="1"/>
    <col min="5891" max="5891" width="8.7109375" style="1803" customWidth="1"/>
    <col min="5892" max="5892" width="40.42578125" style="1803" customWidth="1"/>
    <col min="5893" max="5893" width="10.42578125" style="1803" customWidth="1"/>
    <col min="5894" max="5894" width="15.85546875" style="1803" customWidth="1"/>
    <col min="5895" max="5895" width="13.85546875" style="1803" customWidth="1"/>
    <col min="5896" max="5896" width="9.42578125" style="1803" customWidth="1"/>
    <col min="5897" max="5897" width="14.28515625" style="1803" bestFit="1" customWidth="1"/>
    <col min="5898" max="5898" width="11.42578125" style="1803" bestFit="1" customWidth="1"/>
    <col min="5899" max="5900" width="14.7109375" style="1803" bestFit="1" customWidth="1"/>
    <col min="5901" max="6144" width="9.140625" style="1803"/>
    <col min="6145" max="6145" width="4.7109375" style="1803" customWidth="1"/>
    <col min="6146" max="6146" width="6.140625" style="1803" customWidth="1"/>
    <col min="6147" max="6147" width="8.7109375" style="1803" customWidth="1"/>
    <col min="6148" max="6148" width="40.42578125" style="1803" customWidth="1"/>
    <col min="6149" max="6149" width="10.42578125" style="1803" customWidth="1"/>
    <col min="6150" max="6150" width="15.85546875" style="1803" customWidth="1"/>
    <col min="6151" max="6151" width="13.85546875" style="1803" customWidth="1"/>
    <col min="6152" max="6152" width="9.42578125" style="1803" customWidth="1"/>
    <col min="6153" max="6153" width="14.28515625" style="1803" bestFit="1" customWidth="1"/>
    <col min="6154" max="6154" width="11.42578125" style="1803" bestFit="1" customWidth="1"/>
    <col min="6155" max="6156" width="14.7109375" style="1803" bestFit="1" customWidth="1"/>
    <col min="6157" max="6400" width="9.140625" style="1803"/>
    <col min="6401" max="6401" width="4.7109375" style="1803" customWidth="1"/>
    <col min="6402" max="6402" width="6.140625" style="1803" customWidth="1"/>
    <col min="6403" max="6403" width="8.7109375" style="1803" customWidth="1"/>
    <col min="6404" max="6404" width="40.42578125" style="1803" customWidth="1"/>
    <col min="6405" max="6405" width="10.42578125" style="1803" customWidth="1"/>
    <col min="6406" max="6406" width="15.85546875" style="1803" customWidth="1"/>
    <col min="6407" max="6407" width="13.85546875" style="1803" customWidth="1"/>
    <col min="6408" max="6408" width="9.42578125" style="1803" customWidth="1"/>
    <col min="6409" max="6409" width="14.28515625" style="1803" bestFit="1" customWidth="1"/>
    <col min="6410" max="6410" width="11.42578125" style="1803" bestFit="1" customWidth="1"/>
    <col min="6411" max="6412" width="14.7109375" style="1803" bestFit="1" customWidth="1"/>
    <col min="6413" max="6656" width="9.140625" style="1803"/>
    <col min="6657" max="6657" width="4.7109375" style="1803" customWidth="1"/>
    <col min="6658" max="6658" width="6.140625" style="1803" customWidth="1"/>
    <col min="6659" max="6659" width="8.7109375" style="1803" customWidth="1"/>
    <col min="6660" max="6660" width="40.42578125" style="1803" customWidth="1"/>
    <col min="6661" max="6661" width="10.42578125" style="1803" customWidth="1"/>
    <col min="6662" max="6662" width="15.85546875" style="1803" customWidth="1"/>
    <col min="6663" max="6663" width="13.85546875" style="1803" customWidth="1"/>
    <col min="6664" max="6664" width="9.42578125" style="1803" customWidth="1"/>
    <col min="6665" max="6665" width="14.28515625" style="1803" bestFit="1" customWidth="1"/>
    <col min="6666" max="6666" width="11.42578125" style="1803" bestFit="1" customWidth="1"/>
    <col min="6667" max="6668" width="14.7109375" style="1803" bestFit="1" customWidth="1"/>
    <col min="6669" max="6912" width="9.140625" style="1803"/>
    <col min="6913" max="6913" width="4.7109375" style="1803" customWidth="1"/>
    <col min="6914" max="6914" width="6.140625" style="1803" customWidth="1"/>
    <col min="6915" max="6915" width="8.7109375" style="1803" customWidth="1"/>
    <col min="6916" max="6916" width="40.42578125" style="1803" customWidth="1"/>
    <col min="6917" max="6917" width="10.42578125" style="1803" customWidth="1"/>
    <col min="6918" max="6918" width="15.85546875" style="1803" customWidth="1"/>
    <col min="6919" max="6919" width="13.85546875" style="1803" customWidth="1"/>
    <col min="6920" max="6920" width="9.42578125" style="1803" customWidth="1"/>
    <col min="6921" max="6921" width="14.28515625" style="1803" bestFit="1" customWidth="1"/>
    <col min="6922" max="6922" width="11.42578125" style="1803" bestFit="1" customWidth="1"/>
    <col min="6923" max="6924" width="14.7109375" style="1803" bestFit="1" customWidth="1"/>
    <col min="6925" max="7168" width="9.140625" style="1803"/>
    <col min="7169" max="7169" width="4.7109375" style="1803" customWidth="1"/>
    <col min="7170" max="7170" width="6.140625" style="1803" customWidth="1"/>
    <col min="7171" max="7171" width="8.7109375" style="1803" customWidth="1"/>
    <col min="7172" max="7172" width="40.42578125" style="1803" customWidth="1"/>
    <col min="7173" max="7173" width="10.42578125" style="1803" customWidth="1"/>
    <col min="7174" max="7174" width="15.85546875" style="1803" customWidth="1"/>
    <col min="7175" max="7175" width="13.85546875" style="1803" customWidth="1"/>
    <col min="7176" max="7176" width="9.42578125" style="1803" customWidth="1"/>
    <col min="7177" max="7177" width="14.28515625" style="1803" bestFit="1" customWidth="1"/>
    <col min="7178" max="7178" width="11.42578125" style="1803" bestFit="1" customWidth="1"/>
    <col min="7179" max="7180" width="14.7109375" style="1803" bestFit="1" customWidth="1"/>
    <col min="7181" max="7424" width="9.140625" style="1803"/>
    <col min="7425" max="7425" width="4.7109375" style="1803" customWidth="1"/>
    <col min="7426" max="7426" width="6.140625" style="1803" customWidth="1"/>
    <col min="7427" max="7427" width="8.7109375" style="1803" customWidth="1"/>
    <col min="7428" max="7428" width="40.42578125" style="1803" customWidth="1"/>
    <col min="7429" max="7429" width="10.42578125" style="1803" customWidth="1"/>
    <col min="7430" max="7430" width="15.85546875" style="1803" customWidth="1"/>
    <col min="7431" max="7431" width="13.85546875" style="1803" customWidth="1"/>
    <col min="7432" max="7432" width="9.42578125" style="1803" customWidth="1"/>
    <col min="7433" max="7433" width="14.28515625" style="1803" bestFit="1" customWidth="1"/>
    <col min="7434" max="7434" width="11.42578125" style="1803" bestFit="1" customWidth="1"/>
    <col min="7435" max="7436" width="14.7109375" style="1803" bestFit="1" customWidth="1"/>
    <col min="7437" max="7680" width="9.140625" style="1803"/>
    <col min="7681" max="7681" width="4.7109375" style="1803" customWidth="1"/>
    <col min="7682" max="7682" width="6.140625" style="1803" customWidth="1"/>
    <col min="7683" max="7683" width="8.7109375" style="1803" customWidth="1"/>
    <col min="7684" max="7684" width="40.42578125" style="1803" customWidth="1"/>
    <col min="7685" max="7685" width="10.42578125" style="1803" customWidth="1"/>
    <col min="7686" max="7686" width="15.85546875" style="1803" customWidth="1"/>
    <col min="7687" max="7687" width="13.85546875" style="1803" customWidth="1"/>
    <col min="7688" max="7688" width="9.42578125" style="1803" customWidth="1"/>
    <col min="7689" max="7689" width="14.28515625" style="1803" bestFit="1" customWidth="1"/>
    <col min="7690" max="7690" width="11.42578125" style="1803" bestFit="1" customWidth="1"/>
    <col min="7691" max="7692" width="14.7109375" style="1803" bestFit="1" customWidth="1"/>
    <col min="7693" max="7936" width="9.140625" style="1803"/>
    <col min="7937" max="7937" width="4.7109375" style="1803" customWidth="1"/>
    <col min="7938" max="7938" width="6.140625" style="1803" customWidth="1"/>
    <col min="7939" max="7939" width="8.7109375" style="1803" customWidth="1"/>
    <col min="7940" max="7940" width="40.42578125" style="1803" customWidth="1"/>
    <col min="7941" max="7941" width="10.42578125" style="1803" customWidth="1"/>
    <col min="7942" max="7942" width="15.85546875" style="1803" customWidth="1"/>
    <col min="7943" max="7943" width="13.85546875" style="1803" customWidth="1"/>
    <col min="7944" max="7944" width="9.42578125" style="1803" customWidth="1"/>
    <col min="7945" max="7945" width="14.28515625" style="1803" bestFit="1" customWidth="1"/>
    <col min="7946" max="7946" width="11.42578125" style="1803" bestFit="1" customWidth="1"/>
    <col min="7947" max="7948" width="14.7109375" style="1803" bestFit="1" customWidth="1"/>
    <col min="7949" max="8192" width="9.140625" style="1803"/>
    <col min="8193" max="8193" width="4.7109375" style="1803" customWidth="1"/>
    <col min="8194" max="8194" width="6.140625" style="1803" customWidth="1"/>
    <col min="8195" max="8195" width="8.7109375" style="1803" customWidth="1"/>
    <col min="8196" max="8196" width="40.42578125" style="1803" customWidth="1"/>
    <col min="8197" max="8197" width="10.42578125" style="1803" customWidth="1"/>
    <col min="8198" max="8198" width="15.85546875" style="1803" customWidth="1"/>
    <col min="8199" max="8199" width="13.85546875" style="1803" customWidth="1"/>
    <col min="8200" max="8200" width="9.42578125" style="1803" customWidth="1"/>
    <col min="8201" max="8201" width="14.28515625" style="1803" bestFit="1" customWidth="1"/>
    <col min="8202" max="8202" width="11.42578125" style="1803" bestFit="1" customWidth="1"/>
    <col min="8203" max="8204" width="14.7109375" style="1803" bestFit="1" customWidth="1"/>
    <col min="8205" max="8448" width="9.140625" style="1803"/>
    <col min="8449" max="8449" width="4.7109375" style="1803" customWidth="1"/>
    <col min="8450" max="8450" width="6.140625" style="1803" customWidth="1"/>
    <col min="8451" max="8451" width="8.7109375" style="1803" customWidth="1"/>
    <col min="8452" max="8452" width="40.42578125" style="1803" customWidth="1"/>
    <col min="8453" max="8453" width="10.42578125" style="1803" customWidth="1"/>
    <col min="8454" max="8454" width="15.85546875" style="1803" customWidth="1"/>
    <col min="8455" max="8455" width="13.85546875" style="1803" customWidth="1"/>
    <col min="8456" max="8456" width="9.42578125" style="1803" customWidth="1"/>
    <col min="8457" max="8457" width="14.28515625" style="1803" bestFit="1" customWidth="1"/>
    <col min="8458" max="8458" width="11.42578125" style="1803" bestFit="1" customWidth="1"/>
    <col min="8459" max="8460" width="14.7109375" style="1803" bestFit="1" customWidth="1"/>
    <col min="8461" max="8704" width="9.140625" style="1803"/>
    <col min="8705" max="8705" width="4.7109375" style="1803" customWidth="1"/>
    <col min="8706" max="8706" width="6.140625" style="1803" customWidth="1"/>
    <col min="8707" max="8707" width="8.7109375" style="1803" customWidth="1"/>
    <col min="8708" max="8708" width="40.42578125" style="1803" customWidth="1"/>
    <col min="8709" max="8709" width="10.42578125" style="1803" customWidth="1"/>
    <col min="8710" max="8710" width="15.85546875" style="1803" customWidth="1"/>
    <col min="8711" max="8711" width="13.85546875" style="1803" customWidth="1"/>
    <col min="8712" max="8712" width="9.42578125" style="1803" customWidth="1"/>
    <col min="8713" max="8713" width="14.28515625" style="1803" bestFit="1" customWidth="1"/>
    <col min="8714" max="8714" width="11.42578125" style="1803" bestFit="1" customWidth="1"/>
    <col min="8715" max="8716" width="14.7109375" style="1803" bestFit="1" customWidth="1"/>
    <col min="8717" max="8960" width="9.140625" style="1803"/>
    <col min="8961" max="8961" width="4.7109375" style="1803" customWidth="1"/>
    <col min="8962" max="8962" width="6.140625" style="1803" customWidth="1"/>
    <col min="8963" max="8963" width="8.7109375" style="1803" customWidth="1"/>
    <col min="8964" max="8964" width="40.42578125" style="1803" customWidth="1"/>
    <col min="8965" max="8965" width="10.42578125" style="1803" customWidth="1"/>
    <col min="8966" max="8966" width="15.85546875" style="1803" customWidth="1"/>
    <col min="8967" max="8967" width="13.85546875" style="1803" customWidth="1"/>
    <col min="8968" max="8968" width="9.42578125" style="1803" customWidth="1"/>
    <col min="8969" max="8969" width="14.28515625" style="1803" bestFit="1" customWidth="1"/>
    <col min="8970" max="8970" width="11.42578125" style="1803" bestFit="1" customWidth="1"/>
    <col min="8971" max="8972" width="14.7109375" style="1803" bestFit="1" customWidth="1"/>
    <col min="8973" max="9216" width="9.140625" style="1803"/>
    <col min="9217" max="9217" width="4.7109375" style="1803" customWidth="1"/>
    <col min="9218" max="9218" width="6.140625" style="1803" customWidth="1"/>
    <col min="9219" max="9219" width="8.7109375" style="1803" customWidth="1"/>
    <col min="9220" max="9220" width="40.42578125" style="1803" customWidth="1"/>
    <col min="9221" max="9221" width="10.42578125" style="1803" customWidth="1"/>
    <col min="9222" max="9222" width="15.85546875" style="1803" customWidth="1"/>
    <col min="9223" max="9223" width="13.85546875" style="1803" customWidth="1"/>
    <col min="9224" max="9224" width="9.42578125" style="1803" customWidth="1"/>
    <col min="9225" max="9225" width="14.28515625" style="1803" bestFit="1" customWidth="1"/>
    <col min="9226" max="9226" width="11.42578125" style="1803" bestFit="1" customWidth="1"/>
    <col min="9227" max="9228" width="14.7109375" style="1803" bestFit="1" customWidth="1"/>
    <col min="9229" max="9472" width="9.140625" style="1803"/>
    <col min="9473" max="9473" width="4.7109375" style="1803" customWidth="1"/>
    <col min="9474" max="9474" width="6.140625" style="1803" customWidth="1"/>
    <col min="9475" max="9475" width="8.7109375" style="1803" customWidth="1"/>
    <col min="9476" max="9476" width="40.42578125" style="1803" customWidth="1"/>
    <col min="9477" max="9477" width="10.42578125" style="1803" customWidth="1"/>
    <col min="9478" max="9478" width="15.85546875" style="1803" customWidth="1"/>
    <col min="9479" max="9479" width="13.85546875" style="1803" customWidth="1"/>
    <col min="9480" max="9480" width="9.42578125" style="1803" customWidth="1"/>
    <col min="9481" max="9481" width="14.28515625" style="1803" bestFit="1" customWidth="1"/>
    <col min="9482" max="9482" width="11.42578125" style="1803" bestFit="1" customWidth="1"/>
    <col min="9483" max="9484" width="14.7109375" style="1803" bestFit="1" customWidth="1"/>
    <col min="9485" max="9728" width="9.140625" style="1803"/>
    <col min="9729" max="9729" width="4.7109375" style="1803" customWidth="1"/>
    <col min="9730" max="9730" width="6.140625" style="1803" customWidth="1"/>
    <col min="9731" max="9731" width="8.7109375" style="1803" customWidth="1"/>
    <col min="9732" max="9732" width="40.42578125" style="1803" customWidth="1"/>
    <col min="9733" max="9733" width="10.42578125" style="1803" customWidth="1"/>
    <col min="9734" max="9734" width="15.85546875" style="1803" customWidth="1"/>
    <col min="9735" max="9735" width="13.85546875" style="1803" customWidth="1"/>
    <col min="9736" max="9736" width="9.42578125" style="1803" customWidth="1"/>
    <col min="9737" max="9737" width="14.28515625" style="1803" bestFit="1" customWidth="1"/>
    <col min="9738" max="9738" width="11.42578125" style="1803" bestFit="1" customWidth="1"/>
    <col min="9739" max="9740" width="14.7109375" style="1803" bestFit="1" customWidth="1"/>
    <col min="9741" max="9984" width="9.140625" style="1803"/>
    <col min="9985" max="9985" width="4.7109375" style="1803" customWidth="1"/>
    <col min="9986" max="9986" width="6.140625" style="1803" customWidth="1"/>
    <col min="9987" max="9987" width="8.7109375" style="1803" customWidth="1"/>
    <col min="9988" max="9988" width="40.42578125" style="1803" customWidth="1"/>
    <col min="9989" max="9989" width="10.42578125" style="1803" customWidth="1"/>
    <col min="9990" max="9990" width="15.85546875" style="1803" customWidth="1"/>
    <col min="9991" max="9991" width="13.85546875" style="1803" customWidth="1"/>
    <col min="9992" max="9992" width="9.42578125" style="1803" customWidth="1"/>
    <col min="9993" max="9993" width="14.28515625" style="1803" bestFit="1" customWidth="1"/>
    <col min="9994" max="9994" width="11.42578125" style="1803" bestFit="1" customWidth="1"/>
    <col min="9995" max="9996" width="14.7109375" style="1803" bestFit="1" customWidth="1"/>
    <col min="9997" max="10240" width="9.140625" style="1803"/>
    <col min="10241" max="10241" width="4.7109375" style="1803" customWidth="1"/>
    <col min="10242" max="10242" width="6.140625" style="1803" customWidth="1"/>
    <col min="10243" max="10243" width="8.7109375" style="1803" customWidth="1"/>
    <col min="10244" max="10244" width="40.42578125" style="1803" customWidth="1"/>
    <col min="10245" max="10245" width="10.42578125" style="1803" customWidth="1"/>
    <col min="10246" max="10246" width="15.85546875" style="1803" customWidth="1"/>
    <col min="10247" max="10247" width="13.85546875" style="1803" customWidth="1"/>
    <col min="10248" max="10248" width="9.42578125" style="1803" customWidth="1"/>
    <col min="10249" max="10249" width="14.28515625" style="1803" bestFit="1" customWidth="1"/>
    <col min="10250" max="10250" width="11.42578125" style="1803" bestFit="1" customWidth="1"/>
    <col min="10251" max="10252" width="14.7109375" style="1803" bestFit="1" customWidth="1"/>
    <col min="10253" max="10496" width="9.140625" style="1803"/>
    <col min="10497" max="10497" width="4.7109375" style="1803" customWidth="1"/>
    <col min="10498" max="10498" width="6.140625" style="1803" customWidth="1"/>
    <col min="10499" max="10499" width="8.7109375" style="1803" customWidth="1"/>
    <col min="10500" max="10500" width="40.42578125" style="1803" customWidth="1"/>
    <col min="10501" max="10501" width="10.42578125" style="1803" customWidth="1"/>
    <col min="10502" max="10502" width="15.85546875" style="1803" customWidth="1"/>
    <col min="10503" max="10503" width="13.85546875" style="1803" customWidth="1"/>
    <col min="10504" max="10504" width="9.42578125" style="1803" customWidth="1"/>
    <col min="10505" max="10505" width="14.28515625" style="1803" bestFit="1" customWidth="1"/>
    <col min="10506" max="10506" width="11.42578125" style="1803" bestFit="1" customWidth="1"/>
    <col min="10507" max="10508" width="14.7109375" style="1803" bestFit="1" customWidth="1"/>
    <col min="10509" max="10752" width="9.140625" style="1803"/>
    <col min="10753" max="10753" width="4.7109375" style="1803" customWidth="1"/>
    <col min="10754" max="10754" width="6.140625" style="1803" customWidth="1"/>
    <col min="10755" max="10755" width="8.7109375" style="1803" customWidth="1"/>
    <col min="10756" max="10756" width="40.42578125" style="1803" customWidth="1"/>
    <col min="10757" max="10757" width="10.42578125" style="1803" customWidth="1"/>
    <col min="10758" max="10758" width="15.85546875" style="1803" customWidth="1"/>
    <col min="10759" max="10759" width="13.85546875" style="1803" customWidth="1"/>
    <col min="10760" max="10760" width="9.42578125" style="1803" customWidth="1"/>
    <col min="10761" max="10761" width="14.28515625" style="1803" bestFit="1" customWidth="1"/>
    <col min="10762" max="10762" width="11.42578125" style="1803" bestFit="1" customWidth="1"/>
    <col min="10763" max="10764" width="14.7109375" style="1803" bestFit="1" customWidth="1"/>
    <col min="10765" max="11008" width="9.140625" style="1803"/>
    <col min="11009" max="11009" width="4.7109375" style="1803" customWidth="1"/>
    <col min="11010" max="11010" width="6.140625" style="1803" customWidth="1"/>
    <col min="11011" max="11011" width="8.7109375" style="1803" customWidth="1"/>
    <col min="11012" max="11012" width="40.42578125" style="1803" customWidth="1"/>
    <col min="11013" max="11013" width="10.42578125" style="1803" customWidth="1"/>
    <col min="11014" max="11014" width="15.85546875" style="1803" customWidth="1"/>
    <col min="11015" max="11015" width="13.85546875" style="1803" customWidth="1"/>
    <col min="11016" max="11016" width="9.42578125" style="1803" customWidth="1"/>
    <col min="11017" max="11017" width="14.28515625" style="1803" bestFit="1" customWidth="1"/>
    <col min="11018" max="11018" width="11.42578125" style="1803" bestFit="1" customWidth="1"/>
    <col min="11019" max="11020" width="14.7109375" style="1803" bestFit="1" customWidth="1"/>
    <col min="11021" max="11264" width="9.140625" style="1803"/>
    <col min="11265" max="11265" width="4.7109375" style="1803" customWidth="1"/>
    <col min="11266" max="11266" width="6.140625" style="1803" customWidth="1"/>
    <col min="11267" max="11267" width="8.7109375" style="1803" customWidth="1"/>
    <col min="11268" max="11268" width="40.42578125" style="1803" customWidth="1"/>
    <col min="11269" max="11269" width="10.42578125" style="1803" customWidth="1"/>
    <col min="11270" max="11270" width="15.85546875" style="1803" customWidth="1"/>
    <col min="11271" max="11271" width="13.85546875" style="1803" customWidth="1"/>
    <col min="11272" max="11272" width="9.42578125" style="1803" customWidth="1"/>
    <col min="11273" max="11273" width="14.28515625" style="1803" bestFit="1" customWidth="1"/>
    <col min="11274" max="11274" width="11.42578125" style="1803" bestFit="1" customWidth="1"/>
    <col min="11275" max="11276" width="14.7109375" style="1803" bestFit="1" customWidth="1"/>
    <col min="11277" max="11520" width="9.140625" style="1803"/>
    <col min="11521" max="11521" width="4.7109375" style="1803" customWidth="1"/>
    <col min="11522" max="11522" width="6.140625" style="1803" customWidth="1"/>
    <col min="11523" max="11523" width="8.7109375" style="1803" customWidth="1"/>
    <col min="11524" max="11524" width="40.42578125" style="1803" customWidth="1"/>
    <col min="11525" max="11525" width="10.42578125" style="1803" customWidth="1"/>
    <col min="11526" max="11526" width="15.85546875" style="1803" customWidth="1"/>
    <col min="11527" max="11527" width="13.85546875" style="1803" customWidth="1"/>
    <col min="11528" max="11528" width="9.42578125" style="1803" customWidth="1"/>
    <col min="11529" max="11529" width="14.28515625" style="1803" bestFit="1" customWidth="1"/>
    <col min="11530" max="11530" width="11.42578125" style="1803" bestFit="1" customWidth="1"/>
    <col min="11531" max="11532" width="14.7109375" style="1803" bestFit="1" customWidth="1"/>
    <col min="11533" max="11776" width="9.140625" style="1803"/>
    <col min="11777" max="11777" width="4.7109375" style="1803" customWidth="1"/>
    <col min="11778" max="11778" width="6.140625" style="1803" customWidth="1"/>
    <col min="11779" max="11779" width="8.7109375" style="1803" customWidth="1"/>
    <col min="11780" max="11780" width="40.42578125" style="1803" customWidth="1"/>
    <col min="11781" max="11781" width="10.42578125" style="1803" customWidth="1"/>
    <col min="11782" max="11782" width="15.85546875" style="1803" customWidth="1"/>
    <col min="11783" max="11783" width="13.85546875" style="1803" customWidth="1"/>
    <col min="11784" max="11784" width="9.42578125" style="1803" customWidth="1"/>
    <col min="11785" max="11785" width="14.28515625" style="1803" bestFit="1" customWidth="1"/>
    <col min="11786" max="11786" width="11.42578125" style="1803" bestFit="1" customWidth="1"/>
    <col min="11787" max="11788" width="14.7109375" style="1803" bestFit="1" customWidth="1"/>
    <col min="11789" max="12032" width="9.140625" style="1803"/>
    <col min="12033" max="12033" width="4.7109375" style="1803" customWidth="1"/>
    <col min="12034" max="12034" width="6.140625" style="1803" customWidth="1"/>
    <col min="12035" max="12035" width="8.7109375" style="1803" customWidth="1"/>
    <col min="12036" max="12036" width="40.42578125" style="1803" customWidth="1"/>
    <col min="12037" max="12037" width="10.42578125" style="1803" customWidth="1"/>
    <col min="12038" max="12038" width="15.85546875" style="1803" customWidth="1"/>
    <col min="12039" max="12039" width="13.85546875" style="1803" customWidth="1"/>
    <col min="12040" max="12040" width="9.42578125" style="1803" customWidth="1"/>
    <col min="12041" max="12041" width="14.28515625" style="1803" bestFit="1" customWidth="1"/>
    <col min="12042" max="12042" width="11.42578125" style="1803" bestFit="1" customWidth="1"/>
    <col min="12043" max="12044" width="14.7109375" style="1803" bestFit="1" customWidth="1"/>
    <col min="12045" max="12288" width="9.140625" style="1803"/>
    <col min="12289" max="12289" width="4.7109375" style="1803" customWidth="1"/>
    <col min="12290" max="12290" width="6.140625" style="1803" customWidth="1"/>
    <col min="12291" max="12291" width="8.7109375" style="1803" customWidth="1"/>
    <col min="12292" max="12292" width="40.42578125" style="1803" customWidth="1"/>
    <col min="12293" max="12293" width="10.42578125" style="1803" customWidth="1"/>
    <col min="12294" max="12294" width="15.85546875" style="1803" customWidth="1"/>
    <col min="12295" max="12295" width="13.85546875" style="1803" customWidth="1"/>
    <col min="12296" max="12296" width="9.42578125" style="1803" customWidth="1"/>
    <col min="12297" max="12297" width="14.28515625" style="1803" bestFit="1" customWidth="1"/>
    <col min="12298" max="12298" width="11.42578125" style="1803" bestFit="1" customWidth="1"/>
    <col min="12299" max="12300" width="14.7109375" style="1803" bestFit="1" customWidth="1"/>
    <col min="12301" max="12544" width="9.140625" style="1803"/>
    <col min="12545" max="12545" width="4.7109375" style="1803" customWidth="1"/>
    <col min="12546" max="12546" width="6.140625" style="1803" customWidth="1"/>
    <col min="12547" max="12547" width="8.7109375" style="1803" customWidth="1"/>
    <col min="12548" max="12548" width="40.42578125" style="1803" customWidth="1"/>
    <col min="12549" max="12549" width="10.42578125" style="1803" customWidth="1"/>
    <col min="12550" max="12550" width="15.85546875" style="1803" customWidth="1"/>
    <col min="12551" max="12551" width="13.85546875" style="1803" customWidth="1"/>
    <col min="12552" max="12552" width="9.42578125" style="1803" customWidth="1"/>
    <col min="12553" max="12553" width="14.28515625" style="1803" bestFit="1" customWidth="1"/>
    <col min="12554" max="12554" width="11.42578125" style="1803" bestFit="1" customWidth="1"/>
    <col min="12555" max="12556" width="14.7109375" style="1803" bestFit="1" customWidth="1"/>
    <col min="12557" max="12800" width="9.140625" style="1803"/>
    <col min="12801" max="12801" width="4.7109375" style="1803" customWidth="1"/>
    <col min="12802" max="12802" width="6.140625" style="1803" customWidth="1"/>
    <col min="12803" max="12803" width="8.7109375" style="1803" customWidth="1"/>
    <col min="12804" max="12804" width="40.42578125" style="1803" customWidth="1"/>
    <col min="12805" max="12805" width="10.42578125" style="1803" customWidth="1"/>
    <col min="12806" max="12806" width="15.85546875" style="1803" customWidth="1"/>
    <col min="12807" max="12807" width="13.85546875" style="1803" customWidth="1"/>
    <col min="12808" max="12808" width="9.42578125" style="1803" customWidth="1"/>
    <col min="12809" max="12809" width="14.28515625" style="1803" bestFit="1" customWidth="1"/>
    <col min="12810" max="12810" width="11.42578125" style="1803" bestFit="1" customWidth="1"/>
    <col min="12811" max="12812" width="14.7109375" style="1803" bestFit="1" customWidth="1"/>
    <col min="12813" max="13056" width="9.140625" style="1803"/>
    <col min="13057" max="13057" width="4.7109375" style="1803" customWidth="1"/>
    <col min="13058" max="13058" width="6.140625" style="1803" customWidth="1"/>
    <col min="13059" max="13059" width="8.7109375" style="1803" customWidth="1"/>
    <col min="13060" max="13060" width="40.42578125" style="1803" customWidth="1"/>
    <col min="13061" max="13061" width="10.42578125" style="1803" customWidth="1"/>
    <col min="13062" max="13062" width="15.85546875" style="1803" customWidth="1"/>
    <col min="13063" max="13063" width="13.85546875" style="1803" customWidth="1"/>
    <col min="13064" max="13064" width="9.42578125" style="1803" customWidth="1"/>
    <col min="13065" max="13065" width="14.28515625" style="1803" bestFit="1" customWidth="1"/>
    <col min="13066" max="13066" width="11.42578125" style="1803" bestFit="1" customWidth="1"/>
    <col min="13067" max="13068" width="14.7109375" style="1803" bestFit="1" customWidth="1"/>
    <col min="13069" max="13312" width="9.140625" style="1803"/>
    <col min="13313" max="13313" width="4.7109375" style="1803" customWidth="1"/>
    <col min="13314" max="13314" width="6.140625" style="1803" customWidth="1"/>
    <col min="13315" max="13315" width="8.7109375" style="1803" customWidth="1"/>
    <col min="13316" max="13316" width="40.42578125" style="1803" customWidth="1"/>
    <col min="13317" max="13317" width="10.42578125" style="1803" customWidth="1"/>
    <col min="13318" max="13318" width="15.85546875" style="1803" customWidth="1"/>
    <col min="13319" max="13319" width="13.85546875" style="1803" customWidth="1"/>
    <col min="13320" max="13320" width="9.42578125" style="1803" customWidth="1"/>
    <col min="13321" max="13321" width="14.28515625" style="1803" bestFit="1" customWidth="1"/>
    <col min="13322" max="13322" width="11.42578125" style="1803" bestFit="1" customWidth="1"/>
    <col min="13323" max="13324" width="14.7109375" style="1803" bestFit="1" customWidth="1"/>
    <col min="13325" max="13568" width="9.140625" style="1803"/>
    <col min="13569" max="13569" width="4.7109375" style="1803" customWidth="1"/>
    <col min="13570" max="13570" width="6.140625" style="1803" customWidth="1"/>
    <col min="13571" max="13571" width="8.7109375" style="1803" customWidth="1"/>
    <col min="13572" max="13572" width="40.42578125" style="1803" customWidth="1"/>
    <col min="13573" max="13573" width="10.42578125" style="1803" customWidth="1"/>
    <col min="13574" max="13574" width="15.85546875" style="1803" customWidth="1"/>
    <col min="13575" max="13575" width="13.85546875" style="1803" customWidth="1"/>
    <col min="13576" max="13576" width="9.42578125" style="1803" customWidth="1"/>
    <col min="13577" max="13577" width="14.28515625" style="1803" bestFit="1" customWidth="1"/>
    <col min="13578" max="13578" width="11.42578125" style="1803" bestFit="1" customWidth="1"/>
    <col min="13579" max="13580" width="14.7109375" style="1803" bestFit="1" customWidth="1"/>
    <col min="13581" max="13824" width="9.140625" style="1803"/>
    <col min="13825" max="13825" width="4.7109375" style="1803" customWidth="1"/>
    <col min="13826" max="13826" width="6.140625" style="1803" customWidth="1"/>
    <col min="13827" max="13827" width="8.7109375" style="1803" customWidth="1"/>
    <col min="13828" max="13828" width="40.42578125" style="1803" customWidth="1"/>
    <col min="13829" max="13829" width="10.42578125" style="1803" customWidth="1"/>
    <col min="13830" max="13830" width="15.85546875" style="1803" customWidth="1"/>
    <col min="13831" max="13831" width="13.85546875" style="1803" customWidth="1"/>
    <col min="13832" max="13832" width="9.42578125" style="1803" customWidth="1"/>
    <col min="13833" max="13833" width="14.28515625" style="1803" bestFit="1" customWidth="1"/>
    <col min="13834" max="13834" width="11.42578125" style="1803" bestFit="1" customWidth="1"/>
    <col min="13835" max="13836" width="14.7109375" style="1803" bestFit="1" customWidth="1"/>
    <col min="13837" max="14080" width="9.140625" style="1803"/>
    <col min="14081" max="14081" width="4.7109375" style="1803" customWidth="1"/>
    <col min="14082" max="14082" width="6.140625" style="1803" customWidth="1"/>
    <col min="14083" max="14083" width="8.7109375" style="1803" customWidth="1"/>
    <col min="14084" max="14084" width="40.42578125" style="1803" customWidth="1"/>
    <col min="14085" max="14085" width="10.42578125" style="1803" customWidth="1"/>
    <col min="14086" max="14086" width="15.85546875" style="1803" customWidth="1"/>
    <col min="14087" max="14087" width="13.85546875" style="1803" customWidth="1"/>
    <col min="14088" max="14088" width="9.42578125" style="1803" customWidth="1"/>
    <col min="14089" max="14089" width="14.28515625" style="1803" bestFit="1" customWidth="1"/>
    <col min="14090" max="14090" width="11.42578125" style="1803" bestFit="1" customWidth="1"/>
    <col min="14091" max="14092" width="14.7109375" style="1803" bestFit="1" customWidth="1"/>
    <col min="14093" max="14336" width="9.140625" style="1803"/>
    <col min="14337" max="14337" width="4.7109375" style="1803" customWidth="1"/>
    <col min="14338" max="14338" width="6.140625" style="1803" customWidth="1"/>
    <col min="14339" max="14339" width="8.7109375" style="1803" customWidth="1"/>
    <col min="14340" max="14340" width="40.42578125" style="1803" customWidth="1"/>
    <col min="14341" max="14341" width="10.42578125" style="1803" customWidth="1"/>
    <col min="14342" max="14342" width="15.85546875" style="1803" customWidth="1"/>
    <col min="14343" max="14343" width="13.85546875" style="1803" customWidth="1"/>
    <col min="14344" max="14344" width="9.42578125" style="1803" customWidth="1"/>
    <col min="14345" max="14345" width="14.28515625" style="1803" bestFit="1" customWidth="1"/>
    <col min="14346" max="14346" width="11.42578125" style="1803" bestFit="1" customWidth="1"/>
    <col min="14347" max="14348" width="14.7109375" style="1803" bestFit="1" customWidth="1"/>
    <col min="14349" max="14592" width="9.140625" style="1803"/>
    <col min="14593" max="14593" width="4.7109375" style="1803" customWidth="1"/>
    <col min="14594" max="14594" width="6.140625" style="1803" customWidth="1"/>
    <col min="14595" max="14595" width="8.7109375" style="1803" customWidth="1"/>
    <col min="14596" max="14596" width="40.42578125" style="1803" customWidth="1"/>
    <col min="14597" max="14597" width="10.42578125" style="1803" customWidth="1"/>
    <col min="14598" max="14598" width="15.85546875" style="1803" customWidth="1"/>
    <col min="14599" max="14599" width="13.85546875" style="1803" customWidth="1"/>
    <col min="14600" max="14600" width="9.42578125" style="1803" customWidth="1"/>
    <col min="14601" max="14601" width="14.28515625" style="1803" bestFit="1" customWidth="1"/>
    <col min="14602" max="14602" width="11.42578125" style="1803" bestFit="1" customWidth="1"/>
    <col min="14603" max="14604" width="14.7109375" style="1803" bestFit="1" customWidth="1"/>
    <col min="14605" max="14848" width="9.140625" style="1803"/>
    <col min="14849" max="14849" width="4.7109375" style="1803" customWidth="1"/>
    <col min="14850" max="14850" width="6.140625" style="1803" customWidth="1"/>
    <col min="14851" max="14851" width="8.7109375" style="1803" customWidth="1"/>
    <col min="14852" max="14852" width="40.42578125" style="1803" customWidth="1"/>
    <col min="14853" max="14853" width="10.42578125" style="1803" customWidth="1"/>
    <col min="14854" max="14854" width="15.85546875" style="1803" customWidth="1"/>
    <col min="14855" max="14855" width="13.85546875" style="1803" customWidth="1"/>
    <col min="14856" max="14856" width="9.42578125" style="1803" customWidth="1"/>
    <col min="14857" max="14857" width="14.28515625" style="1803" bestFit="1" customWidth="1"/>
    <col min="14858" max="14858" width="11.42578125" style="1803" bestFit="1" customWidth="1"/>
    <col min="14859" max="14860" width="14.7109375" style="1803" bestFit="1" customWidth="1"/>
    <col min="14861" max="15104" width="9.140625" style="1803"/>
    <col min="15105" max="15105" width="4.7109375" style="1803" customWidth="1"/>
    <col min="15106" max="15106" width="6.140625" style="1803" customWidth="1"/>
    <col min="15107" max="15107" width="8.7109375" style="1803" customWidth="1"/>
    <col min="15108" max="15108" width="40.42578125" style="1803" customWidth="1"/>
    <col min="15109" max="15109" width="10.42578125" style="1803" customWidth="1"/>
    <col min="15110" max="15110" width="15.85546875" style="1803" customWidth="1"/>
    <col min="15111" max="15111" width="13.85546875" style="1803" customWidth="1"/>
    <col min="15112" max="15112" width="9.42578125" style="1803" customWidth="1"/>
    <col min="15113" max="15113" width="14.28515625" style="1803" bestFit="1" customWidth="1"/>
    <col min="15114" max="15114" width="11.42578125" style="1803" bestFit="1" customWidth="1"/>
    <col min="15115" max="15116" width="14.7109375" style="1803" bestFit="1" customWidth="1"/>
    <col min="15117" max="15360" width="9.140625" style="1803"/>
    <col min="15361" max="15361" width="4.7109375" style="1803" customWidth="1"/>
    <col min="15362" max="15362" width="6.140625" style="1803" customWidth="1"/>
    <col min="15363" max="15363" width="8.7109375" style="1803" customWidth="1"/>
    <col min="15364" max="15364" width="40.42578125" style="1803" customWidth="1"/>
    <col min="15365" max="15365" width="10.42578125" style="1803" customWidth="1"/>
    <col min="15366" max="15366" width="15.85546875" style="1803" customWidth="1"/>
    <col min="15367" max="15367" width="13.85546875" style="1803" customWidth="1"/>
    <col min="15368" max="15368" width="9.42578125" style="1803" customWidth="1"/>
    <col min="15369" max="15369" width="14.28515625" style="1803" bestFit="1" customWidth="1"/>
    <col min="15370" max="15370" width="11.42578125" style="1803" bestFit="1" customWidth="1"/>
    <col min="15371" max="15372" width="14.7109375" style="1803" bestFit="1" customWidth="1"/>
    <col min="15373" max="15616" width="9.140625" style="1803"/>
    <col min="15617" max="15617" width="4.7109375" style="1803" customWidth="1"/>
    <col min="15618" max="15618" width="6.140625" style="1803" customWidth="1"/>
    <col min="15619" max="15619" width="8.7109375" style="1803" customWidth="1"/>
    <col min="15620" max="15620" width="40.42578125" style="1803" customWidth="1"/>
    <col min="15621" max="15621" width="10.42578125" style="1803" customWidth="1"/>
    <col min="15622" max="15622" width="15.85546875" style="1803" customWidth="1"/>
    <col min="15623" max="15623" width="13.85546875" style="1803" customWidth="1"/>
    <col min="15624" max="15624" width="9.42578125" style="1803" customWidth="1"/>
    <col min="15625" max="15625" width="14.28515625" style="1803" bestFit="1" customWidth="1"/>
    <col min="15626" max="15626" width="11.42578125" style="1803" bestFit="1" customWidth="1"/>
    <col min="15627" max="15628" width="14.7109375" style="1803" bestFit="1" customWidth="1"/>
    <col min="15629" max="15872" width="9.140625" style="1803"/>
    <col min="15873" max="15873" width="4.7109375" style="1803" customWidth="1"/>
    <col min="15874" max="15874" width="6.140625" style="1803" customWidth="1"/>
    <col min="15875" max="15875" width="8.7109375" style="1803" customWidth="1"/>
    <col min="15876" max="15876" width="40.42578125" style="1803" customWidth="1"/>
    <col min="15877" max="15877" width="10.42578125" style="1803" customWidth="1"/>
    <col min="15878" max="15878" width="15.85546875" style="1803" customWidth="1"/>
    <col min="15879" max="15879" width="13.85546875" style="1803" customWidth="1"/>
    <col min="15880" max="15880" width="9.42578125" style="1803" customWidth="1"/>
    <col min="15881" max="15881" width="14.28515625" style="1803" bestFit="1" customWidth="1"/>
    <col min="15882" max="15882" width="11.42578125" style="1803" bestFit="1" customWidth="1"/>
    <col min="15883" max="15884" width="14.7109375" style="1803" bestFit="1" customWidth="1"/>
    <col min="15885" max="16128" width="9.140625" style="1803"/>
    <col min="16129" max="16129" width="4.7109375" style="1803" customWidth="1"/>
    <col min="16130" max="16130" width="6.140625" style="1803" customWidth="1"/>
    <col min="16131" max="16131" width="8.7109375" style="1803" customWidth="1"/>
    <col min="16132" max="16132" width="40.42578125" style="1803" customWidth="1"/>
    <col min="16133" max="16133" width="10.42578125" style="1803" customWidth="1"/>
    <col min="16134" max="16134" width="15.85546875" style="1803" customWidth="1"/>
    <col min="16135" max="16135" width="13.85546875" style="1803" customWidth="1"/>
    <col min="16136" max="16136" width="9.42578125" style="1803" customWidth="1"/>
    <col min="16137" max="16137" width="14.28515625" style="1803" bestFit="1" customWidth="1"/>
    <col min="16138" max="16138" width="11.42578125" style="1803" bestFit="1" customWidth="1"/>
    <col min="16139" max="16140" width="14.7109375" style="1803" bestFit="1" customWidth="1"/>
    <col min="16141" max="16384" width="9.140625" style="1803"/>
  </cols>
  <sheetData>
    <row r="1" spans="1:9" ht="19.5" customHeight="1" thickBot="1" x14ac:dyDescent="0.25">
      <c r="A1" s="2753" t="s">
        <v>2010</v>
      </c>
      <c r="B1" s="2753"/>
      <c r="C1" s="2753"/>
      <c r="D1" s="2753"/>
      <c r="E1" s="2753"/>
      <c r="F1" s="2753"/>
      <c r="G1" s="2753"/>
      <c r="H1" s="2753"/>
    </row>
    <row r="2" spans="1:9" ht="18" x14ac:dyDescent="0.25">
      <c r="A2" s="1807"/>
      <c r="B2" s="1831"/>
      <c r="C2" s="1831"/>
      <c r="D2" s="1831"/>
      <c r="E2" s="1831"/>
      <c r="F2" s="1831"/>
      <c r="G2" s="1831"/>
      <c r="H2" s="1876" t="s">
        <v>2011</v>
      </c>
    </row>
    <row r="3" spans="1:9" ht="18" x14ac:dyDescent="0.25">
      <c r="A3" s="1705" t="s">
        <v>367</v>
      </c>
      <c r="B3" s="1831"/>
      <c r="C3" s="1801" t="s">
        <v>347</v>
      </c>
      <c r="D3" s="1831"/>
      <c r="E3" s="1831"/>
      <c r="F3" s="1831"/>
      <c r="G3" s="1831"/>
      <c r="H3" s="1876"/>
    </row>
    <row r="4" spans="1:9" ht="18" x14ac:dyDescent="0.25">
      <c r="A4" s="1807"/>
      <c r="B4" s="1831"/>
      <c r="C4" s="1801" t="s">
        <v>348</v>
      </c>
      <c r="D4" s="1831"/>
      <c r="E4" s="1831"/>
      <c r="F4" s="1831"/>
      <c r="G4" s="1831"/>
      <c r="H4" s="1876"/>
    </row>
    <row r="5" spans="1:9" ht="12.75" customHeight="1" x14ac:dyDescent="0.2">
      <c r="B5" s="1831"/>
      <c r="C5" s="1831"/>
      <c r="D5" s="1831"/>
      <c r="E5" s="1831"/>
      <c r="F5" s="1831"/>
      <c r="G5" s="1831"/>
    </row>
    <row r="6" spans="1:9" ht="18" x14ac:dyDescent="0.25">
      <c r="A6" s="1806" t="s">
        <v>2012</v>
      </c>
      <c r="B6" s="1831"/>
      <c r="C6" s="1831"/>
      <c r="D6" s="1831"/>
      <c r="E6" s="1831"/>
      <c r="F6" s="1831"/>
      <c r="G6" s="1831"/>
      <c r="H6" s="1876"/>
    </row>
    <row r="7" spans="1:9" ht="18" x14ac:dyDescent="0.25">
      <c r="A7" s="1806"/>
      <c r="B7" s="1831"/>
      <c r="C7" s="1831"/>
      <c r="D7" s="1831"/>
      <c r="E7" s="1831"/>
      <c r="F7" s="1831"/>
      <c r="G7" s="1831"/>
      <c r="H7" s="1876"/>
    </row>
    <row r="8" spans="1:9" ht="18" hidden="1" x14ac:dyDescent="0.25">
      <c r="A8" s="1976" t="s">
        <v>964</v>
      </c>
      <c r="B8" s="1831"/>
      <c r="C8" s="1831"/>
      <c r="D8" s="1831"/>
      <c r="E8" s="1831"/>
      <c r="F8" s="1831"/>
      <c r="G8" s="1831"/>
      <c r="H8" s="1876"/>
    </row>
    <row r="9" spans="1:9" ht="15" hidden="1" x14ac:dyDescent="0.25">
      <c r="A9" s="1977" t="s">
        <v>1075</v>
      </c>
      <c r="H9" s="1892" t="s">
        <v>161</v>
      </c>
    </row>
    <row r="10" spans="1:9" s="1638" customFormat="1" ht="25.5" hidden="1" thickTop="1" thickBot="1" x14ac:dyDescent="0.25">
      <c r="A10" s="1809" t="s">
        <v>162</v>
      </c>
      <c r="B10" s="1810" t="s">
        <v>761</v>
      </c>
      <c r="C10" s="1810" t="s">
        <v>377</v>
      </c>
      <c r="D10" s="1811" t="s">
        <v>164</v>
      </c>
      <c r="E10" s="1833" t="s">
        <v>632</v>
      </c>
      <c r="F10" s="1833" t="s">
        <v>633</v>
      </c>
      <c r="G10" s="1834" t="s">
        <v>882</v>
      </c>
      <c r="H10" s="1835" t="s">
        <v>883</v>
      </c>
    </row>
    <row r="11" spans="1:9" s="1638" customFormat="1" ht="13.5" hidden="1" thickTop="1" thickBot="1" x14ac:dyDescent="0.25">
      <c r="A11" s="1643">
        <v>1</v>
      </c>
      <c r="B11" s="1642">
        <v>2</v>
      </c>
      <c r="C11" s="1642">
        <v>3</v>
      </c>
      <c r="D11" s="1642">
        <v>4</v>
      </c>
      <c r="E11" s="1641">
        <v>5</v>
      </c>
      <c r="F11" s="1641">
        <v>6</v>
      </c>
      <c r="G11" s="1877">
        <v>7</v>
      </c>
      <c r="H11" s="1901" t="s">
        <v>61</v>
      </c>
    </row>
    <row r="12" spans="1:9" s="1638" customFormat="1" ht="15" hidden="1" x14ac:dyDescent="0.2">
      <c r="A12" s="1896">
        <v>2143</v>
      </c>
      <c r="B12" s="1903">
        <v>5163</v>
      </c>
      <c r="C12" s="1906">
        <v>41100880</v>
      </c>
      <c r="D12" s="1836" t="s">
        <v>892</v>
      </c>
      <c r="E12" s="1845"/>
      <c r="F12" s="1845"/>
      <c r="G12" s="1845"/>
      <c r="H12" s="1821" t="e">
        <f>G12/F12*100</f>
        <v>#DIV/0!</v>
      </c>
    </row>
    <row r="13" spans="1:9" s="1638" customFormat="1" ht="15" hidden="1" x14ac:dyDescent="0.2">
      <c r="A13" s="1896">
        <v>2143</v>
      </c>
      <c r="B13" s="1903">
        <v>5163</v>
      </c>
      <c r="C13" s="1906">
        <v>41100882</v>
      </c>
      <c r="D13" s="1836" t="s">
        <v>892</v>
      </c>
      <c r="E13" s="1845"/>
      <c r="F13" s="1845"/>
      <c r="G13" s="1845"/>
      <c r="H13" s="1821" t="e">
        <f>G13/F13*100</f>
        <v>#DIV/0!</v>
      </c>
    </row>
    <row r="14" spans="1:9" s="1638" customFormat="1" ht="15" hidden="1" x14ac:dyDescent="0.2">
      <c r="A14" s="1896">
        <v>2143</v>
      </c>
      <c r="B14" s="1903">
        <v>5163</v>
      </c>
      <c r="C14" s="1906">
        <v>41500881</v>
      </c>
      <c r="D14" s="1836" t="s">
        <v>892</v>
      </c>
      <c r="E14" s="1845"/>
      <c r="F14" s="1845"/>
      <c r="G14" s="1845"/>
      <c r="H14" s="1821" t="e">
        <f>G14/F14*100</f>
        <v>#DIV/0!</v>
      </c>
    </row>
    <row r="15" spans="1:9" s="1638" customFormat="1" ht="15.75" hidden="1" thickBot="1" x14ac:dyDescent="0.25">
      <c r="A15" s="1896">
        <v>6330</v>
      </c>
      <c r="B15" s="1903">
        <v>5345</v>
      </c>
      <c r="C15" s="1906">
        <v>0</v>
      </c>
      <c r="D15" s="1836" t="s">
        <v>767</v>
      </c>
      <c r="E15" s="1845">
        <v>0</v>
      </c>
      <c r="F15" s="1845">
        <v>0</v>
      </c>
      <c r="G15" s="1845"/>
      <c r="H15" s="1827">
        <v>0</v>
      </c>
    </row>
    <row r="16" spans="1:9" s="1828" customFormat="1" ht="16.5" hidden="1" thickTop="1" thickBot="1" x14ac:dyDescent="0.3">
      <c r="A16" s="2751" t="s">
        <v>763</v>
      </c>
      <c r="B16" s="2752"/>
      <c r="C16" s="2752"/>
      <c r="D16" s="2752"/>
      <c r="E16" s="1818">
        <f>SUM(E12:E15)</f>
        <v>0</v>
      </c>
      <c r="F16" s="1818">
        <f>SUM(F12:F15)</f>
        <v>0</v>
      </c>
      <c r="G16" s="1818">
        <f>SUM(G12:G15)</f>
        <v>0</v>
      </c>
      <c r="H16" s="1827">
        <v>0</v>
      </c>
      <c r="I16" s="1910"/>
    </row>
    <row r="17" spans="1:9" hidden="1" x14ac:dyDescent="0.2">
      <c r="I17" s="1829"/>
    </row>
    <row r="18" spans="1:9" ht="18" hidden="1" x14ac:dyDescent="0.25">
      <c r="A18" s="1976" t="s">
        <v>1723</v>
      </c>
      <c r="B18" s="1831"/>
      <c r="C18" s="1831"/>
      <c r="D18" s="1831"/>
      <c r="E18" s="1831"/>
      <c r="F18" s="1831"/>
      <c r="G18" s="1831"/>
      <c r="H18" s="1876"/>
    </row>
    <row r="19" spans="1:9" ht="15" hidden="1" x14ac:dyDescent="0.25">
      <c r="A19" s="1977" t="s">
        <v>1724</v>
      </c>
      <c r="H19" s="1892" t="s">
        <v>161</v>
      </c>
    </row>
    <row r="20" spans="1:9" s="1638" customFormat="1" ht="25.5" hidden="1" thickTop="1" thickBot="1" x14ac:dyDescent="0.25">
      <c r="A20" s="1809" t="s">
        <v>162</v>
      </c>
      <c r="B20" s="1810" t="s">
        <v>761</v>
      </c>
      <c r="C20" s="1810" t="s">
        <v>377</v>
      </c>
      <c r="D20" s="1811" t="s">
        <v>164</v>
      </c>
      <c r="E20" s="1833" t="s">
        <v>632</v>
      </c>
      <c r="F20" s="1833" t="s">
        <v>633</v>
      </c>
      <c r="G20" s="1834" t="s">
        <v>882</v>
      </c>
      <c r="H20" s="1835" t="s">
        <v>883</v>
      </c>
    </row>
    <row r="21" spans="1:9" s="1638" customFormat="1" ht="13.5" hidden="1" thickTop="1" thickBot="1" x14ac:dyDescent="0.25">
      <c r="A21" s="1643">
        <v>1</v>
      </c>
      <c r="B21" s="1642">
        <v>2</v>
      </c>
      <c r="C21" s="1642">
        <v>3</v>
      </c>
      <c r="D21" s="1642">
        <v>4</v>
      </c>
      <c r="E21" s="1641">
        <v>5</v>
      </c>
      <c r="F21" s="1641">
        <v>6</v>
      </c>
      <c r="G21" s="1877">
        <v>7</v>
      </c>
      <c r="H21" s="1901" t="s">
        <v>61</v>
      </c>
    </row>
    <row r="22" spans="1:9" s="1638" customFormat="1" ht="15" hidden="1" x14ac:dyDescent="0.2">
      <c r="A22" s="1896">
        <v>2143</v>
      </c>
      <c r="B22" s="1903">
        <v>5163</v>
      </c>
      <c r="C22" s="1906">
        <v>41100880</v>
      </c>
      <c r="D22" s="1836" t="s">
        <v>892</v>
      </c>
      <c r="E22" s="1845"/>
      <c r="F22" s="1845"/>
      <c r="G22" s="1845"/>
      <c r="H22" s="1821" t="e">
        <f>G22/F22*100</f>
        <v>#DIV/0!</v>
      </c>
    </row>
    <row r="23" spans="1:9" s="1638" customFormat="1" ht="15" hidden="1" x14ac:dyDescent="0.2">
      <c r="A23" s="1896">
        <v>2143</v>
      </c>
      <c r="B23" s="1903">
        <v>5163</v>
      </c>
      <c r="C23" s="1906">
        <v>41100882</v>
      </c>
      <c r="D23" s="1836" t="s">
        <v>892</v>
      </c>
      <c r="E23" s="1845"/>
      <c r="F23" s="1845"/>
      <c r="G23" s="1845"/>
      <c r="H23" s="1821" t="e">
        <f>G23/F23*100</f>
        <v>#DIV/0!</v>
      </c>
    </row>
    <row r="24" spans="1:9" s="1638" customFormat="1" ht="15" hidden="1" x14ac:dyDescent="0.2">
      <c r="A24" s="1896">
        <v>2143</v>
      </c>
      <c r="B24" s="1903">
        <v>5163</v>
      </c>
      <c r="C24" s="1906">
        <v>41500881</v>
      </c>
      <c r="D24" s="1836" t="s">
        <v>892</v>
      </c>
      <c r="E24" s="1845"/>
      <c r="F24" s="1845"/>
      <c r="G24" s="1845"/>
      <c r="H24" s="1821" t="e">
        <f>G24/F24*100</f>
        <v>#DIV/0!</v>
      </c>
    </row>
    <row r="25" spans="1:9" s="1638" customFormat="1" ht="15.75" hidden="1" thickBot="1" x14ac:dyDescent="0.25">
      <c r="A25" s="1896">
        <v>6330</v>
      </c>
      <c r="B25" s="1903">
        <v>5345</v>
      </c>
      <c r="C25" s="1906">
        <v>0</v>
      </c>
      <c r="D25" s="1836" t="s">
        <v>767</v>
      </c>
      <c r="E25" s="1845">
        <v>0</v>
      </c>
      <c r="F25" s="1845">
        <v>0</v>
      </c>
      <c r="G25" s="1845"/>
      <c r="H25" s="1827">
        <v>0</v>
      </c>
    </row>
    <row r="26" spans="1:9" s="1828" customFormat="1" ht="16.5" hidden="1" thickTop="1" thickBot="1" x14ac:dyDescent="0.3">
      <c r="A26" s="2751" t="s">
        <v>763</v>
      </c>
      <c r="B26" s="2752"/>
      <c r="C26" s="2752"/>
      <c r="D26" s="2752"/>
      <c r="E26" s="1818">
        <f>SUM(E22:E25)</f>
        <v>0</v>
      </c>
      <c r="F26" s="1818">
        <f>SUM(F22:F25)</f>
        <v>0</v>
      </c>
      <c r="G26" s="1818">
        <f>SUM(G22:G25)</f>
        <v>0</v>
      </c>
      <c r="H26" s="1827">
        <v>0</v>
      </c>
      <c r="I26" s="1910"/>
    </row>
    <row r="27" spans="1:9" hidden="1" x14ac:dyDescent="0.2">
      <c r="I27" s="1829"/>
    </row>
    <row r="28" spans="1:9" ht="15" hidden="1" x14ac:dyDescent="0.25">
      <c r="A28" s="1808" t="s">
        <v>2008</v>
      </c>
      <c r="D28" s="1802"/>
      <c r="E28" s="1803"/>
      <c r="H28" s="1829"/>
      <c r="I28" s="1829"/>
    </row>
    <row r="29" spans="1:9" ht="15" hidden="1" x14ac:dyDescent="0.25">
      <c r="A29" s="1808" t="s">
        <v>2009</v>
      </c>
      <c r="D29" s="1802"/>
      <c r="E29" s="1803"/>
      <c r="H29" s="1892" t="s">
        <v>161</v>
      </c>
      <c r="I29" s="1829"/>
    </row>
    <row r="30" spans="1:9" ht="25.5" hidden="1" thickTop="1" thickBot="1" x14ac:dyDescent="0.25">
      <c r="A30" s="1809" t="s">
        <v>162</v>
      </c>
      <c r="B30" s="1810" t="s">
        <v>761</v>
      </c>
      <c r="C30" s="1810" t="s">
        <v>377</v>
      </c>
      <c r="D30" s="1811" t="s">
        <v>164</v>
      </c>
      <c r="E30" s="1833" t="s">
        <v>632</v>
      </c>
      <c r="F30" s="1833" t="s">
        <v>633</v>
      </c>
      <c r="G30" s="1834" t="s">
        <v>882</v>
      </c>
      <c r="H30" s="1835" t="s">
        <v>883</v>
      </c>
      <c r="I30" s="1829"/>
    </row>
    <row r="31" spans="1:9" ht="14.25" hidden="1" thickTop="1" thickBot="1" x14ac:dyDescent="0.25">
      <c r="A31" s="1643">
        <v>1</v>
      </c>
      <c r="B31" s="1642">
        <v>2</v>
      </c>
      <c r="C31" s="1642">
        <v>3</v>
      </c>
      <c r="D31" s="1642">
        <v>5</v>
      </c>
      <c r="E31" s="1641">
        <v>6</v>
      </c>
      <c r="F31" s="1641">
        <v>7</v>
      </c>
      <c r="G31" s="1877">
        <v>8</v>
      </c>
      <c r="H31" s="1814" t="s">
        <v>762</v>
      </c>
      <c r="I31" s="1829"/>
    </row>
    <row r="32" spans="1:9" ht="30.75" hidden="1" thickTop="1" x14ac:dyDescent="0.2">
      <c r="A32" s="1896">
        <v>2143</v>
      </c>
      <c r="B32" s="1903">
        <v>5321</v>
      </c>
      <c r="C32" s="1903">
        <v>41595113</v>
      </c>
      <c r="D32" s="1836" t="s">
        <v>1037</v>
      </c>
      <c r="E32" s="1832">
        <v>0</v>
      </c>
      <c r="F32" s="1845"/>
      <c r="G32" s="1885"/>
      <c r="H32" s="1821" t="e">
        <f>G32/F32*100</f>
        <v>#DIV/0!</v>
      </c>
      <c r="I32" s="1829"/>
    </row>
    <row r="33" spans="1:12" ht="15.75" hidden="1" thickBot="1" x14ac:dyDescent="0.25">
      <c r="A33" s="1896">
        <v>2143</v>
      </c>
      <c r="B33" s="1903">
        <v>6341</v>
      </c>
      <c r="C33" s="1903">
        <v>41595823</v>
      </c>
      <c r="D33" s="1836" t="s">
        <v>1162</v>
      </c>
      <c r="E33" s="1842">
        <v>0</v>
      </c>
      <c r="F33" s="1842"/>
      <c r="G33" s="1885"/>
      <c r="H33" s="1827" t="e">
        <f>G33/F33*100</f>
        <v>#DIV/0!</v>
      </c>
      <c r="I33" s="1829"/>
    </row>
    <row r="34" spans="1:12" ht="16.5" hidden="1" thickTop="1" thickBot="1" x14ac:dyDescent="0.3">
      <c r="A34" s="1837" t="s">
        <v>763</v>
      </c>
      <c r="B34" s="1838"/>
      <c r="C34" s="1838"/>
      <c r="D34" s="1839"/>
      <c r="E34" s="1818">
        <f>SUM(E32:E33)</f>
        <v>0</v>
      </c>
      <c r="F34" s="1818">
        <f>SUM(F32:F33)</f>
        <v>0</v>
      </c>
      <c r="G34" s="1818">
        <f>SUM(G32:G33)</f>
        <v>0</v>
      </c>
      <c r="H34" s="1822" t="e">
        <f>G34/F34*100</f>
        <v>#DIV/0!</v>
      </c>
      <c r="I34" s="1829"/>
    </row>
    <row r="35" spans="1:12" ht="15" x14ac:dyDescent="0.25">
      <c r="A35" s="1848"/>
      <c r="B35" s="1848"/>
      <c r="C35" s="1848"/>
      <c r="D35" s="1848"/>
      <c r="E35" s="1824"/>
      <c r="F35" s="1824"/>
      <c r="G35" s="1824"/>
      <c r="H35" s="1849"/>
      <c r="I35" s="1829"/>
    </row>
    <row r="36" spans="1:12" ht="15.75" thickBot="1" x14ac:dyDescent="0.3">
      <c r="A36" s="1808" t="s">
        <v>250</v>
      </c>
      <c r="B36" s="1848"/>
      <c r="C36" s="1848"/>
      <c r="D36" s="1848"/>
      <c r="E36" s="1824"/>
      <c r="F36" s="1824"/>
      <c r="G36" s="1824"/>
      <c r="H36" s="1892" t="s">
        <v>161</v>
      </c>
      <c r="I36" s="1829"/>
    </row>
    <row r="37" spans="1:12" ht="25.5" thickTop="1" thickBot="1" x14ac:dyDescent="0.25">
      <c r="A37" s="1809" t="s">
        <v>162</v>
      </c>
      <c r="B37" s="1810" t="s">
        <v>761</v>
      </c>
      <c r="C37" s="1810" t="s">
        <v>377</v>
      </c>
      <c r="D37" s="1811" t="s">
        <v>164</v>
      </c>
      <c r="E37" s="1833" t="s">
        <v>632</v>
      </c>
      <c r="F37" s="1833" t="s">
        <v>633</v>
      </c>
      <c r="G37" s="1834" t="s">
        <v>882</v>
      </c>
      <c r="H37" s="1835" t="s">
        <v>883</v>
      </c>
      <c r="I37" s="1829"/>
    </row>
    <row r="38" spans="1:12" ht="14.25" thickTop="1" thickBot="1" x14ac:dyDescent="0.25">
      <c r="A38" s="1643">
        <v>1</v>
      </c>
      <c r="B38" s="1642">
        <v>2</v>
      </c>
      <c r="C38" s="1642">
        <v>3</v>
      </c>
      <c r="D38" s="1642">
        <v>5</v>
      </c>
      <c r="E38" s="1641">
        <v>6</v>
      </c>
      <c r="F38" s="1641">
        <v>7</v>
      </c>
      <c r="G38" s="1877">
        <v>8</v>
      </c>
      <c r="H38" s="1814" t="s">
        <v>762</v>
      </c>
      <c r="I38" s="1829"/>
    </row>
    <row r="39" spans="1:12" ht="16.5" thickTop="1" thickBot="1" x14ac:dyDescent="0.25">
      <c r="A39" s="1896">
        <v>6330</v>
      </c>
      <c r="B39" s="1903">
        <v>5345</v>
      </c>
      <c r="C39" s="1906">
        <v>0</v>
      </c>
      <c r="D39" s="1836" t="s">
        <v>767</v>
      </c>
      <c r="E39" s="1832">
        <v>0</v>
      </c>
      <c r="F39" s="1845">
        <v>0</v>
      </c>
      <c r="G39" s="1885">
        <v>13</v>
      </c>
      <c r="H39" s="1821">
        <v>0</v>
      </c>
      <c r="I39" s="1829"/>
    </row>
    <row r="40" spans="1:12" ht="15.75" hidden="1" thickBot="1" x14ac:dyDescent="0.25">
      <c r="A40" s="1896">
        <v>6409</v>
      </c>
      <c r="B40" s="1903">
        <v>5909</v>
      </c>
      <c r="C40" s="1906">
        <v>0</v>
      </c>
      <c r="D40" s="1836" t="s">
        <v>1548</v>
      </c>
      <c r="E40" s="1842">
        <v>0</v>
      </c>
      <c r="F40" s="1842">
        <v>0</v>
      </c>
      <c r="G40" s="1885">
        <v>0</v>
      </c>
      <c r="H40" s="1827">
        <v>0</v>
      </c>
      <c r="I40" s="1829"/>
    </row>
    <row r="41" spans="1:12" ht="16.5" thickTop="1" thickBot="1" x14ac:dyDescent="0.3">
      <c r="A41" s="1837" t="s">
        <v>763</v>
      </c>
      <c r="B41" s="1838"/>
      <c r="C41" s="1838"/>
      <c r="D41" s="1839"/>
      <c r="E41" s="1818">
        <f>SUM(E39:E40)</f>
        <v>0</v>
      </c>
      <c r="F41" s="1818">
        <f>SUM(F39:F40)</f>
        <v>0</v>
      </c>
      <c r="G41" s="1818">
        <f>SUM(G39:G40)</f>
        <v>13</v>
      </c>
      <c r="H41" s="1822">
        <v>0</v>
      </c>
      <c r="I41" s="1829"/>
    </row>
    <row r="42" spans="1:12" ht="15.75" thickTop="1" x14ac:dyDescent="0.25">
      <c r="A42" s="1848"/>
      <c r="B42" s="1848"/>
      <c r="C42" s="1848"/>
      <c r="D42" s="1848"/>
      <c r="E42" s="1824"/>
      <c r="F42" s="1824"/>
      <c r="G42" s="1824"/>
      <c r="H42" s="1849"/>
      <c r="I42" s="1829"/>
    </row>
    <row r="43" spans="1:12" ht="15" x14ac:dyDescent="0.25">
      <c r="A43" s="1848"/>
      <c r="B43" s="1848"/>
      <c r="C43" s="1848"/>
      <c r="D43" s="1848"/>
      <c r="E43" s="1824"/>
      <c r="F43" s="1824"/>
      <c r="G43" s="1824"/>
      <c r="H43" s="1849"/>
      <c r="I43" s="1829"/>
    </row>
    <row r="44" spans="1:12" ht="15" x14ac:dyDescent="0.25">
      <c r="A44" s="1848"/>
      <c r="B44" s="1848"/>
      <c r="C44" s="1848"/>
      <c r="D44" s="1848"/>
      <c r="E44" s="1824"/>
      <c r="F44" s="1824"/>
      <c r="G44" s="1824"/>
      <c r="H44" s="1849"/>
      <c r="I44" s="1829"/>
    </row>
    <row r="45" spans="1:12" ht="15" x14ac:dyDescent="0.25">
      <c r="A45" s="1848"/>
      <c r="B45" s="1848"/>
      <c r="C45" s="1848"/>
      <c r="D45" s="1848"/>
      <c r="E45" s="1824"/>
      <c r="F45" s="1824"/>
      <c r="G45" s="1824"/>
      <c r="H45" s="1849"/>
      <c r="I45" s="1829"/>
    </row>
    <row r="46" spans="1:12" ht="16.5" x14ac:dyDescent="0.25">
      <c r="A46" s="1860" t="s">
        <v>465</v>
      </c>
      <c r="B46" s="1861"/>
      <c r="C46" s="1862"/>
      <c r="D46" s="1863"/>
      <c r="E46" s="1864">
        <f>SUM(E47:E49)</f>
        <v>0</v>
      </c>
      <c r="F46" s="1864">
        <f>F47+F48+F49+F50</f>
        <v>0</v>
      </c>
      <c r="G46" s="1864">
        <f>G47+G48+G49+G50</f>
        <v>13</v>
      </c>
      <c r="H46" s="1884">
        <v>0</v>
      </c>
      <c r="I46" s="1829"/>
      <c r="J46" s="1866">
        <f>J47+J48+J49</f>
        <v>0</v>
      </c>
      <c r="K46" s="1866">
        <f>K47+K48+K49</f>
        <v>0</v>
      </c>
      <c r="L46" s="1866">
        <f>L47+L48+L49</f>
        <v>13120.88</v>
      </c>
    </row>
    <row r="47" spans="1:12" ht="15" x14ac:dyDescent="0.2">
      <c r="A47" s="1600" t="s">
        <v>263</v>
      </c>
      <c r="B47" s="1603"/>
      <c r="C47" s="1598"/>
      <c r="D47" s="1867"/>
      <c r="E47" s="1601">
        <f>E32+E40</f>
        <v>0</v>
      </c>
      <c r="F47" s="1601">
        <f t="shared" ref="F47:G47" si="0">F32+F40</f>
        <v>0</v>
      </c>
      <c r="G47" s="1601">
        <f t="shared" si="0"/>
        <v>0</v>
      </c>
      <c r="H47" s="1883">
        <v>0</v>
      </c>
      <c r="J47" s="1868">
        <v>0</v>
      </c>
      <c r="K47" s="1868">
        <v>0</v>
      </c>
      <c r="L47" s="1868">
        <v>0</v>
      </c>
    </row>
    <row r="48" spans="1:12" ht="15" x14ac:dyDescent="0.2">
      <c r="A48" s="1600" t="s">
        <v>264</v>
      </c>
      <c r="B48" s="1599"/>
      <c r="C48" s="1598"/>
      <c r="D48" s="1869"/>
      <c r="E48" s="1601">
        <f>E33</f>
        <v>0</v>
      </c>
      <c r="F48" s="1601">
        <f t="shared" ref="F48:G48" si="1">F33</f>
        <v>0</v>
      </c>
      <c r="G48" s="1601">
        <f t="shared" si="1"/>
        <v>0</v>
      </c>
      <c r="H48" s="1883">
        <v>0</v>
      </c>
      <c r="J48" s="1868">
        <v>0</v>
      </c>
      <c r="K48" s="1868">
        <v>0</v>
      </c>
      <c r="L48" s="1868">
        <v>0</v>
      </c>
    </row>
    <row r="49" spans="1:12" ht="15" x14ac:dyDescent="0.2">
      <c r="A49" s="1600" t="s">
        <v>466</v>
      </c>
      <c r="B49" s="1599"/>
      <c r="C49" s="1598"/>
      <c r="D49" s="1869"/>
      <c r="E49" s="1601">
        <f>E15+E25+E39</f>
        <v>0</v>
      </c>
      <c r="F49" s="1601">
        <f t="shared" ref="F49:G49" si="2">F15+F25+F39</f>
        <v>0</v>
      </c>
      <c r="G49" s="1601">
        <f t="shared" si="2"/>
        <v>13</v>
      </c>
      <c r="H49" s="1883">
        <v>0</v>
      </c>
      <c r="J49" s="1868">
        <v>0</v>
      </c>
      <c r="K49" s="1868">
        <v>0</v>
      </c>
      <c r="L49" s="1868">
        <v>13120.88</v>
      </c>
    </row>
    <row r="50" spans="1:12" ht="15" x14ac:dyDescent="0.2">
      <c r="A50" s="1600"/>
      <c r="B50" s="1599"/>
      <c r="C50" s="1598"/>
      <c r="D50" s="1869"/>
      <c r="E50" s="1601"/>
      <c r="F50" s="1601"/>
      <c r="G50" s="1601"/>
      <c r="H50" s="1597"/>
    </row>
    <row r="51" spans="1:12" ht="46.5" customHeight="1" thickBot="1" x14ac:dyDescent="0.4">
      <c r="A51" s="2741" t="s">
        <v>2013</v>
      </c>
      <c r="B51" s="2756"/>
      <c r="C51" s="2756"/>
      <c r="D51" s="2756"/>
      <c r="E51" s="1591">
        <f>E46</f>
        <v>0</v>
      </c>
      <c r="F51" s="1591">
        <f>F46</f>
        <v>0</v>
      </c>
      <c r="G51" s="1591">
        <f>G46</f>
        <v>13</v>
      </c>
      <c r="H51" s="2098">
        <v>0</v>
      </c>
    </row>
    <row r="52" spans="1:12" ht="13.5" thickTop="1" x14ac:dyDescent="0.2"/>
    <row r="166" spans="1:5" ht="13.5" thickBot="1" x14ac:dyDescent="0.25">
      <c r="A166" s="1840"/>
      <c r="B166" s="1840"/>
      <c r="C166" s="1840"/>
    </row>
    <row r="167" spans="1:5" ht="13.5" thickTop="1" x14ac:dyDescent="0.2">
      <c r="A167" s="1858"/>
      <c r="B167" s="1858"/>
      <c r="C167" s="1858"/>
    </row>
    <row r="174" spans="1:5" ht="13.5" thickBot="1" x14ac:dyDescent="0.25">
      <c r="D174" s="1911"/>
      <c r="E174" s="1912"/>
    </row>
    <row r="175" spans="1:5" ht="13.5" thickTop="1" x14ac:dyDescent="0.2">
      <c r="D175" s="1850"/>
      <c r="E175" s="1913"/>
    </row>
    <row r="176" spans="1:5" x14ac:dyDescent="0.2">
      <c r="D176" s="1803" t="e">
        <f>#REF!+#REF!</f>
        <v>#REF!</v>
      </c>
    </row>
  </sheetData>
  <mergeCells count="4">
    <mergeCell ref="A1:H1"/>
    <mergeCell ref="A16:D16"/>
    <mergeCell ref="A26:D26"/>
    <mergeCell ref="A51:D51"/>
  </mergeCells>
  <pageMargins left="0.98425196850393704" right="0.98425196850393704" top="0.98425196850393704" bottom="0.98425196850393704" header="0.51181102362204722" footer="0.51181102362204722"/>
  <pageSetup paperSize="9" scale="74" firstPageNumber="150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267"/>
  <sheetViews>
    <sheetView showGridLines="0" view="pageBreakPreview" topLeftCell="B63" zoomScaleNormal="100" zoomScaleSheetLayoutView="100" workbookViewId="0">
      <selection activeCell="I10" sqref="I10"/>
    </sheetView>
  </sheetViews>
  <sheetFormatPr defaultRowHeight="12.75" x14ac:dyDescent="0.2"/>
  <cols>
    <col min="1" max="1" width="4.85546875" style="1802" customWidth="1"/>
    <col min="2" max="2" width="6.7109375" style="1802" customWidth="1"/>
    <col min="3" max="3" width="8.85546875" style="1802" customWidth="1"/>
    <col min="4" max="4" width="46.42578125" style="1803" customWidth="1"/>
    <col min="5" max="5" width="12.85546875" style="1829" customWidth="1"/>
    <col min="6" max="6" width="15.5703125" style="1829" customWidth="1"/>
    <col min="7" max="7" width="15.85546875" style="1829" customWidth="1"/>
    <col min="8" max="8" width="8.5703125" style="1803" customWidth="1"/>
    <col min="9" max="9" width="14.28515625" style="1803" bestFit="1" customWidth="1"/>
    <col min="10" max="10" width="9.140625" style="1803"/>
    <col min="11" max="12" width="16" style="1803" bestFit="1" customWidth="1"/>
    <col min="13" max="256" width="9.140625" style="1803"/>
    <col min="257" max="257" width="4.7109375" style="1803" customWidth="1"/>
    <col min="258" max="258" width="6.7109375" style="1803" customWidth="1"/>
    <col min="259" max="259" width="8.85546875" style="1803" customWidth="1"/>
    <col min="260" max="260" width="46.42578125" style="1803" customWidth="1"/>
    <col min="261" max="261" width="12.85546875" style="1803" customWidth="1"/>
    <col min="262" max="262" width="15.5703125" style="1803" customWidth="1"/>
    <col min="263" max="263" width="15.85546875" style="1803" customWidth="1"/>
    <col min="264" max="264" width="6.42578125" style="1803" customWidth="1"/>
    <col min="265" max="265" width="14.28515625" style="1803" bestFit="1" customWidth="1"/>
    <col min="266" max="266" width="9.140625" style="1803"/>
    <col min="267" max="268" width="16" style="1803" bestFit="1" customWidth="1"/>
    <col min="269" max="512" width="9.140625" style="1803"/>
    <col min="513" max="513" width="4.7109375" style="1803" customWidth="1"/>
    <col min="514" max="514" width="6.7109375" style="1803" customWidth="1"/>
    <col min="515" max="515" width="8.85546875" style="1803" customWidth="1"/>
    <col min="516" max="516" width="46.42578125" style="1803" customWidth="1"/>
    <col min="517" max="517" width="12.85546875" style="1803" customWidth="1"/>
    <col min="518" max="518" width="15.5703125" style="1803" customWidth="1"/>
    <col min="519" max="519" width="15.85546875" style="1803" customWidth="1"/>
    <col min="520" max="520" width="6.42578125" style="1803" customWidth="1"/>
    <col min="521" max="521" width="14.28515625" style="1803" bestFit="1" customWidth="1"/>
    <col min="522" max="522" width="9.140625" style="1803"/>
    <col min="523" max="524" width="16" style="1803" bestFit="1" customWidth="1"/>
    <col min="525" max="768" width="9.140625" style="1803"/>
    <col min="769" max="769" width="4.7109375" style="1803" customWidth="1"/>
    <col min="770" max="770" width="6.7109375" style="1803" customWidth="1"/>
    <col min="771" max="771" width="8.85546875" style="1803" customWidth="1"/>
    <col min="772" max="772" width="46.42578125" style="1803" customWidth="1"/>
    <col min="773" max="773" width="12.85546875" style="1803" customWidth="1"/>
    <col min="774" max="774" width="15.5703125" style="1803" customWidth="1"/>
    <col min="775" max="775" width="15.85546875" style="1803" customWidth="1"/>
    <col min="776" max="776" width="6.42578125" style="1803" customWidth="1"/>
    <col min="777" max="777" width="14.28515625" style="1803" bestFit="1" customWidth="1"/>
    <col min="778" max="778" width="9.140625" style="1803"/>
    <col min="779" max="780" width="16" style="1803" bestFit="1" customWidth="1"/>
    <col min="781" max="1024" width="9.140625" style="1803"/>
    <col min="1025" max="1025" width="4.7109375" style="1803" customWidth="1"/>
    <col min="1026" max="1026" width="6.7109375" style="1803" customWidth="1"/>
    <col min="1027" max="1027" width="8.85546875" style="1803" customWidth="1"/>
    <col min="1028" max="1028" width="46.42578125" style="1803" customWidth="1"/>
    <col min="1029" max="1029" width="12.85546875" style="1803" customWidth="1"/>
    <col min="1030" max="1030" width="15.5703125" style="1803" customWidth="1"/>
    <col min="1031" max="1031" width="15.85546875" style="1803" customWidth="1"/>
    <col min="1032" max="1032" width="6.42578125" style="1803" customWidth="1"/>
    <col min="1033" max="1033" width="14.28515625" style="1803" bestFit="1" customWidth="1"/>
    <col min="1034" max="1034" width="9.140625" style="1803"/>
    <col min="1035" max="1036" width="16" style="1803" bestFit="1" customWidth="1"/>
    <col min="1037" max="1280" width="9.140625" style="1803"/>
    <col min="1281" max="1281" width="4.7109375" style="1803" customWidth="1"/>
    <col min="1282" max="1282" width="6.7109375" style="1803" customWidth="1"/>
    <col min="1283" max="1283" width="8.85546875" style="1803" customWidth="1"/>
    <col min="1284" max="1284" width="46.42578125" style="1803" customWidth="1"/>
    <col min="1285" max="1285" width="12.85546875" style="1803" customWidth="1"/>
    <col min="1286" max="1286" width="15.5703125" style="1803" customWidth="1"/>
    <col min="1287" max="1287" width="15.85546875" style="1803" customWidth="1"/>
    <col min="1288" max="1288" width="6.42578125" style="1803" customWidth="1"/>
    <col min="1289" max="1289" width="14.28515625" style="1803" bestFit="1" customWidth="1"/>
    <col min="1290" max="1290" width="9.140625" style="1803"/>
    <col min="1291" max="1292" width="16" style="1803" bestFit="1" customWidth="1"/>
    <col min="1293" max="1536" width="9.140625" style="1803"/>
    <col min="1537" max="1537" width="4.7109375" style="1803" customWidth="1"/>
    <col min="1538" max="1538" width="6.7109375" style="1803" customWidth="1"/>
    <col min="1539" max="1539" width="8.85546875" style="1803" customWidth="1"/>
    <col min="1540" max="1540" width="46.42578125" style="1803" customWidth="1"/>
    <col min="1541" max="1541" width="12.85546875" style="1803" customWidth="1"/>
    <col min="1542" max="1542" width="15.5703125" style="1803" customWidth="1"/>
    <col min="1543" max="1543" width="15.85546875" style="1803" customWidth="1"/>
    <col min="1544" max="1544" width="6.42578125" style="1803" customWidth="1"/>
    <col min="1545" max="1545" width="14.28515625" style="1803" bestFit="1" customWidth="1"/>
    <col min="1546" max="1546" width="9.140625" style="1803"/>
    <col min="1547" max="1548" width="16" style="1803" bestFit="1" customWidth="1"/>
    <col min="1549" max="1792" width="9.140625" style="1803"/>
    <col min="1793" max="1793" width="4.7109375" style="1803" customWidth="1"/>
    <col min="1794" max="1794" width="6.7109375" style="1803" customWidth="1"/>
    <col min="1795" max="1795" width="8.85546875" style="1803" customWidth="1"/>
    <col min="1796" max="1796" width="46.42578125" style="1803" customWidth="1"/>
    <col min="1797" max="1797" width="12.85546875" style="1803" customWidth="1"/>
    <col min="1798" max="1798" width="15.5703125" style="1803" customWidth="1"/>
    <col min="1799" max="1799" width="15.85546875" style="1803" customWidth="1"/>
    <col min="1800" max="1800" width="6.42578125" style="1803" customWidth="1"/>
    <col min="1801" max="1801" width="14.28515625" style="1803" bestFit="1" customWidth="1"/>
    <col min="1802" max="1802" width="9.140625" style="1803"/>
    <col min="1803" max="1804" width="16" style="1803" bestFit="1" customWidth="1"/>
    <col min="1805" max="2048" width="9.140625" style="1803"/>
    <col min="2049" max="2049" width="4.7109375" style="1803" customWidth="1"/>
    <col min="2050" max="2050" width="6.7109375" style="1803" customWidth="1"/>
    <col min="2051" max="2051" width="8.85546875" style="1803" customWidth="1"/>
    <col min="2052" max="2052" width="46.42578125" style="1803" customWidth="1"/>
    <col min="2053" max="2053" width="12.85546875" style="1803" customWidth="1"/>
    <col min="2054" max="2054" width="15.5703125" style="1803" customWidth="1"/>
    <col min="2055" max="2055" width="15.85546875" style="1803" customWidth="1"/>
    <col min="2056" max="2056" width="6.42578125" style="1803" customWidth="1"/>
    <col min="2057" max="2057" width="14.28515625" style="1803" bestFit="1" customWidth="1"/>
    <col min="2058" max="2058" width="9.140625" style="1803"/>
    <col min="2059" max="2060" width="16" style="1803" bestFit="1" customWidth="1"/>
    <col min="2061" max="2304" width="9.140625" style="1803"/>
    <col min="2305" max="2305" width="4.7109375" style="1803" customWidth="1"/>
    <col min="2306" max="2306" width="6.7109375" style="1803" customWidth="1"/>
    <col min="2307" max="2307" width="8.85546875" style="1803" customWidth="1"/>
    <col min="2308" max="2308" width="46.42578125" style="1803" customWidth="1"/>
    <col min="2309" max="2309" width="12.85546875" style="1803" customWidth="1"/>
    <col min="2310" max="2310" width="15.5703125" style="1803" customWidth="1"/>
    <col min="2311" max="2311" width="15.85546875" style="1803" customWidth="1"/>
    <col min="2312" max="2312" width="6.42578125" style="1803" customWidth="1"/>
    <col min="2313" max="2313" width="14.28515625" style="1803" bestFit="1" customWidth="1"/>
    <col min="2314" max="2314" width="9.140625" style="1803"/>
    <col min="2315" max="2316" width="16" style="1803" bestFit="1" customWidth="1"/>
    <col min="2317" max="2560" width="9.140625" style="1803"/>
    <col min="2561" max="2561" width="4.7109375" style="1803" customWidth="1"/>
    <col min="2562" max="2562" width="6.7109375" style="1803" customWidth="1"/>
    <col min="2563" max="2563" width="8.85546875" style="1803" customWidth="1"/>
    <col min="2564" max="2564" width="46.42578125" style="1803" customWidth="1"/>
    <col min="2565" max="2565" width="12.85546875" style="1803" customWidth="1"/>
    <col min="2566" max="2566" width="15.5703125" style="1803" customWidth="1"/>
    <col min="2567" max="2567" width="15.85546875" style="1803" customWidth="1"/>
    <col min="2568" max="2568" width="6.42578125" style="1803" customWidth="1"/>
    <col min="2569" max="2569" width="14.28515625" style="1803" bestFit="1" customWidth="1"/>
    <col min="2570" max="2570" width="9.140625" style="1803"/>
    <col min="2571" max="2572" width="16" style="1803" bestFit="1" customWidth="1"/>
    <col min="2573" max="2816" width="9.140625" style="1803"/>
    <col min="2817" max="2817" width="4.7109375" style="1803" customWidth="1"/>
    <col min="2818" max="2818" width="6.7109375" style="1803" customWidth="1"/>
    <col min="2819" max="2819" width="8.85546875" style="1803" customWidth="1"/>
    <col min="2820" max="2820" width="46.42578125" style="1803" customWidth="1"/>
    <col min="2821" max="2821" width="12.85546875" style="1803" customWidth="1"/>
    <col min="2822" max="2822" width="15.5703125" style="1803" customWidth="1"/>
    <col min="2823" max="2823" width="15.85546875" style="1803" customWidth="1"/>
    <col min="2824" max="2824" width="6.42578125" style="1803" customWidth="1"/>
    <col min="2825" max="2825" width="14.28515625" style="1803" bestFit="1" customWidth="1"/>
    <col min="2826" max="2826" width="9.140625" style="1803"/>
    <col min="2827" max="2828" width="16" style="1803" bestFit="1" customWidth="1"/>
    <col min="2829" max="3072" width="9.140625" style="1803"/>
    <col min="3073" max="3073" width="4.7109375" style="1803" customWidth="1"/>
    <col min="3074" max="3074" width="6.7109375" style="1803" customWidth="1"/>
    <col min="3075" max="3075" width="8.85546875" style="1803" customWidth="1"/>
    <col min="3076" max="3076" width="46.42578125" style="1803" customWidth="1"/>
    <col min="3077" max="3077" width="12.85546875" style="1803" customWidth="1"/>
    <col min="3078" max="3078" width="15.5703125" style="1803" customWidth="1"/>
    <col min="3079" max="3079" width="15.85546875" style="1803" customWidth="1"/>
    <col min="3080" max="3080" width="6.42578125" style="1803" customWidth="1"/>
    <col min="3081" max="3081" width="14.28515625" style="1803" bestFit="1" customWidth="1"/>
    <col min="3082" max="3082" width="9.140625" style="1803"/>
    <col min="3083" max="3084" width="16" style="1803" bestFit="1" customWidth="1"/>
    <col min="3085" max="3328" width="9.140625" style="1803"/>
    <col min="3329" max="3329" width="4.7109375" style="1803" customWidth="1"/>
    <col min="3330" max="3330" width="6.7109375" style="1803" customWidth="1"/>
    <col min="3331" max="3331" width="8.85546875" style="1803" customWidth="1"/>
    <col min="3332" max="3332" width="46.42578125" style="1803" customWidth="1"/>
    <col min="3333" max="3333" width="12.85546875" style="1803" customWidth="1"/>
    <col min="3334" max="3334" width="15.5703125" style="1803" customWidth="1"/>
    <col min="3335" max="3335" width="15.85546875" style="1803" customWidth="1"/>
    <col min="3336" max="3336" width="6.42578125" style="1803" customWidth="1"/>
    <col min="3337" max="3337" width="14.28515625" style="1803" bestFit="1" customWidth="1"/>
    <col min="3338" max="3338" width="9.140625" style="1803"/>
    <col min="3339" max="3340" width="16" style="1803" bestFit="1" customWidth="1"/>
    <col min="3341" max="3584" width="9.140625" style="1803"/>
    <col min="3585" max="3585" width="4.7109375" style="1803" customWidth="1"/>
    <col min="3586" max="3586" width="6.7109375" style="1803" customWidth="1"/>
    <col min="3587" max="3587" width="8.85546875" style="1803" customWidth="1"/>
    <col min="3588" max="3588" width="46.42578125" style="1803" customWidth="1"/>
    <col min="3589" max="3589" width="12.85546875" style="1803" customWidth="1"/>
    <col min="3590" max="3590" width="15.5703125" style="1803" customWidth="1"/>
    <col min="3591" max="3591" width="15.85546875" style="1803" customWidth="1"/>
    <col min="3592" max="3592" width="6.42578125" style="1803" customWidth="1"/>
    <col min="3593" max="3593" width="14.28515625" style="1803" bestFit="1" customWidth="1"/>
    <col min="3594" max="3594" width="9.140625" style="1803"/>
    <col min="3595" max="3596" width="16" style="1803" bestFit="1" customWidth="1"/>
    <col min="3597" max="3840" width="9.140625" style="1803"/>
    <col min="3841" max="3841" width="4.7109375" style="1803" customWidth="1"/>
    <col min="3842" max="3842" width="6.7109375" style="1803" customWidth="1"/>
    <col min="3843" max="3843" width="8.85546875" style="1803" customWidth="1"/>
    <col min="3844" max="3844" width="46.42578125" style="1803" customWidth="1"/>
    <col min="3845" max="3845" width="12.85546875" style="1803" customWidth="1"/>
    <col min="3846" max="3846" width="15.5703125" style="1803" customWidth="1"/>
    <col min="3847" max="3847" width="15.85546875" style="1803" customWidth="1"/>
    <col min="3848" max="3848" width="6.42578125" style="1803" customWidth="1"/>
    <col min="3849" max="3849" width="14.28515625" style="1803" bestFit="1" customWidth="1"/>
    <col min="3850" max="3850" width="9.140625" style="1803"/>
    <col min="3851" max="3852" width="16" style="1803" bestFit="1" customWidth="1"/>
    <col min="3853" max="4096" width="9.140625" style="1803"/>
    <col min="4097" max="4097" width="4.7109375" style="1803" customWidth="1"/>
    <col min="4098" max="4098" width="6.7109375" style="1803" customWidth="1"/>
    <col min="4099" max="4099" width="8.85546875" style="1803" customWidth="1"/>
    <col min="4100" max="4100" width="46.42578125" style="1803" customWidth="1"/>
    <col min="4101" max="4101" width="12.85546875" style="1803" customWidth="1"/>
    <col min="4102" max="4102" width="15.5703125" style="1803" customWidth="1"/>
    <col min="4103" max="4103" width="15.85546875" style="1803" customWidth="1"/>
    <col min="4104" max="4104" width="6.42578125" style="1803" customWidth="1"/>
    <col min="4105" max="4105" width="14.28515625" style="1803" bestFit="1" customWidth="1"/>
    <col min="4106" max="4106" width="9.140625" style="1803"/>
    <col min="4107" max="4108" width="16" style="1803" bestFit="1" customWidth="1"/>
    <col min="4109" max="4352" width="9.140625" style="1803"/>
    <col min="4353" max="4353" width="4.7109375" style="1803" customWidth="1"/>
    <col min="4354" max="4354" width="6.7109375" style="1803" customWidth="1"/>
    <col min="4355" max="4355" width="8.85546875" style="1803" customWidth="1"/>
    <col min="4356" max="4356" width="46.42578125" style="1803" customWidth="1"/>
    <col min="4357" max="4357" width="12.85546875" style="1803" customWidth="1"/>
    <col min="4358" max="4358" width="15.5703125" style="1803" customWidth="1"/>
    <col min="4359" max="4359" width="15.85546875" style="1803" customWidth="1"/>
    <col min="4360" max="4360" width="6.42578125" style="1803" customWidth="1"/>
    <col min="4361" max="4361" width="14.28515625" style="1803" bestFit="1" customWidth="1"/>
    <col min="4362" max="4362" width="9.140625" style="1803"/>
    <col min="4363" max="4364" width="16" style="1803" bestFit="1" customWidth="1"/>
    <col min="4365" max="4608" width="9.140625" style="1803"/>
    <col min="4609" max="4609" width="4.7109375" style="1803" customWidth="1"/>
    <col min="4610" max="4610" width="6.7109375" style="1803" customWidth="1"/>
    <col min="4611" max="4611" width="8.85546875" style="1803" customWidth="1"/>
    <col min="4612" max="4612" width="46.42578125" style="1803" customWidth="1"/>
    <col min="4613" max="4613" width="12.85546875" style="1803" customWidth="1"/>
    <col min="4614" max="4614" width="15.5703125" style="1803" customWidth="1"/>
    <col min="4615" max="4615" width="15.85546875" style="1803" customWidth="1"/>
    <col min="4616" max="4616" width="6.42578125" style="1803" customWidth="1"/>
    <col min="4617" max="4617" width="14.28515625" style="1803" bestFit="1" customWidth="1"/>
    <col min="4618" max="4618" width="9.140625" style="1803"/>
    <col min="4619" max="4620" width="16" style="1803" bestFit="1" customWidth="1"/>
    <col min="4621" max="4864" width="9.140625" style="1803"/>
    <col min="4865" max="4865" width="4.7109375" style="1803" customWidth="1"/>
    <col min="4866" max="4866" width="6.7109375" style="1803" customWidth="1"/>
    <col min="4867" max="4867" width="8.85546875" style="1803" customWidth="1"/>
    <col min="4868" max="4868" width="46.42578125" style="1803" customWidth="1"/>
    <col min="4869" max="4869" width="12.85546875" style="1803" customWidth="1"/>
    <col min="4870" max="4870" width="15.5703125" style="1803" customWidth="1"/>
    <col min="4871" max="4871" width="15.85546875" style="1803" customWidth="1"/>
    <col min="4872" max="4872" width="6.42578125" style="1803" customWidth="1"/>
    <col min="4873" max="4873" width="14.28515625" style="1803" bestFit="1" customWidth="1"/>
    <col min="4874" max="4874" width="9.140625" style="1803"/>
    <col min="4875" max="4876" width="16" style="1803" bestFit="1" customWidth="1"/>
    <col min="4877" max="5120" width="9.140625" style="1803"/>
    <col min="5121" max="5121" width="4.7109375" style="1803" customWidth="1"/>
    <col min="5122" max="5122" width="6.7109375" style="1803" customWidth="1"/>
    <col min="5123" max="5123" width="8.85546875" style="1803" customWidth="1"/>
    <col min="5124" max="5124" width="46.42578125" style="1803" customWidth="1"/>
    <col min="5125" max="5125" width="12.85546875" style="1803" customWidth="1"/>
    <col min="5126" max="5126" width="15.5703125" style="1803" customWidth="1"/>
    <col min="5127" max="5127" width="15.85546875" style="1803" customWidth="1"/>
    <col min="5128" max="5128" width="6.42578125" style="1803" customWidth="1"/>
    <col min="5129" max="5129" width="14.28515625" style="1803" bestFit="1" customWidth="1"/>
    <col min="5130" max="5130" width="9.140625" style="1803"/>
    <col min="5131" max="5132" width="16" style="1803" bestFit="1" customWidth="1"/>
    <col min="5133" max="5376" width="9.140625" style="1803"/>
    <col min="5377" max="5377" width="4.7109375" style="1803" customWidth="1"/>
    <col min="5378" max="5378" width="6.7109375" style="1803" customWidth="1"/>
    <col min="5379" max="5379" width="8.85546875" style="1803" customWidth="1"/>
    <col min="5380" max="5380" width="46.42578125" style="1803" customWidth="1"/>
    <col min="5381" max="5381" width="12.85546875" style="1803" customWidth="1"/>
    <col min="5382" max="5382" width="15.5703125" style="1803" customWidth="1"/>
    <col min="5383" max="5383" width="15.85546875" style="1803" customWidth="1"/>
    <col min="5384" max="5384" width="6.42578125" style="1803" customWidth="1"/>
    <col min="5385" max="5385" width="14.28515625" style="1803" bestFit="1" customWidth="1"/>
    <col min="5386" max="5386" width="9.140625" style="1803"/>
    <col min="5387" max="5388" width="16" style="1803" bestFit="1" customWidth="1"/>
    <col min="5389" max="5632" width="9.140625" style="1803"/>
    <col min="5633" max="5633" width="4.7109375" style="1803" customWidth="1"/>
    <col min="5634" max="5634" width="6.7109375" style="1803" customWidth="1"/>
    <col min="5635" max="5635" width="8.85546875" style="1803" customWidth="1"/>
    <col min="5636" max="5636" width="46.42578125" style="1803" customWidth="1"/>
    <col min="5637" max="5637" width="12.85546875" style="1803" customWidth="1"/>
    <col min="5638" max="5638" width="15.5703125" style="1803" customWidth="1"/>
    <col min="5639" max="5639" width="15.85546875" style="1803" customWidth="1"/>
    <col min="5640" max="5640" width="6.42578125" style="1803" customWidth="1"/>
    <col min="5641" max="5641" width="14.28515625" style="1803" bestFit="1" customWidth="1"/>
    <col min="5642" max="5642" width="9.140625" style="1803"/>
    <col min="5643" max="5644" width="16" style="1803" bestFit="1" customWidth="1"/>
    <col min="5645" max="5888" width="9.140625" style="1803"/>
    <col min="5889" max="5889" width="4.7109375" style="1803" customWidth="1"/>
    <col min="5890" max="5890" width="6.7109375" style="1803" customWidth="1"/>
    <col min="5891" max="5891" width="8.85546875" style="1803" customWidth="1"/>
    <col min="5892" max="5892" width="46.42578125" style="1803" customWidth="1"/>
    <col min="5893" max="5893" width="12.85546875" style="1803" customWidth="1"/>
    <col min="5894" max="5894" width="15.5703125" style="1803" customWidth="1"/>
    <col min="5895" max="5895" width="15.85546875" style="1803" customWidth="1"/>
    <col min="5896" max="5896" width="6.42578125" style="1803" customWidth="1"/>
    <col min="5897" max="5897" width="14.28515625" style="1803" bestFit="1" customWidth="1"/>
    <col min="5898" max="5898" width="9.140625" style="1803"/>
    <col min="5899" max="5900" width="16" style="1803" bestFit="1" customWidth="1"/>
    <col min="5901" max="6144" width="9.140625" style="1803"/>
    <col min="6145" max="6145" width="4.7109375" style="1803" customWidth="1"/>
    <col min="6146" max="6146" width="6.7109375" style="1803" customWidth="1"/>
    <col min="6147" max="6147" width="8.85546875" style="1803" customWidth="1"/>
    <col min="6148" max="6148" width="46.42578125" style="1803" customWidth="1"/>
    <col min="6149" max="6149" width="12.85546875" style="1803" customWidth="1"/>
    <col min="6150" max="6150" width="15.5703125" style="1803" customWidth="1"/>
    <col min="6151" max="6151" width="15.85546875" style="1803" customWidth="1"/>
    <col min="6152" max="6152" width="6.42578125" style="1803" customWidth="1"/>
    <col min="6153" max="6153" width="14.28515625" style="1803" bestFit="1" customWidth="1"/>
    <col min="6154" max="6154" width="9.140625" style="1803"/>
    <col min="6155" max="6156" width="16" style="1803" bestFit="1" customWidth="1"/>
    <col min="6157" max="6400" width="9.140625" style="1803"/>
    <col min="6401" max="6401" width="4.7109375" style="1803" customWidth="1"/>
    <col min="6402" max="6402" width="6.7109375" style="1803" customWidth="1"/>
    <col min="6403" max="6403" width="8.85546875" style="1803" customWidth="1"/>
    <col min="6404" max="6404" width="46.42578125" style="1803" customWidth="1"/>
    <col min="6405" max="6405" width="12.85546875" style="1803" customWidth="1"/>
    <col min="6406" max="6406" width="15.5703125" style="1803" customWidth="1"/>
    <col min="6407" max="6407" width="15.85546875" style="1803" customWidth="1"/>
    <col min="6408" max="6408" width="6.42578125" style="1803" customWidth="1"/>
    <col min="6409" max="6409" width="14.28515625" style="1803" bestFit="1" customWidth="1"/>
    <col min="6410" max="6410" width="9.140625" style="1803"/>
    <col min="6411" max="6412" width="16" style="1803" bestFit="1" customWidth="1"/>
    <col min="6413" max="6656" width="9.140625" style="1803"/>
    <col min="6657" max="6657" width="4.7109375" style="1803" customWidth="1"/>
    <col min="6658" max="6658" width="6.7109375" style="1803" customWidth="1"/>
    <col min="6659" max="6659" width="8.85546875" style="1803" customWidth="1"/>
    <col min="6660" max="6660" width="46.42578125" style="1803" customWidth="1"/>
    <col min="6661" max="6661" width="12.85546875" style="1803" customWidth="1"/>
    <col min="6662" max="6662" width="15.5703125" style="1803" customWidth="1"/>
    <col min="6663" max="6663" width="15.85546875" style="1803" customWidth="1"/>
    <col min="6664" max="6664" width="6.42578125" style="1803" customWidth="1"/>
    <col min="6665" max="6665" width="14.28515625" style="1803" bestFit="1" customWidth="1"/>
    <col min="6666" max="6666" width="9.140625" style="1803"/>
    <col min="6667" max="6668" width="16" style="1803" bestFit="1" customWidth="1"/>
    <col min="6669" max="6912" width="9.140625" style="1803"/>
    <col min="6913" max="6913" width="4.7109375" style="1803" customWidth="1"/>
    <col min="6914" max="6914" width="6.7109375" style="1803" customWidth="1"/>
    <col min="6915" max="6915" width="8.85546875" style="1803" customWidth="1"/>
    <col min="6916" max="6916" width="46.42578125" style="1803" customWidth="1"/>
    <col min="6917" max="6917" width="12.85546875" style="1803" customWidth="1"/>
    <col min="6918" max="6918" width="15.5703125" style="1803" customWidth="1"/>
    <col min="6919" max="6919" width="15.85546875" style="1803" customWidth="1"/>
    <col min="6920" max="6920" width="6.42578125" style="1803" customWidth="1"/>
    <col min="6921" max="6921" width="14.28515625" style="1803" bestFit="1" customWidth="1"/>
    <col min="6922" max="6922" width="9.140625" style="1803"/>
    <col min="6923" max="6924" width="16" style="1803" bestFit="1" customWidth="1"/>
    <col min="6925" max="7168" width="9.140625" style="1803"/>
    <col min="7169" max="7169" width="4.7109375" style="1803" customWidth="1"/>
    <col min="7170" max="7170" width="6.7109375" style="1803" customWidth="1"/>
    <col min="7171" max="7171" width="8.85546875" style="1803" customWidth="1"/>
    <col min="7172" max="7172" width="46.42578125" style="1803" customWidth="1"/>
    <col min="7173" max="7173" width="12.85546875" style="1803" customWidth="1"/>
    <col min="7174" max="7174" width="15.5703125" style="1803" customWidth="1"/>
    <col min="7175" max="7175" width="15.85546875" style="1803" customWidth="1"/>
    <col min="7176" max="7176" width="6.42578125" style="1803" customWidth="1"/>
    <col min="7177" max="7177" width="14.28515625" style="1803" bestFit="1" customWidth="1"/>
    <col min="7178" max="7178" width="9.140625" style="1803"/>
    <col min="7179" max="7180" width="16" style="1803" bestFit="1" customWidth="1"/>
    <col min="7181" max="7424" width="9.140625" style="1803"/>
    <col min="7425" max="7425" width="4.7109375" style="1803" customWidth="1"/>
    <col min="7426" max="7426" width="6.7109375" style="1803" customWidth="1"/>
    <col min="7427" max="7427" width="8.85546875" style="1803" customWidth="1"/>
    <col min="7428" max="7428" width="46.42578125" style="1803" customWidth="1"/>
    <col min="7429" max="7429" width="12.85546875" style="1803" customWidth="1"/>
    <col min="7430" max="7430" width="15.5703125" style="1803" customWidth="1"/>
    <col min="7431" max="7431" width="15.85546875" style="1803" customWidth="1"/>
    <col min="7432" max="7432" width="6.42578125" style="1803" customWidth="1"/>
    <col min="7433" max="7433" width="14.28515625" style="1803" bestFit="1" customWidth="1"/>
    <col min="7434" max="7434" width="9.140625" style="1803"/>
    <col min="7435" max="7436" width="16" style="1803" bestFit="1" customWidth="1"/>
    <col min="7437" max="7680" width="9.140625" style="1803"/>
    <col min="7681" max="7681" width="4.7109375" style="1803" customWidth="1"/>
    <col min="7682" max="7682" width="6.7109375" style="1803" customWidth="1"/>
    <col min="7683" max="7683" width="8.85546875" style="1803" customWidth="1"/>
    <col min="7684" max="7684" width="46.42578125" style="1803" customWidth="1"/>
    <col min="7685" max="7685" width="12.85546875" style="1803" customWidth="1"/>
    <col min="7686" max="7686" width="15.5703125" style="1803" customWidth="1"/>
    <col min="7687" max="7687" width="15.85546875" style="1803" customWidth="1"/>
    <col min="7688" max="7688" width="6.42578125" style="1803" customWidth="1"/>
    <col min="7689" max="7689" width="14.28515625" style="1803" bestFit="1" customWidth="1"/>
    <col min="7690" max="7690" width="9.140625" style="1803"/>
    <col min="7691" max="7692" width="16" style="1803" bestFit="1" customWidth="1"/>
    <col min="7693" max="7936" width="9.140625" style="1803"/>
    <col min="7937" max="7937" width="4.7109375" style="1803" customWidth="1"/>
    <col min="7938" max="7938" width="6.7109375" style="1803" customWidth="1"/>
    <col min="7939" max="7939" width="8.85546875" style="1803" customWidth="1"/>
    <col min="7940" max="7940" width="46.42578125" style="1803" customWidth="1"/>
    <col min="7941" max="7941" width="12.85546875" style="1803" customWidth="1"/>
    <col min="7942" max="7942" width="15.5703125" style="1803" customWidth="1"/>
    <col min="7943" max="7943" width="15.85546875" style="1803" customWidth="1"/>
    <col min="7944" max="7944" width="6.42578125" style="1803" customWidth="1"/>
    <col min="7945" max="7945" width="14.28515625" style="1803" bestFit="1" customWidth="1"/>
    <col min="7946" max="7946" width="9.140625" style="1803"/>
    <col min="7947" max="7948" width="16" style="1803" bestFit="1" customWidth="1"/>
    <col min="7949" max="8192" width="9.140625" style="1803"/>
    <col min="8193" max="8193" width="4.7109375" style="1803" customWidth="1"/>
    <col min="8194" max="8194" width="6.7109375" style="1803" customWidth="1"/>
    <col min="8195" max="8195" width="8.85546875" style="1803" customWidth="1"/>
    <col min="8196" max="8196" width="46.42578125" style="1803" customWidth="1"/>
    <col min="8197" max="8197" width="12.85546875" style="1803" customWidth="1"/>
    <col min="8198" max="8198" width="15.5703125" style="1803" customWidth="1"/>
    <col min="8199" max="8199" width="15.85546875" style="1803" customWidth="1"/>
    <col min="8200" max="8200" width="6.42578125" style="1803" customWidth="1"/>
    <col min="8201" max="8201" width="14.28515625" style="1803" bestFit="1" customWidth="1"/>
    <col min="8202" max="8202" width="9.140625" style="1803"/>
    <col min="8203" max="8204" width="16" style="1803" bestFit="1" customWidth="1"/>
    <col min="8205" max="8448" width="9.140625" style="1803"/>
    <col min="8449" max="8449" width="4.7109375" style="1803" customWidth="1"/>
    <col min="8450" max="8450" width="6.7109375" style="1803" customWidth="1"/>
    <col min="8451" max="8451" width="8.85546875" style="1803" customWidth="1"/>
    <col min="8452" max="8452" width="46.42578125" style="1803" customWidth="1"/>
    <col min="8453" max="8453" width="12.85546875" style="1803" customWidth="1"/>
    <col min="8454" max="8454" width="15.5703125" style="1803" customWidth="1"/>
    <col min="8455" max="8455" width="15.85546875" style="1803" customWidth="1"/>
    <col min="8456" max="8456" width="6.42578125" style="1803" customWidth="1"/>
    <col min="8457" max="8457" width="14.28515625" style="1803" bestFit="1" customWidth="1"/>
    <col min="8458" max="8458" width="9.140625" style="1803"/>
    <col min="8459" max="8460" width="16" style="1803" bestFit="1" customWidth="1"/>
    <col min="8461" max="8704" width="9.140625" style="1803"/>
    <col min="8705" max="8705" width="4.7109375" style="1803" customWidth="1"/>
    <col min="8706" max="8706" width="6.7109375" style="1803" customWidth="1"/>
    <col min="8707" max="8707" width="8.85546875" style="1803" customWidth="1"/>
    <col min="8708" max="8708" width="46.42578125" style="1803" customWidth="1"/>
    <col min="8709" max="8709" width="12.85546875" style="1803" customWidth="1"/>
    <col min="8710" max="8710" width="15.5703125" style="1803" customWidth="1"/>
    <col min="8711" max="8711" width="15.85546875" style="1803" customWidth="1"/>
    <col min="8712" max="8712" width="6.42578125" style="1803" customWidth="1"/>
    <col min="8713" max="8713" width="14.28515625" style="1803" bestFit="1" customWidth="1"/>
    <col min="8714" max="8714" width="9.140625" style="1803"/>
    <col min="8715" max="8716" width="16" style="1803" bestFit="1" customWidth="1"/>
    <col min="8717" max="8960" width="9.140625" style="1803"/>
    <col min="8961" max="8961" width="4.7109375" style="1803" customWidth="1"/>
    <col min="8962" max="8962" width="6.7109375" style="1803" customWidth="1"/>
    <col min="8963" max="8963" width="8.85546875" style="1803" customWidth="1"/>
    <col min="8964" max="8964" width="46.42578125" style="1803" customWidth="1"/>
    <col min="8965" max="8965" width="12.85546875" style="1803" customWidth="1"/>
    <col min="8966" max="8966" width="15.5703125" style="1803" customWidth="1"/>
    <col min="8967" max="8967" width="15.85546875" style="1803" customWidth="1"/>
    <col min="8968" max="8968" width="6.42578125" style="1803" customWidth="1"/>
    <col min="8969" max="8969" width="14.28515625" style="1803" bestFit="1" customWidth="1"/>
    <col min="8970" max="8970" width="9.140625" style="1803"/>
    <col min="8971" max="8972" width="16" style="1803" bestFit="1" customWidth="1"/>
    <col min="8973" max="9216" width="9.140625" style="1803"/>
    <col min="9217" max="9217" width="4.7109375" style="1803" customWidth="1"/>
    <col min="9218" max="9218" width="6.7109375" style="1803" customWidth="1"/>
    <col min="9219" max="9219" width="8.85546875" style="1803" customWidth="1"/>
    <col min="9220" max="9220" width="46.42578125" style="1803" customWidth="1"/>
    <col min="9221" max="9221" width="12.85546875" style="1803" customWidth="1"/>
    <col min="9222" max="9222" width="15.5703125" style="1803" customWidth="1"/>
    <col min="9223" max="9223" width="15.85546875" style="1803" customWidth="1"/>
    <col min="9224" max="9224" width="6.42578125" style="1803" customWidth="1"/>
    <col min="9225" max="9225" width="14.28515625" style="1803" bestFit="1" customWidth="1"/>
    <col min="9226" max="9226" width="9.140625" style="1803"/>
    <col min="9227" max="9228" width="16" style="1803" bestFit="1" customWidth="1"/>
    <col min="9229" max="9472" width="9.140625" style="1803"/>
    <col min="9473" max="9473" width="4.7109375" style="1803" customWidth="1"/>
    <col min="9474" max="9474" width="6.7109375" style="1803" customWidth="1"/>
    <col min="9475" max="9475" width="8.85546875" style="1803" customWidth="1"/>
    <col min="9476" max="9476" width="46.42578125" style="1803" customWidth="1"/>
    <col min="9477" max="9477" width="12.85546875" style="1803" customWidth="1"/>
    <col min="9478" max="9478" width="15.5703125" style="1803" customWidth="1"/>
    <col min="9479" max="9479" width="15.85546875" style="1803" customWidth="1"/>
    <col min="9480" max="9480" width="6.42578125" style="1803" customWidth="1"/>
    <col min="9481" max="9481" width="14.28515625" style="1803" bestFit="1" customWidth="1"/>
    <col min="9482" max="9482" width="9.140625" style="1803"/>
    <col min="9483" max="9484" width="16" style="1803" bestFit="1" customWidth="1"/>
    <col min="9485" max="9728" width="9.140625" style="1803"/>
    <col min="9729" max="9729" width="4.7109375" style="1803" customWidth="1"/>
    <col min="9730" max="9730" width="6.7109375" style="1803" customWidth="1"/>
    <col min="9731" max="9731" width="8.85546875" style="1803" customWidth="1"/>
    <col min="9732" max="9732" width="46.42578125" style="1803" customWidth="1"/>
    <col min="9733" max="9733" width="12.85546875" style="1803" customWidth="1"/>
    <col min="9734" max="9734" width="15.5703125" style="1803" customWidth="1"/>
    <col min="9735" max="9735" width="15.85546875" style="1803" customWidth="1"/>
    <col min="9736" max="9736" width="6.42578125" style="1803" customWidth="1"/>
    <col min="9737" max="9737" width="14.28515625" style="1803" bestFit="1" customWidth="1"/>
    <col min="9738" max="9738" width="9.140625" style="1803"/>
    <col min="9739" max="9740" width="16" style="1803" bestFit="1" customWidth="1"/>
    <col min="9741" max="9984" width="9.140625" style="1803"/>
    <col min="9985" max="9985" width="4.7109375" style="1803" customWidth="1"/>
    <col min="9986" max="9986" width="6.7109375" style="1803" customWidth="1"/>
    <col min="9987" max="9987" width="8.85546875" style="1803" customWidth="1"/>
    <col min="9988" max="9988" width="46.42578125" style="1803" customWidth="1"/>
    <col min="9989" max="9989" width="12.85546875" style="1803" customWidth="1"/>
    <col min="9990" max="9990" width="15.5703125" style="1803" customWidth="1"/>
    <col min="9991" max="9991" width="15.85546875" style="1803" customWidth="1"/>
    <col min="9992" max="9992" width="6.42578125" style="1803" customWidth="1"/>
    <col min="9993" max="9993" width="14.28515625" style="1803" bestFit="1" customWidth="1"/>
    <col min="9994" max="9994" width="9.140625" style="1803"/>
    <col min="9995" max="9996" width="16" style="1803" bestFit="1" customWidth="1"/>
    <col min="9997" max="10240" width="9.140625" style="1803"/>
    <col min="10241" max="10241" width="4.7109375" style="1803" customWidth="1"/>
    <col min="10242" max="10242" width="6.7109375" style="1803" customWidth="1"/>
    <col min="10243" max="10243" width="8.85546875" style="1803" customWidth="1"/>
    <col min="10244" max="10244" width="46.42578125" style="1803" customWidth="1"/>
    <col min="10245" max="10245" width="12.85546875" style="1803" customWidth="1"/>
    <col min="10246" max="10246" width="15.5703125" style="1803" customWidth="1"/>
    <col min="10247" max="10247" width="15.85546875" style="1803" customWidth="1"/>
    <col min="10248" max="10248" width="6.42578125" style="1803" customWidth="1"/>
    <col min="10249" max="10249" width="14.28515625" style="1803" bestFit="1" customWidth="1"/>
    <col min="10250" max="10250" width="9.140625" style="1803"/>
    <col min="10251" max="10252" width="16" style="1803" bestFit="1" customWidth="1"/>
    <col min="10253" max="10496" width="9.140625" style="1803"/>
    <col min="10497" max="10497" width="4.7109375" style="1803" customWidth="1"/>
    <col min="10498" max="10498" width="6.7109375" style="1803" customWidth="1"/>
    <col min="10499" max="10499" width="8.85546875" style="1803" customWidth="1"/>
    <col min="10500" max="10500" width="46.42578125" style="1803" customWidth="1"/>
    <col min="10501" max="10501" width="12.85546875" style="1803" customWidth="1"/>
    <col min="10502" max="10502" width="15.5703125" style="1803" customWidth="1"/>
    <col min="10503" max="10503" width="15.85546875" style="1803" customWidth="1"/>
    <col min="10504" max="10504" width="6.42578125" style="1803" customWidth="1"/>
    <col min="10505" max="10505" width="14.28515625" style="1803" bestFit="1" customWidth="1"/>
    <col min="10506" max="10506" width="9.140625" style="1803"/>
    <col min="10507" max="10508" width="16" style="1803" bestFit="1" customWidth="1"/>
    <col min="10509" max="10752" width="9.140625" style="1803"/>
    <col min="10753" max="10753" width="4.7109375" style="1803" customWidth="1"/>
    <col min="10754" max="10754" width="6.7109375" style="1803" customWidth="1"/>
    <col min="10755" max="10755" width="8.85546875" style="1803" customWidth="1"/>
    <col min="10756" max="10756" width="46.42578125" style="1803" customWidth="1"/>
    <col min="10757" max="10757" width="12.85546875" style="1803" customWidth="1"/>
    <col min="10758" max="10758" width="15.5703125" style="1803" customWidth="1"/>
    <col min="10759" max="10759" width="15.85546875" style="1803" customWidth="1"/>
    <col min="10760" max="10760" width="6.42578125" style="1803" customWidth="1"/>
    <col min="10761" max="10761" width="14.28515625" style="1803" bestFit="1" customWidth="1"/>
    <col min="10762" max="10762" width="9.140625" style="1803"/>
    <col min="10763" max="10764" width="16" style="1803" bestFit="1" customWidth="1"/>
    <col min="10765" max="11008" width="9.140625" style="1803"/>
    <col min="11009" max="11009" width="4.7109375" style="1803" customWidth="1"/>
    <col min="11010" max="11010" width="6.7109375" style="1803" customWidth="1"/>
    <col min="11011" max="11011" width="8.85546875" style="1803" customWidth="1"/>
    <col min="11012" max="11012" width="46.42578125" style="1803" customWidth="1"/>
    <col min="11013" max="11013" width="12.85546875" style="1803" customWidth="1"/>
    <col min="11014" max="11014" width="15.5703125" style="1803" customWidth="1"/>
    <col min="11015" max="11015" width="15.85546875" style="1803" customWidth="1"/>
    <col min="11016" max="11016" width="6.42578125" style="1803" customWidth="1"/>
    <col min="11017" max="11017" width="14.28515625" style="1803" bestFit="1" customWidth="1"/>
    <col min="11018" max="11018" width="9.140625" style="1803"/>
    <col min="11019" max="11020" width="16" style="1803" bestFit="1" customWidth="1"/>
    <col min="11021" max="11264" width="9.140625" style="1803"/>
    <col min="11265" max="11265" width="4.7109375" style="1803" customWidth="1"/>
    <col min="11266" max="11266" width="6.7109375" style="1803" customWidth="1"/>
    <col min="11267" max="11267" width="8.85546875" style="1803" customWidth="1"/>
    <col min="11268" max="11268" width="46.42578125" style="1803" customWidth="1"/>
    <col min="11269" max="11269" width="12.85546875" style="1803" customWidth="1"/>
    <col min="11270" max="11270" width="15.5703125" style="1803" customWidth="1"/>
    <col min="11271" max="11271" width="15.85546875" style="1803" customWidth="1"/>
    <col min="11272" max="11272" width="6.42578125" style="1803" customWidth="1"/>
    <col min="11273" max="11273" width="14.28515625" style="1803" bestFit="1" customWidth="1"/>
    <col min="11274" max="11274" width="9.140625" style="1803"/>
    <col min="11275" max="11276" width="16" style="1803" bestFit="1" customWidth="1"/>
    <col min="11277" max="11520" width="9.140625" style="1803"/>
    <col min="11521" max="11521" width="4.7109375" style="1803" customWidth="1"/>
    <col min="11522" max="11522" width="6.7109375" style="1803" customWidth="1"/>
    <col min="11523" max="11523" width="8.85546875" style="1803" customWidth="1"/>
    <col min="11524" max="11524" width="46.42578125" style="1803" customWidth="1"/>
    <col min="11525" max="11525" width="12.85546875" style="1803" customWidth="1"/>
    <col min="11526" max="11526" width="15.5703125" style="1803" customWidth="1"/>
    <col min="11527" max="11527" width="15.85546875" style="1803" customWidth="1"/>
    <col min="11528" max="11528" width="6.42578125" style="1803" customWidth="1"/>
    <col min="11529" max="11529" width="14.28515625" style="1803" bestFit="1" customWidth="1"/>
    <col min="11530" max="11530" width="9.140625" style="1803"/>
    <col min="11531" max="11532" width="16" style="1803" bestFit="1" customWidth="1"/>
    <col min="11533" max="11776" width="9.140625" style="1803"/>
    <col min="11777" max="11777" width="4.7109375" style="1803" customWidth="1"/>
    <col min="11778" max="11778" width="6.7109375" style="1803" customWidth="1"/>
    <col min="11779" max="11779" width="8.85546875" style="1803" customWidth="1"/>
    <col min="11780" max="11780" width="46.42578125" style="1803" customWidth="1"/>
    <col min="11781" max="11781" width="12.85546875" style="1803" customWidth="1"/>
    <col min="11782" max="11782" width="15.5703125" style="1803" customWidth="1"/>
    <col min="11783" max="11783" width="15.85546875" style="1803" customWidth="1"/>
    <col min="11784" max="11784" width="6.42578125" style="1803" customWidth="1"/>
    <col min="11785" max="11785" width="14.28515625" style="1803" bestFit="1" customWidth="1"/>
    <col min="11786" max="11786" width="9.140625" style="1803"/>
    <col min="11787" max="11788" width="16" style="1803" bestFit="1" customWidth="1"/>
    <col min="11789" max="12032" width="9.140625" style="1803"/>
    <col min="12033" max="12033" width="4.7109375" style="1803" customWidth="1"/>
    <col min="12034" max="12034" width="6.7109375" style="1803" customWidth="1"/>
    <col min="12035" max="12035" width="8.85546875" style="1803" customWidth="1"/>
    <col min="12036" max="12036" width="46.42578125" style="1803" customWidth="1"/>
    <col min="12037" max="12037" width="12.85546875" style="1803" customWidth="1"/>
    <col min="12038" max="12038" width="15.5703125" style="1803" customWidth="1"/>
    <col min="12039" max="12039" width="15.85546875" style="1803" customWidth="1"/>
    <col min="12040" max="12040" width="6.42578125" style="1803" customWidth="1"/>
    <col min="12041" max="12041" width="14.28515625" style="1803" bestFit="1" customWidth="1"/>
    <col min="12042" max="12042" width="9.140625" style="1803"/>
    <col min="12043" max="12044" width="16" style="1803" bestFit="1" customWidth="1"/>
    <col min="12045" max="12288" width="9.140625" style="1803"/>
    <col min="12289" max="12289" width="4.7109375" style="1803" customWidth="1"/>
    <col min="12290" max="12290" width="6.7109375" style="1803" customWidth="1"/>
    <col min="12291" max="12291" width="8.85546875" style="1803" customWidth="1"/>
    <col min="12292" max="12292" width="46.42578125" style="1803" customWidth="1"/>
    <col min="12293" max="12293" width="12.85546875" style="1803" customWidth="1"/>
    <col min="12294" max="12294" width="15.5703125" style="1803" customWidth="1"/>
    <col min="12295" max="12295" width="15.85546875" style="1803" customWidth="1"/>
    <col min="12296" max="12296" width="6.42578125" style="1803" customWidth="1"/>
    <col min="12297" max="12297" width="14.28515625" style="1803" bestFit="1" customWidth="1"/>
    <col min="12298" max="12298" width="9.140625" style="1803"/>
    <col min="12299" max="12300" width="16" style="1803" bestFit="1" customWidth="1"/>
    <col min="12301" max="12544" width="9.140625" style="1803"/>
    <col min="12545" max="12545" width="4.7109375" style="1803" customWidth="1"/>
    <col min="12546" max="12546" width="6.7109375" style="1803" customWidth="1"/>
    <col min="12547" max="12547" width="8.85546875" style="1803" customWidth="1"/>
    <col min="12548" max="12548" width="46.42578125" style="1803" customWidth="1"/>
    <col min="12549" max="12549" width="12.85546875" style="1803" customWidth="1"/>
    <col min="12550" max="12550" width="15.5703125" style="1803" customWidth="1"/>
    <col min="12551" max="12551" width="15.85546875" style="1803" customWidth="1"/>
    <col min="12552" max="12552" width="6.42578125" style="1803" customWidth="1"/>
    <col min="12553" max="12553" width="14.28515625" style="1803" bestFit="1" customWidth="1"/>
    <col min="12554" max="12554" width="9.140625" style="1803"/>
    <col min="12555" max="12556" width="16" style="1803" bestFit="1" customWidth="1"/>
    <col min="12557" max="12800" width="9.140625" style="1803"/>
    <col min="12801" max="12801" width="4.7109375" style="1803" customWidth="1"/>
    <col min="12802" max="12802" width="6.7109375" style="1803" customWidth="1"/>
    <col min="12803" max="12803" width="8.85546875" style="1803" customWidth="1"/>
    <col min="12804" max="12804" width="46.42578125" style="1803" customWidth="1"/>
    <col min="12805" max="12805" width="12.85546875" style="1803" customWidth="1"/>
    <col min="12806" max="12806" width="15.5703125" style="1803" customWidth="1"/>
    <col min="12807" max="12807" width="15.85546875" style="1803" customWidth="1"/>
    <col min="12808" max="12808" width="6.42578125" style="1803" customWidth="1"/>
    <col min="12809" max="12809" width="14.28515625" style="1803" bestFit="1" customWidth="1"/>
    <col min="12810" max="12810" width="9.140625" style="1803"/>
    <col min="12811" max="12812" width="16" style="1803" bestFit="1" customWidth="1"/>
    <col min="12813" max="13056" width="9.140625" style="1803"/>
    <col min="13057" max="13057" width="4.7109375" style="1803" customWidth="1"/>
    <col min="13058" max="13058" width="6.7109375" style="1803" customWidth="1"/>
    <col min="13059" max="13059" width="8.85546875" style="1803" customWidth="1"/>
    <col min="13060" max="13060" width="46.42578125" style="1803" customWidth="1"/>
    <col min="13061" max="13061" width="12.85546875" style="1803" customWidth="1"/>
    <col min="13062" max="13062" width="15.5703125" style="1803" customWidth="1"/>
    <col min="13063" max="13063" width="15.85546875" style="1803" customWidth="1"/>
    <col min="13064" max="13064" width="6.42578125" style="1803" customWidth="1"/>
    <col min="13065" max="13065" width="14.28515625" style="1803" bestFit="1" customWidth="1"/>
    <col min="13066" max="13066" width="9.140625" style="1803"/>
    <col min="13067" max="13068" width="16" style="1803" bestFit="1" customWidth="1"/>
    <col min="13069" max="13312" width="9.140625" style="1803"/>
    <col min="13313" max="13313" width="4.7109375" style="1803" customWidth="1"/>
    <col min="13314" max="13314" width="6.7109375" style="1803" customWidth="1"/>
    <col min="13315" max="13315" width="8.85546875" style="1803" customWidth="1"/>
    <col min="13316" max="13316" width="46.42578125" style="1803" customWidth="1"/>
    <col min="13317" max="13317" width="12.85546875" style="1803" customWidth="1"/>
    <col min="13318" max="13318" width="15.5703125" style="1803" customWidth="1"/>
    <col min="13319" max="13319" width="15.85546875" style="1803" customWidth="1"/>
    <col min="13320" max="13320" width="6.42578125" style="1803" customWidth="1"/>
    <col min="13321" max="13321" width="14.28515625" style="1803" bestFit="1" customWidth="1"/>
    <col min="13322" max="13322" width="9.140625" style="1803"/>
    <col min="13323" max="13324" width="16" style="1803" bestFit="1" customWidth="1"/>
    <col min="13325" max="13568" width="9.140625" style="1803"/>
    <col min="13569" max="13569" width="4.7109375" style="1803" customWidth="1"/>
    <col min="13570" max="13570" width="6.7109375" style="1803" customWidth="1"/>
    <col min="13571" max="13571" width="8.85546875" style="1803" customWidth="1"/>
    <col min="13572" max="13572" width="46.42578125" style="1803" customWidth="1"/>
    <col min="13573" max="13573" width="12.85546875" style="1803" customWidth="1"/>
    <col min="13574" max="13574" width="15.5703125" style="1803" customWidth="1"/>
    <col min="13575" max="13575" width="15.85546875" style="1803" customWidth="1"/>
    <col min="13576" max="13576" width="6.42578125" style="1803" customWidth="1"/>
    <col min="13577" max="13577" width="14.28515625" style="1803" bestFit="1" customWidth="1"/>
    <col min="13578" max="13578" width="9.140625" style="1803"/>
    <col min="13579" max="13580" width="16" style="1803" bestFit="1" customWidth="1"/>
    <col min="13581" max="13824" width="9.140625" style="1803"/>
    <col min="13825" max="13825" width="4.7109375" style="1803" customWidth="1"/>
    <col min="13826" max="13826" width="6.7109375" style="1803" customWidth="1"/>
    <col min="13827" max="13827" width="8.85546875" style="1803" customWidth="1"/>
    <col min="13828" max="13828" width="46.42578125" style="1803" customWidth="1"/>
    <col min="13829" max="13829" width="12.85546875" style="1803" customWidth="1"/>
    <col min="13830" max="13830" width="15.5703125" style="1803" customWidth="1"/>
    <col min="13831" max="13831" width="15.85546875" style="1803" customWidth="1"/>
    <col min="13832" max="13832" width="6.42578125" style="1803" customWidth="1"/>
    <col min="13833" max="13833" width="14.28515625" style="1803" bestFit="1" customWidth="1"/>
    <col min="13834" max="13834" width="9.140625" style="1803"/>
    <col min="13835" max="13836" width="16" style="1803" bestFit="1" customWidth="1"/>
    <col min="13837" max="14080" width="9.140625" style="1803"/>
    <col min="14081" max="14081" width="4.7109375" style="1803" customWidth="1"/>
    <col min="14082" max="14082" width="6.7109375" style="1803" customWidth="1"/>
    <col min="14083" max="14083" width="8.85546875" style="1803" customWidth="1"/>
    <col min="14084" max="14084" width="46.42578125" style="1803" customWidth="1"/>
    <col min="14085" max="14085" width="12.85546875" style="1803" customWidth="1"/>
    <col min="14086" max="14086" width="15.5703125" style="1803" customWidth="1"/>
    <col min="14087" max="14087" width="15.85546875" style="1803" customWidth="1"/>
    <col min="14088" max="14088" width="6.42578125" style="1803" customWidth="1"/>
    <col min="14089" max="14089" width="14.28515625" style="1803" bestFit="1" customWidth="1"/>
    <col min="14090" max="14090" width="9.140625" style="1803"/>
    <col min="14091" max="14092" width="16" style="1803" bestFit="1" customWidth="1"/>
    <col min="14093" max="14336" width="9.140625" style="1803"/>
    <col min="14337" max="14337" width="4.7109375" style="1803" customWidth="1"/>
    <col min="14338" max="14338" width="6.7109375" style="1803" customWidth="1"/>
    <col min="14339" max="14339" width="8.85546875" style="1803" customWidth="1"/>
    <col min="14340" max="14340" width="46.42578125" style="1803" customWidth="1"/>
    <col min="14341" max="14341" width="12.85546875" style="1803" customWidth="1"/>
    <col min="14342" max="14342" width="15.5703125" style="1803" customWidth="1"/>
    <col min="14343" max="14343" width="15.85546875" style="1803" customWidth="1"/>
    <col min="14344" max="14344" width="6.42578125" style="1803" customWidth="1"/>
    <col min="14345" max="14345" width="14.28515625" style="1803" bestFit="1" customWidth="1"/>
    <col min="14346" max="14346" width="9.140625" style="1803"/>
    <col min="14347" max="14348" width="16" style="1803" bestFit="1" customWidth="1"/>
    <col min="14349" max="14592" width="9.140625" style="1803"/>
    <col min="14593" max="14593" width="4.7109375" style="1803" customWidth="1"/>
    <col min="14594" max="14594" width="6.7109375" style="1803" customWidth="1"/>
    <col min="14595" max="14595" width="8.85546875" style="1803" customWidth="1"/>
    <col min="14596" max="14596" width="46.42578125" style="1803" customWidth="1"/>
    <col min="14597" max="14597" width="12.85546875" style="1803" customWidth="1"/>
    <col min="14598" max="14598" width="15.5703125" style="1803" customWidth="1"/>
    <col min="14599" max="14599" width="15.85546875" style="1803" customWidth="1"/>
    <col min="14600" max="14600" width="6.42578125" style="1803" customWidth="1"/>
    <col min="14601" max="14601" width="14.28515625" style="1803" bestFit="1" customWidth="1"/>
    <col min="14602" max="14602" width="9.140625" style="1803"/>
    <col min="14603" max="14604" width="16" style="1803" bestFit="1" customWidth="1"/>
    <col min="14605" max="14848" width="9.140625" style="1803"/>
    <col min="14849" max="14849" width="4.7109375" style="1803" customWidth="1"/>
    <col min="14850" max="14850" width="6.7109375" style="1803" customWidth="1"/>
    <col min="14851" max="14851" width="8.85546875" style="1803" customWidth="1"/>
    <col min="14852" max="14852" width="46.42578125" style="1803" customWidth="1"/>
    <col min="14853" max="14853" width="12.85546875" style="1803" customWidth="1"/>
    <col min="14854" max="14854" width="15.5703125" style="1803" customWidth="1"/>
    <col min="14855" max="14855" width="15.85546875" style="1803" customWidth="1"/>
    <col min="14856" max="14856" width="6.42578125" style="1803" customWidth="1"/>
    <col min="14857" max="14857" width="14.28515625" style="1803" bestFit="1" customWidth="1"/>
    <col min="14858" max="14858" width="9.140625" style="1803"/>
    <col min="14859" max="14860" width="16" style="1803" bestFit="1" customWidth="1"/>
    <col min="14861" max="15104" width="9.140625" style="1803"/>
    <col min="15105" max="15105" width="4.7109375" style="1803" customWidth="1"/>
    <col min="15106" max="15106" width="6.7109375" style="1803" customWidth="1"/>
    <col min="15107" max="15107" width="8.85546875" style="1803" customWidth="1"/>
    <col min="15108" max="15108" width="46.42578125" style="1803" customWidth="1"/>
    <col min="15109" max="15109" width="12.85546875" style="1803" customWidth="1"/>
    <col min="15110" max="15110" width="15.5703125" style="1803" customWidth="1"/>
    <col min="15111" max="15111" width="15.85546875" style="1803" customWidth="1"/>
    <col min="15112" max="15112" width="6.42578125" style="1803" customWidth="1"/>
    <col min="15113" max="15113" width="14.28515625" style="1803" bestFit="1" customWidth="1"/>
    <col min="15114" max="15114" width="9.140625" style="1803"/>
    <col min="15115" max="15116" width="16" style="1803" bestFit="1" customWidth="1"/>
    <col min="15117" max="15360" width="9.140625" style="1803"/>
    <col min="15361" max="15361" width="4.7109375" style="1803" customWidth="1"/>
    <col min="15362" max="15362" width="6.7109375" style="1803" customWidth="1"/>
    <col min="15363" max="15363" width="8.85546875" style="1803" customWidth="1"/>
    <col min="15364" max="15364" width="46.42578125" style="1803" customWidth="1"/>
    <col min="15365" max="15365" width="12.85546875" style="1803" customWidth="1"/>
    <col min="15366" max="15366" width="15.5703125" style="1803" customWidth="1"/>
    <col min="15367" max="15367" width="15.85546875" style="1803" customWidth="1"/>
    <col min="15368" max="15368" width="6.42578125" style="1803" customWidth="1"/>
    <col min="15369" max="15369" width="14.28515625" style="1803" bestFit="1" customWidth="1"/>
    <col min="15370" max="15370" width="9.140625" style="1803"/>
    <col min="15371" max="15372" width="16" style="1803" bestFit="1" customWidth="1"/>
    <col min="15373" max="15616" width="9.140625" style="1803"/>
    <col min="15617" max="15617" width="4.7109375" style="1803" customWidth="1"/>
    <col min="15618" max="15618" width="6.7109375" style="1803" customWidth="1"/>
    <col min="15619" max="15619" width="8.85546875" style="1803" customWidth="1"/>
    <col min="15620" max="15620" width="46.42578125" style="1803" customWidth="1"/>
    <col min="15621" max="15621" width="12.85546875" style="1803" customWidth="1"/>
    <col min="15622" max="15622" width="15.5703125" style="1803" customWidth="1"/>
    <col min="15623" max="15623" width="15.85546875" style="1803" customWidth="1"/>
    <col min="15624" max="15624" width="6.42578125" style="1803" customWidth="1"/>
    <col min="15625" max="15625" width="14.28515625" style="1803" bestFit="1" customWidth="1"/>
    <col min="15626" max="15626" width="9.140625" style="1803"/>
    <col min="15627" max="15628" width="16" style="1803" bestFit="1" customWidth="1"/>
    <col min="15629" max="15872" width="9.140625" style="1803"/>
    <col min="15873" max="15873" width="4.7109375" style="1803" customWidth="1"/>
    <col min="15874" max="15874" width="6.7109375" style="1803" customWidth="1"/>
    <col min="15875" max="15875" width="8.85546875" style="1803" customWidth="1"/>
    <col min="15876" max="15876" width="46.42578125" style="1803" customWidth="1"/>
    <col min="15877" max="15877" width="12.85546875" style="1803" customWidth="1"/>
    <col min="15878" max="15878" width="15.5703125" style="1803" customWidth="1"/>
    <col min="15879" max="15879" width="15.85546875" style="1803" customWidth="1"/>
    <col min="15880" max="15880" width="6.42578125" style="1803" customWidth="1"/>
    <col min="15881" max="15881" width="14.28515625" style="1803" bestFit="1" customWidth="1"/>
    <col min="15882" max="15882" width="9.140625" style="1803"/>
    <col min="15883" max="15884" width="16" style="1803" bestFit="1" customWidth="1"/>
    <col min="15885" max="16128" width="9.140625" style="1803"/>
    <col min="16129" max="16129" width="4.7109375" style="1803" customWidth="1"/>
    <col min="16130" max="16130" width="6.7109375" style="1803" customWidth="1"/>
    <col min="16131" max="16131" width="8.85546875" style="1803" customWidth="1"/>
    <col min="16132" max="16132" width="46.42578125" style="1803" customWidth="1"/>
    <col min="16133" max="16133" width="12.85546875" style="1803" customWidth="1"/>
    <col min="16134" max="16134" width="15.5703125" style="1803" customWidth="1"/>
    <col min="16135" max="16135" width="15.85546875" style="1803" customWidth="1"/>
    <col min="16136" max="16136" width="6.42578125" style="1803" customWidth="1"/>
    <col min="16137" max="16137" width="14.28515625" style="1803" bestFit="1" customWidth="1"/>
    <col min="16138" max="16138" width="9.140625" style="1803"/>
    <col min="16139" max="16140" width="16" style="1803" bestFit="1" customWidth="1"/>
    <col min="16141" max="16384" width="9.140625" style="1803"/>
  </cols>
  <sheetData>
    <row r="1" spans="1:8" ht="19.5" customHeight="1" thickBot="1" x14ac:dyDescent="0.3">
      <c r="A1" s="1710" t="s">
        <v>240</v>
      </c>
      <c r="B1" s="1709"/>
      <c r="C1" s="1798"/>
      <c r="D1" s="1707"/>
      <c r="E1" s="1706"/>
      <c r="F1" s="1707"/>
      <c r="G1" s="1900"/>
      <c r="H1" s="1710"/>
    </row>
    <row r="2" spans="1:8" ht="18" x14ac:dyDescent="0.25">
      <c r="A2" s="1807"/>
      <c r="B2" s="1831"/>
      <c r="C2" s="1831"/>
      <c r="D2" s="1831"/>
      <c r="E2" s="1831"/>
      <c r="F2" s="1831"/>
      <c r="G2" s="1831"/>
      <c r="H2" s="1876" t="s">
        <v>241</v>
      </c>
    </row>
    <row r="3" spans="1:8" ht="18" x14ac:dyDescent="0.25">
      <c r="A3" s="1705" t="s">
        <v>367</v>
      </c>
      <c r="B3" s="1831"/>
      <c r="C3" s="1801" t="s">
        <v>347</v>
      </c>
      <c r="D3" s="1831"/>
      <c r="E3" s="1831"/>
      <c r="F3" s="1831"/>
      <c r="G3" s="1831"/>
      <c r="H3" s="1876"/>
    </row>
    <row r="4" spans="1:8" ht="18" x14ac:dyDescent="0.25">
      <c r="A4" s="1807"/>
      <c r="B4" s="1831"/>
      <c r="C4" s="1801" t="s">
        <v>348</v>
      </c>
      <c r="D4" s="1831"/>
      <c r="E4" s="1831"/>
      <c r="F4" s="1831"/>
      <c r="G4" s="1831"/>
      <c r="H4" s="1876"/>
    </row>
    <row r="5" spans="1:8" ht="18" x14ac:dyDescent="0.25">
      <c r="A5" s="1806" t="s">
        <v>242</v>
      </c>
      <c r="B5" s="1831"/>
      <c r="C5" s="1831"/>
      <c r="D5" s="1831"/>
      <c r="E5" s="1831"/>
      <c r="F5" s="1831"/>
      <c r="G5" s="1831"/>
      <c r="H5" s="1876"/>
    </row>
    <row r="6" spans="1:8" ht="18" x14ac:dyDescent="0.25">
      <c r="A6" s="1806"/>
      <c r="B6" s="1831"/>
      <c r="C6" s="1831"/>
      <c r="D6" s="1831"/>
      <c r="E6" s="1831"/>
      <c r="F6" s="1831"/>
      <c r="G6" s="1831"/>
      <c r="H6" s="1876"/>
    </row>
    <row r="7" spans="1:8" ht="15.75" thickBot="1" x14ac:dyDescent="0.3">
      <c r="A7" s="1979" t="s">
        <v>766</v>
      </c>
      <c r="H7" s="1892" t="s">
        <v>161</v>
      </c>
    </row>
    <row r="8" spans="1:8" s="1638" customFormat="1" ht="25.5" thickTop="1" thickBot="1" x14ac:dyDescent="0.25">
      <c r="A8" s="1809" t="s">
        <v>162</v>
      </c>
      <c r="B8" s="1810" t="s">
        <v>761</v>
      </c>
      <c r="C8" s="1810" t="s">
        <v>377</v>
      </c>
      <c r="D8" s="1811" t="s">
        <v>164</v>
      </c>
      <c r="E8" s="1833" t="s">
        <v>632</v>
      </c>
      <c r="F8" s="1833" t="s">
        <v>633</v>
      </c>
      <c r="G8" s="1834" t="s">
        <v>882</v>
      </c>
      <c r="H8" s="1835" t="s">
        <v>883</v>
      </c>
    </row>
    <row r="9" spans="1:8" s="1638" customFormat="1" ht="13.5" thickTop="1" thickBot="1" x14ac:dyDescent="0.25">
      <c r="A9" s="1643">
        <v>1</v>
      </c>
      <c r="B9" s="1642">
        <v>2</v>
      </c>
      <c r="C9" s="1642">
        <v>3</v>
      </c>
      <c r="D9" s="1642">
        <v>4</v>
      </c>
      <c r="E9" s="1641">
        <v>5</v>
      </c>
      <c r="F9" s="1641">
        <v>6</v>
      </c>
      <c r="G9" s="1877">
        <v>7</v>
      </c>
      <c r="H9" s="1901" t="s">
        <v>61</v>
      </c>
    </row>
    <row r="10" spans="1:8" s="1907" customFormat="1" ht="45.75" thickTop="1" x14ac:dyDescent="0.2">
      <c r="A10" s="1896">
        <v>3299</v>
      </c>
      <c r="B10" s="1903">
        <v>5213</v>
      </c>
      <c r="C10" s="1904">
        <v>32133012</v>
      </c>
      <c r="D10" s="1836" t="s">
        <v>1038</v>
      </c>
      <c r="E10" s="1845">
        <v>0</v>
      </c>
      <c r="F10" s="1845">
        <v>3802</v>
      </c>
      <c r="G10" s="1845">
        <v>2862</v>
      </c>
      <c r="H10" s="1821">
        <f t="shared" ref="H10:H28" si="0">G10/F10*100</f>
        <v>75.276170436612304</v>
      </c>
    </row>
    <row r="11" spans="1:8" s="1907" customFormat="1" ht="45" x14ac:dyDescent="0.2">
      <c r="A11" s="1896">
        <v>3299</v>
      </c>
      <c r="B11" s="1903">
        <v>5213</v>
      </c>
      <c r="C11" s="1904">
        <v>32533012</v>
      </c>
      <c r="D11" s="1836" t="s">
        <v>1038</v>
      </c>
      <c r="E11" s="1845">
        <v>0</v>
      </c>
      <c r="F11" s="1845">
        <v>21543</v>
      </c>
      <c r="G11" s="1845">
        <v>16221</v>
      </c>
      <c r="H11" s="1821">
        <f t="shared" si="0"/>
        <v>75.295919788330309</v>
      </c>
    </row>
    <row r="12" spans="1:8" s="1907" customFormat="1" ht="30" x14ac:dyDescent="0.2">
      <c r="A12" s="1896">
        <v>3299</v>
      </c>
      <c r="B12" s="1903">
        <v>5221</v>
      </c>
      <c r="C12" s="1904">
        <v>32133012</v>
      </c>
      <c r="D12" s="1836" t="s">
        <v>1730</v>
      </c>
      <c r="E12" s="1845">
        <v>0</v>
      </c>
      <c r="F12" s="1845">
        <v>110</v>
      </c>
      <c r="G12" s="1845">
        <v>106</v>
      </c>
      <c r="H12" s="1821">
        <f t="shared" si="0"/>
        <v>96.36363636363636</v>
      </c>
    </row>
    <row r="13" spans="1:8" s="1907" customFormat="1" ht="30" x14ac:dyDescent="0.2">
      <c r="A13" s="1896">
        <v>3299</v>
      </c>
      <c r="B13" s="1903">
        <v>5221</v>
      </c>
      <c r="C13" s="1904">
        <v>32533012</v>
      </c>
      <c r="D13" s="1836" t="s">
        <v>1730</v>
      </c>
      <c r="E13" s="1845">
        <v>0</v>
      </c>
      <c r="F13" s="1845">
        <v>626</v>
      </c>
      <c r="G13" s="1845">
        <v>600</v>
      </c>
      <c r="H13" s="1821">
        <f t="shared" si="0"/>
        <v>95.846645367412137</v>
      </c>
    </row>
    <row r="14" spans="1:8" s="1907" customFormat="1" ht="15" customHeight="1" x14ac:dyDescent="0.2">
      <c r="A14" s="1896">
        <v>3299</v>
      </c>
      <c r="B14" s="1903">
        <v>5222</v>
      </c>
      <c r="C14" s="1904">
        <v>32133012</v>
      </c>
      <c r="D14" s="1836" t="s">
        <v>1731</v>
      </c>
      <c r="E14" s="1845">
        <v>0</v>
      </c>
      <c r="F14" s="1845">
        <v>754</v>
      </c>
      <c r="G14" s="1845">
        <v>535</v>
      </c>
      <c r="H14" s="1821">
        <f t="shared" si="0"/>
        <v>70.954907161803717</v>
      </c>
    </row>
    <row r="15" spans="1:8" s="1907" customFormat="1" ht="15" customHeight="1" x14ac:dyDescent="0.2">
      <c r="A15" s="1896">
        <v>3299</v>
      </c>
      <c r="B15" s="1903">
        <v>5222</v>
      </c>
      <c r="C15" s="1904">
        <v>32533012</v>
      </c>
      <c r="D15" s="1836" t="s">
        <v>1731</v>
      </c>
      <c r="E15" s="1845">
        <v>0</v>
      </c>
      <c r="F15" s="1845">
        <v>4274</v>
      </c>
      <c r="G15" s="1845">
        <v>3034</v>
      </c>
      <c r="H15" s="1821">
        <f t="shared" si="0"/>
        <v>70.98736546560599</v>
      </c>
    </row>
    <row r="16" spans="1:8" s="1907" customFormat="1" ht="30" customHeight="1" x14ac:dyDescent="0.2">
      <c r="A16" s="1896">
        <v>3299</v>
      </c>
      <c r="B16" s="1903">
        <v>5229</v>
      </c>
      <c r="C16" s="1904">
        <v>32133012</v>
      </c>
      <c r="D16" s="1836" t="s">
        <v>969</v>
      </c>
      <c r="E16" s="1845">
        <v>0</v>
      </c>
      <c r="F16" s="1845">
        <v>549</v>
      </c>
      <c r="G16" s="1845">
        <v>415</v>
      </c>
      <c r="H16" s="1821">
        <f t="shared" si="0"/>
        <v>75.591985428051004</v>
      </c>
    </row>
    <row r="17" spans="1:9" s="1907" customFormat="1" ht="30" customHeight="1" x14ac:dyDescent="0.2">
      <c r="A17" s="1896">
        <v>3299</v>
      </c>
      <c r="B17" s="1903">
        <v>5229</v>
      </c>
      <c r="C17" s="1904">
        <v>32533012</v>
      </c>
      <c r="D17" s="1836" t="s">
        <v>969</v>
      </c>
      <c r="E17" s="1845">
        <v>0</v>
      </c>
      <c r="F17" s="1845">
        <v>3112</v>
      </c>
      <c r="G17" s="1845">
        <v>2350</v>
      </c>
      <c r="H17" s="1821">
        <f t="shared" si="0"/>
        <v>75.514138817480728</v>
      </c>
    </row>
    <row r="18" spans="1:9" s="1907" customFormat="1" ht="15" x14ac:dyDescent="0.2">
      <c r="A18" s="1896">
        <v>3299</v>
      </c>
      <c r="B18" s="1903">
        <v>5901</v>
      </c>
      <c r="C18" s="1904">
        <v>32133012</v>
      </c>
      <c r="D18" s="1836" t="s">
        <v>602</v>
      </c>
      <c r="E18" s="1845">
        <v>0</v>
      </c>
      <c r="F18" s="1845">
        <v>2915</v>
      </c>
      <c r="G18" s="1845">
        <v>0</v>
      </c>
      <c r="H18" s="1821">
        <f t="shared" si="0"/>
        <v>0</v>
      </c>
    </row>
    <row r="19" spans="1:9" s="1907" customFormat="1" ht="15" x14ac:dyDescent="0.2">
      <c r="A19" s="1896">
        <v>3299</v>
      </c>
      <c r="B19" s="1903">
        <v>5901</v>
      </c>
      <c r="C19" s="1904">
        <v>32533012</v>
      </c>
      <c r="D19" s="1836" t="s">
        <v>602</v>
      </c>
      <c r="E19" s="1845">
        <v>0</v>
      </c>
      <c r="F19" s="1845">
        <v>16516</v>
      </c>
      <c r="G19" s="1845">
        <v>0</v>
      </c>
      <c r="H19" s="1821">
        <f t="shared" si="0"/>
        <v>0</v>
      </c>
    </row>
    <row r="20" spans="1:9" s="1907" customFormat="1" ht="15" hidden="1" x14ac:dyDescent="0.2">
      <c r="A20" s="1896">
        <v>3299</v>
      </c>
      <c r="B20" s="1903">
        <v>5909</v>
      </c>
      <c r="C20" s="1904">
        <v>0</v>
      </c>
      <c r="D20" s="1836" t="s">
        <v>651</v>
      </c>
      <c r="E20" s="1845">
        <v>0</v>
      </c>
      <c r="F20" s="1845">
        <v>0</v>
      </c>
      <c r="G20" s="1845">
        <v>0</v>
      </c>
      <c r="H20" s="1821" t="e">
        <f t="shared" si="0"/>
        <v>#DIV/0!</v>
      </c>
    </row>
    <row r="21" spans="1:9" s="1907" customFormat="1" ht="45" hidden="1" x14ac:dyDescent="0.2">
      <c r="A21" s="1896">
        <v>3299</v>
      </c>
      <c r="B21" s="1903">
        <v>6313</v>
      </c>
      <c r="C21" s="1904">
        <v>32133887</v>
      </c>
      <c r="D21" s="1836" t="s">
        <v>1039</v>
      </c>
      <c r="E21" s="1845">
        <v>0</v>
      </c>
      <c r="F21" s="1845"/>
      <c r="G21" s="1845"/>
      <c r="H21" s="1821" t="e">
        <f t="shared" si="0"/>
        <v>#DIV/0!</v>
      </c>
    </row>
    <row r="22" spans="1:9" s="1907" customFormat="1" ht="45" hidden="1" x14ac:dyDescent="0.2">
      <c r="A22" s="1896">
        <v>3299</v>
      </c>
      <c r="B22" s="1903">
        <v>6313</v>
      </c>
      <c r="C22" s="1904">
        <v>32533887</v>
      </c>
      <c r="D22" s="1836" t="s">
        <v>1039</v>
      </c>
      <c r="E22" s="1845">
        <v>0</v>
      </c>
      <c r="F22" s="1845"/>
      <c r="G22" s="1845"/>
      <c r="H22" s="1821" t="e">
        <f t="shared" si="0"/>
        <v>#DIV/0!</v>
      </c>
    </row>
    <row r="23" spans="1:9" s="1846" customFormat="1" ht="15" x14ac:dyDescent="0.2">
      <c r="A23" s="1896">
        <v>3299</v>
      </c>
      <c r="B23" s="1905">
        <v>6322</v>
      </c>
      <c r="C23" s="1904">
        <v>32133887</v>
      </c>
      <c r="D23" s="1836" t="s">
        <v>1146</v>
      </c>
      <c r="E23" s="1845">
        <v>0</v>
      </c>
      <c r="F23" s="1845">
        <v>19</v>
      </c>
      <c r="G23" s="1845">
        <v>0</v>
      </c>
      <c r="H23" s="1821">
        <f t="shared" si="0"/>
        <v>0</v>
      </c>
    </row>
    <row r="24" spans="1:9" s="1846" customFormat="1" ht="15" x14ac:dyDescent="0.2">
      <c r="A24" s="1896">
        <v>3299</v>
      </c>
      <c r="B24" s="1905">
        <v>6322</v>
      </c>
      <c r="C24" s="1904">
        <v>32533887</v>
      </c>
      <c r="D24" s="1836" t="s">
        <v>1146</v>
      </c>
      <c r="E24" s="1845">
        <v>0</v>
      </c>
      <c r="F24" s="1845">
        <v>106</v>
      </c>
      <c r="G24" s="1845">
        <v>0</v>
      </c>
      <c r="H24" s="1821">
        <f t="shared" si="0"/>
        <v>0</v>
      </c>
    </row>
    <row r="25" spans="1:9" ht="30" hidden="1" x14ac:dyDescent="0.2">
      <c r="A25" s="1896">
        <v>3299</v>
      </c>
      <c r="B25" s="1905">
        <v>6351</v>
      </c>
      <c r="C25" s="1904">
        <v>32133887</v>
      </c>
      <c r="D25" s="1836" t="s">
        <v>1277</v>
      </c>
      <c r="E25" s="1845">
        <v>0</v>
      </c>
      <c r="F25" s="1845"/>
      <c r="G25" s="1845"/>
      <c r="H25" s="1821" t="e">
        <f t="shared" si="0"/>
        <v>#DIV/0!</v>
      </c>
    </row>
    <row r="26" spans="1:9" ht="30" hidden="1" x14ac:dyDescent="0.2">
      <c r="A26" s="1896">
        <v>3299</v>
      </c>
      <c r="B26" s="1905">
        <v>6351</v>
      </c>
      <c r="C26" s="1904">
        <v>32533887</v>
      </c>
      <c r="D26" s="1836" t="s">
        <v>1277</v>
      </c>
      <c r="E26" s="1845">
        <v>0</v>
      </c>
      <c r="F26" s="1845"/>
      <c r="G26" s="1845"/>
      <c r="H26" s="1821" t="e">
        <f t="shared" si="0"/>
        <v>#DIV/0!</v>
      </c>
    </row>
    <row r="27" spans="1:9" ht="15" hidden="1" customHeight="1" x14ac:dyDescent="0.2">
      <c r="A27" s="1896">
        <v>3299</v>
      </c>
      <c r="B27" s="1903">
        <v>6901</v>
      </c>
      <c r="C27" s="1904">
        <v>32133887</v>
      </c>
      <c r="D27" s="1836" t="s">
        <v>428</v>
      </c>
      <c r="E27" s="1845">
        <v>0</v>
      </c>
      <c r="F27" s="1845">
        <v>0</v>
      </c>
      <c r="G27" s="1845">
        <v>0</v>
      </c>
      <c r="H27" s="1821" t="e">
        <f t="shared" si="0"/>
        <v>#DIV/0!</v>
      </c>
    </row>
    <row r="28" spans="1:9" ht="15" hidden="1" customHeight="1" x14ac:dyDescent="0.2">
      <c r="A28" s="1896">
        <v>3299</v>
      </c>
      <c r="B28" s="1903">
        <v>6901</v>
      </c>
      <c r="C28" s="1904">
        <v>32533887</v>
      </c>
      <c r="D28" s="1836" t="s">
        <v>428</v>
      </c>
      <c r="E28" s="1845">
        <v>0</v>
      </c>
      <c r="F28" s="1845">
        <v>0</v>
      </c>
      <c r="G28" s="1845">
        <v>0</v>
      </c>
      <c r="H28" s="1821" t="e">
        <f t="shared" si="0"/>
        <v>#DIV/0!</v>
      </c>
    </row>
    <row r="29" spans="1:9" ht="15" x14ac:dyDescent="0.2">
      <c r="A29" s="1896">
        <v>6330</v>
      </c>
      <c r="B29" s="1903">
        <v>5345</v>
      </c>
      <c r="C29" s="1904">
        <v>0</v>
      </c>
      <c r="D29" s="1836" t="s">
        <v>767</v>
      </c>
      <c r="E29" s="1845">
        <v>0</v>
      </c>
      <c r="F29" s="1845">
        <v>0</v>
      </c>
      <c r="G29" s="1845">
        <v>29821</v>
      </c>
      <c r="H29" s="1821">
        <v>0</v>
      </c>
    </row>
    <row r="30" spans="1:9" s="1846" customFormat="1" ht="15" x14ac:dyDescent="0.2">
      <c r="A30" s="1896">
        <v>6402</v>
      </c>
      <c r="B30" s="1903">
        <v>5363</v>
      </c>
      <c r="C30" s="1904">
        <v>19</v>
      </c>
      <c r="D30" s="1836" t="s">
        <v>1542</v>
      </c>
      <c r="E30" s="1845">
        <v>0</v>
      </c>
      <c r="F30" s="1845">
        <v>128</v>
      </c>
      <c r="G30" s="1845">
        <v>114</v>
      </c>
      <c r="H30" s="1821">
        <v>0</v>
      </c>
    </row>
    <row r="31" spans="1:9" s="1846" customFormat="1" ht="15.75" thickBot="1" x14ac:dyDescent="0.25">
      <c r="A31" s="1896">
        <v>6402</v>
      </c>
      <c r="B31" s="1903">
        <v>5363</v>
      </c>
      <c r="C31" s="1904">
        <v>32133012</v>
      </c>
      <c r="D31" s="1836"/>
      <c r="E31" s="1845">
        <v>0</v>
      </c>
      <c r="F31" s="1845">
        <v>8</v>
      </c>
      <c r="G31" s="1845">
        <v>0</v>
      </c>
      <c r="H31" s="1821">
        <v>0</v>
      </c>
    </row>
    <row r="32" spans="1:9" s="1828" customFormat="1" ht="16.5" thickTop="1" thickBot="1" x14ac:dyDescent="0.3">
      <c r="A32" s="2751" t="s">
        <v>763</v>
      </c>
      <c r="B32" s="2752"/>
      <c r="C32" s="2752"/>
      <c r="D32" s="2752"/>
      <c r="E32" s="1818">
        <f>SUM(E10:E31)</f>
        <v>0</v>
      </c>
      <c r="F32" s="1818">
        <f t="shared" ref="F32:G32" si="1">SUM(F10:F31)</f>
        <v>54462</v>
      </c>
      <c r="G32" s="1818">
        <f t="shared" si="1"/>
        <v>56058</v>
      </c>
      <c r="H32" s="1822">
        <f>G32/F32*100</f>
        <v>102.93048363996915</v>
      </c>
      <c r="I32" s="1910"/>
    </row>
    <row r="33" spans="1:10" ht="13.5" thickTop="1" x14ac:dyDescent="0.2">
      <c r="I33" s="1829"/>
    </row>
    <row r="34" spans="1:10" ht="15" x14ac:dyDescent="0.25">
      <c r="A34" s="1976" t="s">
        <v>483</v>
      </c>
      <c r="B34" s="1854"/>
      <c r="C34" s="1854"/>
      <c r="D34" s="1854"/>
    </row>
    <row r="35" spans="1:10" ht="15.75" thickBot="1" x14ac:dyDescent="0.3">
      <c r="A35" s="1977" t="s">
        <v>1040</v>
      </c>
      <c r="B35" s="1978"/>
      <c r="C35" s="1978"/>
      <c r="H35" s="1892" t="s">
        <v>161</v>
      </c>
    </row>
    <row r="36" spans="1:10" s="1638" customFormat="1" ht="25.5" thickTop="1" thickBot="1" x14ac:dyDescent="0.25">
      <c r="A36" s="1809" t="s">
        <v>162</v>
      </c>
      <c r="B36" s="1810" t="s">
        <v>761</v>
      </c>
      <c r="C36" s="1810" t="s">
        <v>377</v>
      </c>
      <c r="D36" s="1811" t="s">
        <v>164</v>
      </c>
      <c r="E36" s="1833" t="s">
        <v>632</v>
      </c>
      <c r="F36" s="1833" t="s">
        <v>633</v>
      </c>
      <c r="G36" s="1834" t="s">
        <v>882</v>
      </c>
      <c r="H36" s="1835" t="s">
        <v>883</v>
      </c>
    </row>
    <row r="37" spans="1:10" s="1638" customFormat="1" ht="13.5" thickTop="1" thickBot="1" x14ac:dyDescent="0.25">
      <c r="A37" s="1643">
        <v>1</v>
      </c>
      <c r="B37" s="1642">
        <v>2</v>
      </c>
      <c r="C37" s="1642">
        <v>3</v>
      </c>
      <c r="D37" s="1642">
        <v>4</v>
      </c>
      <c r="E37" s="1641">
        <v>5</v>
      </c>
      <c r="F37" s="1641">
        <v>6</v>
      </c>
      <c r="G37" s="1877">
        <v>7</v>
      </c>
      <c r="H37" s="1901" t="s">
        <v>61</v>
      </c>
    </row>
    <row r="38" spans="1:10" ht="30.75" thickTop="1" x14ac:dyDescent="0.2">
      <c r="A38" s="1896">
        <v>3299</v>
      </c>
      <c r="B38" s="1903">
        <v>5336</v>
      </c>
      <c r="C38" s="1906">
        <v>32133012</v>
      </c>
      <c r="D38" s="1836" t="s">
        <v>1263</v>
      </c>
      <c r="E38" s="1845">
        <v>0</v>
      </c>
      <c r="F38" s="1845">
        <v>287</v>
      </c>
      <c r="G38" s="1845">
        <v>286</v>
      </c>
      <c r="H38" s="1821">
        <f>G38/F38*100</f>
        <v>99.651567944250871</v>
      </c>
      <c r="J38" s="1908"/>
    </row>
    <row r="39" spans="1:10" ht="30" x14ac:dyDescent="0.2">
      <c r="A39" s="1896">
        <v>3299</v>
      </c>
      <c r="B39" s="1903">
        <v>5336</v>
      </c>
      <c r="C39" s="1906">
        <v>32533012</v>
      </c>
      <c r="D39" s="1836" t="s">
        <v>1263</v>
      </c>
      <c r="E39" s="1845">
        <v>0</v>
      </c>
      <c r="F39" s="1845">
        <v>1624</v>
      </c>
      <c r="G39" s="1845">
        <v>1623</v>
      </c>
      <c r="H39" s="1821">
        <f>G39/F39*100</f>
        <v>99.938423645320199</v>
      </c>
      <c r="J39" s="1908"/>
    </row>
    <row r="40" spans="1:10" ht="30" x14ac:dyDescent="0.2">
      <c r="A40" s="1896">
        <v>3299</v>
      </c>
      <c r="B40" s="1903">
        <v>6351</v>
      </c>
      <c r="C40" s="1906">
        <v>32133887</v>
      </c>
      <c r="D40" s="1836" t="s">
        <v>1277</v>
      </c>
      <c r="E40" s="1845">
        <v>0</v>
      </c>
      <c r="F40" s="1845">
        <v>19</v>
      </c>
      <c r="G40" s="1845">
        <v>0</v>
      </c>
      <c r="H40" s="1821">
        <f t="shared" ref="H40:H41" si="2">G40/F40*100</f>
        <v>0</v>
      </c>
      <c r="J40" s="1908"/>
    </row>
    <row r="41" spans="1:10" ht="30.75" thickBot="1" x14ac:dyDescent="0.25">
      <c r="A41" s="1896">
        <v>3299</v>
      </c>
      <c r="B41" s="1903">
        <v>6351</v>
      </c>
      <c r="C41" s="1906">
        <v>32533887</v>
      </c>
      <c r="D41" s="1836" t="s">
        <v>1277</v>
      </c>
      <c r="E41" s="1845">
        <v>0</v>
      </c>
      <c r="F41" s="1845">
        <v>105</v>
      </c>
      <c r="G41" s="1845">
        <v>0</v>
      </c>
      <c r="H41" s="1827">
        <f t="shared" si="2"/>
        <v>0</v>
      </c>
      <c r="J41" s="1908"/>
    </row>
    <row r="42" spans="1:10" s="1828" customFormat="1" ht="16.5" thickTop="1" thickBot="1" x14ac:dyDescent="0.3">
      <c r="A42" s="2751" t="s">
        <v>763</v>
      </c>
      <c r="B42" s="2752"/>
      <c r="C42" s="2752"/>
      <c r="D42" s="2752"/>
      <c r="E42" s="1818">
        <f>SUM(E38:E41)</f>
        <v>0</v>
      </c>
      <c r="F42" s="1818">
        <f>SUM(F38:F41)</f>
        <v>2035</v>
      </c>
      <c r="G42" s="1818">
        <f>SUM(G38:G41)</f>
        <v>1909</v>
      </c>
      <c r="H42" s="1827">
        <f>G42/F42*100</f>
        <v>93.8083538083538</v>
      </c>
      <c r="I42" s="1910"/>
    </row>
    <row r="43" spans="1:10" ht="13.5" thickTop="1" x14ac:dyDescent="0.2">
      <c r="I43" s="1829"/>
    </row>
    <row r="44" spans="1:10" ht="15" x14ac:dyDescent="0.25">
      <c r="A44" s="1976" t="s">
        <v>2014</v>
      </c>
      <c r="B44" s="1854"/>
      <c r="C44" s="1854"/>
      <c r="D44" s="1854"/>
    </row>
    <row r="45" spans="1:10" ht="15.75" thickBot="1" x14ac:dyDescent="0.3">
      <c r="A45" s="1977" t="s">
        <v>1778</v>
      </c>
      <c r="B45" s="1978"/>
      <c r="C45" s="1978"/>
      <c r="H45" s="1892" t="s">
        <v>161</v>
      </c>
    </row>
    <row r="46" spans="1:10" s="1638" customFormat="1" ht="25.5" thickTop="1" thickBot="1" x14ac:dyDescent="0.25">
      <c r="A46" s="1809" t="s">
        <v>162</v>
      </c>
      <c r="B46" s="1810" t="s">
        <v>761</v>
      </c>
      <c r="C46" s="1810" t="s">
        <v>377</v>
      </c>
      <c r="D46" s="1811" t="s">
        <v>164</v>
      </c>
      <c r="E46" s="1833" t="s">
        <v>632</v>
      </c>
      <c r="F46" s="1833" t="s">
        <v>633</v>
      </c>
      <c r="G46" s="1834" t="s">
        <v>882</v>
      </c>
      <c r="H46" s="1835" t="s">
        <v>883</v>
      </c>
    </row>
    <row r="47" spans="1:10" s="1638" customFormat="1" ht="13.5" thickTop="1" thickBot="1" x14ac:dyDescent="0.25">
      <c r="A47" s="1643">
        <v>1</v>
      </c>
      <c r="B47" s="1642">
        <v>2</v>
      </c>
      <c r="C47" s="1642">
        <v>3</v>
      </c>
      <c r="D47" s="1642">
        <v>4</v>
      </c>
      <c r="E47" s="1641">
        <v>5</v>
      </c>
      <c r="F47" s="1641">
        <v>6</v>
      </c>
      <c r="G47" s="1877">
        <v>7</v>
      </c>
      <c r="H47" s="1901" t="s">
        <v>61</v>
      </c>
    </row>
    <row r="48" spans="1:10" ht="30.75" thickTop="1" x14ac:dyDescent="0.2">
      <c r="A48" s="1896">
        <v>3299</v>
      </c>
      <c r="B48" s="1918">
        <v>5336</v>
      </c>
      <c r="C48" s="1906">
        <v>32133012</v>
      </c>
      <c r="D48" s="1836" t="s">
        <v>1263</v>
      </c>
      <c r="E48" s="1845">
        <v>0</v>
      </c>
      <c r="F48" s="1845">
        <v>214</v>
      </c>
      <c r="G48" s="1845">
        <v>117</v>
      </c>
      <c r="H48" s="1821">
        <f>G48/F48*100</f>
        <v>54.67289719626168</v>
      </c>
      <c r="J48" s="1908"/>
    </row>
    <row r="49" spans="1:10" ht="30.75" thickBot="1" x14ac:dyDescent="0.25">
      <c r="A49" s="1896">
        <v>3299</v>
      </c>
      <c r="B49" s="1918">
        <v>5336</v>
      </c>
      <c r="C49" s="1906">
        <v>32533012</v>
      </c>
      <c r="D49" s="1836" t="s">
        <v>1263</v>
      </c>
      <c r="E49" s="1845">
        <v>0</v>
      </c>
      <c r="F49" s="1845">
        <v>1214</v>
      </c>
      <c r="G49" s="1845">
        <v>660</v>
      </c>
      <c r="H49" s="1827">
        <f>G49/F49*100</f>
        <v>54.365733113673812</v>
      </c>
      <c r="J49" s="1908"/>
    </row>
    <row r="50" spans="1:10" ht="31.5" hidden="1" thickTop="1" thickBot="1" x14ac:dyDescent="0.25">
      <c r="A50" s="1896">
        <v>3299</v>
      </c>
      <c r="B50" s="1903">
        <v>6351</v>
      </c>
      <c r="C50" s="1906">
        <v>32133887</v>
      </c>
      <c r="D50" s="1836" t="s">
        <v>1277</v>
      </c>
      <c r="E50" s="1845">
        <v>0</v>
      </c>
      <c r="F50" s="1845">
        <v>0</v>
      </c>
      <c r="G50" s="1845">
        <v>0</v>
      </c>
      <c r="H50" s="1821" t="e">
        <f>G50/F50*100</f>
        <v>#DIV/0!</v>
      </c>
      <c r="J50" s="1908"/>
    </row>
    <row r="51" spans="1:10" ht="31.5" hidden="1" thickTop="1" thickBot="1" x14ac:dyDescent="0.25">
      <c r="A51" s="1896">
        <v>3299</v>
      </c>
      <c r="B51" s="1903">
        <v>6351</v>
      </c>
      <c r="C51" s="1906">
        <v>32533887</v>
      </c>
      <c r="D51" s="1836" t="s">
        <v>1277</v>
      </c>
      <c r="E51" s="1845">
        <v>0</v>
      </c>
      <c r="F51" s="1845">
        <v>0</v>
      </c>
      <c r="G51" s="1845">
        <v>0</v>
      </c>
      <c r="H51" s="1827" t="e">
        <f>G51/F51*100</f>
        <v>#DIV/0!</v>
      </c>
      <c r="J51" s="1908"/>
    </row>
    <row r="52" spans="1:10" s="1828" customFormat="1" ht="16.5" thickTop="1" thickBot="1" x14ac:dyDescent="0.3">
      <c r="A52" s="2751" t="s">
        <v>763</v>
      </c>
      <c r="B52" s="2752"/>
      <c r="C52" s="2752"/>
      <c r="D52" s="2752"/>
      <c r="E52" s="1818">
        <f>SUM(E48:E51)</f>
        <v>0</v>
      </c>
      <c r="F52" s="1818">
        <f>SUM(F48:F51)</f>
        <v>1428</v>
      </c>
      <c r="G52" s="1818">
        <f>SUM(G48:G51)</f>
        <v>777</v>
      </c>
      <c r="H52" s="1827">
        <f>G52/F52*100</f>
        <v>54.411764705882348</v>
      </c>
      <c r="I52" s="1910"/>
    </row>
    <row r="53" spans="1:10" ht="13.5" thickTop="1" x14ac:dyDescent="0.2">
      <c r="I53" s="1829"/>
    </row>
    <row r="54" spans="1:10" ht="15" x14ac:dyDescent="0.25">
      <c r="A54" s="1976" t="s">
        <v>1208</v>
      </c>
      <c r="B54" s="1854"/>
      <c r="C54" s="1854"/>
      <c r="D54" s="1854"/>
    </row>
    <row r="55" spans="1:10" ht="15.75" thickBot="1" x14ac:dyDescent="0.3">
      <c r="A55" s="1977" t="s">
        <v>189</v>
      </c>
      <c r="B55" s="1978"/>
      <c r="C55" s="1978"/>
      <c r="H55" s="1892" t="s">
        <v>161</v>
      </c>
    </row>
    <row r="56" spans="1:10" s="1638" customFormat="1" ht="25.5" thickTop="1" thickBot="1" x14ac:dyDescent="0.25">
      <c r="A56" s="1809" t="s">
        <v>162</v>
      </c>
      <c r="B56" s="1810" t="s">
        <v>761</v>
      </c>
      <c r="C56" s="1810" t="s">
        <v>377</v>
      </c>
      <c r="D56" s="1811" t="s">
        <v>164</v>
      </c>
      <c r="E56" s="1833" t="s">
        <v>632</v>
      </c>
      <c r="F56" s="1833" t="s">
        <v>633</v>
      </c>
      <c r="G56" s="1834" t="s">
        <v>882</v>
      </c>
      <c r="H56" s="1835" t="s">
        <v>883</v>
      </c>
    </row>
    <row r="57" spans="1:10" s="1638" customFormat="1" ht="13.5" thickTop="1" thickBot="1" x14ac:dyDescent="0.25">
      <c r="A57" s="1643">
        <v>1</v>
      </c>
      <c r="B57" s="1642">
        <v>2</v>
      </c>
      <c r="C57" s="1642">
        <v>3</v>
      </c>
      <c r="D57" s="1642">
        <v>4</v>
      </c>
      <c r="E57" s="1641">
        <v>5</v>
      </c>
      <c r="F57" s="1641">
        <v>6</v>
      </c>
      <c r="G57" s="1877">
        <v>7</v>
      </c>
      <c r="H57" s="1901" t="s">
        <v>61</v>
      </c>
    </row>
    <row r="58" spans="1:10" ht="30.75" thickTop="1" x14ac:dyDescent="0.2">
      <c r="A58" s="1896">
        <v>3299</v>
      </c>
      <c r="B58" s="1918">
        <v>5336</v>
      </c>
      <c r="C58" s="1906">
        <v>32133012</v>
      </c>
      <c r="D58" s="1836" t="s">
        <v>1263</v>
      </c>
      <c r="E58" s="1845">
        <v>0</v>
      </c>
      <c r="F58" s="1845">
        <v>104</v>
      </c>
      <c r="G58" s="1845">
        <v>104</v>
      </c>
      <c r="H58" s="1821">
        <f>G58/F58*100</f>
        <v>100</v>
      </c>
      <c r="J58" s="1908"/>
    </row>
    <row r="59" spans="1:10" ht="30.75" thickBot="1" x14ac:dyDescent="0.25">
      <c r="A59" s="1896">
        <v>3299</v>
      </c>
      <c r="B59" s="1918">
        <v>5336</v>
      </c>
      <c r="C59" s="1906">
        <v>32533012</v>
      </c>
      <c r="D59" s="1836" t="s">
        <v>1263</v>
      </c>
      <c r="E59" s="1845">
        <v>0</v>
      </c>
      <c r="F59" s="1845">
        <v>589</v>
      </c>
      <c r="G59" s="1845">
        <v>588</v>
      </c>
      <c r="H59" s="1827">
        <f>G59/F59*100</f>
        <v>99.830220713073004</v>
      </c>
      <c r="J59" s="1908"/>
    </row>
    <row r="60" spans="1:10" ht="31.5" hidden="1" thickTop="1" thickBot="1" x14ac:dyDescent="0.25">
      <c r="A60" s="1896">
        <v>3299</v>
      </c>
      <c r="B60" s="1903">
        <v>6351</v>
      </c>
      <c r="C60" s="1906">
        <v>32133887</v>
      </c>
      <c r="D60" s="1836" t="s">
        <v>1277</v>
      </c>
      <c r="E60" s="1845">
        <v>0</v>
      </c>
      <c r="F60" s="1845"/>
      <c r="G60" s="1845"/>
      <c r="H60" s="1821" t="e">
        <f>G60/F60*100</f>
        <v>#DIV/0!</v>
      </c>
      <c r="J60" s="1908"/>
    </row>
    <row r="61" spans="1:10" ht="31.5" hidden="1" thickTop="1" thickBot="1" x14ac:dyDescent="0.25">
      <c r="A61" s="1896">
        <v>3299</v>
      </c>
      <c r="B61" s="1903">
        <v>6351</v>
      </c>
      <c r="C61" s="1906">
        <v>32533887</v>
      </c>
      <c r="D61" s="1836" t="s">
        <v>1277</v>
      </c>
      <c r="E61" s="1845">
        <v>0</v>
      </c>
      <c r="F61" s="1845"/>
      <c r="G61" s="1845"/>
      <c r="H61" s="1827" t="e">
        <f>G61/F61*100</f>
        <v>#DIV/0!</v>
      </c>
      <c r="J61" s="1908"/>
    </row>
    <row r="62" spans="1:10" s="1828" customFormat="1" ht="16.5" thickTop="1" thickBot="1" x14ac:dyDescent="0.3">
      <c r="A62" s="2751" t="s">
        <v>763</v>
      </c>
      <c r="B62" s="2752"/>
      <c r="C62" s="2752"/>
      <c r="D62" s="2752"/>
      <c r="E62" s="1818">
        <f>SUM(E58:E61)</f>
        <v>0</v>
      </c>
      <c r="F62" s="1818">
        <f>SUM(F58:F61)</f>
        <v>693</v>
      </c>
      <c r="G62" s="1818">
        <f>SUM(G58:G61)</f>
        <v>692</v>
      </c>
      <c r="H62" s="1827">
        <f>G62/F62*100</f>
        <v>99.855699855699854</v>
      </c>
      <c r="I62" s="1910"/>
    </row>
    <row r="63" spans="1:10" ht="13.5" thickTop="1" x14ac:dyDescent="0.2">
      <c r="I63" s="1829"/>
    </row>
    <row r="64" spans="1:10" ht="15" x14ac:dyDescent="0.25">
      <c r="A64" s="1976" t="s">
        <v>561</v>
      </c>
      <c r="B64" s="1854"/>
      <c r="C64" s="1854"/>
      <c r="D64" s="1854"/>
    </row>
    <row r="65" spans="1:10" ht="15.75" thickBot="1" x14ac:dyDescent="0.3">
      <c r="A65" s="1977" t="s">
        <v>562</v>
      </c>
      <c r="B65" s="1978"/>
      <c r="C65" s="1978"/>
      <c r="H65" s="1892" t="s">
        <v>161</v>
      </c>
    </row>
    <row r="66" spans="1:10" s="1638" customFormat="1" ht="25.5" thickTop="1" thickBot="1" x14ac:dyDescent="0.25">
      <c r="A66" s="1809" t="s">
        <v>162</v>
      </c>
      <c r="B66" s="1810" t="s">
        <v>761</v>
      </c>
      <c r="C66" s="1810" t="s">
        <v>377</v>
      </c>
      <c r="D66" s="1811" t="s">
        <v>164</v>
      </c>
      <c r="E66" s="1833" t="s">
        <v>632</v>
      </c>
      <c r="F66" s="1833" t="s">
        <v>633</v>
      </c>
      <c r="G66" s="1834" t="s">
        <v>882</v>
      </c>
      <c r="H66" s="1835" t="s">
        <v>883</v>
      </c>
    </row>
    <row r="67" spans="1:10" s="1638" customFormat="1" ht="13.5" thickTop="1" thickBot="1" x14ac:dyDescent="0.25">
      <c r="A67" s="1643">
        <v>1</v>
      </c>
      <c r="B67" s="1642">
        <v>2</v>
      </c>
      <c r="C67" s="1642">
        <v>3</v>
      </c>
      <c r="D67" s="1642">
        <v>4</v>
      </c>
      <c r="E67" s="1641">
        <v>5</v>
      </c>
      <c r="F67" s="1641">
        <v>6</v>
      </c>
      <c r="G67" s="1877">
        <v>7</v>
      </c>
      <c r="H67" s="1901" t="s">
        <v>61</v>
      </c>
    </row>
    <row r="68" spans="1:10" ht="30.75" thickTop="1" x14ac:dyDescent="0.2">
      <c r="A68" s="1896">
        <v>3299</v>
      </c>
      <c r="B68" s="1918">
        <v>5336</v>
      </c>
      <c r="C68" s="1906">
        <v>32133012</v>
      </c>
      <c r="D68" s="1836" t="s">
        <v>1263</v>
      </c>
      <c r="E68" s="1845">
        <v>0</v>
      </c>
      <c r="F68" s="1845">
        <v>171</v>
      </c>
      <c r="G68" s="1845">
        <v>171</v>
      </c>
      <c r="H68" s="1821">
        <f>G68/F68*100</f>
        <v>100</v>
      </c>
      <c r="J68" s="1908"/>
    </row>
    <row r="69" spans="1:10" ht="30.75" thickBot="1" x14ac:dyDescent="0.25">
      <c r="A69" s="1896">
        <v>3299</v>
      </c>
      <c r="B69" s="1918">
        <v>5336</v>
      </c>
      <c r="C69" s="1906">
        <v>32533012</v>
      </c>
      <c r="D69" s="1836" t="s">
        <v>1263</v>
      </c>
      <c r="E69" s="1845">
        <v>0</v>
      </c>
      <c r="F69" s="1845">
        <v>971</v>
      </c>
      <c r="G69" s="1845">
        <v>970</v>
      </c>
      <c r="H69" s="1827">
        <f>G69/F69*100</f>
        <v>99.897013388259523</v>
      </c>
      <c r="J69" s="1908"/>
    </row>
    <row r="70" spans="1:10" ht="31.5" hidden="1" thickTop="1" thickBot="1" x14ac:dyDescent="0.25">
      <c r="A70" s="1896">
        <v>3299</v>
      </c>
      <c r="B70" s="1903">
        <v>6351</v>
      </c>
      <c r="C70" s="1906">
        <v>32133887</v>
      </c>
      <c r="D70" s="1836" t="s">
        <v>1277</v>
      </c>
      <c r="E70" s="1845">
        <v>0</v>
      </c>
      <c r="F70" s="1845">
        <v>0</v>
      </c>
      <c r="G70" s="1845">
        <v>0</v>
      </c>
      <c r="H70" s="1821" t="e">
        <f>G70/F70*100</f>
        <v>#DIV/0!</v>
      </c>
      <c r="J70" s="1908"/>
    </row>
    <row r="71" spans="1:10" ht="31.5" hidden="1" thickTop="1" thickBot="1" x14ac:dyDescent="0.25">
      <c r="A71" s="1896">
        <v>3299</v>
      </c>
      <c r="B71" s="1903">
        <v>6351</v>
      </c>
      <c r="C71" s="1906">
        <v>32533887</v>
      </c>
      <c r="D71" s="1836" t="s">
        <v>1277</v>
      </c>
      <c r="E71" s="1845">
        <v>0</v>
      </c>
      <c r="F71" s="1845">
        <v>0</v>
      </c>
      <c r="G71" s="1845">
        <v>0</v>
      </c>
      <c r="H71" s="1827" t="e">
        <f>G71/F71*100</f>
        <v>#DIV/0!</v>
      </c>
      <c r="J71" s="1908"/>
    </row>
    <row r="72" spans="1:10" s="1828" customFormat="1" ht="16.5" thickTop="1" thickBot="1" x14ac:dyDescent="0.3">
      <c r="A72" s="2751" t="s">
        <v>763</v>
      </c>
      <c r="B72" s="2752"/>
      <c r="C72" s="2752"/>
      <c r="D72" s="2752"/>
      <c r="E72" s="1818">
        <f>SUM(E68:E71)</f>
        <v>0</v>
      </c>
      <c r="F72" s="1818">
        <f>SUM(F68:F71)</f>
        <v>1142</v>
      </c>
      <c r="G72" s="1818">
        <f>SUM(G68:G71)</f>
        <v>1141</v>
      </c>
      <c r="H72" s="1827">
        <f>G72/F72*100</f>
        <v>99.9124343257443</v>
      </c>
      <c r="I72" s="1910"/>
    </row>
    <row r="73" spans="1:10" ht="13.5" thickTop="1" x14ac:dyDescent="0.2">
      <c r="I73" s="1829"/>
    </row>
    <row r="74" spans="1:10" ht="15" x14ac:dyDescent="0.25">
      <c r="A74" s="1976" t="s">
        <v>319</v>
      </c>
      <c r="B74" s="1854"/>
      <c r="C74" s="1854"/>
      <c r="D74" s="1854"/>
    </row>
    <row r="75" spans="1:10" ht="15.75" thickBot="1" x14ac:dyDescent="0.3">
      <c r="A75" s="1977" t="s">
        <v>563</v>
      </c>
      <c r="B75" s="1978"/>
      <c r="C75" s="1978"/>
      <c r="H75" s="1892" t="s">
        <v>161</v>
      </c>
    </row>
    <row r="76" spans="1:10" s="1638" customFormat="1" ht="25.5" thickTop="1" thickBot="1" x14ac:dyDescent="0.25">
      <c r="A76" s="1809" t="s">
        <v>162</v>
      </c>
      <c r="B76" s="1810" t="s">
        <v>761</v>
      </c>
      <c r="C76" s="1810" t="s">
        <v>377</v>
      </c>
      <c r="D76" s="1811" t="s">
        <v>164</v>
      </c>
      <c r="E76" s="1833" t="s">
        <v>632</v>
      </c>
      <c r="F76" s="1833" t="s">
        <v>633</v>
      </c>
      <c r="G76" s="1834" t="s">
        <v>882</v>
      </c>
      <c r="H76" s="1835" t="s">
        <v>883</v>
      </c>
    </row>
    <row r="77" spans="1:10" s="1638" customFormat="1" ht="13.5" thickTop="1" thickBot="1" x14ac:dyDescent="0.25">
      <c r="A77" s="1643">
        <v>1</v>
      </c>
      <c r="B77" s="1642">
        <v>2</v>
      </c>
      <c r="C77" s="1642">
        <v>3</v>
      </c>
      <c r="D77" s="1642">
        <v>4</v>
      </c>
      <c r="E77" s="1641">
        <v>5</v>
      </c>
      <c r="F77" s="1641">
        <v>6</v>
      </c>
      <c r="G77" s="1877">
        <v>7</v>
      </c>
      <c r="H77" s="1901" t="s">
        <v>61</v>
      </c>
    </row>
    <row r="78" spans="1:10" ht="30.75" thickTop="1" x14ac:dyDescent="0.2">
      <c r="A78" s="1896">
        <v>3299</v>
      </c>
      <c r="B78" s="1918">
        <v>5336</v>
      </c>
      <c r="C78" s="1906">
        <v>32133012</v>
      </c>
      <c r="D78" s="1836" t="s">
        <v>1263</v>
      </c>
      <c r="E78" s="1845">
        <v>0</v>
      </c>
      <c r="F78" s="1845">
        <v>213</v>
      </c>
      <c r="G78" s="1845">
        <v>131</v>
      </c>
      <c r="H78" s="1821">
        <f>G78/F78*100</f>
        <v>61.502347417840376</v>
      </c>
      <c r="J78" s="1908"/>
    </row>
    <row r="79" spans="1:10" ht="30.75" thickBot="1" x14ac:dyDescent="0.25">
      <c r="A79" s="1896">
        <v>3299</v>
      </c>
      <c r="B79" s="1918">
        <v>5336</v>
      </c>
      <c r="C79" s="1906">
        <v>32533012</v>
      </c>
      <c r="D79" s="1836" t="s">
        <v>1263</v>
      </c>
      <c r="E79" s="1845">
        <v>0</v>
      </c>
      <c r="F79" s="1845">
        <v>1209</v>
      </c>
      <c r="G79" s="1845">
        <v>741</v>
      </c>
      <c r="H79" s="1827">
        <f>G79/F79*100</f>
        <v>61.29032258064516</v>
      </c>
      <c r="J79" s="1908"/>
    </row>
    <row r="80" spans="1:10" ht="31.5" hidden="1" thickTop="1" thickBot="1" x14ac:dyDescent="0.25">
      <c r="A80" s="1896">
        <v>3299</v>
      </c>
      <c r="B80" s="1903">
        <v>6351</v>
      </c>
      <c r="C80" s="1906">
        <v>32133887</v>
      </c>
      <c r="D80" s="1836" t="s">
        <v>1277</v>
      </c>
      <c r="E80" s="1845">
        <v>0</v>
      </c>
      <c r="F80" s="1845">
        <v>0</v>
      </c>
      <c r="G80" s="1845">
        <v>0</v>
      </c>
      <c r="H80" s="1821" t="e">
        <f>G80/F80*100</f>
        <v>#DIV/0!</v>
      </c>
      <c r="J80" s="1908"/>
    </row>
    <row r="81" spans="1:10" ht="31.5" hidden="1" thickTop="1" thickBot="1" x14ac:dyDescent="0.25">
      <c r="A81" s="1896">
        <v>3299</v>
      </c>
      <c r="B81" s="1903">
        <v>6351</v>
      </c>
      <c r="C81" s="1906">
        <v>32533887</v>
      </c>
      <c r="D81" s="1836" t="s">
        <v>1277</v>
      </c>
      <c r="E81" s="1845">
        <v>0</v>
      </c>
      <c r="F81" s="1845">
        <v>0</v>
      </c>
      <c r="G81" s="1845">
        <v>0</v>
      </c>
      <c r="H81" s="1827" t="e">
        <f>G81/F81*100</f>
        <v>#DIV/0!</v>
      </c>
      <c r="J81" s="1908"/>
    </row>
    <row r="82" spans="1:10" s="1828" customFormat="1" ht="16.5" thickTop="1" thickBot="1" x14ac:dyDescent="0.3">
      <c r="A82" s="2751" t="s">
        <v>763</v>
      </c>
      <c r="B82" s="2752"/>
      <c r="C82" s="2752"/>
      <c r="D82" s="2752"/>
      <c r="E82" s="1818">
        <f>SUM(E78:E81)</f>
        <v>0</v>
      </c>
      <c r="F82" s="1818">
        <f>SUM(F78:F81)</f>
        <v>1422</v>
      </c>
      <c r="G82" s="1818">
        <f>SUM(G78:G81)</f>
        <v>872</v>
      </c>
      <c r="H82" s="1827">
        <f>G82/F82*100</f>
        <v>61.322081575246138</v>
      </c>
      <c r="I82" s="1910"/>
    </row>
    <row r="83" spans="1:10" ht="13.5" thickTop="1" x14ac:dyDescent="0.2">
      <c r="I83" s="1829"/>
    </row>
    <row r="84" spans="1:10" ht="15" x14ac:dyDescent="0.25">
      <c r="A84" s="1976" t="s">
        <v>2015</v>
      </c>
      <c r="B84" s="1854"/>
      <c r="C84" s="1854"/>
      <c r="D84" s="1854"/>
    </row>
    <row r="85" spans="1:10" ht="15.75" thickBot="1" x14ac:dyDescent="0.3">
      <c r="A85" s="1977" t="s">
        <v>1144</v>
      </c>
      <c r="B85" s="1978"/>
      <c r="C85" s="1978"/>
      <c r="H85" s="1892" t="s">
        <v>161</v>
      </c>
    </row>
    <row r="86" spans="1:10" s="1638" customFormat="1" ht="25.5" thickTop="1" thickBot="1" x14ac:dyDescent="0.25">
      <c r="A86" s="1809" t="s">
        <v>162</v>
      </c>
      <c r="B86" s="1810" t="s">
        <v>761</v>
      </c>
      <c r="C86" s="1810" t="s">
        <v>377</v>
      </c>
      <c r="D86" s="1811" t="s">
        <v>164</v>
      </c>
      <c r="E86" s="1833" t="s">
        <v>632</v>
      </c>
      <c r="F86" s="1833" t="s">
        <v>633</v>
      </c>
      <c r="G86" s="1834" t="s">
        <v>882</v>
      </c>
      <c r="H86" s="1835" t="s">
        <v>883</v>
      </c>
    </row>
    <row r="87" spans="1:10" s="1638" customFormat="1" ht="13.5" thickTop="1" thickBot="1" x14ac:dyDescent="0.25">
      <c r="A87" s="1643">
        <v>1</v>
      </c>
      <c r="B87" s="1642">
        <v>2</v>
      </c>
      <c r="C87" s="1642">
        <v>3</v>
      </c>
      <c r="D87" s="1642">
        <v>4</v>
      </c>
      <c r="E87" s="1641">
        <v>5</v>
      </c>
      <c r="F87" s="1641">
        <v>6</v>
      </c>
      <c r="G87" s="1877">
        <v>7</v>
      </c>
      <c r="H87" s="1901" t="s">
        <v>61</v>
      </c>
    </row>
    <row r="88" spans="1:10" ht="30.75" thickTop="1" x14ac:dyDescent="0.2">
      <c r="A88" s="1896">
        <v>3299</v>
      </c>
      <c r="B88" s="1918">
        <v>5336</v>
      </c>
      <c r="C88" s="1906">
        <v>32133012</v>
      </c>
      <c r="D88" s="1836" t="s">
        <v>1263</v>
      </c>
      <c r="E88" s="1845">
        <v>0</v>
      </c>
      <c r="F88" s="1845">
        <v>265</v>
      </c>
      <c r="G88" s="1845">
        <v>130</v>
      </c>
      <c r="H88" s="1821">
        <f>G88/F88*100</f>
        <v>49.056603773584904</v>
      </c>
      <c r="J88" s="1908"/>
    </row>
    <row r="89" spans="1:10" ht="30.75" thickBot="1" x14ac:dyDescent="0.25">
      <c r="A89" s="1896">
        <v>3299</v>
      </c>
      <c r="B89" s="1918">
        <v>5336</v>
      </c>
      <c r="C89" s="1906">
        <v>32533012</v>
      </c>
      <c r="D89" s="1836" t="s">
        <v>1263</v>
      </c>
      <c r="E89" s="1845">
        <v>0</v>
      </c>
      <c r="F89" s="1845">
        <v>1504</v>
      </c>
      <c r="G89" s="1845">
        <v>737</v>
      </c>
      <c r="H89" s="1821">
        <f>G89/F89*100</f>
        <v>49.002659574468083</v>
      </c>
      <c r="J89" s="1908"/>
    </row>
    <row r="90" spans="1:10" ht="30.75" hidden="1" thickBot="1" x14ac:dyDescent="0.25">
      <c r="A90" s="1896">
        <v>3299</v>
      </c>
      <c r="B90" s="1903">
        <v>6351</v>
      </c>
      <c r="C90" s="1906">
        <v>32133887</v>
      </c>
      <c r="D90" s="1836" t="s">
        <v>1277</v>
      </c>
      <c r="E90" s="1845">
        <v>0</v>
      </c>
      <c r="F90" s="1845">
        <v>0</v>
      </c>
      <c r="G90" s="1845">
        <v>0</v>
      </c>
      <c r="H90" s="1821" t="e">
        <f>G90/F90*100</f>
        <v>#DIV/0!</v>
      </c>
      <c r="J90" s="1908"/>
    </row>
    <row r="91" spans="1:10" ht="30.75" hidden="1" thickBot="1" x14ac:dyDescent="0.25">
      <c r="A91" s="1896">
        <v>3299</v>
      </c>
      <c r="B91" s="1903">
        <v>6351</v>
      </c>
      <c r="C91" s="1906">
        <v>32533887</v>
      </c>
      <c r="D91" s="1836" t="s">
        <v>1277</v>
      </c>
      <c r="E91" s="1845">
        <v>0</v>
      </c>
      <c r="F91" s="1845">
        <v>0</v>
      </c>
      <c r="G91" s="1845">
        <v>0</v>
      </c>
      <c r="H91" s="1827" t="e">
        <f>G91/F91*100</f>
        <v>#DIV/0!</v>
      </c>
      <c r="J91" s="1908"/>
    </row>
    <row r="92" spans="1:10" s="1828" customFormat="1" ht="16.5" thickTop="1" thickBot="1" x14ac:dyDescent="0.3">
      <c r="A92" s="2751" t="s">
        <v>763</v>
      </c>
      <c r="B92" s="2752"/>
      <c r="C92" s="2752"/>
      <c r="D92" s="2752"/>
      <c r="E92" s="1818">
        <f>SUM(E88:E91)</f>
        <v>0</v>
      </c>
      <c r="F92" s="1818">
        <f>SUM(F88:F91)</f>
        <v>1769</v>
      </c>
      <c r="G92" s="1818">
        <f>SUM(G88:G91)</f>
        <v>867</v>
      </c>
      <c r="H92" s="1822">
        <f>G92/F92*100</f>
        <v>49.010740531373656</v>
      </c>
      <c r="I92" s="1910"/>
    </row>
    <row r="93" spans="1:10" ht="13.5" hidden="1" thickTop="1" x14ac:dyDescent="0.2">
      <c r="I93" s="1829"/>
    </row>
    <row r="94" spans="1:10" ht="15.75" hidden="1" thickTop="1" x14ac:dyDescent="0.25">
      <c r="A94" s="1976" t="s">
        <v>965</v>
      </c>
      <c r="B94" s="1854"/>
      <c r="C94" s="1854"/>
      <c r="D94" s="1854"/>
    </row>
    <row r="95" spans="1:10" ht="15.75" hidden="1" thickTop="1" x14ac:dyDescent="0.25">
      <c r="A95" s="1977" t="s">
        <v>966</v>
      </c>
      <c r="B95" s="1978"/>
      <c r="C95" s="1978"/>
      <c r="H95" s="1892" t="s">
        <v>161</v>
      </c>
    </row>
    <row r="96" spans="1:10" s="1638" customFormat="1" ht="25.5" hidden="1" thickTop="1" thickBot="1" x14ac:dyDescent="0.25">
      <c r="A96" s="1809" t="s">
        <v>162</v>
      </c>
      <c r="B96" s="1810" t="s">
        <v>761</v>
      </c>
      <c r="C96" s="1810" t="s">
        <v>377</v>
      </c>
      <c r="D96" s="1811" t="s">
        <v>164</v>
      </c>
      <c r="E96" s="1833" t="s">
        <v>632</v>
      </c>
      <c r="F96" s="1833" t="s">
        <v>633</v>
      </c>
      <c r="G96" s="1834" t="s">
        <v>882</v>
      </c>
      <c r="H96" s="1835" t="s">
        <v>883</v>
      </c>
    </row>
    <row r="97" spans="1:10" s="1638" customFormat="1" ht="13.5" hidden="1" thickTop="1" thickBot="1" x14ac:dyDescent="0.25">
      <c r="A97" s="1643">
        <v>1</v>
      </c>
      <c r="B97" s="1642">
        <v>2</v>
      </c>
      <c r="C97" s="1642">
        <v>3</v>
      </c>
      <c r="D97" s="1642">
        <v>4</v>
      </c>
      <c r="E97" s="1641">
        <v>5</v>
      </c>
      <c r="F97" s="1641">
        <v>6</v>
      </c>
      <c r="G97" s="1877">
        <v>7</v>
      </c>
      <c r="H97" s="1901" t="s">
        <v>61</v>
      </c>
    </row>
    <row r="98" spans="1:10" ht="45.75" hidden="1" thickTop="1" x14ac:dyDescent="0.2">
      <c r="A98" s="1896">
        <v>3299</v>
      </c>
      <c r="B98" s="1903">
        <v>5213</v>
      </c>
      <c r="C98" s="1906">
        <v>32133012</v>
      </c>
      <c r="D98" s="1836" t="s">
        <v>1038</v>
      </c>
      <c r="E98" s="1845">
        <v>0</v>
      </c>
      <c r="F98" s="1845"/>
      <c r="G98" s="1845"/>
      <c r="H98" s="1821" t="e">
        <f>G98/F98*100</f>
        <v>#DIV/0!</v>
      </c>
      <c r="J98" s="1908"/>
    </row>
    <row r="99" spans="1:10" ht="45.75" hidden="1" thickTop="1" x14ac:dyDescent="0.2">
      <c r="A99" s="1896">
        <v>3299</v>
      </c>
      <c r="B99" s="1903">
        <v>5213</v>
      </c>
      <c r="C99" s="1906">
        <v>32533012</v>
      </c>
      <c r="D99" s="1836" t="s">
        <v>1038</v>
      </c>
      <c r="E99" s="1845">
        <v>0</v>
      </c>
      <c r="F99" s="1845"/>
      <c r="G99" s="1845"/>
      <c r="H99" s="1821" t="e">
        <f>G99/F99*100</f>
        <v>#DIV/0!</v>
      </c>
      <c r="J99" s="1908"/>
    </row>
    <row r="100" spans="1:10" ht="45.75" hidden="1" thickTop="1" x14ac:dyDescent="0.2">
      <c r="A100" s="1896">
        <v>3299</v>
      </c>
      <c r="B100" s="1903">
        <v>6313</v>
      </c>
      <c r="C100" s="1906">
        <v>32133887</v>
      </c>
      <c r="D100" s="1836" t="s">
        <v>1039</v>
      </c>
      <c r="E100" s="1845">
        <v>0</v>
      </c>
      <c r="F100" s="1845">
        <v>0</v>
      </c>
      <c r="G100" s="1845">
        <v>0</v>
      </c>
      <c r="H100" s="1821" t="e">
        <f>G100/F100*100</f>
        <v>#DIV/0!</v>
      </c>
      <c r="J100" s="1908"/>
    </row>
    <row r="101" spans="1:10" ht="46.5" hidden="1" thickTop="1" thickBot="1" x14ac:dyDescent="0.25">
      <c r="A101" s="1896">
        <v>3299</v>
      </c>
      <c r="B101" s="1903">
        <v>6313</v>
      </c>
      <c r="C101" s="1906">
        <v>32533887</v>
      </c>
      <c r="D101" s="1836" t="s">
        <v>1039</v>
      </c>
      <c r="E101" s="1845">
        <v>0</v>
      </c>
      <c r="F101" s="1845">
        <v>0</v>
      </c>
      <c r="G101" s="1845">
        <v>0</v>
      </c>
      <c r="H101" s="1827" t="e">
        <f>G101/F101*100</f>
        <v>#DIV/0!</v>
      </c>
      <c r="J101" s="1908"/>
    </row>
    <row r="102" spans="1:10" s="1828" customFormat="1" ht="16.5" hidden="1" thickTop="1" thickBot="1" x14ac:dyDescent="0.3">
      <c r="A102" s="2751" t="s">
        <v>763</v>
      </c>
      <c r="B102" s="2752"/>
      <c r="C102" s="2752"/>
      <c r="D102" s="2752"/>
      <c r="E102" s="1818">
        <f>SUM(E98:E101)</f>
        <v>0</v>
      </c>
      <c r="F102" s="1818">
        <f>SUM(F98:F101)</f>
        <v>0</v>
      </c>
      <c r="G102" s="1818">
        <f>SUM(G98:G101)</f>
        <v>0</v>
      </c>
      <c r="H102" s="1822" t="e">
        <f>G102/F102*100</f>
        <v>#DIV/0!</v>
      </c>
      <c r="I102" s="1910"/>
    </row>
    <row r="103" spans="1:10" ht="13.5" thickTop="1" x14ac:dyDescent="0.2">
      <c r="I103" s="1829"/>
    </row>
    <row r="104" spans="1:10" ht="15" x14ac:dyDescent="0.25">
      <c r="A104" s="1976" t="s">
        <v>1621</v>
      </c>
      <c r="B104" s="1854"/>
      <c r="C104" s="1854"/>
      <c r="D104" s="1854"/>
    </row>
    <row r="105" spans="1:10" ht="15.75" thickBot="1" x14ac:dyDescent="0.3">
      <c r="A105" s="1977" t="s">
        <v>968</v>
      </c>
      <c r="B105" s="1978"/>
      <c r="C105" s="1978"/>
      <c r="H105" s="1892" t="s">
        <v>161</v>
      </c>
    </row>
    <row r="106" spans="1:10" s="1638" customFormat="1" ht="25.5" thickTop="1" thickBot="1" x14ac:dyDescent="0.25">
      <c r="A106" s="1809" t="s">
        <v>162</v>
      </c>
      <c r="B106" s="1810" t="s">
        <v>761</v>
      </c>
      <c r="C106" s="1810" t="s">
        <v>377</v>
      </c>
      <c r="D106" s="1811" t="s">
        <v>164</v>
      </c>
      <c r="E106" s="1833" t="s">
        <v>632</v>
      </c>
      <c r="F106" s="1833" t="s">
        <v>633</v>
      </c>
      <c r="G106" s="1834" t="s">
        <v>882</v>
      </c>
      <c r="H106" s="1835" t="s">
        <v>883</v>
      </c>
    </row>
    <row r="107" spans="1:10" s="1638" customFormat="1" ht="13.5" thickTop="1" thickBot="1" x14ac:dyDescent="0.25">
      <c r="A107" s="1643">
        <v>1</v>
      </c>
      <c r="B107" s="1642">
        <v>2</v>
      </c>
      <c r="C107" s="1642">
        <v>3</v>
      </c>
      <c r="D107" s="1642">
        <v>4</v>
      </c>
      <c r="E107" s="1641">
        <v>5</v>
      </c>
      <c r="F107" s="1641">
        <v>6</v>
      </c>
      <c r="G107" s="1877">
        <v>7</v>
      </c>
      <c r="H107" s="1901" t="s">
        <v>61</v>
      </c>
    </row>
    <row r="108" spans="1:10" ht="30.75" thickTop="1" x14ac:dyDescent="0.2">
      <c r="A108" s="1896">
        <v>3299</v>
      </c>
      <c r="B108" s="1903">
        <v>5229</v>
      </c>
      <c r="C108" s="1906">
        <v>32133012</v>
      </c>
      <c r="D108" s="1836" t="s">
        <v>969</v>
      </c>
      <c r="E108" s="1845">
        <v>0</v>
      </c>
      <c r="F108" s="1845">
        <v>246</v>
      </c>
      <c r="G108" s="1845">
        <v>245</v>
      </c>
      <c r="H108" s="1821">
        <f>G108/F108*100</f>
        <v>99.59349593495935</v>
      </c>
      <c r="J108" s="1908"/>
    </row>
    <row r="109" spans="1:10" ht="30.75" thickBot="1" x14ac:dyDescent="0.25">
      <c r="A109" s="1896">
        <v>3299</v>
      </c>
      <c r="B109" s="1903">
        <v>5229</v>
      </c>
      <c r="C109" s="1906">
        <v>32533012</v>
      </c>
      <c r="D109" s="1836" t="s">
        <v>969</v>
      </c>
      <c r="E109" s="1845">
        <v>0</v>
      </c>
      <c r="F109" s="1845">
        <v>1393</v>
      </c>
      <c r="G109" s="1845">
        <v>1392</v>
      </c>
      <c r="H109" s="1821">
        <f>G109/F109*100</f>
        <v>99.928212491026557</v>
      </c>
      <c r="J109" s="1908"/>
    </row>
    <row r="110" spans="1:10" ht="30.75" hidden="1" thickBot="1" x14ac:dyDescent="0.25">
      <c r="A110" s="1896">
        <v>3299</v>
      </c>
      <c r="B110" s="1903">
        <v>6351</v>
      </c>
      <c r="C110" s="1906">
        <v>32133887</v>
      </c>
      <c r="D110" s="1836" t="s">
        <v>1277</v>
      </c>
      <c r="E110" s="1845">
        <v>0</v>
      </c>
      <c r="F110" s="1845">
        <v>0</v>
      </c>
      <c r="G110" s="1845">
        <v>0</v>
      </c>
      <c r="H110" s="1821" t="e">
        <f>G110/F110*100</f>
        <v>#DIV/0!</v>
      </c>
      <c r="J110" s="1908"/>
    </row>
    <row r="111" spans="1:10" ht="30.75" hidden="1" thickBot="1" x14ac:dyDescent="0.25">
      <c r="A111" s="1896">
        <v>3299</v>
      </c>
      <c r="B111" s="1903">
        <v>6351</v>
      </c>
      <c r="C111" s="1906">
        <v>32533887</v>
      </c>
      <c r="D111" s="1836" t="s">
        <v>1277</v>
      </c>
      <c r="E111" s="1845">
        <v>0</v>
      </c>
      <c r="F111" s="1845">
        <v>0</v>
      </c>
      <c r="G111" s="1845">
        <v>0</v>
      </c>
      <c r="H111" s="1827" t="e">
        <f>G111/F111*100</f>
        <v>#DIV/0!</v>
      </c>
      <c r="J111" s="1908"/>
    </row>
    <row r="112" spans="1:10" s="1828" customFormat="1" ht="16.5" thickTop="1" thickBot="1" x14ac:dyDescent="0.3">
      <c r="A112" s="2751" t="s">
        <v>763</v>
      </c>
      <c r="B112" s="2752"/>
      <c r="C112" s="2752"/>
      <c r="D112" s="2752"/>
      <c r="E112" s="1818">
        <f>SUM(E108:E111)</f>
        <v>0</v>
      </c>
      <c r="F112" s="1818">
        <f>SUM(F108:F111)</f>
        <v>1639</v>
      </c>
      <c r="G112" s="1818">
        <f>SUM(G108:G111)</f>
        <v>1637</v>
      </c>
      <c r="H112" s="1822">
        <f>G112/F112*100</f>
        <v>99.877974374618674</v>
      </c>
      <c r="I112" s="1910"/>
    </row>
    <row r="113" spans="1:10" ht="13.5" thickTop="1" x14ac:dyDescent="0.2">
      <c r="I113" s="1829"/>
    </row>
    <row r="114" spans="1:10" ht="15" hidden="1" x14ac:dyDescent="0.25">
      <c r="A114" s="1976" t="s">
        <v>1631</v>
      </c>
      <c r="B114" s="1854"/>
      <c r="C114" s="1854"/>
      <c r="D114" s="1854"/>
    </row>
    <row r="115" spans="1:10" ht="15" hidden="1" x14ac:dyDescent="0.25">
      <c r="A115" s="1977" t="s">
        <v>1042</v>
      </c>
      <c r="B115" s="1978"/>
      <c r="C115" s="1978"/>
      <c r="H115" s="1892" t="s">
        <v>161</v>
      </c>
    </row>
    <row r="116" spans="1:10" s="1638" customFormat="1" ht="25.5" hidden="1" thickTop="1" thickBot="1" x14ac:dyDescent="0.25">
      <c r="A116" s="1809" t="s">
        <v>162</v>
      </c>
      <c r="B116" s="1810" t="s">
        <v>761</v>
      </c>
      <c r="C116" s="1810" t="s">
        <v>377</v>
      </c>
      <c r="D116" s="1811" t="s">
        <v>164</v>
      </c>
      <c r="E116" s="1833" t="s">
        <v>632</v>
      </c>
      <c r="F116" s="1833" t="s">
        <v>633</v>
      </c>
      <c r="G116" s="1834" t="s">
        <v>882</v>
      </c>
      <c r="H116" s="1835" t="s">
        <v>883</v>
      </c>
    </row>
    <row r="117" spans="1:10" s="1638" customFormat="1" ht="13.5" hidden="1" thickTop="1" thickBot="1" x14ac:dyDescent="0.25">
      <c r="A117" s="1643">
        <v>1</v>
      </c>
      <c r="B117" s="1642">
        <v>2</v>
      </c>
      <c r="C117" s="1642">
        <v>3</v>
      </c>
      <c r="D117" s="1642">
        <v>4</v>
      </c>
      <c r="E117" s="1641">
        <v>5</v>
      </c>
      <c r="F117" s="1641">
        <v>6</v>
      </c>
      <c r="G117" s="1877">
        <v>7</v>
      </c>
      <c r="H117" s="1901" t="s">
        <v>61</v>
      </c>
    </row>
    <row r="118" spans="1:10" ht="30" hidden="1" x14ac:dyDescent="0.2">
      <c r="A118" s="1896">
        <v>3299</v>
      </c>
      <c r="B118" s="1903">
        <v>5229</v>
      </c>
      <c r="C118" s="1906">
        <v>32133012</v>
      </c>
      <c r="D118" s="1836" t="s">
        <v>969</v>
      </c>
      <c r="E118" s="1845">
        <v>0</v>
      </c>
      <c r="F118" s="1845"/>
      <c r="G118" s="1845"/>
      <c r="H118" s="1821" t="e">
        <f>G118/F118*100</f>
        <v>#DIV/0!</v>
      </c>
      <c r="J118" s="1908"/>
    </row>
    <row r="119" spans="1:10" ht="30" hidden="1" x14ac:dyDescent="0.2">
      <c r="A119" s="1896">
        <v>3299</v>
      </c>
      <c r="B119" s="1903">
        <v>5229</v>
      </c>
      <c r="C119" s="1906">
        <v>32533012</v>
      </c>
      <c r="D119" s="1836" t="s">
        <v>969</v>
      </c>
      <c r="E119" s="1845">
        <v>0</v>
      </c>
      <c r="F119" s="1845"/>
      <c r="G119" s="1845"/>
      <c r="H119" s="1821" t="e">
        <f>G119/F119*100</f>
        <v>#DIV/0!</v>
      </c>
      <c r="J119" s="1908"/>
    </row>
    <row r="120" spans="1:10" ht="30" hidden="1" x14ac:dyDescent="0.2">
      <c r="A120" s="1896">
        <v>3299</v>
      </c>
      <c r="B120" s="1903">
        <v>6351</v>
      </c>
      <c r="C120" s="1906">
        <v>32133887</v>
      </c>
      <c r="D120" s="1836" t="s">
        <v>1277</v>
      </c>
      <c r="E120" s="1845">
        <v>0</v>
      </c>
      <c r="F120" s="1845">
        <v>0</v>
      </c>
      <c r="G120" s="1845">
        <v>0</v>
      </c>
      <c r="H120" s="1821" t="e">
        <f>G120/F120*100</f>
        <v>#DIV/0!</v>
      </c>
      <c r="J120" s="1908"/>
    </row>
    <row r="121" spans="1:10" ht="30.75" hidden="1" thickBot="1" x14ac:dyDescent="0.25">
      <c r="A121" s="1896">
        <v>3299</v>
      </c>
      <c r="B121" s="1903">
        <v>6351</v>
      </c>
      <c r="C121" s="1906">
        <v>32533887</v>
      </c>
      <c r="D121" s="1836" t="s">
        <v>1277</v>
      </c>
      <c r="E121" s="1845">
        <v>0</v>
      </c>
      <c r="F121" s="1845">
        <v>0</v>
      </c>
      <c r="G121" s="1845">
        <v>0</v>
      </c>
      <c r="H121" s="1827" t="e">
        <f>G121/F121*100</f>
        <v>#DIV/0!</v>
      </c>
      <c r="J121" s="1908"/>
    </row>
    <row r="122" spans="1:10" s="1828" customFormat="1" ht="16.5" hidden="1" thickTop="1" thickBot="1" x14ac:dyDescent="0.3">
      <c r="A122" s="2751" t="s">
        <v>763</v>
      </c>
      <c r="B122" s="2752"/>
      <c r="C122" s="2752"/>
      <c r="D122" s="2752"/>
      <c r="E122" s="1818">
        <f>SUM(E118:E121)</f>
        <v>0</v>
      </c>
      <c r="F122" s="1818">
        <f>SUM(F118:F121)</f>
        <v>0</v>
      </c>
      <c r="G122" s="1818">
        <f>SUM(G118:G121)</f>
        <v>0</v>
      </c>
      <c r="H122" s="1822" t="e">
        <f>G122/F122*100</f>
        <v>#DIV/0!</v>
      </c>
      <c r="I122" s="1910"/>
    </row>
    <row r="123" spans="1:10" x14ac:dyDescent="0.2">
      <c r="I123" s="1829"/>
    </row>
    <row r="124" spans="1:10" ht="15" x14ac:dyDescent="0.25">
      <c r="A124" s="1976" t="s">
        <v>1043</v>
      </c>
      <c r="B124" s="1854"/>
      <c r="C124" s="1854"/>
      <c r="D124" s="1854"/>
    </row>
    <row r="125" spans="1:10" ht="15.75" thickBot="1" x14ac:dyDescent="0.3">
      <c r="A125" s="1977" t="s">
        <v>1044</v>
      </c>
      <c r="B125" s="1978"/>
      <c r="C125" s="1978"/>
      <c r="H125" s="1892" t="s">
        <v>161</v>
      </c>
    </row>
    <row r="126" spans="1:10" s="1638" customFormat="1" ht="25.5" thickTop="1" thickBot="1" x14ac:dyDescent="0.25">
      <c r="A126" s="1809" t="s">
        <v>162</v>
      </c>
      <c r="B126" s="1810" t="s">
        <v>761</v>
      </c>
      <c r="C126" s="1810" t="s">
        <v>377</v>
      </c>
      <c r="D126" s="1811" t="s">
        <v>164</v>
      </c>
      <c r="E126" s="1833" t="s">
        <v>632</v>
      </c>
      <c r="F126" s="1833" t="s">
        <v>633</v>
      </c>
      <c r="G126" s="1834" t="s">
        <v>882</v>
      </c>
      <c r="H126" s="1835" t="s">
        <v>883</v>
      </c>
    </row>
    <row r="127" spans="1:10" s="1638" customFormat="1" ht="13.5" thickTop="1" thickBot="1" x14ac:dyDescent="0.25">
      <c r="A127" s="1643">
        <v>1</v>
      </c>
      <c r="B127" s="1642">
        <v>2</v>
      </c>
      <c r="C127" s="1642">
        <v>3</v>
      </c>
      <c r="D127" s="1642">
        <v>4</v>
      </c>
      <c r="E127" s="1641">
        <v>5</v>
      </c>
      <c r="F127" s="1641">
        <v>6</v>
      </c>
      <c r="G127" s="1877">
        <v>7</v>
      </c>
      <c r="H127" s="1901" t="s">
        <v>61</v>
      </c>
    </row>
    <row r="128" spans="1:10" ht="30.75" thickTop="1" x14ac:dyDescent="0.2">
      <c r="A128" s="1896">
        <v>3299</v>
      </c>
      <c r="B128" s="1903">
        <v>5229</v>
      </c>
      <c r="C128" s="1906">
        <v>32133012</v>
      </c>
      <c r="D128" s="1836" t="s">
        <v>969</v>
      </c>
      <c r="E128" s="1845">
        <v>0</v>
      </c>
      <c r="F128" s="1845">
        <v>260</v>
      </c>
      <c r="G128" s="1845">
        <v>260</v>
      </c>
      <c r="H128" s="1821">
        <f>G128/F128*100</f>
        <v>100</v>
      </c>
      <c r="J128" s="1908"/>
    </row>
    <row r="129" spans="1:12" ht="30.75" thickBot="1" x14ac:dyDescent="0.25">
      <c r="A129" s="1896">
        <v>3299</v>
      </c>
      <c r="B129" s="1903">
        <v>5229</v>
      </c>
      <c r="C129" s="1906">
        <v>32533012</v>
      </c>
      <c r="D129" s="1836" t="s">
        <v>969</v>
      </c>
      <c r="E129" s="1845">
        <v>0</v>
      </c>
      <c r="F129" s="1845">
        <v>1472</v>
      </c>
      <c r="G129" s="1845">
        <v>1471</v>
      </c>
      <c r="H129" s="1821">
        <f>G129/F129*100</f>
        <v>99.932065217391312</v>
      </c>
      <c r="J129" s="1908"/>
    </row>
    <row r="130" spans="1:12" ht="30.75" hidden="1" thickBot="1" x14ac:dyDescent="0.25">
      <c r="A130" s="1896">
        <v>3299</v>
      </c>
      <c r="B130" s="1903">
        <v>6351</v>
      </c>
      <c r="C130" s="1906">
        <v>32133887</v>
      </c>
      <c r="D130" s="1836" t="s">
        <v>1277</v>
      </c>
      <c r="E130" s="1845">
        <v>0</v>
      </c>
      <c r="F130" s="1845">
        <v>0</v>
      </c>
      <c r="G130" s="1845">
        <v>0</v>
      </c>
      <c r="H130" s="1821" t="e">
        <f>G130/F130*100</f>
        <v>#DIV/0!</v>
      </c>
      <c r="J130" s="1908"/>
    </row>
    <row r="131" spans="1:12" ht="30.75" hidden="1" thickBot="1" x14ac:dyDescent="0.25">
      <c r="A131" s="1896">
        <v>3299</v>
      </c>
      <c r="B131" s="1903">
        <v>6351</v>
      </c>
      <c r="C131" s="1906">
        <v>32533887</v>
      </c>
      <c r="D131" s="1836" t="s">
        <v>1277</v>
      </c>
      <c r="E131" s="1845">
        <v>0</v>
      </c>
      <c r="F131" s="1845">
        <v>0</v>
      </c>
      <c r="G131" s="1845">
        <v>0</v>
      </c>
      <c r="H131" s="1827" t="e">
        <f>G131/F131*100</f>
        <v>#DIV/0!</v>
      </c>
      <c r="J131" s="1908"/>
    </row>
    <row r="132" spans="1:12" s="1828" customFormat="1" ht="16.5" thickTop="1" thickBot="1" x14ac:dyDescent="0.3">
      <c r="A132" s="2751" t="s">
        <v>763</v>
      </c>
      <c r="B132" s="2752"/>
      <c r="C132" s="2752"/>
      <c r="D132" s="2752"/>
      <c r="E132" s="1818">
        <f>SUM(E128:E131)</f>
        <v>0</v>
      </c>
      <c r="F132" s="1818">
        <f>SUM(F128:F131)</f>
        <v>1732</v>
      </c>
      <c r="G132" s="1818">
        <f>SUM(G128:G131)</f>
        <v>1731</v>
      </c>
      <c r="H132" s="1822">
        <f>G132/F132*100</f>
        <v>99.942263279445726</v>
      </c>
      <c r="I132" s="1910"/>
    </row>
    <row r="133" spans="1:12" ht="13.5" thickTop="1" x14ac:dyDescent="0.2">
      <c r="I133" s="1829"/>
    </row>
    <row r="134" spans="1:12" ht="15" x14ac:dyDescent="0.25">
      <c r="A134" s="1976"/>
      <c r="B134" s="1854"/>
      <c r="C134" s="1854"/>
      <c r="D134" s="1854"/>
    </row>
    <row r="135" spans="1:12" x14ac:dyDescent="0.2">
      <c r="I135" s="1829"/>
    </row>
    <row r="136" spans="1:12" x14ac:dyDescent="0.2">
      <c r="I136" s="1829"/>
    </row>
    <row r="137" spans="1:12" x14ac:dyDescent="0.2">
      <c r="I137" s="1829"/>
    </row>
    <row r="138" spans="1:12" x14ac:dyDescent="0.2">
      <c r="I138" s="1829"/>
    </row>
    <row r="140" spans="1:12" ht="16.5" x14ac:dyDescent="0.25">
      <c r="A140" s="1860" t="s">
        <v>465</v>
      </c>
      <c r="B140" s="1861"/>
      <c r="C140" s="1862"/>
      <c r="D140" s="1863"/>
      <c r="E140" s="1864">
        <f>SUM(E141:E143)</f>
        <v>0</v>
      </c>
      <c r="F140" s="1864">
        <f>F141+F142+F143+F144</f>
        <v>66322</v>
      </c>
      <c r="G140" s="1864">
        <f>G141+G142+G143+G144</f>
        <v>65684</v>
      </c>
      <c r="H140" s="1884">
        <f>G140/F140*100</f>
        <v>99.038026597509116</v>
      </c>
      <c r="J140" s="1866">
        <f>J141+J142+J143</f>
        <v>0</v>
      </c>
      <c r="K140" s="1866">
        <f>K141+K142+K143</f>
        <v>66321635.18</v>
      </c>
      <c r="L140" s="1866">
        <f>L141+L142+L143</f>
        <v>65683513.5</v>
      </c>
    </row>
    <row r="141" spans="1:12" ht="15" x14ac:dyDescent="0.2">
      <c r="A141" s="1600" t="s">
        <v>263</v>
      </c>
      <c r="B141" s="1603"/>
      <c r="C141" s="1598"/>
      <c r="D141" s="1867"/>
      <c r="E141" s="1601">
        <f>E10+E11+E12+E13+E14+E15+E16+E17+E18+E19+E30+E31+E38+E39+E48+E49+E58+E59+E68+E69+E78+E79+E88+E89+E108+E109+E128+E129</f>
        <v>0</v>
      </c>
      <c r="F141" s="1601">
        <f t="shared" ref="F141:G141" si="3">F10+F11+F12+F13+F14+F15+F16+F17+F18+F19+F30+F31+F38+F39+F48+F49+F58+F59+F68+F69+F78+F79+F88+F89+F108+F109+F128+F129</f>
        <v>66073</v>
      </c>
      <c r="G141" s="1601">
        <f t="shared" si="3"/>
        <v>35863</v>
      </c>
      <c r="H141" s="1883">
        <f>G141/F141*100</f>
        <v>54.277844202624372</v>
      </c>
      <c r="J141" s="1868">
        <v>0</v>
      </c>
      <c r="K141" s="1868">
        <v>66073214.18</v>
      </c>
      <c r="L141" s="1868">
        <v>35862450.270000003</v>
      </c>
    </row>
    <row r="142" spans="1:12" ht="15" x14ac:dyDescent="0.2">
      <c r="A142" s="1600" t="s">
        <v>264</v>
      </c>
      <c r="B142" s="1599"/>
      <c r="C142" s="1598"/>
      <c r="D142" s="1869"/>
      <c r="E142" s="1601">
        <f>E23+E24+E40+E41</f>
        <v>0</v>
      </c>
      <c r="F142" s="1601">
        <f t="shared" ref="F142:G142" si="4">F23+F24+F40+F41</f>
        <v>249</v>
      </c>
      <c r="G142" s="1601">
        <f t="shared" si="4"/>
        <v>0</v>
      </c>
      <c r="H142" s="1883">
        <f>G142/F142*100</f>
        <v>0</v>
      </c>
      <c r="J142" s="1868">
        <v>0</v>
      </c>
      <c r="K142" s="1868">
        <v>248421</v>
      </c>
      <c r="L142" s="1868">
        <v>0</v>
      </c>
    </row>
    <row r="143" spans="1:12" ht="15" x14ac:dyDescent="0.2">
      <c r="A143" s="1600" t="s">
        <v>466</v>
      </c>
      <c r="B143" s="1599"/>
      <c r="C143" s="1598"/>
      <c r="D143" s="1869"/>
      <c r="E143" s="1601">
        <f>E29</f>
        <v>0</v>
      </c>
      <c r="F143" s="1601">
        <f t="shared" ref="F143:G143" si="5">F29</f>
        <v>0</v>
      </c>
      <c r="G143" s="1601">
        <f t="shared" si="5"/>
        <v>29821</v>
      </c>
      <c r="H143" s="1883">
        <v>0</v>
      </c>
      <c r="J143" s="1868">
        <v>0</v>
      </c>
      <c r="K143" s="1868">
        <v>0</v>
      </c>
      <c r="L143" s="1868">
        <v>29821063.23</v>
      </c>
    </row>
    <row r="144" spans="1:12" ht="15" x14ac:dyDescent="0.2">
      <c r="A144" s="1600"/>
      <c r="B144" s="1599"/>
      <c r="C144" s="1598"/>
      <c r="D144" s="1869"/>
      <c r="E144" s="1601"/>
      <c r="F144" s="1601"/>
      <c r="G144" s="1601"/>
      <c r="H144" s="1597"/>
    </row>
    <row r="145" spans="1:8" ht="46.5" customHeight="1" thickBot="1" x14ac:dyDescent="0.4">
      <c r="A145" s="2741" t="s">
        <v>814</v>
      </c>
      <c r="B145" s="2742"/>
      <c r="C145" s="2742"/>
      <c r="D145" s="2742"/>
      <c r="E145" s="1591">
        <f>SUM(E140)</f>
        <v>0</v>
      </c>
      <c r="F145" s="1591">
        <f>SUM(F140)</f>
        <v>66322</v>
      </c>
      <c r="G145" s="1591">
        <f>SUM(G140)</f>
        <v>65684</v>
      </c>
      <c r="H145" s="1590">
        <f>(G145/F145)*100</f>
        <v>99.038026597509116</v>
      </c>
    </row>
    <row r="146" spans="1:8" ht="13.5" thickTop="1" x14ac:dyDescent="0.2"/>
    <row r="265" spans="1:5" ht="13.5" thickBot="1" x14ac:dyDescent="0.25">
      <c r="A265" s="1840"/>
      <c r="B265" s="1840"/>
      <c r="C265" s="1840"/>
      <c r="D265" s="1911"/>
      <c r="E265" s="1912"/>
    </row>
    <row r="266" spans="1:5" ht="13.5" thickTop="1" x14ac:dyDescent="0.2">
      <c r="A266" s="1858"/>
      <c r="B266" s="1858"/>
      <c r="C266" s="1858"/>
      <c r="D266" s="1850"/>
      <c r="E266" s="1913"/>
    </row>
    <row r="267" spans="1:5" x14ac:dyDescent="0.2">
      <c r="D267" s="1803" t="e">
        <f>#REF!+#REF!</f>
        <v>#REF!</v>
      </c>
    </row>
  </sheetData>
  <mergeCells count="12">
    <mergeCell ref="A145:D145"/>
    <mergeCell ref="A32:D32"/>
    <mergeCell ref="A42:D42"/>
    <mergeCell ref="A52:D52"/>
    <mergeCell ref="A62:D62"/>
    <mergeCell ref="A72:D72"/>
    <mergeCell ref="A82:D82"/>
    <mergeCell ref="A92:D92"/>
    <mergeCell ref="A102:D102"/>
    <mergeCell ref="A112:D112"/>
    <mergeCell ref="A122:D122"/>
    <mergeCell ref="A132:D132"/>
  </mergeCells>
  <pageMargins left="0.98425196850393704" right="0.78740157480314965" top="0.98425196850393704" bottom="0.98425196850393704" header="0.51181102362204722" footer="0.51181102362204722"/>
  <pageSetup paperSize="9" scale="65" firstPageNumber="151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2" manualBreakCount="2">
    <brk id="53" max="7" man="1"/>
    <brk id="122" max="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398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5.7109375" style="1802" customWidth="1"/>
    <col min="2" max="2" width="6.7109375" style="1802" customWidth="1"/>
    <col min="3" max="3" width="8.85546875" style="1802" customWidth="1"/>
    <col min="4" max="4" width="46.85546875" style="1803" customWidth="1"/>
    <col min="5" max="5" width="12.85546875" style="1829" customWidth="1"/>
    <col min="6" max="6" width="15.5703125" style="1829" customWidth="1"/>
    <col min="7" max="7" width="15.85546875" style="1829" customWidth="1"/>
    <col min="8" max="8" width="8.140625" style="1803" customWidth="1"/>
    <col min="9" max="9" width="14.28515625" style="1803" bestFit="1" customWidth="1"/>
    <col min="10" max="10" width="14.7109375" style="1803" bestFit="1" customWidth="1"/>
    <col min="11" max="11" width="16" style="1803" bestFit="1" customWidth="1"/>
    <col min="12" max="12" width="15.5703125" style="1803" customWidth="1"/>
    <col min="13" max="256" width="9.140625" style="1803"/>
    <col min="257" max="257" width="5.7109375" style="1803" customWidth="1"/>
    <col min="258" max="258" width="6.7109375" style="1803" customWidth="1"/>
    <col min="259" max="259" width="8.85546875" style="1803" customWidth="1"/>
    <col min="260" max="260" width="46.42578125" style="1803" customWidth="1"/>
    <col min="261" max="261" width="12.85546875" style="1803" customWidth="1"/>
    <col min="262" max="262" width="15.5703125" style="1803" customWidth="1"/>
    <col min="263" max="263" width="15.85546875" style="1803" customWidth="1"/>
    <col min="264" max="264" width="6.42578125" style="1803" customWidth="1"/>
    <col min="265" max="265" width="14.28515625" style="1803" bestFit="1" customWidth="1"/>
    <col min="266" max="266" width="14.7109375" style="1803" bestFit="1" customWidth="1"/>
    <col min="267" max="267" width="16" style="1803" bestFit="1" customWidth="1"/>
    <col min="268" max="268" width="15.5703125" style="1803" customWidth="1"/>
    <col min="269" max="512" width="9.140625" style="1803"/>
    <col min="513" max="513" width="5.7109375" style="1803" customWidth="1"/>
    <col min="514" max="514" width="6.7109375" style="1803" customWidth="1"/>
    <col min="515" max="515" width="8.85546875" style="1803" customWidth="1"/>
    <col min="516" max="516" width="46.42578125" style="1803" customWidth="1"/>
    <col min="517" max="517" width="12.85546875" style="1803" customWidth="1"/>
    <col min="518" max="518" width="15.5703125" style="1803" customWidth="1"/>
    <col min="519" max="519" width="15.85546875" style="1803" customWidth="1"/>
    <col min="520" max="520" width="6.42578125" style="1803" customWidth="1"/>
    <col min="521" max="521" width="14.28515625" style="1803" bestFit="1" customWidth="1"/>
    <col min="522" max="522" width="14.7109375" style="1803" bestFit="1" customWidth="1"/>
    <col min="523" max="523" width="16" style="1803" bestFit="1" customWidth="1"/>
    <col min="524" max="524" width="15.5703125" style="1803" customWidth="1"/>
    <col min="525" max="768" width="9.140625" style="1803"/>
    <col min="769" max="769" width="5.7109375" style="1803" customWidth="1"/>
    <col min="770" max="770" width="6.7109375" style="1803" customWidth="1"/>
    <col min="771" max="771" width="8.85546875" style="1803" customWidth="1"/>
    <col min="772" max="772" width="46.42578125" style="1803" customWidth="1"/>
    <col min="773" max="773" width="12.85546875" style="1803" customWidth="1"/>
    <col min="774" max="774" width="15.5703125" style="1803" customWidth="1"/>
    <col min="775" max="775" width="15.85546875" style="1803" customWidth="1"/>
    <col min="776" max="776" width="6.42578125" style="1803" customWidth="1"/>
    <col min="777" max="777" width="14.28515625" style="1803" bestFit="1" customWidth="1"/>
    <col min="778" max="778" width="14.7109375" style="1803" bestFit="1" customWidth="1"/>
    <col min="779" max="779" width="16" style="1803" bestFit="1" customWidth="1"/>
    <col min="780" max="780" width="15.5703125" style="1803" customWidth="1"/>
    <col min="781" max="1024" width="9.140625" style="1803"/>
    <col min="1025" max="1025" width="5.7109375" style="1803" customWidth="1"/>
    <col min="1026" max="1026" width="6.7109375" style="1803" customWidth="1"/>
    <col min="1027" max="1027" width="8.85546875" style="1803" customWidth="1"/>
    <col min="1028" max="1028" width="46.42578125" style="1803" customWidth="1"/>
    <col min="1029" max="1029" width="12.85546875" style="1803" customWidth="1"/>
    <col min="1030" max="1030" width="15.5703125" style="1803" customWidth="1"/>
    <col min="1031" max="1031" width="15.85546875" style="1803" customWidth="1"/>
    <col min="1032" max="1032" width="6.42578125" style="1803" customWidth="1"/>
    <col min="1033" max="1033" width="14.28515625" style="1803" bestFit="1" customWidth="1"/>
    <col min="1034" max="1034" width="14.7109375" style="1803" bestFit="1" customWidth="1"/>
    <col min="1035" max="1035" width="16" style="1803" bestFit="1" customWidth="1"/>
    <col min="1036" max="1036" width="15.5703125" style="1803" customWidth="1"/>
    <col min="1037" max="1280" width="9.140625" style="1803"/>
    <col min="1281" max="1281" width="5.7109375" style="1803" customWidth="1"/>
    <col min="1282" max="1282" width="6.7109375" style="1803" customWidth="1"/>
    <col min="1283" max="1283" width="8.85546875" style="1803" customWidth="1"/>
    <col min="1284" max="1284" width="46.42578125" style="1803" customWidth="1"/>
    <col min="1285" max="1285" width="12.85546875" style="1803" customWidth="1"/>
    <col min="1286" max="1286" width="15.5703125" style="1803" customWidth="1"/>
    <col min="1287" max="1287" width="15.85546875" style="1803" customWidth="1"/>
    <col min="1288" max="1288" width="6.42578125" style="1803" customWidth="1"/>
    <col min="1289" max="1289" width="14.28515625" style="1803" bestFit="1" customWidth="1"/>
    <col min="1290" max="1290" width="14.7109375" style="1803" bestFit="1" customWidth="1"/>
    <col min="1291" max="1291" width="16" style="1803" bestFit="1" customWidth="1"/>
    <col min="1292" max="1292" width="15.5703125" style="1803" customWidth="1"/>
    <col min="1293" max="1536" width="9.140625" style="1803"/>
    <col min="1537" max="1537" width="5.7109375" style="1803" customWidth="1"/>
    <col min="1538" max="1538" width="6.7109375" style="1803" customWidth="1"/>
    <col min="1539" max="1539" width="8.85546875" style="1803" customWidth="1"/>
    <col min="1540" max="1540" width="46.42578125" style="1803" customWidth="1"/>
    <col min="1541" max="1541" width="12.85546875" style="1803" customWidth="1"/>
    <col min="1542" max="1542" width="15.5703125" style="1803" customWidth="1"/>
    <col min="1543" max="1543" width="15.85546875" style="1803" customWidth="1"/>
    <col min="1544" max="1544" width="6.42578125" style="1803" customWidth="1"/>
    <col min="1545" max="1545" width="14.28515625" style="1803" bestFit="1" customWidth="1"/>
    <col min="1546" max="1546" width="14.7109375" style="1803" bestFit="1" customWidth="1"/>
    <col min="1547" max="1547" width="16" style="1803" bestFit="1" customWidth="1"/>
    <col min="1548" max="1548" width="15.5703125" style="1803" customWidth="1"/>
    <col min="1549" max="1792" width="9.140625" style="1803"/>
    <col min="1793" max="1793" width="5.7109375" style="1803" customWidth="1"/>
    <col min="1794" max="1794" width="6.7109375" style="1803" customWidth="1"/>
    <col min="1795" max="1795" width="8.85546875" style="1803" customWidth="1"/>
    <col min="1796" max="1796" width="46.42578125" style="1803" customWidth="1"/>
    <col min="1797" max="1797" width="12.85546875" style="1803" customWidth="1"/>
    <col min="1798" max="1798" width="15.5703125" style="1803" customWidth="1"/>
    <col min="1799" max="1799" width="15.85546875" style="1803" customWidth="1"/>
    <col min="1800" max="1800" width="6.42578125" style="1803" customWidth="1"/>
    <col min="1801" max="1801" width="14.28515625" style="1803" bestFit="1" customWidth="1"/>
    <col min="1802" max="1802" width="14.7109375" style="1803" bestFit="1" customWidth="1"/>
    <col min="1803" max="1803" width="16" style="1803" bestFit="1" customWidth="1"/>
    <col min="1804" max="1804" width="15.5703125" style="1803" customWidth="1"/>
    <col min="1805" max="2048" width="9.140625" style="1803"/>
    <col min="2049" max="2049" width="5.7109375" style="1803" customWidth="1"/>
    <col min="2050" max="2050" width="6.7109375" style="1803" customWidth="1"/>
    <col min="2051" max="2051" width="8.85546875" style="1803" customWidth="1"/>
    <col min="2052" max="2052" width="46.42578125" style="1803" customWidth="1"/>
    <col min="2053" max="2053" width="12.85546875" style="1803" customWidth="1"/>
    <col min="2054" max="2054" width="15.5703125" style="1803" customWidth="1"/>
    <col min="2055" max="2055" width="15.85546875" style="1803" customWidth="1"/>
    <col min="2056" max="2056" width="6.42578125" style="1803" customWidth="1"/>
    <col min="2057" max="2057" width="14.28515625" style="1803" bestFit="1" customWidth="1"/>
    <col min="2058" max="2058" width="14.7109375" style="1803" bestFit="1" customWidth="1"/>
    <col min="2059" max="2059" width="16" style="1803" bestFit="1" customWidth="1"/>
    <col min="2060" max="2060" width="15.5703125" style="1803" customWidth="1"/>
    <col min="2061" max="2304" width="9.140625" style="1803"/>
    <col min="2305" max="2305" width="5.7109375" style="1803" customWidth="1"/>
    <col min="2306" max="2306" width="6.7109375" style="1803" customWidth="1"/>
    <col min="2307" max="2307" width="8.85546875" style="1803" customWidth="1"/>
    <col min="2308" max="2308" width="46.42578125" style="1803" customWidth="1"/>
    <col min="2309" max="2309" width="12.85546875" style="1803" customWidth="1"/>
    <col min="2310" max="2310" width="15.5703125" style="1803" customWidth="1"/>
    <col min="2311" max="2311" width="15.85546875" style="1803" customWidth="1"/>
    <col min="2312" max="2312" width="6.42578125" style="1803" customWidth="1"/>
    <col min="2313" max="2313" width="14.28515625" style="1803" bestFit="1" customWidth="1"/>
    <col min="2314" max="2314" width="14.7109375" style="1803" bestFit="1" customWidth="1"/>
    <col min="2315" max="2315" width="16" style="1803" bestFit="1" customWidth="1"/>
    <col min="2316" max="2316" width="15.5703125" style="1803" customWidth="1"/>
    <col min="2317" max="2560" width="9.140625" style="1803"/>
    <col min="2561" max="2561" width="5.7109375" style="1803" customWidth="1"/>
    <col min="2562" max="2562" width="6.7109375" style="1803" customWidth="1"/>
    <col min="2563" max="2563" width="8.85546875" style="1803" customWidth="1"/>
    <col min="2564" max="2564" width="46.42578125" style="1803" customWidth="1"/>
    <col min="2565" max="2565" width="12.85546875" style="1803" customWidth="1"/>
    <col min="2566" max="2566" width="15.5703125" style="1803" customWidth="1"/>
    <col min="2567" max="2567" width="15.85546875" style="1803" customWidth="1"/>
    <col min="2568" max="2568" width="6.42578125" style="1803" customWidth="1"/>
    <col min="2569" max="2569" width="14.28515625" style="1803" bestFit="1" customWidth="1"/>
    <col min="2570" max="2570" width="14.7109375" style="1803" bestFit="1" customWidth="1"/>
    <col min="2571" max="2571" width="16" style="1803" bestFit="1" customWidth="1"/>
    <col min="2572" max="2572" width="15.5703125" style="1803" customWidth="1"/>
    <col min="2573" max="2816" width="9.140625" style="1803"/>
    <col min="2817" max="2817" width="5.7109375" style="1803" customWidth="1"/>
    <col min="2818" max="2818" width="6.7109375" style="1803" customWidth="1"/>
    <col min="2819" max="2819" width="8.85546875" style="1803" customWidth="1"/>
    <col min="2820" max="2820" width="46.42578125" style="1803" customWidth="1"/>
    <col min="2821" max="2821" width="12.85546875" style="1803" customWidth="1"/>
    <col min="2822" max="2822" width="15.5703125" style="1803" customWidth="1"/>
    <col min="2823" max="2823" width="15.85546875" style="1803" customWidth="1"/>
    <col min="2824" max="2824" width="6.42578125" style="1803" customWidth="1"/>
    <col min="2825" max="2825" width="14.28515625" style="1803" bestFit="1" customWidth="1"/>
    <col min="2826" max="2826" width="14.7109375" style="1803" bestFit="1" customWidth="1"/>
    <col min="2827" max="2827" width="16" style="1803" bestFit="1" customWidth="1"/>
    <col min="2828" max="2828" width="15.5703125" style="1803" customWidth="1"/>
    <col min="2829" max="3072" width="9.140625" style="1803"/>
    <col min="3073" max="3073" width="5.7109375" style="1803" customWidth="1"/>
    <col min="3074" max="3074" width="6.7109375" style="1803" customWidth="1"/>
    <col min="3075" max="3075" width="8.85546875" style="1803" customWidth="1"/>
    <col min="3076" max="3076" width="46.42578125" style="1803" customWidth="1"/>
    <col min="3077" max="3077" width="12.85546875" style="1803" customWidth="1"/>
    <col min="3078" max="3078" width="15.5703125" style="1803" customWidth="1"/>
    <col min="3079" max="3079" width="15.85546875" style="1803" customWidth="1"/>
    <col min="3080" max="3080" width="6.42578125" style="1803" customWidth="1"/>
    <col min="3081" max="3081" width="14.28515625" style="1803" bestFit="1" customWidth="1"/>
    <col min="3082" max="3082" width="14.7109375" style="1803" bestFit="1" customWidth="1"/>
    <col min="3083" max="3083" width="16" style="1803" bestFit="1" customWidth="1"/>
    <col min="3084" max="3084" width="15.5703125" style="1803" customWidth="1"/>
    <col min="3085" max="3328" width="9.140625" style="1803"/>
    <col min="3329" max="3329" width="5.7109375" style="1803" customWidth="1"/>
    <col min="3330" max="3330" width="6.7109375" style="1803" customWidth="1"/>
    <col min="3331" max="3331" width="8.85546875" style="1803" customWidth="1"/>
    <col min="3332" max="3332" width="46.42578125" style="1803" customWidth="1"/>
    <col min="3333" max="3333" width="12.85546875" style="1803" customWidth="1"/>
    <col min="3334" max="3334" width="15.5703125" style="1803" customWidth="1"/>
    <col min="3335" max="3335" width="15.85546875" style="1803" customWidth="1"/>
    <col min="3336" max="3336" width="6.42578125" style="1803" customWidth="1"/>
    <col min="3337" max="3337" width="14.28515625" style="1803" bestFit="1" customWidth="1"/>
    <col min="3338" max="3338" width="14.7109375" style="1803" bestFit="1" customWidth="1"/>
    <col min="3339" max="3339" width="16" style="1803" bestFit="1" customWidth="1"/>
    <col min="3340" max="3340" width="15.5703125" style="1803" customWidth="1"/>
    <col min="3341" max="3584" width="9.140625" style="1803"/>
    <col min="3585" max="3585" width="5.7109375" style="1803" customWidth="1"/>
    <col min="3586" max="3586" width="6.7109375" style="1803" customWidth="1"/>
    <col min="3587" max="3587" width="8.85546875" style="1803" customWidth="1"/>
    <col min="3588" max="3588" width="46.42578125" style="1803" customWidth="1"/>
    <col min="3589" max="3589" width="12.85546875" style="1803" customWidth="1"/>
    <col min="3590" max="3590" width="15.5703125" style="1803" customWidth="1"/>
    <col min="3591" max="3591" width="15.85546875" style="1803" customWidth="1"/>
    <col min="3592" max="3592" width="6.42578125" style="1803" customWidth="1"/>
    <col min="3593" max="3593" width="14.28515625" style="1803" bestFit="1" customWidth="1"/>
    <col min="3594" max="3594" width="14.7109375" style="1803" bestFit="1" customWidth="1"/>
    <col min="3595" max="3595" width="16" style="1803" bestFit="1" customWidth="1"/>
    <col min="3596" max="3596" width="15.5703125" style="1803" customWidth="1"/>
    <col min="3597" max="3840" width="9.140625" style="1803"/>
    <col min="3841" max="3841" width="5.7109375" style="1803" customWidth="1"/>
    <col min="3842" max="3842" width="6.7109375" style="1803" customWidth="1"/>
    <col min="3843" max="3843" width="8.85546875" style="1803" customWidth="1"/>
    <col min="3844" max="3844" width="46.42578125" style="1803" customWidth="1"/>
    <col min="3845" max="3845" width="12.85546875" style="1803" customWidth="1"/>
    <col min="3846" max="3846" width="15.5703125" style="1803" customWidth="1"/>
    <col min="3847" max="3847" width="15.85546875" style="1803" customWidth="1"/>
    <col min="3848" max="3848" width="6.42578125" style="1803" customWidth="1"/>
    <col min="3849" max="3849" width="14.28515625" style="1803" bestFit="1" customWidth="1"/>
    <col min="3850" max="3850" width="14.7109375" style="1803" bestFit="1" customWidth="1"/>
    <col min="3851" max="3851" width="16" style="1803" bestFit="1" customWidth="1"/>
    <col min="3852" max="3852" width="15.5703125" style="1803" customWidth="1"/>
    <col min="3853" max="4096" width="9.140625" style="1803"/>
    <col min="4097" max="4097" width="5.7109375" style="1803" customWidth="1"/>
    <col min="4098" max="4098" width="6.7109375" style="1803" customWidth="1"/>
    <col min="4099" max="4099" width="8.85546875" style="1803" customWidth="1"/>
    <col min="4100" max="4100" width="46.42578125" style="1803" customWidth="1"/>
    <col min="4101" max="4101" width="12.85546875" style="1803" customWidth="1"/>
    <col min="4102" max="4102" width="15.5703125" style="1803" customWidth="1"/>
    <col min="4103" max="4103" width="15.85546875" style="1803" customWidth="1"/>
    <col min="4104" max="4104" width="6.42578125" style="1803" customWidth="1"/>
    <col min="4105" max="4105" width="14.28515625" style="1803" bestFit="1" customWidth="1"/>
    <col min="4106" max="4106" width="14.7109375" style="1803" bestFit="1" customWidth="1"/>
    <col min="4107" max="4107" width="16" style="1803" bestFit="1" customWidth="1"/>
    <col min="4108" max="4108" width="15.5703125" style="1803" customWidth="1"/>
    <col min="4109" max="4352" width="9.140625" style="1803"/>
    <col min="4353" max="4353" width="5.7109375" style="1803" customWidth="1"/>
    <col min="4354" max="4354" width="6.7109375" style="1803" customWidth="1"/>
    <col min="4355" max="4355" width="8.85546875" style="1803" customWidth="1"/>
    <col min="4356" max="4356" width="46.42578125" style="1803" customWidth="1"/>
    <col min="4357" max="4357" width="12.85546875" style="1803" customWidth="1"/>
    <col min="4358" max="4358" width="15.5703125" style="1803" customWidth="1"/>
    <col min="4359" max="4359" width="15.85546875" style="1803" customWidth="1"/>
    <col min="4360" max="4360" width="6.42578125" style="1803" customWidth="1"/>
    <col min="4361" max="4361" width="14.28515625" style="1803" bestFit="1" customWidth="1"/>
    <col min="4362" max="4362" width="14.7109375" style="1803" bestFit="1" customWidth="1"/>
    <col min="4363" max="4363" width="16" style="1803" bestFit="1" customWidth="1"/>
    <col min="4364" max="4364" width="15.5703125" style="1803" customWidth="1"/>
    <col min="4365" max="4608" width="9.140625" style="1803"/>
    <col min="4609" max="4609" width="5.7109375" style="1803" customWidth="1"/>
    <col min="4610" max="4610" width="6.7109375" style="1803" customWidth="1"/>
    <col min="4611" max="4611" width="8.85546875" style="1803" customWidth="1"/>
    <col min="4612" max="4612" width="46.42578125" style="1803" customWidth="1"/>
    <col min="4613" max="4613" width="12.85546875" style="1803" customWidth="1"/>
    <col min="4614" max="4614" width="15.5703125" style="1803" customWidth="1"/>
    <col min="4615" max="4615" width="15.85546875" style="1803" customWidth="1"/>
    <col min="4616" max="4616" width="6.42578125" style="1803" customWidth="1"/>
    <col min="4617" max="4617" width="14.28515625" style="1803" bestFit="1" customWidth="1"/>
    <col min="4618" max="4618" width="14.7109375" style="1803" bestFit="1" customWidth="1"/>
    <col min="4619" max="4619" width="16" style="1803" bestFit="1" customWidth="1"/>
    <col min="4620" max="4620" width="15.5703125" style="1803" customWidth="1"/>
    <col min="4621" max="4864" width="9.140625" style="1803"/>
    <col min="4865" max="4865" width="5.7109375" style="1803" customWidth="1"/>
    <col min="4866" max="4866" width="6.7109375" style="1803" customWidth="1"/>
    <col min="4867" max="4867" width="8.85546875" style="1803" customWidth="1"/>
    <col min="4868" max="4868" width="46.42578125" style="1803" customWidth="1"/>
    <col min="4869" max="4869" width="12.85546875" style="1803" customWidth="1"/>
    <col min="4870" max="4870" width="15.5703125" style="1803" customWidth="1"/>
    <col min="4871" max="4871" width="15.85546875" style="1803" customWidth="1"/>
    <col min="4872" max="4872" width="6.42578125" style="1803" customWidth="1"/>
    <col min="4873" max="4873" width="14.28515625" style="1803" bestFit="1" customWidth="1"/>
    <col min="4874" max="4874" width="14.7109375" style="1803" bestFit="1" customWidth="1"/>
    <col min="4875" max="4875" width="16" style="1803" bestFit="1" customWidth="1"/>
    <col min="4876" max="4876" width="15.5703125" style="1803" customWidth="1"/>
    <col min="4877" max="5120" width="9.140625" style="1803"/>
    <col min="5121" max="5121" width="5.7109375" style="1803" customWidth="1"/>
    <col min="5122" max="5122" width="6.7109375" style="1803" customWidth="1"/>
    <col min="5123" max="5123" width="8.85546875" style="1803" customWidth="1"/>
    <col min="5124" max="5124" width="46.42578125" style="1803" customWidth="1"/>
    <col min="5125" max="5125" width="12.85546875" style="1803" customWidth="1"/>
    <col min="5126" max="5126" width="15.5703125" style="1803" customWidth="1"/>
    <col min="5127" max="5127" width="15.85546875" style="1803" customWidth="1"/>
    <col min="5128" max="5128" width="6.42578125" style="1803" customWidth="1"/>
    <col min="5129" max="5129" width="14.28515625" style="1803" bestFit="1" customWidth="1"/>
    <col min="5130" max="5130" width="14.7109375" style="1803" bestFit="1" customWidth="1"/>
    <col min="5131" max="5131" width="16" style="1803" bestFit="1" customWidth="1"/>
    <col min="5132" max="5132" width="15.5703125" style="1803" customWidth="1"/>
    <col min="5133" max="5376" width="9.140625" style="1803"/>
    <col min="5377" max="5377" width="5.7109375" style="1803" customWidth="1"/>
    <col min="5378" max="5378" width="6.7109375" style="1803" customWidth="1"/>
    <col min="5379" max="5379" width="8.85546875" style="1803" customWidth="1"/>
    <col min="5380" max="5380" width="46.42578125" style="1803" customWidth="1"/>
    <col min="5381" max="5381" width="12.85546875" style="1803" customWidth="1"/>
    <col min="5382" max="5382" width="15.5703125" style="1803" customWidth="1"/>
    <col min="5383" max="5383" width="15.85546875" style="1803" customWidth="1"/>
    <col min="5384" max="5384" width="6.42578125" style="1803" customWidth="1"/>
    <col min="5385" max="5385" width="14.28515625" style="1803" bestFit="1" customWidth="1"/>
    <col min="5386" max="5386" width="14.7109375" style="1803" bestFit="1" customWidth="1"/>
    <col min="5387" max="5387" width="16" style="1803" bestFit="1" customWidth="1"/>
    <col min="5388" max="5388" width="15.5703125" style="1803" customWidth="1"/>
    <col min="5389" max="5632" width="9.140625" style="1803"/>
    <col min="5633" max="5633" width="5.7109375" style="1803" customWidth="1"/>
    <col min="5634" max="5634" width="6.7109375" style="1803" customWidth="1"/>
    <col min="5635" max="5635" width="8.85546875" style="1803" customWidth="1"/>
    <col min="5636" max="5636" width="46.42578125" style="1803" customWidth="1"/>
    <col min="5637" max="5637" width="12.85546875" style="1803" customWidth="1"/>
    <col min="5638" max="5638" width="15.5703125" style="1803" customWidth="1"/>
    <col min="5639" max="5639" width="15.85546875" style="1803" customWidth="1"/>
    <col min="5640" max="5640" width="6.42578125" style="1803" customWidth="1"/>
    <col min="5641" max="5641" width="14.28515625" style="1803" bestFit="1" customWidth="1"/>
    <col min="5642" max="5642" width="14.7109375" style="1803" bestFit="1" customWidth="1"/>
    <col min="5643" max="5643" width="16" style="1803" bestFit="1" customWidth="1"/>
    <col min="5644" max="5644" width="15.5703125" style="1803" customWidth="1"/>
    <col min="5645" max="5888" width="9.140625" style="1803"/>
    <col min="5889" max="5889" width="5.7109375" style="1803" customWidth="1"/>
    <col min="5890" max="5890" width="6.7109375" style="1803" customWidth="1"/>
    <col min="5891" max="5891" width="8.85546875" style="1803" customWidth="1"/>
    <col min="5892" max="5892" width="46.42578125" style="1803" customWidth="1"/>
    <col min="5893" max="5893" width="12.85546875" style="1803" customWidth="1"/>
    <col min="5894" max="5894" width="15.5703125" style="1803" customWidth="1"/>
    <col min="5895" max="5895" width="15.85546875" style="1803" customWidth="1"/>
    <col min="5896" max="5896" width="6.42578125" style="1803" customWidth="1"/>
    <col min="5897" max="5897" width="14.28515625" style="1803" bestFit="1" customWidth="1"/>
    <col min="5898" max="5898" width="14.7109375" style="1803" bestFit="1" customWidth="1"/>
    <col min="5899" max="5899" width="16" style="1803" bestFit="1" customWidth="1"/>
    <col min="5900" max="5900" width="15.5703125" style="1803" customWidth="1"/>
    <col min="5901" max="6144" width="9.140625" style="1803"/>
    <col min="6145" max="6145" width="5.7109375" style="1803" customWidth="1"/>
    <col min="6146" max="6146" width="6.7109375" style="1803" customWidth="1"/>
    <col min="6147" max="6147" width="8.85546875" style="1803" customWidth="1"/>
    <col min="6148" max="6148" width="46.42578125" style="1803" customWidth="1"/>
    <col min="6149" max="6149" width="12.85546875" style="1803" customWidth="1"/>
    <col min="6150" max="6150" width="15.5703125" style="1803" customWidth="1"/>
    <col min="6151" max="6151" width="15.85546875" style="1803" customWidth="1"/>
    <col min="6152" max="6152" width="6.42578125" style="1803" customWidth="1"/>
    <col min="6153" max="6153" width="14.28515625" style="1803" bestFit="1" customWidth="1"/>
    <col min="6154" max="6154" width="14.7109375" style="1803" bestFit="1" customWidth="1"/>
    <col min="6155" max="6155" width="16" style="1803" bestFit="1" customWidth="1"/>
    <col min="6156" max="6156" width="15.5703125" style="1803" customWidth="1"/>
    <col min="6157" max="6400" width="9.140625" style="1803"/>
    <col min="6401" max="6401" width="5.7109375" style="1803" customWidth="1"/>
    <col min="6402" max="6402" width="6.7109375" style="1803" customWidth="1"/>
    <col min="6403" max="6403" width="8.85546875" style="1803" customWidth="1"/>
    <col min="6404" max="6404" width="46.42578125" style="1803" customWidth="1"/>
    <col min="6405" max="6405" width="12.85546875" style="1803" customWidth="1"/>
    <col min="6406" max="6406" width="15.5703125" style="1803" customWidth="1"/>
    <col min="6407" max="6407" width="15.85546875" style="1803" customWidth="1"/>
    <col min="6408" max="6408" width="6.42578125" style="1803" customWidth="1"/>
    <col min="6409" max="6409" width="14.28515625" style="1803" bestFit="1" customWidth="1"/>
    <col min="6410" max="6410" width="14.7109375" style="1803" bestFit="1" customWidth="1"/>
    <col min="6411" max="6411" width="16" style="1803" bestFit="1" customWidth="1"/>
    <col min="6412" max="6412" width="15.5703125" style="1803" customWidth="1"/>
    <col min="6413" max="6656" width="9.140625" style="1803"/>
    <col min="6657" max="6657" width="5.7109375" style="1803" customWidth="1"/>
    <col min="6658" max="6658" width="6.7109375" style="1803" customWidth="1"/>
    <col min="6659" max="6659" width="8.85546875" style="1803" customWidth="1"/>
    <col min="6660" max="6660" width="46.42578125" style="1803" customWidth="1"/>
    <col min="6661" max="6661" width="12.85546875" style="1803" customWidth="1"/>
    <col min="6662" max="6662" width="15.5703125" style="1803" customWidth="1"/>
    <col min="6663" max="6663" width="15.85546875" style="1803" customWidth="1"/>
    <col min="6664" max="6664" width="6.42578125" style="1803" customWidth="1"/>
    <col min="6665" max="6665" width="14.28515625" style="1803" bestFit="1" customWidth="1"/>
    <col min="6666" max="6666" width="14.7109375" style="1803" bestFit="1" customWidth="1"/>
    <col min="6667" max="6667" width="16" style="1803" bestFit="1" customWidth="1"/>
    <col min="6668" max="6668" width="15.5703125" style="1803" customWidth="1"/>
    <col min="6669" max="6912" width="9.140625" style="1803"/>
    <col min="6913" max="6913" width="5.7109375" style="1803" customWidth="1"/>
    <col min="6914" max="6914" width="6.7109375" style="1803" customWidth="1"/>
    <col min="6915" max="6915" width="8.85546875" style="1803" customWidth="1"/>
    <col min="6916" max="6916" width="46.42578125" style="1803" customWidth="1"/>
    <col min="6917" max="6917" width="12.85546875" style="1803" customWidth="1"/>
    <col min="6918" max="6918" width="15.5703125" style="1803" customWidth="1"/>
    <col min="6919" max="6919" width="15.85546875" style="1803" customWidth="1"/>
    <col min="6920" max="6920" width="6.42578125" style="1803" customWidth="1"/>
    <col min="6921" max="6921" width="14.28515625" style="1803" bestFit="1" customWidth="1"/>
    <col min="6922" max="6922" width="14.7109375" style="1803" bestFit="1" customWidth="1"/>
    <col min="6923" max="6923" width="16" style="1803" bestFit="1" customWidth="1"/>
    <col min="6924" max="6924" width="15.5703125" style="1803" customWidth="1"/>
    <col min="6925" max="7168" width="9.140625" style="1803"/>
    <col min="7169" max="7169" width="5.7109375" style="1803" customWidth="1"/>
    <col min="7170" max="7170" width="6.7109375" style="1803" customWidth="1"/>
    <col min="7171" max="7171" width="8.85546875" style="1803" customWidth="1"/>
    <col min="7172" max="7172" width="46.42578125" style="1803" customWidth="1"/>
    <col min="7173" max="7173" width="12.85546875" style="1803" customWidth="1"/>
    <col min="7174" max="7174" width="15.5703125" style="1803" customWidth="1"/>
    <col min="7175" max="7175" width="15.85546875" style="1803" customWidth="1"/>
    <col min="7176" max="7176" width="6.42578125" style="1803" customWidth="1"/>
    <col min="7177" max="7177" width="14.28515625" style="1803" bestFit="1" customWidth="1"/>
    <col min="7178" max="7178" width="14.7109375" style="1803" bestFit="1" customWidth="1"/>
    <col min="7179" max="7179" width="16" style="1803" bestFit="1" customWidth="1"/>
    <col min="7180" max="7180" width="15.5703125" style="1803" customWidth="1"/>
    <col min="7181" max="7424" width="9.140625" style="1803"/>
    <col min="7425" max="7425" width="5.7109375" style="1803" customWidth="1"/>
    <col min="7426" max="7426" width="6.7109375" style="1803" customWidth="1"/>
    <col min="7427" max="7427" width="8.85546875" style="1803" customWidth="1"/>
    <col min="7428" max="7428" width="46.42578125" style="1803" customWidth="1"/>
    <col min="7429" max="7429" width="12.85546875" style="1803" customWidth="1"/>
    <col min="7430" max="7430" width="15.5703125" style="1803" customWidth="1"/>
    <col min="7431" max="7431" width="15.85546875" style="1803" customWidth="1"/>
    <col min="7432" max="7432" width="6.42578125" style="1803" customWidth="1"/>
    <col min="7433" max="7433" width="14.28515625" style="1803" bestFit="1" customWidth="1"/>
    <col min="7434" max="7434" width="14.7109375" style="1803" bestFit="1" customWidth="1"/>
    <col min="7435" max="7435" width="16" style="1803" bestFit="1" customWidth="1"/>
    <col min="7436" max="7436" width="15.5703125" style="1803" customWidth="1"/>
    <col min="7437" max="7680" width="9.140625" style="1803"/>
    <col min="7681" max="7681" width="5.7109375" style="1803" customWidth="1"/>
    <col min="7682" max="7682" width="6.7109375" style="1803" customWidth="1"/>
    <col min="7683" max="7683" width="8.85546875" style="1803" customWidth="1"/>
    <col min="7684" max="7684" width="46.42578125" style="1803" customWidth="1"/>
    <col min="7685" max="7685" width="12.85546875" style="1803" customWidth="1"/>
    <col min="7686" max="7686" width="15.5703125" style="1803" customWidth="1"/>
    <col min="7687" max="7687" width="15.85546875" style="1803" customWidth="1"/>
    <col min="7688" max="7688" width="6.42578125" style="1803" customWidth="1"/>
    <col min="7689" max="7689" width="14.28515625" style="1803" bestFit="1" customWidth="1"/>
    <col min="7690" max="7690" width="14.7109375" style="1803" bestFit="1" customWidth="1"/>
    <col min="7691" max="7691" width="16" style="1803" bestFit="1" customWidth="1"/>
    <col min="7692" max="7692" width="15.5703125" style="1803" customWidth="1"/>
    <col min="7693" max="7936" width="9.140625" style="1803"/>
    <col min="7937" max="7937" width="5.7109375" style="1803" customWidth="1"/>
    <col min="7938" max="7938" width="6.7109375" style="1803" customWidth="1"/>
    <col min="7939" max="7939" width="8.85546875" style="1803" customWidth="1"/>
    <col min="7940" max="7940" width="46.42578125" style="1803" customWidth="1"/>
    <col min="7941" max="7941" width="12.85546875" style="1803" customWidth="1"/>
    <col min="7942" max="7942" width="15.5703125" style="1803" customWidth="1"/>
    <col min="7943" max="7943" width="15.85546875" style="1803" customWidth="1"/>
    <col min="7944" max="7944" width="6.42578125" style="1803" customWidth="1"/>
    <col min="7945" max="7945" width="14.28515625" style="1803" bestFit="1" customWidth="1"/>
    <col min="7946" max="7946" width="14.7109375" style="1803" bestFit="1" customWidth="1"/>
    <col min="7947" max="7947" width="16" style="1803" bestFit="1" customWidth="1"/>
    <col min="7948" max="7948" width="15.5703125" style="1803" customWidth="1"/>
    <col min="7949" max="8192" width="9.140625" style="1803"/>
    <col min="8193" max="8193" width="5.7109375" style="1803" customWidth="1"/>
    <col min="8194" max="8194" width="6.7109375" style="1803" customWidth="1"/>
    <col min="8195" max="8195" width="8.85546875" style="1803" customWidth="1"/>
    <col min="8196" max="8196" width="46.42578125" style="1803" customWidth="1"/>
    <col min="8197" max="8197" width="12.85546875" style="1803" customWidth="1"/>
    <col min="8198" max="8198" width="15.5703125" style="1803" customWidth="1"/>
    <col min="8199" max="8199" width="15.85546875" style="1803" customWidth="1"/>
    <col min="8200" max="8200" width="6.42578125" style="1803" customWidth="1"/>
    <col min="8201" max="8201" width="14.28515625" style="1803" bestFit="1" customWidth="1"/>
    <col min="8202" max="8202" width="14.7109375" style="1803" bestFit="1" customWidth="1"/>
    <col min="8203" max="8203" width="16" style="1803" bestFit="1" customWidth="1"/>
    <col min="8204" max="8204" width="15.5703125" style="1803" customWidth="1"/>
    <col min="8205" max="8448" width="9.140625" style="1803"/>
    <col min="8449" max="8449" width="5.7109375" style="1803" customWidth="1"/>
    <col min="8450" max="8450" width="6.7109375" style="1803" customWidth="1"/>
    <col min="8451" max="8451" width="8.85546875" style="1803" customWidth="1"/>
    <col min="8452" max="8452" width="46.42578125" style="1803" customWidth="1"/>
    <col min="8453" max="8453" width="12.85546875" style="1803" customWidth="1"/>
    <col min="8454" max="8454" width="15.5703125" style="1803" customWidth="1"/>
    <col min="8455" max="8455" width="15.85546875" style="1803" customWidth="1"/>
    <col min="8456" max="8456" width="6.42578125" style="1803" customWidth="1"/>
    <col min="8457" max="8457" width="14.28515625" style="1803" bestFit="1" customWidth="1"/>
    <col min="8458" max="8458" width="14.7109375" style="1803" bestFit="1" customWidth="1"/>
    <col min="8459" max="8459" width="16" style="1803" bestFit="1" customWidth="1"/>
    <col min="8460" max="8460" width="15.5703125" style="1803" customWidth="1"/>
    <col min="8461" max="8704" width="9.140625" style="1803"/>
    <col min="8705" max="8705" width="5.7109375" style="1803" customWidth="1"/>
    <col min="8706" max="8706" width="6.7109375" style="1803" customWidth="1"/>
    <col min="8707" max="8707" width="8.85546875" style="1803" customWidth="1"/>
    <col min="8708" max="8708" width="46.42578125" style="1803" customWidth="1"/>
    <col min="8709" max="8709" width="12.85546875" style="1803" customWidth="1"/>
    <col min="8710" max="8710" width="15.5703125" style="1803" customWidth="1"/>
    <col min="8711" max="8711" width="15.85546875" style="1803" customWidth="1"/>
    <col min="8712" max="8712" width="6.42578125" style="1803" customWidth="1"/>
    <col min="8713" max="8713" width="14.28515625" style="1803" bestFit="1" customWidth="1"/>
    <col min="8714" max="8714" width="14.7109375" style="1803" bestFit="1" customWidth="1"/>
    <col min="8715" max="8715" width="16" style="1803" bestFit="1" customWidth="1"/>
    <col min="8716" max="8716" width="15.5703125" style="1803" customWidth="1"/>
    <col min="8717" max="8960" width="9.140625" style="1803"/>
    <col min="8961" max="8961" width="5.7109375" style="1803" customWidth="1"/>
    <col min="8962" max="8962" width="6.7109375" style="1803" customWidth="1"/>
    <col min="8963" max="8963" width="8.85546875" style="1803" customWidth="1"/>
    <col min="8964" max="8964" width="46.42578125" style="1803" customWidth="1"/>
    <col min="8965" max="8965" width="12.85546875" style="1803" customWidth="1"/>
    <col min="8966" max="8966" width="15.5703125" style="1803" customWidth="1"/>
    <col min="8967" max="8967" width="15.85546875" style="1803" customWidth="1"/>
    <col min="8968" max="8968" width="6.42578125" style="1803" customWidth="1"/>
    <col min="8969" max="8969" width="14.28515625" style="1803" bestFit="1" customWidth="1"/>
    <col min="8970" max="8970" width="14.7109375" style="1803" bestFit="1" customWidth="1"/>
    <col min="8971" max="8971" width="16" style="1803" bestFit="1" customWidth="1"/>
    <col min="8972" max="8972" width="15.5703125" style="1803" customWidth="1"/>
    <col min="8973" max="9216" width="9.140625" style="1803"/>
    <col min="9217" max="9217" width="5.7109375" style="1803" customWidth="1"/>
    <col min="9218" max="9218" width="6.7109375" style="1803" customWidth="1"/>
    <col min="9219" max="9219" width="8.85546875" style="1803" customWidth="1"/>
    <col min="9220" max="9220" width="46.42578125" style="1803" customWidth="1"/>
    <col min="9221" max="9221" width="12.85546875" style="1803" customWidth="1"/>
    <col min="9222" max="9222" width="15.5703125" style="1803" customWidth="1"/>
    <col min="9223" max="9223" width="15.85546875" style="1803" customWidth="1"/>
    <col min="9224" max="9224" width="6.42578125" style="1803" customWidth="1"/>
    <col min="9225" max="9225" width="14.28515625" style="1803" bestFit="1" customWidth="1"/>
    <col min="9226" max="9226" width="14.7109375" style="1803" bestFit="1" customWidth="1"/>
    <col min="9227" max="9227" width="16" style="1803" bestFit="1" customWidth="1"/>
    <col min="9228" max="9228" width="15.5703125" style="1803" customWidth="1"/>
    <col min="9229" max="9472" width="9.140625" style="1803"/>
    <col min="9473" max="9473" width="5.7109375" style="1803" customWidth="1"/>
    <col min="9474" max="9474" width="6.7109375" style="1803" customWidth="1"/>
    <col min="9475" max="9475" width="8.85546875" style="1803" customWidth="1"/>
    <col min="9476" max="9476" width="46.42578125" style="1803" customWidth="1"/>
    <col min="9477" max="9477" width="12.85546875" style="1803" customWidth="1"/>
    <col min="9478" max="9478" width="15.5703125" style="1803" customWidth="1"/>
    <col min="9479" max="9479" width="15.85546875" style="1803" customWidth="1"/>
    <col min="9480" max="9480" width="6.42578125" style="1803" customWidth="1"/>
    <col min="9481" max="9481" width="14.28515625" style="1803" bestFit="1" customWidth="1"/>
    <col min="9482" max="9482" width="14.7109375" style="1803" bestFit="1" customWidth="1"/>
    <col min="9483" max="9483" width="16" style="1803" bestFit="1" customWidth="1"/>
    <col min="9484" max="9484" width="15.5703125" style="1803" customWidth="1"/>
    <col min="9485" max="9728" width="9.140625" style="1803"/>
    <col min="9729" max="9729" width="5.7109375" style="1803" customWidth="1"/>
    <col min="9730" max="9730" width="6.7109375" style="1803" customWidth="1"/>
    <col min="9731" max="9731" width="8.85546875" style="1803" customWidth="1"/>
    <col min="9732" max="9732" width="46.42578125" style="1803" customWidth="1"/>
    <col min="9733" max="9733" width="12.85546875" style="1803" customWidth="1"/>
    <col min="9734" max="9734" width="15.5703125" style="1803" customWidth="1"/>
    <col min="9735" max="9735" width="15.85546875" style="1803" customWidth="1"/>
    <col min="9736" max="9736" width="6.42578125" style="1803" customWidth="1"/>
    <col min="9737" max="9737" width="14.28515625" style="1803" bestFit="1" customWidth="1"/>
    <col min="9738" max="9738" width="14.7109375" style="1803" bestFit="1" customWidth="1"/>
    <col min="9739" max="9739" width="16" style="1803" bestFit="1" customWidth="1"/>
    <col min="9740" max="9740" width="15.5703125" style="1803" customWidth="1"/>
    <col min="9741" max="9984" width="9.140625" style="1803"/>
    <col min="9985" max="9985" width="5.7109375" style="1803" customWidth="1"/>
    <col min="9986" max="9986" width="6.7109375" style="1803" customWidth="1"/>
    <col min="9987" max="9987" width="8.85546875" style="1803" customWidth="1"/>
    <col min="9988" max="9988" width="46.42578125" style="1803" customWidth="1"/>
    <col min="9989" max="9989" width="12.85546875" style="1803" customWidth="1"/>
    <col min="9990" max="9990" width="15.5703125" style="1803" customWidth="1"/>
    <col min="9991" max="9991" width="15.85546875" style="1803" customWidth="1"/>
    <col min="9992" max="9992" width="6.42578125" style="1803" customWidth="1"/>
    <col min="9993" max="9993" width="14.28515625" style="1803" bestFit="1" customWidth="1"/>
    <col min="9994" max="9994" width="14.7109375" style="1803" bestFit="1" customWidth="1"/>
    <col min="9995" max="9995" width="16" style="1803" bestFit="1" customWidth="1"/>
    <col min="9996" max="9996" width="15.5703125" style="1803" customWidth="1"/>
    <col min="9997" max="10240" width="9.140625" style="1803"/>
    <col min="10241" max="10241" width="5.7109375" style="1803" customWidth="1"/>
    <col min="10242" max="10242" width="6.7109375" style="1803" customWidth="1"/>
    <col min="10243" max="10243" width="8.85546875" style="1803" customWidth="1"/>
    <col min="10244" max="10244" width="46.42578125" style="1803" customWidth="1"/>
    <col min="10245" max="10245" width="12.85546875" style="1803" customWidth="1"/>
    <col min="10246" max="10246" width="15.5703125" style="1803" customWidth="1"/>
    <col min="10247" max="10247" width="15.85546875" style="1803" customWidth="1"/>
    <col min="10248" max="10248" width="6.42578125" style="1803" customWidth="1"/>
    <col min="10249" max="10249" width="14.28515625" style="1803" bestFit="1" customWidth="1"/>
    <col min="10250" max="10250" width="14.7109375" style="1803" bestFit="1" customWidth="1"/>
    <col min="10251" max="10251" width="16" style="1803" bestFit="1" customWidth="1"/>
    <col min="10252" max="10252" width="15.5703125" style="1803" customWidth="1"/>
    <col min="10253" max="10496" width="9.140625" style="1803"/>
    <col min="10497" max="10497" width="5.7109375" style="1803" customWidth="1"/>
    <col min="10498" max="10498" width="6.7109375" style="1803" customWidth="1"/>
    <col min="10499" max="10499" width="8.85546875" style="1803" customWidth="1"/>
    <col min="10500" max="10500" width="46.42578125" style="1803" customWidth="1"/>
    <col min="10501" max="10501" width="12.85546875" style="1803" customWidth="1"/>
    <col min="10502" max="10502" width="15.5703125" style="1803" customWidth="1"/>
    <col min="10503" max="10503" width="15.85546875" style="1803" customWidth="1"/>
    <col min="10504" max="10504" width="6.42578125" style="1803" customWidth="1"/>
    <col min="10505" max="10505" width="14.28515625" style="1803" bestFit="1" customWidth="1"/>
    <col min="10506" max="10506" width="14.7109375" style="1803" bestFit="1" customWidth="1"/>
    <col min="10507" max="10507" width="16" style="1803" bestFit="1" customWidth="1"/>
    <col min="10508" max="10508" width="15.5703125" style="1803" customWidth="1"/>
    <col min="10509" max="10752" width="9.140625" style="1803"/>
    <col min="10753" max="10753" width="5.7109375" style="1803" customWidth="1"/>
    <col min="10754" max="10754" width="6.7109375" style="1803" customWidth="1"/>
    <col min="10755" max="10755" width="8.85546875" style="1803" customWidth="1"/>
    <col min="10756" max="10756" width="46.42578125" style="1803" customWidth="1"/>
    <col min="10757" max="10757" width="12.85546875" style="1803" customWidth="1"/>
    <col min="10758" max="10758" width="15.5703125" style="1803" customWidth="1"/>
    <col min="10759" max="10759" width="15.85546875" style="1803" customWidth="1"/>
    <col min="10760" max="10760" width="6.42578125" style="1803" customWidth="1"/>
    <col min="10761" max="10761" width="14.28515625" style="1803" bestFit="1" customWidth="1"/>
    <col min="10762" max="10762" width="14.7109375" style="1803" bestFit="1" customWidth="1"/>
    <col min="10763" max="10763" width="16" style="1803" bestFit="1" customWidth="1"/>
    <col min="10764" max="10764" width="15.5703125" style="1803" customWidth="1"/>
    <col min="10765" max="11008" width="9.140625" style="1803"/>
    <col min="11009" max="11009" width="5.7109375" style="1803" customWidth="1"/>
    <col min="11010" max="11010" width="6.7109375" style="1803" customWidth="1"/>
    <col min="11011" max="11011" width="8.85546875" style="1803" customWidth="1"/>
    <col min="11012" max="11012" width="46.42578125" style="1803" customWidth="1"/>
    <col min="11013" max="11013" width="12.85546875" style="1803" customWidth="1"/>
    <col min="11014" max="11014" width="15.5703125" style="1803" customWidth="1"/>
    <col min="11015" max="11015" width="15.85546875" style="1803" customWidth="1"/>
    <col min="11016" max="11016" width="6.42578125" style="1803" customWidth="1"/>
    <col min="11017" max="11017" width="14.28515625" style="1803" bestFit="1" customWidth="1"/>
    <col min="11018" max="11018" width="14.7109375" style="1803" bestFit="1" customWidth="1"/>
    <col min="11019" max="11019" width="16" style="1803" bestFit="1" customWidth="1"/>
    <col min="11020" max="11020" width="15.5703125" style="1803" customWidth="1"/>
    <col min="11021" max="11264" width="9.140625" style="1803"/>
    <col min="11265" max="11265" width="5.7109375" style="1803" customWidth="1"/>
    <col min="11266" max="11266" width="6.7109375" style="1803" customWidth="1"/>
    <col min="11267" max="11267" width="8.85546875" style="1803" customWidth="1"/>
    <col min="11268" max="11268" width="46.42578125" style="1803" customWidth="1"/>
    <col min="11269" max="11269" width="12.85546875" style="1803" customWidth="1"/>
    <col min="11270" max="11270" width="15.5703125" style="1803" customWidth="1"/>
    <col min="11271" max="11271" width="15.85546875" style="1803" customWidth="1"/>
    <col min="11272" max="11272" width="6.42578125" style="1803" customWidth="1"/>
    <col min="11273" max="11273" width="14.28515625" style="1803" bestFit="1" customWidth="1"/>
    <col min="11274" max="11274" width="14.7109375" style="1803" bestFit="1" customWidth="1"/>
    <col min="11275" max="11275" width="16" style="1803" bestFit="1" customWidth="1"/>
    <col min="11276" max="11276" width="15.5703125" style="1803" customWidth="1"/>
    <col min="11277" max="11520" width="9.140625" style="1803"/>
    <col min="11521" max="11521" width="5.7109375" style="1803" customWidth="1"/>
    <col min="11522" max="11522" width="6.7109375" style="1803" customWidth="1"/>
    <col min="11523" max="11523" width="8.85546875" style="1803" customWidth="1"/>
    <col min="11524" max="11524" width="46.42578125" style="1803" customWidth="1"/>
    <col min="11525" max="11525" width="12.85546875" style="1803" customWidth="1"/>
    <col min="11526" max="11526" width="15.5703125" style="1803" customWidth="1"/>
    <col min="11527" max="11527" width="15.85546875" style="1803" customWidth="1"/>
    <col min="11528" max="11528" width="6.42578125" style="1803" customWidth="1"/>
    <col min="11529" max="11529" width="14.28515625" style="1803" bestFit="1" customWidth="1"/>
    <col min="11530" max="11530" width="14.7109375" style="1803" bestFit="1" customWidth="1"/>
    <col min="11531" max="11531" width="16" style="1803" bestFit="1" customWidth="1"/>
    <col min="11532" max="11532" width="15.5703125" style="1803" customWidth="1"/>
    <col min="11533" max="11776" width="9.140625" style="1803"/>
    <col min="11777" max="11777" width="5.7109375" style="1803" customWidth="1"/>
    <col min="11778" max="11778" width="6.7109375" style="1803" customWidth="1"/>
    <col min="11779" max="11779" width="8.85546875" style="1803" customWidth="1"/>
    <col min="11780" max="11780" width="46.42578125" style="1803" customWidth="1"/>
    <col min="11781" max="11781" width="12.85546875" style="1803" customWidth="1"/>
    <col min="11782" max="11782" width="15.5703125" style="1803" customWidth="1"/>
    <col min="11783" max="11783" width="15.85546875" style="1803" customWidth="1"/>
    <col min="11784" max="11784" width="6.42578125" style="1803" customWidth="1"/>
    <col min="11785" max="11785" width="14.28515625" style="1803" bestFit="1" customWidth="1"/>
    <col min="11786" max="11786" width="14.7109375" style="1803" bestFit="1" customWidth="1"/>
    <col min="11787" max="11787" width="16" style="1803" bestFit="1" customWidth="1"/>
    <col min="11788" max="11788" width="15.5703125" style="1803" customWidth="1"/>
    <col min="11789" max="12032" width="9.140625" style="1803"/>
    <col min="12033" max="12033" width="5.7109375" style="1803" customWidth="1"/>
    <col min="12034" max="12034" width="6.7109375" style="1803" customWidth="1"/>
    <col min="12035" max="12035" width="8.85546875" style="1803" customWidth="1"/>
    <col min="12036" max="12036" width="46.42578125" style="1803" customWidth="1"/>
    <col min="12037" max="12037" width="12.85546875" style="1803" customWidth="1"/>
    <col min="12038" max="12038" width="15.5703125" style="1803" customWidth="1"/>
    <col min="12039" max="12039" width="15.85546875" style="1803" customWidth="1"/>
    <col min="12040" max="12040" width="6.42578125" style="1803" customWidth="1"/>
    <col min="12041" max="12041" width="14.28515625" style="1803" bestFit="1" customWidth="1"/>
    <col min="12042" max="12042" width="14.7109375" style="1803" bestFit="1" customWidth="1"/>
    <col min="12043" max="12043" width="16" style="1803" bestFit="1" customWidth="1"/>
    <col min="12044" max="12044" width="15.5703125" style="1803" customWidth="1"/>
    <col min="12045" max="12288" width="9.140625" style="1803"/>
    <col min="12289" max="12289" width="5.7109375" style="1803" customWidth="1"/>
    <col min="12290" max="12290" width="6.7109375" style="1803" customWidth="1"/>
    <col min="12291" max="12291" width="8.85546875" style="1803" customWidth="1"/>
    <col min="12292" max="12292" width="46.42578125" style="1803" customWidth="1"/>
    <col min="12293" max="12293" width="12.85546875" style="1803" customWidth="1"/>
    <col min="12294" max="12294" width="15.5703125" style="1803" customWidth="1"/>
    <col min="12295" max="12295" width="15.85546875" style="1803" customWidth="1"/>
    <col min="12296" max="12296" width="6.42578125" style="1803" customWidth="1"/>
    <col min="12297" max="12297" width="14.28515625" style="1803" bestFit="1" customWidth="1"/>
    <col min="12298" max="12298" width="14.7109375" style="1803" bestFit="1" customWidth="1"/>
    <col min="12299" max="12299" width="16" style="1803" bestFit="1" customWidth="1"/>
    <col min="12300" max="12300" width="15.5703125" style="1803" customWidth="1"/>
    <col min="12301" max="12544" width="9.140625" style="1803"/>
    <col min="12545" max="12545" width="5.7109375" style="1803" customWidth="1"/>
    <col min="12546" max="12546" width="6.7109375" style="1803" customWidth="1"/>
    <col min="12547" max="12547" width="8.85546875" style="1803" customWidth="1"/>
    <col min="12548" max="12548" width="46.42578125" style="1803" customWidth="1"/>
    <col min="12549" max="12549" width="12.85546875" style="1803" customWidth="1"/>
    <col min="12550" max="12550" width="15.5703125" style="1803" customWidth="1"/>
    <col min="12551" max="12551" width="15.85546875" style="1803" customWidth="1"/>
    <col min="12552" max="12552" width="6.42578125" style="1803" customWidth="1"/>
    <col min="12553" max="12553" width="14.28515625" style="1803" bestFit="1" customWidth="1"/>
    <col min="12554" max="12554" width="14.7109375" style="1803" bestFit="1" customWidth="1"/>
    <col min="12555" max="12555" width="16" style="1803" bestFit="1" customWidth="1"/>
    <col min="12556" max="12556" width="15.5703125" style="1803" customWidth="1"/>
    <col min="12557" max="12800" width="9.140625" style="1803"/>
    <col min="12801" max="12801" width="5.7109375" style="1803" customWidth="1"/>
    <col min="12802" max="12802" width="6.7109375" style="1803" customWidth="1"/>
    <col min="12803" max="12803" width="8.85546875" style="1803" customWidth="1"/>
    <col min="12804" max="12804" width="46.42578125" style="1803" customWidth="1"/>
    <col min="12805" max="12805" width="12.85546875" style="1803" customWidth="1"/>
    <col min="12806" max="12806" width="15.5703125" style="1803" customWidth="1"/>
    <col min="12807" max="12807" width="15.85546875" style="1803" customWidth="1"/>
    <col min="12808" max="12808" width="6.42578125" style="1803" customWidth="1"/>
    <col min="12809" max="12809" width="14.28515625" style="1803" bestFit="1" customWidth="1"/>
    <col min="12810" max="12810" width="14.7109375" style="1803" bestFit="1" customWidth="1"/>
    <col min="12811" max="12811" width="16" style="1803" bestFit="1" customWidth="1"/>
    <col min="12812" max="12812" width="15.5703125" style="1803" customWidth="1"/>
    <col min="12813" max="13056" width="9.140625" style="1803"/>
    <col min="13057" max="13057" width="5.7109375" style="1803" customWidth="1"/>
    <col min="13058" max="13058" width="6.7109375" style="1803" customWidth="1"/>
    <col min="13059" max="13059" width="8.85546875" style="1803" customWidth="1"/>
    <col min="13060" max="13060" width="46.42578125" style="1803" customWidth="1"/>
    <col min="13061" max="13061" width="12.85546875" style="1803" customWidth="1"/>
    <col min="13062" max="13062" width="15.5703125" style="1803" customWidth="1"/>
    <col min="13063" max="13063" width="15.85546875" style="1803" customWidth="1"/>
    <col min="13064" max="13064" width="6.42578125" style="1803" customWidth="1"/>
    <col min="13065" max="13065" width="14.28515625" style="1803" bestFit="1" customWidth="1"/>
    <col min="13066" max="13066" width="14.7109375" style="1803" bestFit="1" customWidth="1"/>
    <col min="13067" max="13067" width="16" style="1803" bestFit="1" customWidth="1"/>
    <col min="13068" max="13068" width="15.5703125" style="1803" customWidth="1"/>
    <col min="13069" max="13312" width="9.140625" style="1803"/>
    <col min="13313" max="13313" width="5.7109375" style="1803" customWidth="1"/>
    <col min="13314" max="13314" width="6.7109375" style="1803" customWidth="1"/>
    <col min="13315" max="13315" width="8.85546875" style="1803" customWidth="1"/>
    <col min="13316" max="13316" width="46.42578125" style="1803" customWidth="1"/>
    <col min="13317" max="13317" width="12.85546875" style="1803" customWidth="1"/>
    <col min="13318" max="13318" width="15.5703125" style="1803" customWidth="1"/>
    <col min="13319" max="13319" width="15.85546875" style="1803" customWidth="1"/>
    <col min="13320" max="13320" width="6.42578125" style="1803" customWidth="1"/>
    <col min="13321" max="13321" width="14.28515625" style="1803" bestFit="1" customWidth="1"/>
    <col min="13322" max="13322" width="14.7109375" style="1803" bestFit="1" customWidth="1"/>
    <col min="13323" max="13323" width="16" style="1803" bestFit="1" customWidth="1"/>
    <col min="13324" max="13324" width="15.5703125" style="1803" customWidth="1"/>
    <col min="13325" max="13568" width="9.140625" style="1803"/>
    <col min="13569" max="13569" width="5.7109375" style="1803" customWidth="1"/>
    <col min="13570" max="13570" width="6.7109375" style="1803" customWidth="1"/>
    <col min="13571" max="13571" width="8.85546875" style="1803" customWidth="1"/>
    <col min="13572" max="13572" width="46.42578125" style="1803" customWidth="1"/>
    <col min="13573" max="13573" width="12.85546875" style="1803" customWidth="1"/>
    <col min="13574" max="13574" width="15.5703125" style="1803" customWidth="1"/>
    <col min="13575" max="13575" width="15.85546875" style="1803" customWidth="1"/>
    <col min="13576" max="13576" width="6.42578125" style="1803" customWidth="1"/>
    <col min="13577" max="13577" width="14.28515625" style="1803" bestFit="1" customWidth="1"/>
    <col min="13578" max="13578" width="14.7109375" style="1803" bestFit="1" customWidth="1"/>
    <col min="13579" max="13579" width="16" style="1803" bestFit="1" customWidth="1"/>
    <col min="13580" max="13580" width="15.5703125" style="1803" customWidth="1"/>
    <col min="13581" max="13824" width="9.140625" style="1803"/>
    <col min="13825" max="13825" width="5.7109375" style="1803" customWidth="1"/>
    <col min="13826" max="13826" width="6.7109375" style="1803" customWidth="1"/>
    <col min="13827" max="13827" width="8.85546875" style="1803" customWidth="1"/>
    <col min="13828" max="13828" width="46.42578125" style="1803" customWidth="1"/>
    <col min="13829" max="13829" width="12.85546875" style="1803" customWidth="1"/>
    <col min="13830" max="13830" width="15.5703125" style="1803" customWidth="1"/>
    <col min="13831" max="13831" width="15.85546875" style="1803" customWidth="1"/>
    <col min="13832" max="13832" width="6.42578125" style="1803" customWidth="1"/>
    <col min="13833" max="13833" width="14.28515625" style="1803" bestFit="1" customWidth="1"/>
    <col min="13834" max="13834" width="14.7109375" style="1803" bestFit="1" customWidth="1"/>
    <col min="13835" max="13835" width="16" style="1803" bestFit="1" customWidth="1"/>
    <col min="13836" max="13836" width="15.5703125" style="1803" customWidth="1"/>
    <col min="13837" max="14080" width="9.140625" style="1803"/>
    <col min="14081" max="14081" width="5.7109375" style="1803" customWidth="1"/>
    <col min="14082" max="14082" width="6.7109375" style="1803" customWidth="1"/>
    <col min="14083" max="14083" width="8.85546875" style="1803" customWidth="1"/>
    <col min="14084" max="14084" width="46.42578125" style="1803" customWidth="1"/>
    <col min="14085" max="14085" width="12.85546875" style="1803" customWidth="1"/>
    <col min="14086" max="14086" width="15.5703125" style="1803" customWidth="1"/>
    <col min="14087" max="14087" width="15.85546875" style="1803" customWidth="1"/>
    <col min="14088" max="14088" width="6.42578125" style="1803" customWidth="1"/>
    <col min="14089" max="14089" width="14.28515625" style="1803" bestFit="1" customWidth="1"/>
    <col min="14090" max="14090" width="14.7109375" style="1803" bestFit="1" customWidth="1"/>
    <col min="14091" max="14091" width="16" style="1803" bestFit="1" customWidth="1"/>
    <col min="14092" max="14092" width="15.5703125" style="1803" customWidth="1"/>
    <col min="14093" max="14336" width="9.140625" style="1803"/>
    <col min="14337" max="14337" width="5.7109375" style="1803" customWidth="1"/>
    <col min="14338" max="14338" width="6.7109375" style="1803" customWidth="1"/>
    <col min="14339" max="14339" width="8.85546875" style="1803" customWidth="1"/>
    <col min="14340" max="14340" width="46.42578125" style="1803" customWidth="1"/>
    <col min="14341" max="14341" width="12.85546875" style="1803" customWidth="1"/>
    <col min="14342" max="14342" width="15.5703125" style="1803" customWidth="1"/>
    <col min="14343" max="14343" width="15.85546875" style="1803" customWidth="1"/>
    <col min="14344" max="14344" width="6.42578125" style="1803" customWidth="1"/>
    <col min="14345" max="14345" width="14.28515625" style="1803" bestFit="1" customWidth="1"/>
    <col min="14346" max="14346" width="14.7109375" style="1803" bestFit="1" customWidth="1"/>
    <col min="14347" max="14347" width="16" style="1803" bestFit="1" customWidth="1"/>
    <col min="14348" max="14348" width="15.5703125" style="1803" customWidth="1"/>
    <col min="14349" max="14592" width="9.140625" style="1803"/>
    <col min="14593" max="14593" width="5.7109375" style="1803" customWidth="1"/>
    <col min="14594" max="14594" width="6.7109375" style="1803" customWidth="1"/>
    <col min="14595" max="14595" width="8.85546875" style="1803" customWidth="1"/>
    <col min="14596" max="14596" width="46.42578125" style="1803" customWidth="1"/>
    <col min="14597" max="14597" width="12.85546875" style="1803" customWidth="1"/>
    <col min="14598" max="14598" width="15.5703125" style="1803" customWidth="1"/>
    <col min="14599" max="14599" width="15.85546875" style="1803" customWidth="1"/>
    <col min="14600" max="14600" width="6.42578125" style="1803" customWidth="1"/>
    <col min="14601" max="14601" width="14.28515625" style="1803" bestFit="1" customWidth="1"/>
    <col min="14602" max="14602" width="14.7109375" style="1803" bestFit="1" customWidth="1"/>
    <col min="14603" max="14603" width="16" style="1803" bestFit="1" customWidth="1"/>
    <col min="14604" max="14604" width="15.5703125" style="1803" customWidth="1"/>
    <col min="14605" max="14848" width="9.140625" style="1803"/>
    <col min="14849" max="14849" width="5.7109375" style="1803" customWidth="1"/>
    <col min="14850" max="14850" width="6.7109375" style="1803" customWidth="1"/>
    <col min="14851" max="14851" width="8.85546875" style="1803" customWidth="1"/>
    <col min="14852" max="14852" width="46.42578125" style="1803" customWidth="1"/>
    <col min="14853" max="14853" width="12.85546875" style="1803" customWidth="1"/>
    <col min="14854" max="14854" width="15.5703125" style="1803" customWidth="1"/>
    <col min="14855" max="14855" width="15.85546875" style="1803" customWidth="1"/>
    <col min="14856" max="14856" width="6.42578125" style="1803" customWidth="1"/>
    <col min="14857" max="14857" width="14.28515625" style="1803" bestFit="1" customWidth="1"/>
    <col min="14858" max="14858" width="14.7109375" style="1803" bestFit="1" customWidth="1"/>
    <col min="14859" max="14859" width="16" style="1803" bestFit="1" customWidth="1"/>
    <col min="14860" max="14860" width="15.5703125" style="1803" customWidth="1"/>
    <col min="14861" max="15104" width="9.140625" style="1803"/>
    <col min="15105" max="15105" width="5.7109375" style="1803" customWidth="1"/>
    <col min="15106" max="15106" width="6.7109375" style="1803" customWidth="1"/>
    <col min="15107" max="15107" width="8.85546875" style="1803" customWidth="1"/>
    <col min="15108" max="15108" width="46.42578125" style="1803" customWidth="1"/>
    <col min="15109" max="15109" width="12.85546875" style="1803" customWidth="1"/>
    <col min="15110" max="15110" width="15.5703125" style="1803" customWidth="1"/>
    <col min="15111" max="15111" width="15.85546875" style="1803" customWidth="1"/>
    <col min="15112" max="15112" width="6.42578125" style="1803" customWidth="1"/>
    <col min="15113" max="15113" width="14.28515625" style="1803" bestFit="1" customWidth="1"/>
    <col min="15114" max="15114" width="14.7109375" style="1803" bestFit="1" customWidth="1"/>
    <col min="15115" max="15115" width="16" style="1803" bestFit="1" customWidth="1"/>
    <col min="15116" max="15116" width="15.5703125" style="1803" customWidth="1"/>
    <col min="15117" max="15360" width="9.140625" style="1803"/>
    <col min="15361" max="15361" width="5.7109375" style="1803" customWidth="1"/>
    <col min="15362" max="15362" width="6.7109375" style="1803" customWidth="1"/>
    <col min="15363" max="15363" width="8.85546875" style="1803" customWidth="1"/>
    <col min="15364" max="15364" width="46.42578125" style="1803" customWidth="1"/>
    <col min="15365" max="15365" width="12.85546875" style="1803" customWidth="1"/>
    <col min="15366" max="15366" width="15.5703125" style="1803" customWidth="1"/>
    <col min="15367" max="15367" width="15.85546875" style="1803" customWidth="1"/>
    <col min="15368" max="15368" width="6.42578125" style="1803" customWidth="1"/>
    <col min="15369" max="15369" width="14.28515625" style="1803" bestFit="1" customWidth="1"/>
    <col min="15370" max="15370" width="14.7109375" style="1803" bestFit="1" customWidth="1"/>
    <col min="15371" max="15371" width="16" style="1803" bestFit="1" customWidth="1"/>
    <col min="15372" max="15372" width="15.5703125" style="1803" customWidth="1"/>
    <col min="15373" max="15616" width="9.140625" style="1803"/>
    <col min="15617" max="15617" width="5.7109375" style="1803" customWidth="1"/>
    <col min="15618" max="15618" width="6.7109375" style="1803" customWidth="1"/>
    <col min="15619" max="15619" width="8.85546875" style="1803" customWidth="1"/>
    <col min="15620" max="15620" width="46.42578125" style="1803" customWidth="1"/>
    <col min="15621" max="15621" width="12.85546875" style="1803" customWidth="1"/>
    <col min="15622" max="15622" width="15.5703125" style="1803" customWidth="1"/>
    <col min="15623" max="15623" width="15.85546875" style="1803" customWidth="1"/>
    <col min="15624" max="15624" width="6.42578125" style="1803" customWidth="1"/>
    <col min="15625" max="15625" width="14.28515625" style="1803" bestFit="1" customWidth="1"/>
    <col min="15626" max="15626" width="14.7109375" style="1803" bestFit="1" customWidth="1"/>
    <col min="15627" max="15627" width="16" style="1803" bestFit="1" customWidth="1"/>
    <col min="15628" max="15628" width="15.5703125" style="1803" customWidth="1"/>
    <col min="15629" max="15872" width="9.140625" style="1803"/>
    <col min="15873" max="15873" width="5.7109375" style="1803" customWidth="1"/>
    <col min="15874" max="15874" width="6.7109375" style="1803" customWidth="1"/>
    <col min="15875" max="15875" width="8.85546875" style="1803" customWidth="1"/>
    <col min="15876" max="15876" width="46.42578125" style="1803" customWidth="1"/>
    <col min="15877" max="15877" width="12.85546875" style="1803" customWidth="1"/>
    <col min="15878" max="15878" width="15.5703125" style="1803" customWidth="1"/>
    <col min="15879" max="15879" width="15.85546875" style="1803" customWidth="1"/>
    <col min="15880" max="15880" width="6.42578125" style="1803" customWidth="1"/>
    <col min="15881" max="15881" width="14.28515625" style="1803" bestFit="1" customWidth="1"/>
    <col min="15882" max="15882" width="14.7109375" style="1803" bestFit="1" customWidth="1"/>
    <col min="15883" max="15883" width="16" style="1803" bestFit="1" customWidth="1"/>
    <col min="15884" max="15884" width="15.5703125" style="1803" customWidth="1"/>
    <col min="15885" max="16128" width="9.140625" style="1803"/>
    <col min="16129" max="16129" width="5.7109375" style="1803" customWidth="1"/>
    <col min="16130" max="16130" width="6.7109375" style="1803" customWidth="1"/>
    <col min="16131" max="16131" width="8.85546875" style="1803" customWidth="1"/>
    <col min="16132" max="16132" width="46.42578125" style="1803" customWidth="1"/>
    <col min="16133" max="16133" width="12.85546875" style="1803" customWidth="1"/>
    <col min="16134" max="16134" width="15.5703125" style="1803" customWidth="1"/>
    <col min="16135" max="16135" width="15.85546875" style="1803" customWidth="1"/>
    <col min="16136" max="16136" width="6.42578125" style="1803" customWidth="1"/>
    <col min="16137" max="16137" width="14.28515625" style="1803" bestFit="1" customWidth="1"/>
    <col min="16138" max="16138" width="14.7109375" style="1803" bestFit="1" customWidth="1"/>
    <col min="16139" max="16139" width="16" style="1803" bestFit="1" customWidth="1"/>
    <col min="16140" max="16140" width="15.5703125" style="1803" customWidth="1"/>
    <col min="16141" max="16384" width="9.140625" style="1803"/>
  </cols>
  <sheetData>
    <row r="1" spans="1:8" ht="19.5" customHeight="1" thickBot="1" x14ac:dyDescent="0.3">
      <c r="A1" s="1710" t="s">
        <v>1045</v>
      </c>
      <c r="B1" s="1709"/>
      <c r="C1" s="1798"/>
      <c r="D1" s="1707"/>
      <c r="E1" s="1706"/>
      <c r="F1" s="1707"/>
      <c r="G1" s="1900"/>
      <c r="H1" s="1710"/>
    </row>
    <row r="2" spans="1:8" ht="18" x14ac:dyDescent="0.25">
      <c r="A2" s="1807"/>
      <c r="B2" s="1831"/>
      <c r="C2" s="1831"/>
      <c r="D2" s="1831"/>
      <c r="E2" s="1831"/>
      <c r="F2" s="1831"/>
      <c r="G2" s="1831"/>
      <c r="H2" s="1876" t="s">
        <v>1046</v>
      </c>
    </row>
    <row r="3" spans="1:8" ht="18" x14ac:dyDescent="0.25">
      <c r="A3" s="1705" t="s">
        <v>367</v>
      </c>
      <c r="B3" s="1831"/>
      <c r="C3" s="1801" t="s">
        <v>347</v>
      </c>
      <c r="D3" s="1831"/>
      <c r="E3" s="1831"/>
      <c r="F3" s="1831"/>
      <c r="G3" s="1831"/>
      <c r="H3" s="1876"/>
    </row>
    <row r="4" spans="1:8" ht="18" x14ac:dyDescent="0.25">
      <c r="A4" s="1807"/>
      <c r="B4" s="1831"/>
      <c r="C4" s="1801" t="s">
        <v>348</v>
      </c>
      <c r="D4" s="1831"/>
      <c r="E4" s="1831"/>
      <c r="F4" s="1831"/>
      <c r="G4" s="1831"/>
      <c r="H4" s="1876"/>
    </row>
    <row r="5" spans="1:8" ht="18" x14ac:dyDescent="0.25">
      <c r="A5" s="1806" t="s">
        <v>1047</v>
      </c>
      <c r="B5" s="1831"/>
      <c r="C5" s="1831"/>
      <c r="D5" s="1831"/>
      <c r="E5" s="1831"/>
      <c r="F5" s="1831"/>
      <c r="G5" s="1831"/>
      <c r="H5" s="1876"/>
    </row>
    <row r="6" spans="1:8" ht="18" x14ac:dyDescent="0.25">
      <c r="A6" s="1806"/>
      <c r="B6" s="1831"/>
      <c r="C6" s="1831"/>
      <c r="D6" s="1831"/>
      <c r="E6" s="1831"/>
      <c r="F6" s="1831"/>
      <c r="G6" s="1831"/>
      <c r="H6" s="1876"/>
    </row>
    <row r="7" spans="1:8" ht="15" x14ac:dyDescent="0.25">
      <c r="A7" s="1976" t="s">
        <v>2016</v>
      </c>
      <c r="B7" s="1854"/>
      <c r="C7" s="1854"/>
      <c r="D7" s="1854"/>
    </row>
    <row r="8" spans="1:8" ht="15.75" thickBot="1" x14ac:dyDescent="0.3">
      <c r="A8" s="1977" t="s">
        <v>2017</v>
      </c>
      <c r="B8" s="1978"/>
      <c r="C8" s="1978"/>
      <c r="H8" s="1892" t="s">
        <v>161</v>
      </c>
    </row>
    <row r="9" spans="1:8" s="1638" customFormat="1" ht="25.5" thickTop="1" thickBot="1" x14ac:dyDescent="0.25">
      <c r="A9" s="1809" t="s">
        <v>162</v>
      </c>
      <c r="B9" s="1810" t="s">
        <v>761</v>
      </c>
      <c r="C9" s="1810" t="s">
        <v>377</v>
      </c>
      <c r="D9" s="1811" t="s">
        <v>164</v>
      </c>
      <c r="E9" s="1833" t="s">
        <v>632</v>
      </c>
      <c r="F9" s="1833" t="s">
        <v>633</v>
      </c>
      <c r="G9" s="1834" t="s">
        <v>882</v>
      </c>
      <c r="H9" s="1835" t="s">
        <v>883</v>
      </c>
    </row>
    <row r="10" spans="1:8" s="1638" customFormat="1" ht="13.5" thickTop="1" thickBot="1" x14ac:dyDescent="0.25">
      <c r="A10" s="1643">
        <v>1</v>
      </c>
      <c r="B10" s="1642">
        <v>2</v>
      </c>
      <c r="C10" s="1642">
        <v>3</v>
      </c>
      <c r="D10" s="1642">
        <v>4</v>
      </c>
      <c r="E10" s="1641">
        <v>5</v>
      </c>
      <c r="F10" s="1641">
        <v>6</v>
      </c>
      <c r="G10" s="1877">
        <v>7</v>
      </c>
      <c r="H10" s="1901" t="s">
        <v>61</v>
      </c>
    </row>
    <row r="11" spans="1:8" s="1907" customFormat="1" ht="15.75" thickTop="1" x14ac:dyDescent="0.2">
      <c r="A11" s="1896">
        <v>6172</v>
      </c>
      <c r="B11" s="1903">
        <v>5011</v>
      </c>
      <c r="C11" s="1904">
        <v>33100880</v>
      </c>
      <c r="D11" s="1836" t="s">
        <v>206</v>
      </c>
      <c r="E11" s="1845">
        <v>0</v>
      </c>
      <c r="F11" s="1845">
        <v>70</v>
      </c>
      <c r="G11" s="1845">
        <v>49</v>
      </c>
      <c r="H11" s="1821">
        <f t="shared" ref="H11:H20" si="0">G11/F11*100</f>
        <v>70</v>
      </c>
    </row>
    <row r="12" spans="1:8" s="1907" customFormat="1" ht="15" x14ac:dyDescent="0.2">
      <c r="A12" s="1896">
        <v>6172</v>
      </c>
      <c r="B12" s="1903">
        <v>5011</v>
      </c>
      <c r="C12" s="1904">
        <v>33514013</v>
      </c>
      <c r="D12" s="1836" t="s">
        <v>206</v>
      </c>
      <c r="E12" s="1845">
        <v>0</v>
      </c>
      <c r="F12" s="1845">
        <v>551</v>
      </c>
      <c r="G12" s="1845">
        <v>280</v>
      </c>
      <c r="H12" s="1821">
        <f t="shared" si="0"/>
        <v>50.816696914700543</v>
      </c>
    </row>
    <row r="13" spans="1:8" s="1907" customFormat="1" ht="15" x14ac:dyDescent="0.2">
      <c r="A13" s="1896">
        <v>6172</v>
      </c>
      <c r="B13" s="1903">
        <v>5021</v>
      </c>
      <c r="C13" s="1904">
        <v>33100880</v>
      </c>
      <c r="D13" s="1836" t="s">
        <v>389</v>
      </c>
      <c r="E13" s="1845">
        <v>0</v>
      </c>
      <c r="F13" s="1845">
        <v>203</v>
      </c>
      <c r="G13" s="1845">
        <v>44</v>
      </c>
      <c r="H13" s="1821">
        <f t="shared" si="0"/>
        <v>21.674876847290641</v>
      </c>
    </row>
    <row r="14" spans="1:8" s="1907" customFormat="1" ht="15" x14ac:dyDescent="0.2">
      <c r="A14" s="1896">
        <v>6172</v>
      </c>
      <c r="B14" s="1903">
        <v>5021</v>
      </c>
      <c r="C14" s="1904">
        <v>33514013</v>
      </c>
      <c r="D14" s="1836" t="s">
        <v>389</v>
      </c>
      <c r="E14" s="1845">
        <v>0</v>
      </c>
      <c r="F14" s="1845">
        <v>382</v>
      </c>
      <c r="G14" s="1845">
        <v>249</v>
      </c>
      <c r="H14" s="1821">
        <f t="shared" si="0"/>
        <v>65.183246073298434</v>
      </c>
    </row>
    <row r="15" spans="1:8" s="1907" customFormat="1" ht="30" x14ac:dyDescent="0.2">
      <c r="A15" s="1896">
        <v>6172</v>
      </c>
      <c r="B15" s="1903">
        <v>5031</v>
      </c>
      <c r="C15" s="1904">
        <v>33100880</v>
      </c>
      <c r="D15" s="1836" t="s">
        <v>1299</v>
      </c>
      <c r="E15" s="1845">
        <v>0</v>
      </c>
      <c r="F15" s="1845">
        <v>80</v>
      </c>
      <c r="G15" s="1845">
        <v>23</v>
      </c>
      <c r="H15" s="1821">
        <f t="shared" si="0"/>
        <v>28.749999999999996</v>
      </c>
    </row>
    <row r="16" spans="1:8" s="1907" customFormat="1" ht="30" x14ac:dyDescent="0.2">
      <c r="A16" s="1896">
        <v>6172</v>
      </c>
      <c r="B16" s="1903">
        <v>5031</v>
      </c>
      <c r="C16" s="1904">
        <v>33514013</v>
      </c>
      <c r="D16" s="1836" t="s">
        <v>1299</v>
      </c>
      <c r="E16" s="1845">
        <v>0</v>
      </c>
      <c r="F16" s="1845">
        <v>239</v>
      </c>
      <c r="G16" s="1845">
        <v>132</v>
      </c>
      <c r="H16" s="1821">
        <f t="shared" si="0"/>
        <v>55.230125523012553</v>
      </c>
    </row>
    <row r="17" spans="1:8" s="1907" customFormat="1" ht="30" x14ac:dyDescent="0.2">
      <c r="A17" s="1896">
        <v>6172</v>
      </c>
      <c r="B17" s="1903">
        <v>5032</v>
      </c>
      <c r="C17" s="1904">
        <v>33100880</v>
      </c>
      <c r="D17" s="1836" t="s">
        <v>1177</v>
      </c>
      <c r="E17" s="1845">
        <v>0</v>
      </c>
      <c r="F17" s="1845">
        <v>60</v>
      </c>
      <c r="G17" s="1845">
        <v>8</v>
      </c>
      <c r="H17" s="1821">
        <f t="shared" si="0"/>
        <v>13.333333333333334</v>
      </c>
    </row>
    <row r="18" spans="1:8" s="1907" customFormat="1" ht="30" x14ac:dyDescent="0.2">
      <c r="A18" s="1896">
        <v>6172</v>
      </c>
      <c r="B18" s="1903">
        <v>5032</v>
      </c>
      <c r="C18" s="1904">
        <v>33514013</v>
      </c>
      <c r="D18" s="1836" t="s">
        <v>1177</v>
      </c>
      <c r="E18" s="1845">
        <v>0</v>
      </c>
      <c r="F18" s="1845">
        <v>83</v>
      </c>
      <c r="G18" s="1845">
        <v>48</v>
      </c>
      <c r="H18" s="1821">
        <f t="shared" si="0"/>
        <v>57.831325301204814</v>
      </c>
    </row>
    <row r="19" spans="1:8" s="1907" customFormat="1" ht="15" x14ac:dyDescent="0.2">
      <c r="A19" s="1896">
        <v>6172</v>
      </c>
      <c r="B19" s="1903">
        <v>5137</v>
      </c>
      <c r="C19" s="1904">
        <v>33100880</v>
      </c>
      <c r="D19" s="1836" t="s">
        <v>155</v>
      </c>
      <c r="E19" s="1845">
        <v>0</v>
      </c>
      <c r="F19" s="1845">
        <v>27</v>
      </c>
      <c r="G19" s="1845">
        <v>5</v>
      </c>
      <c r="H19" s="1821">
        <f t="shared" si="0"/>
        <v>18.518518518518519</v>
      </c>
    </row>
    <row r="20" spans="1:8" s="1907" customFormat="1" ht="15" x14ac:dyDescent="0.2">
      <c r="A20" s="1896">
        <v>6172</v>
      </c>
      <c r="B20" s="1903">
        <v>5137</v>
      </c>
      <c r="C20" s="1904">
        <v>33514013</v>
      </c>
      <c r="D20" s="1836" t="s">
        <v>155</v>
      </c>
      <c r="E20" s="1845">
        <v>0</v>
      </c>
      <c r="F20" s="1845">
        <v>27</v>
      </c>
      <c r="G20" s="1845">
        <v>27</v>
      </c>
      <c r="H20" s="1821">
        <f t="shared" si="0"/>
        <v>100</v>
      </c>
    </row>
    <row r="21" spans="1:8" s="1846" customFormat="1" ht="15" hidden="1" x14ac:dyDescent="0.2">
      <c r="A21" s="1896">
        <v>4399</v>
      </c>
      <c r="B21" s="1905">
        <v>5139</v>
      </c>
      <c r="C21" s="1904">
        <v>33113233</v>
      </c>
      <c r="D21" s="1836" t="s">
        <v>270</v>
      </c>
      <c r="E21" s="1845">
        <v>0</v>
      </c>
      <c r="F21" s="1845"/>
      <c r="G21" s="1845"/>
      <c r="H21" s="1821">
        <v>0</v>
      </c>
    </row>
    <row r="22" spans="1:8" s="1846" customFormat="1" ht="15" hidden="1" x14ac:dyDescent="0.2">
      <c r="A22" s="1896">
        <v>4399</v>
      </c>
      <c r="B22" s="1905">
        <v>5139</v>
      </c>
      <c r="C22" s="1904">
        <v>33513233</v>
      </c>
      <c r="D22" s="1836" t="s">
        <v>270</v>
      </c>
      <c r="E22" s="1845">
        <v>0</v>
      </c>
      <c r="F22" s="1845"/>
      <c r="G22" s="1845"/>
      <c r="H22" s="1821" t="e">
        <f t="shared" ref="H22:H36" si="1">G22/F22*100</f>
        <v>#DIV/0!</v>
      </c>
    </row>
    <row r="23" spans="1:8" ht="15" hidden="1" x14ac:dyDescent="0.2">
      <c r="A23" s="1896">
        <v>4399</v>
      </c>
      <c r="B23" s="1905">
        <v>5162</v>
      </c>
      <c r="C23" s="1904">
        <v>33113233</v>
      </c>
      <c r="D23" s="1836" t="s">
        <v>864</v>
      </c>
      <c r="E23" s="1845">
        <v>0</v>
      </c>
      <c r="F23" s="1845"/>
      <c r="G23" s="1845"/>
      <c r="H23" s="1821" t="e">
        <f t="shared" si="1"/>
        <v>#DIV/0!</v>
      </c>
    </row>
    <row r="24" spans="1:8" ht="15" hidden="1" x14ac:dyDescent="0.2">
      <c r="A24" s="1896">
        <v>4399</v>
      </c>
      <c r="B24" s="1905">
        <v>5162</v>
      </c>
      <c r="C24" s="1904">
        <v>33513233</v>
      </c>
      <c r="D24" s="1836" t="s">
        <v>864</v>
      </c>
      <c r="E24" s="1845">
        <v>0</v>
      </c>
      <c r="F24" s="1845"/>
      <c r="G24" s="1845"/>
      <c r="H24" s="1821" t="e">
        <f t="shared" si="1"/>
        <v>#DIV/0!</v>
      </c>
    </row>
    <row r="25" spans="1:8" ht="15" hidden="1" x14ac:dyDescent="0.2">
      <c r="A25" s="1896">
        <v>4399</v>
      </c>
      <c r="B25" s="1905">
        <v>5164</v>
      </c>
      <c r="C25" s="1904">
        <v>33113233</v>
      </c>
      <c r="D25" s="1836" t="s">
        <v>170</v>
      </c>
      <c r="E25" s="1845">
        <v>0</v>
      </c>
      <c r="F25" s="1845"/>
      <c r="G25" s="1845"/>
      <c r="H25" s="1821" t="e">
        <f t="shared" si="1"/>
        <v>#DIV/0!</v>
      </c>
    </row>
    <row r="26" spans="1:8" ht="15" hidden="1" x14ac:dyDescent="0.2">
      <c r="A26" s="1896">
        <v>4399</v>
      </c>
      <c r="B26" s="1905">
        <v>5164</v>
      </c>
      <c r="C26" s="1904">
        <v>33513233</v>
      </c>
      <c r="D26" s="1836" t="s">
        <v>170</v>
      </c>
      <c r="E26" s="1845">
        <v>0</v>
      </c>
      <c r="F26" s="1845"/>
      <c r="G26" s="1845"/>
      <c r="H26" s="1821" t="e">
        <f t="shared" si="1"/>
        <v>#DIV/0!</v>
      </c>
    </row>
    <row r="27" spans="1:8" ht="15" hidden="1" x14ac:dyDescent="0.2">
      <c r="A27" s="1896">
        <v>4399</v>
      </c>
      <c r="B27" s="1905">
        <v>5166</v>
      </c>
      <c r="C27" s="1904">
        <v>33113233</v>
      </c>
      <c r="D27" s="1836" t="s">
        <v>609</v>
      </c>
      <c r="E27" s="1845">
        <v>0</v>
      </c>
      <c r="F27" s="1845"/>
      <c r="G27" s="1845"/>
      <c r="H27" s="1821" t="e">
        <f t="shared" si="1"/>
        <v>#DIV/0!</v>
      </c>
    </row>
    <row r="28" spans="1:8" ht="15" hidden="1" x14ac:dyDescent="0.2">
      <c r="A28" s="1896">
        <v>4399</v>
      </c>
      <c r="B28" s="1905">
        <v>5166</v>
      </c>
      <c r="C28" s="1904">
        <v>33513233</v>
      </c>
      <c r="D28" s="1836" t="s">
        <v>609</v>
      </c>
      <c r="E28" s="1845">
        <v>0</v>
      </c>
      <c r="F28" s="1845"/>
      <c r="G28" s="1845"/>
      <c r="H28" s="1821" t="e">
        <f t="shared" si="1"/>
        <v>#DIV/0!</v>
      </c>
    </row>
    <row r="29" spans="1:8" ht="15" x14ac:dyDescent="0.2">
      <c r="A29" s="1896">
        <v>6172</v>
      </c>
      <c r="B29" s="1905">
        <v>5169</v>
      </c>
      <c r="C29" s="1904">
        <v>33100880</v>
      </c>
      <c r="D29" s="1836" t="s">
        <v>852</v>
      </c>
      <c r="E29" s="1845">
        <v>0</v>
      </c>
      <c r="F29" s="1845">
        <v>51</v>
      </c>
      <c r="G29" s="1845">
        <v>0</v>
      </c>
      <c r="H29" s="1821">
        <f t="shared" si="1"/>
        <v>0</v>
      </c>
    </row>
    <row r="30" spans="1:8" ht="15" x14ac:dyDescent="0.2">
      <c r="A30" s="1896">
        <v>6172</v>
      </c>
      <c r="B30" s="1903">
        <v>5169</v>
      </c>
      <c r="C30" s="1904">
        <v>33514013</v>
      </c>
      <c r="D30" s="1836" t="s">
        <v>852</v>
      </c>
      <c r="E30" s="1845">
        <v>0</v>
      </c>
      <c r="F30" s="1845">
        <v>670</v>
      </c>
      <c r="G30" s="1845">
        <v>0</v>
      </c>
      <c r="H30" s="1821">
        <f t="shared" si="1"/>
        <v>0</v>
      </c>
    </row>
    <row r="31" spans="1:8" ht="15" hidden="1" x14ac:dyDescent="0.2">
      <c r="A31" s="1896">
        <v>4399</v>
      </c>
      <c r="B31" s="1903">
        <v>5173</v>
      </c>
      <c r="C31" s="1904">
        <v>33113233</v>
      </c>
      <c r="D31" s="1836" t="s">
        <v>1152</v>
      </c>
      <c r="E31" s="1845">
        <v>0</v>
      </c>
      <c r="F31" s="1845"/>
      <c r="G31" s="1845"/>
      <c r="H31" s="1821" t="e">
        <f t="shared" si="1"/>
        <v>#DIV/0!</v>
      </c>
    </row>
    <row r="32" spans="1:8" ht="15" hidden="1" x14ac:dyDescent="0.2">
      <c r="A32" s="1896">
        <v>4399</v>
      </c>
      <c r="B32" s="1903">
        <v>5173</v>
      </c>
      <c r="C32" s="1904">
        <v>33513233</v>
      </c>
      <c r="D32" s="1836" t="s">
        <v>1152</v>
      </c>
      <c r="E32" s="1845">
        <v>0</v>
      </c>
      <c r="F32" s="1845"/>
      <c r="G32" s="1845"/>
      <c r="H32" s="1821" t="e">
        <f t="shared" si="1"/>
        <v>#DIV/0!</v>
      </c>
    </row>
    <row r="33" spans="1:9" ht="15" hidden="1" x14ac:dyDescent="0.2">
      <c r="A33" s="1896">
        <v>4399</v>
      </c>
      <c r="B33" s="1903">
        <v>5424</v>
      </c>
      <c r="C33" s="1904">
        <v>33113233</v>
      </c>
      <c r="D33" s="1836" t="s">
        <v>650</v>
      </c>
      <c r="E33" s="1845">
        <v>0</v>
      </c>
      <c r="F33" s="1845"/>
      <c r="G33" s="1845"/>
      <c r="H33" s="1821" t="e">
        <f t="shared" si="1"/>
        <v>#DIV/0!</v>
      </c>
    </row>
    <row r="34" spans="1:9" s="1846" customFormat="1" ht="15" hidden="1" x14ac:dyDescent="0.2">
      <c r="A34" s="1896">
        <v>4399</v>
      </c>
      <c r="B34" s="1903">
        <v>5424</v>
      </c>
      <c r="C34" s="1904">
        <v>33513233</v>
      </c>
      <c r="D34" s="1836" t="s">
        <v>650</v>
      </c>
      <c r="E34" s="1845">
        <v>0</v>
      </c>
      <c r="F34" s="1845"/>
      <c r="G34" s="1845"/>
      <c r="H34" s="1821" t="e">
        <f t="shared" si="1"/>
        <v>#DIV/0!</v>
      </c>
    </row>
    <row r="35" spans="1:9" s="1846" customFormat="1" ht="15.75" thickBot="1" x14ac:dyDescent="0.25">
      <c r="A35" s="1896">
        <v>6330</v>
      </c>
      <c r="B35" s="1903">
        <v>5345</v>
      </c>
      <c r="C35" s="1904">
        <v>0</v>
      </c>
      <c r="D35" s="1836" t="s">
        <v>2018</v>
      </c>
      <c r="E35" s="1845">
        <v>0</v>
      </c>
      <c r="F35" s="1845">
        <v>0</v>
      </c>
      <c r="G35" s="1845">
        <v>2337</v>
      </c>
      <c r="H35" s="1827">
        <v>0</v>
      </c>
    </row>
    <row r="36" spans="1:9" s="1828" customFormat="1" ht="16.5" thickTop="1" thickBot="1" x14ac:dyDescent="0.3">
      <c r="A36" s="2751" t="s">
        <v>763</v>
      </c>
      <c r="B36" s="2752"/>
      <c r="C36" s="2752"/>
      <c r="D36" s="2752"/>
      <c r="E36" s="1818">
        <f>SUM(E11:E35)</f>
        <v>0</v>
      </c>
      <c r="F36" s="1818">
        <f>SUM(F11:F35)</f>
        <v>2443</v>
      </c>
      <c r="G36" s="1818">
        <f>SUM(G11:G35)</f>
        <v>3202</v>
      </c>
      <c r="H36" s="1827">
        <f t="shared" si="1"/>
        <v>131.0683585755219</v>
      </c>
      <c r="I36" s="1910"/>
    </row>
    <row r="37" spans="1:9" ht="13.5" thickTop="1" x14ac:dyDescent="0.2">
      <c r="I37" s="1829"/>
    </row>
    <row r="38" spans="1:9" ht="15" x14ac:dyDescent="0.25">
      <c r="A38" s="1976" t="s">
        <v>2019</v>
      </c>
      <c r="B38" s="1854"/>
      <c r="C38" s="1854"/>
      <c r="D38" s="1854"/>
    </row>
    <row r="39" spans="1:9" ht="15.75" thickBot="1" x14ac:dyDescent="0.3">
      <c r="A39" s="1977" t="s">
        <v>2020</v>
      </c>
      <c r="B39" s="1978"/>
      <c r="C39" s="1978"/>
      <c r="H39" s="1892" t="s">
        <v>161</v>
      </c>
    </row>
    <row r="40" spans="1:9" s="1638" customFormat="1" ht="25.5" thickTop="1" thickBot="1" x14ac:dyDescent="0.25">
      <c r="A40" s="1809" t="s">
        <v>162</v>
      </c>
      <c r="B40" s="1810" t="s">
        <v>761</v>
      </c>
      <c r="C40" s="1810" t="s">
        <v>377</v>
      </c>
      <c r="D40" s="1811" t="s">
        <v>164</v>
      </c>
      <c r="E40" s="1833" t="s">
        <v>632</v>
      </c>
      <c r="F40" s="1833" t="s">
        <v>633</v>
      </c>
      <c r="G40" s="1834" t="s">
        <v>882</v>
      </c>
      <c r="H40" s="1835" t="s">
        <v>883</v>
      </c>
    </row>
    <row r="41" spans="1:9" s="1638" customFormat="1" ht="13.5" thickTop="1" thickBot="1" x14ac:dyDescent="0.25">
      <c r="A41" s="1643">
        <v>1</v>
      </c>
      <c r="B41" s="1642">
        <v>2</v>
      </c>
      <c r="C41" s="1642">
        <v>3</v>
      </c>
      <c r="D41" s="1642">
        <v>4</v>
      </c>
      <c r="E41" s="1641">
        <v>5</v>
      </c>
      <c r="F41" s="1641">
        <v>6</v>
      </c>
      <c r="G41" s="1877">
        <v>7</v>
      </c>
      <c r="H41" s="1901" t="s">
        <v>61</v>
      </c>
    </row>
    <row r="42" spans="1:9" s="1907" customFormat="1" ht="15.75" hidden="1" customHeight="1" thickTop="1" x14ac:dyDescent="0.2">
      <c r="A42" s="1896">
        <v>4378</v>
      </c>
      <c r="B42" s="1903">
        <v>5011</v>
      </c>
      <c r="C42" s="1904">
        <v>33113233</v>
      </c>
      <c r="D42" s="1836" t="s">
        <v>206</v>
      </c>
      <c r="E42" s="1845">
        <v>0</v>
      </c>
      <c r="F42" s="1845"/>
      <c r="G42" s="1845"/>
      <c r="H42" s="1821" t="e">
        <f t="shared" ref="H42:H53" si="2">G42/F42*100</f>
        <v>#DIV/0!</v>
      </c>
    </row>
    <row r="43" spans="1:9" s="1907" customFormat="1" ht="15.75" hidden="1" thickTop="1" x14ac:dyDescent="0.2">
      <c r="A43" s="1896">
        <v>4378</v>
      </c>
      <c r="B43" s="1903">
        <v>5011</v>
      </c>
      <c r="C43" s="1904">
        <v>33513233</v>
      </c>
      <c r="D43" s="1836" t="s">
        <v>206</v>
      </c>
      <c r="E43" s="1845">
        <v>0</v>
      </c>
      <c r="F43" s="1845"/>
      <c r="G43" s="1845"/>
      <c r="H43" s="1821" t="e">
        <f t="shared" si="2"/>
        <v>#DIV/0!</v>
      </c>
    </row>
    <row r="44" spans="1:9" s="1907" customFormat="1" ht="15" hidden="1" customHeight="1" x14ac:dyDescent="0.2">
      <c r="A44" s="1896">
        <v>4378</v>
      </c>
      <c r="B44" s="1903">
        <v>5021</v>
      </c>
      <c r="C44" s="1904">
        <v>33113233</v>
      </c>
      <c r="D44" s="1836" t="s">
        <v>389</v>
      </c>
      <c r="E44" s="1845">
        <v>0</v>
      </c>
      <c r="F44" s="1845"/>
      <c r="G44" s="1845"/>
      <c r="H44" s="1821" t="e">
        <f t="shared" si="2"/>
        <v>#DIV/0!</v>
      </c>
    </row>
    <row r="45" spans="1:9" s="1907" customFormat="1" ht="15" hidden="1" customHeight="1" x14ac:dyDescent="0.2">
      <c r="A45" s="1896">
        <v>4378</v>
      </c>
      <c r="B45" s="1903">
        <v>5021</v>
      </c>
      <c r="C45" s="1904">
        <v>33513233</v>
      </c>
      <c r="D45" s="1836" t="s">
        <v>389</v>
      </c>
      <c r="E45" s="1845">
        <v>0</v>
      </c>
      <c r="F45" s="1845"/>
      <c r="G45" s="1845"/>
      <c r="H45" s="1821" t="e">
        <f t="shared" si="2"/>
        <v>#DIV/0!</v>
      </c>
    </row>
    <row r="46" spans="1:9" s="1907" customFormat="1" ht="30" hidden="1" customHeight="1" x14ac:dyDescent="0.2">
      <c r="A46" s="1896">
        <v>4378</v>
      </c>
      <c r="B46" s="1903">
        <v>5031</v>
      </c>
      <c r="C46" s="1904">
        <v>33113233</v>
      </c>
      <c r="D46" s="1836" t="s">
        <v>1299</v>
      </c>
      <c r="E46" s="1845">
        <v>0</v>
      </c>
      <c r="F46" s="1845"/>
      <c r="G46" s="1845"/>
      <c r="H46" s="1821" t="e">
        <f t="shared" si="2"/>
        <v>#DIV/0!</v>
      </c>
    </row>
    <row r="47" spans="1:9" s="1907" customFormat="1" ht="30" hidden="1" customHeight="1" x14ac:dyDescent="0.2">
      <c r="A47" s="1896">
        <v>4378</v>
      </c>
      <c r="B47" s="1903">
        <v>5031</v>
      </c>
      <c r="C47" s="1904">
        <v>33513233</v>
      </c>
      <c r="D47" s="1836" t="s">
        <v>1299</v>
      </c>
      <c r="E47" s="1845">
        <v>0</v>
      </c>
      <c r="F47" s="1845"/>
      <c r="G47" s="1845"/>
      <c r="H47" s="1821" t="e">
        <f t="shared" si="2"/>
        <v>#DIV/0!</v>
      </c>
    </row>
    <row r="48" spans="1:9" s="1907" customFormat="1" ht="30.75" hidden="1" thickTop="1" x14ac:dyDescent="0.2">
      <c r="A48" s="1896">
        <v>4378</v>
      </c>
      <c r="B48" s="1903">
        <v>5032</v>
      </c>
      <c r="C48" s="1904">
        <v>33113233</v>
      </c>
      <c r="D48" s="1836" t="s">
        <v>1177</v>
      </c>
      <c r="E48" s="1845">
        <v>0</v>
      </c>
      <c r="F48" s="1845"/>
      <c r="G48" s="1845"/>
      <c r="H48" s="1821" t="e">
        <f t="shared" si="2"/>
        <v>#DIV/0!</v>
      </c>
    </row>
    <row r="49" spans="1:8" s="1907" customFormat="1" ht="30.75" hidden="1" thickTop="1" x14ac:dyDescent="0.2">
      <c r="A49" s="1896">
        <v>4378</v>
      </c>
      <c r="B49" s="1903">
        <v>5032</v>
      </c>
      <c r="C49" s="1904">
        <v>33513233</v>
      </c>
      <c r="D49" s="1836" t="s">
        <v>1177</v>
      </c>
      <c r="E49" s="1845">
        <v>0</v>
      </c>
      <c r="F49" s="1845"/>
      <c r="G49" s="1845"/>
      <c r="H49" s="1821" t="e">
        <f t="shared" si="2"/>
        <v>#DIV/0!</v>
      </c>
    </row>
    <row r="50" spans="1:8" s="1907" customFormat="1" ht="15.75" hidden="1" thickTop="1" x14ac:dyDescent="0.2">
      <c r="A50" s="1896">
        <v>4378</v>
      </c>
      <c r="B50" s="1903">
        <v>5137</v>
      </c>
      <c r="C50" s="1904">
        <v>33113233</v>
      </c>
      <c r="D50" s="1836" t="s">
        <v>155</v>
      </c>
      <c r="E50" s="1845">
        <v>0</v>
      </c>
      <c r="F50" s="1845"/>
      <c r="G50" s="1845"/>
      <c r="H50" s="1821" t="e">
        <f t="shared" si="2"/>
        <v>#DIV/0!</v>
      </c>
    </row>
    <row r="51" spans="1:8" s="1907" customFormat="1" ht="15.75" hidden="1" thickTop="1" x14ac:dyDescent="0.2">
      <c r="A51" s="1896">
        <v>4378</v>
      </c>
      <c r="B51" s="1903">
        <v>5137</v>
      </c>
      <c r="C51" s="1904">
        <v>33513233</v>
      </c>
      <c r="D51" s="1836" t="s">
        <v>155</v>
      </c>
      <c r="E51" s="1845">
        <v>0</v>
      </c>
      <c r="F51" s="1845"/>
      <c r="G51" s="1845"/>
      <c r="H51" s="1821" t="e">
        <f t="shared" si="2"/>
        <v>#DIV/0!</v>
      </c>
    </row>
    <row r="52" spans="1:8" s="1846" customFormat="1" ht="15.75" hidden="1" thickTop="1" x14ac:dyDescent="0.2">
      <c r="A52" s="1896">
        <v>4378</v>
      </c>
      <c r="B52" s="1905">
        <v>5139</v>
      </c>
      <c r="C52" s="1904">
        <v>33113233</v>
      </c>
      <c r="D52" s="1836" t="s">
        <v>270</v>
      </c>
      <c r="E52" s="1845">
        <v>0</v>
      </c>
      <c r="F52" s="1845"/>
      <c r="G52" s="1845"/>
      <c r="H52" s="1821" t="e">
        <f t="shared" si="2"/>
        <v>#DIV/0!</v>
      </c>
    </row>
    <row r="53" spans="1:8" s="1846" customFormat="1" ht="15.75" hidden="1" thickTop="1" x14ac:dyDescent="0.2">
      <c r="A53" s="1896">
        <v>4378</v>
      </c>
      <c r="B53" s="1905">
        <v>5139</v>
      </c>
      <c r="C53" s="1904">
        <v>33513233</v>
      </c>
      <c r="D53" s="1836" t="s">
        <v>270</v>
      </c>
      <c r="E53" s="1845">
        <v>0</v>
      </c>
      <c r="F53" s="1845"/>
      <c r="G53" s="1845"/>
      <c r="H53" s="1821" t="e">
        <f t="shared" si="2"/>
        <v>#DIV/0!</v>
      </c>
    </row>
    <row r="54" spans="1:8" ht="15.75" hidden="1" thickTop="1" x14ac:dyDescent="0.2">
      <c r="A54" s="1896">
        <v>4378</v>
      </c>
      <c r="B54" s="1905">
        <v>5162</v>
      </c>
      <c r="C54" s="1904">
        <v>33113233</v>
      </c>
      <c r="D54" s="1836" t="s">
        <v>864</v>
      </c>
      <c r="E54" s="1845">
        <v>0</v>
      </c>
      <c r="F54" s="1845"/>
      <c r="G54" s="1845"/>
      <c r="H54" s="1821">
        <v>0</v>
      </c>
    </row>
    <row r="55" spans="1:8" ht="15.75" hidden="1" thickTop="1" x14ac:dyDescent="0.2">
      <c r="A55" s="1896">
        <v>4378</v>
      </c>
      <c r="B55" s="1905">
        <v>5162</v>
      </c>
      <c r="C55" s="1904">
        <v>33513233</v>
      </c>
      <c r="D55" s="1836" t="s">
        <v>864</v>
      </c>
      <c r="E55" s="1845">
        <v>0</v>
      </c>
      <c r="F55" s="1845"/>
      <c r="G55" s="1845"/>
      <c r="H55" s="1821" t="e">
        <f t="shared" ref="H55:H64" si="3">G55/F55*100</f>
        <v>#DIV/0!</v>
      </c>
    </row>
    <row r="56" spans="1:8" ht="15.75" hidden="1" thickTop="1" x14ac:dyDescent="0.2">
      <c r="A56" s="1896">
        <v>4378</v>
      </c>
      <c r="B56" s="1905">
        <v>5166</v>
      </c>
      <c r="C56" s="1904">
        <v>33113233</v>
      </c>
      <c r="D56" s="1836" t="s">
        <v>609</v>
      </c>
      <c r="E56" s="1845">
        <v>0</v>
      </c>
      <c r="F56" s="1845"/>
      <c r="G56" s="1845"/>
      <c r="H56" s="1821" t="e">
        <f t="shared" si="3"/>
        <v>#DIV/0!</v>
      </c>
    </row>
    <row r="57" spans="1:8" ht="15.75" hidden="1" thickTop="1" x14ac:dyDescent="0.2">
      <c r="A57" s="1896">
        <v>4378</v>
      </c>
      <c r="B57" s="1905">
        <v>5166</v>
      </c>
      <c r="C57" s="1904">
        <v>33513233</v>
      </c>
      <c r="D57" s="1836" t="s">
        <v>609</v>
      </c>
      <c r="E57" s="1845">
        <v>0</v>
      </c>
      <c r="F57" s="1845"/>
      <c r="G57" s="1845"/>
      <c r="H57" s="1821" t="e">
        <f t="shared" si="3"/>
        <v>#DIV/0!</v>
      </c>
    </row>
    <row r="58" spans="1:8" ht="15.75" hidden="1" thickTop="1" x14ac:dyDescent="0.2">
      <c r="A58" s="1896">
        <v>4378</v>
      </c>
      <c r="B58" s="1905">
        <v>5169</v>
      </c>
      <c r="C58" s="1904">
        <v>33113233</v>
      </c>
      <c r="D58" s="1836" t="s">
        <v>852</v>
      </c>
      <c r="E58" s="1845">
        <v>0</v>
      </c>
      <c r="F58" s="1845"/>
      <c r="G58" s="1845"/>
      <c r="H58" s="1821" t="e">
        <f t="shared" si="3"/>
        <v>#DIV/0!</v>
      </c>
    </row>
    <row r="59" spans="1:8" ht="15.75" hidden="1" thickTop="1" x14ac:dyDescent="0.2">
      <c r="A59" s="1896">
        <v>4378</v>
      </c>
      <c r="B59" s="1903">
        <v>5169</v>
      </c>
      <c r="C59" s="1904">
        <v>33513233</v>
      </c>
      <c r="D59" s="1836" t="s">
        <v>852</v>
      </c>
      <c r="E59" s="1845">
        <v>0</v>
      </c>
      <c r="F59" s="1845"/>
      <c r="G59" s="1845"/>
      <c r="H59" s="1821" t="e">
        <f t="shared" si="3"/>
        <v>#DIV/0!</v>
      </c>
    </row>
    <row r="60" spans="1:8" ht="15.75" hidden="1" customHeight="1" x14ac:dyDescent="0.2">
      <c r="A60" s="1896">
        <v>4378</v>
      </c>
      <c r="B60" s="1903">
        <v>5175</v>
      </c>
      <c r="C60" s="1904">
        <v>33113233</v>
      </c>
      <c r="D60" s="1836" t="s">
        <v>669</v>
      </c>
      <c r="E60" s="1845">
        <v>0</v>
      </c>
      <c r="F60" s="1845"/>
      <c r="G60" s="1845"/>
      <c r="H60" s="1821" t="e">
        <f t="shared" si="3"/>
        <v>#DIV/0!</v>
      </c>
    </row>
    <row r="61" spans="1:8" ht="15.75" hidden="1" customHeight="1" x14ac:dyDescent="0.2">
      <c r="A61" s="1896">
        <v>4378</v>
      </c>
      <c r="B61" s="1903">
        <v>5175</v>
      </c>
      <c r="C61" s="1904">
        <v>33513233</v>
      </c>
      <c r="D61" s="1836" t="s">
        <v>669</v>
      </c>
      <c r="E61" s="1845">
        <v>0</v>
      </c>
      <c r="F61" s="1845"/>
      <c r="G61" s="1845"/>
      <c r="H61" s="1821" t="e">
        <f>G61/F61*100</f>
        <v>#DIV/0!</v>
      </c>
    </row>
    <row r="62" spans="1:8" ht="15.75" hidden="1" thickTop="1" x14ac:dyDescent="0.2">
      <c r="A62" s="1896">
        <v>4378</v>
      </c>
      <c r="B62" s="1903">
        <v>5424</v>
      </c>
      <c r="C62" s="1904">
        <v>33113233</v>
      </c>
      <c r="D62" s="1836" t="s">
        <v>650</v>
      </c>
      <c r="E62" s="1845">
        <v>0</v>
      </c>
      <c r="F62" s="1845"/>
      <c r="G62" s="1845"/>
      <c r="H62" s="1821">
        <v>0</v>
      </c>
    </row>
    <row r="63" spans="1:8" ht="15.75" hidden="1" thickTop="1" x14ac:dyDescent="0.2">
      <c r="A63" s="1896">
        <v>4378</v>
      </c>
      <c r="B63" s="1903">
        <v>5424</v>
      </c>
      <c r="C63" s="1904">
        <v>33513233</v>
      </c>
      <c r="D63" s="1836" t="s">
        <v>650</v>
      </c>
      <c r="E63" s="1845">
        <v>0</v>
      </c>
      <c r="F63" s="1845"/>
      <c r="G63" s="1845"/>
      <c r="H63" s="1821" t="e">
        <f t="shared" si="3"/>
        <v>#DIV/0!</v>
      </c>
    </row>
    <row r="64" spans="1:8" ht="15.75" hidden="1" thickTop="1" x14ac:dyDescent="0.2">
      <c r="A64" s="1896">
        <v>4378</v>
      </c>
      <c r="B64" s="1903">
        <v>5901</v>
      </c>
      <c r="C64" s="1904">
        <v>33113233</v>
      </c>
      <c r="D64" s="1836" t="s">
        <v>602</v>
      </c>
      <c r="E64" s="1845">
        <v>0</v>
      </c>
      <c r="F64" s="1845"/>
      <c r="G64" s="1845"/>
      <c r="H64" s="1821" t="e">
        <f t="shared" si="3"/>
        <v>#DIV/0!</v>
      </c>
    </row>
    <row r="65" spans="1:9" s="1846" customFormat="1" ht="16.5" thickTop="1" thickBot="1" x14ac:dyDescent="0.25">
      <c r="A65" s="1896">
        <v>6172</v>
      </c>
      <c r="B65" s="1903">
        <v>5166</v>
      </c>
      <c r="C65" s="1904">
        <v>0</v>
      </c>
      <c r="D65" s="1836" t="s">
        <v>609</v>
      </c>
      <c r="E65" s="1845">
        <v>530</v>
      </c>
      <c r="F65" s="1845">
        <v>0</v>
      </c>
      <c r="G65" s="1845">
        <v>0</v>
      </c>
      <c r="H65" s="1827">
        <v>0</v>
      </c>
    </row>
    <row r="66" spans="1:9" s="1828" customFormat="1" ht="16.5" thickTop="1" thickBot="1" x14ac:dyDescent="0.3">
      <c r="A66" s="2751" t="s">
        <v>763</v>
      </c>
      <c r="B66" s="2752"/>
      <c r="C66" s="2752"/>
      <c r="D66" s="2752"/>
      <c r="E66" s="1818">
        <f>SUM(E42:E65)</f>
        <v>530</v>
      </c>
      <c r="F66" s="1818">
        <f>SUM(F42:F65)</f>
        <v>0</v>
      </c>
      <c r="G66" s="1818">
        <f>SUM(G42:G65)</f>
        <v>0</v>
      </c>
      <c r="H66" s="1822">
        <v>0</v>
      </c>
      <c r="I66" s="1910"/>
    </row>
    <row r="67" spans="1:9" s="1828" customFormat="1" ht="15.75" thickTop="1" x14ac:dyDescent="0.25">
      <c r="A67" s="1823"/>
      <c r="B67" s="1823"/>
      <c r="C67" s="1823"/>
      <c r="D67" s="1823"/>
      <c r="E67" s="1824"/>
      <c r="F67" s="1824"/>
      <c r="G67" s="1824"/>
      <c r="H67" s="1849"/>
      <c r="I67" s="1910"/>
    </row>
    <row r="68" spans="1:9" s="1828" customFormat="1" ht="15" hidden="1" x14ac:dyDescent="0.25">
      <c r="A68" s="1823"/>
      <c r="B68" s="1823"/>
      <c r="C68" s="1823"/>
      <c r="D68" s="1823"/>
      <c r="E68" s="1824"/>
      <c r="F68" s="1824"/>
      <c r="G68" s="1824"/>
      <c r="H68" s="1849"/>
      <c r="I68" s="1910"/>
    </row>
    <row r="69" spans="1:9" s="1828" customFormat="1" ht="15" hidden="1" x14ac:dyDescent="0.25">
      <c r="A69" s="1823"/>
      <c r="B69" s="1823"/>
      <c r="C69" s="1823"/>
      <c r="D69" s="1823"/>
      <c r="E69" s="1824"/>
      <c r="F69" s="1824"/>
      <c r="G69" s="1824"/>
      <c r="H69" s="1849"/>
      <c r="I69" s="1910"/>
    </row>
    <row r="70" spans="1:9" s="1828" customFormat="1" ht="15" hidden="1" x14ac:dyDescent="0.25">
      <c r="A70" s="1823"/>
      <c r="B70" s="1823"/>
      <c r="C70" s="1823"/>
      <c r="D70" s="1823"/>
      <c r="E70" s="1824"/>
      <c r="F70" s="1824"/>
      <c r="G70" s="1824"/>
      <c r="H70" s="1849"/>
      <c r="I70" s="1910"/>
    </row>
    <row r="71" spans="1:9" s="1828" customFormat="1" ht="15" hidden="1" x14ac:dyDescent="0.25">
      <c r="A71" s="1823"/>
      <c r="B71" s="1823"/>
      <c r="C71" s="1823"/>
      <c r="D71" s="1823"/>
      <c r="E71" s="1824"/>
      <c r="F71" s="1824"/>
      <c r="G71" s="1824"/>
      <c r="H71" s="1849"/>
      <c r="I71" s="1910"/>
    </row>
    <row r="72" spans="1:9" s="1828" customFormat="1" ht="15" x14ac:dyDescent="0.25">
      <c r="A72" s="1823"/>
      <c r="B72" s="1823"/>
      <c r="C72" s="1823"/>
      <c r="D72" s="1823"/>
      <c r="E72" s="1824"/>
      <c r="F72" s="1824"/>
      <c r="G72" s="1824"/>
      <c r="H72" s="1849"/>
      <c r="I72" s="1910"/>
    </row>
    <row r="73" spans="1:9" s="1828" customFormat="1" ht="6" customHeight="1" x14ac:dyDescent="0.25">
      <c r="A73" s="1823"/>
      <c r="B73" s="1823"/>
      <c r="C73" s="1823"/>
      <c r="D73" s="1823"/>
      <c r="E73" s="1824"/>
      <c r="F73" s="1824"/>
      <c r="G73" s="1824"/>
      <c r="H73" s="1849"/>
      <c r="I73" s="1910"/>
    </row>
    <row r="74" spans="1:9" ht="15" x14ac:dyDescent="0.25">
      <c r="A74" s="1976" t="s">
        <v>1549</v>
      </c>
      <c r="B74" s="1854"/>
      <c r="C74" s="1854"/>
      <c r="D74" s="1854"/>
    </row>
    <row r="75" spans="1:9" ht="15.75" thickBot="1" x14ac:dyDescent="0.3">
      <c r="A75" s="1977" t="s">
        <v>1550</v>
      </c>
      <c r="B75" s="1978"/>
      <c r="C75" s="1978"/>
      <c r="H75" s="1892" t="s">
        <v>161</v>
      </c>
    </row>
    <row r="76" spans="1:9" s="1638" customFormat="1" ht="25.5" thickTop="1" thickBot="1" x14ac:dyDescent="0.25">
      <c r="A76" s="1809" t="s">
        <v>162</v>
      </c>
      <c r="B76" s="1810" t="s">
        <v>761</v>
      </c>
      <c r="C76" s="1810" t="s">
        <v>377</v>
      </c>
      <c r="D76" s="1811" t="s">
        <v>164</v>
      </c>
      <c r="E76" s="1833" t="s">
        <v>632</v>
      </c>
      <c r="F76" s="1833" t="s">
        <v>633</v>
      </c>
      <c r="G76" s="1834" t="s">
        <v>882</v>
      </c>
      <c r="H76" s="1835" t="s">
        <v>883</v>
      </c>
    </row>
    <row r="77" spans="1:9" s="1638" customFormat="1" ht="13.5" thickTop="1" thickBot="1" x14ac:dyDescent="0.25">
      <c r="A77" s="1643">
        <v>1</v>
      </c>
      <c r="B77" s="1642">
        <v>2</v>
      </c>
      <c r="C77" s="1642">
        <v>3</v>
      </c>
      <c r="D77" s="1642">
        <v>4</v>
      </c>
      <c r="E77" s="1641">
        <v>5</v>
      </c>
      <c r="F77" s="1641">
        <v>6</v>
      </c>
      <c r="G77" s="1877">
        <v>7</v>
      </c>
      <c r="H77" s="1901" t="s">
        <v>61</v>
      </c>
    </row>
    <row r="78" spans="1:9" s="1907" customFormat="1" ht="15.75" customHeight="1" thickTop="1" x14ac:dyDescent="0.2">
      <c r="A78" s="1896">
        <v>4399</v>
      </c>
      <c r="B78" s="1903">
        <v>5011</v>
      </c>
      <c r="C78" s="1904">
        <v>33113233</v>
      </c>
      <c r="D78" s="1836" t="s">
        <v>206</v>
      </c>
      <c r="E78" s="1845">
        <v>0</v>
      </c>
      <c r="F78" s="1845">
        <v>34</v>
      </c>
      <c r="G78" s="1845">
        <v>34</v>
      </c>
      <c r="H78" s="1821">
        <f t="shared" ref="H78:H89" si="4">G78/F78*100</f>
        <v>100</v>
      </c>
    </row>
    <row r="79" spans="1:9" s="1907" customFormat="1" ht="15" x14ac:dyDescent="0.2">
      <c r="A79" s="1896">
        <v>4399</v>
      </c>
      <c r="B79" s="1903">
        <v>5011</v>
      </c>
      <c r="C79" s="1904">
        <v>33513233</v>
      </c>
      <c r="D79" s="1836" t="s">
        <v>206</v>
      </c>
      <c r="E79" s="1845">
        <v>0</v>
      </c>
      <c r="F79" s="1845">
        <v>191</v>
      </c>
      <c r="G79" s="1845">
        <v>191</v>
      </c>
      <c r="H79" s="1821">
        <f t="shared" si="4"/>
        <v>100</v>
      </c>
    </row>
    <row r="80" spans="1:9" s="1907" customFormat="1" ht="15" customHeight="1" x14ac:dyDescent="0.2">
      <c r="A80" s="1896">
        <v>4399</v>
      </c>
      <c r="B80" s="1903">
        <v>5021</v>
      </c>
      <c r="C80" s="1904">
        <v>33113233</v>
      </c>
      <c r="D80" s="1836" t="s">
        <v>389</v>
      </c>
      <c r="E80" s="1845">
        <v>0</v>
      </c>
      <c r="F80" s="1845">
        <v>43</v>
      </c>
      <c r="G80" s="1845">
        <v>43</v>
      </c>
      <c r="H80" s="1821">
        <f t="shared" si="4"/>
        <v>100</v>
      </c>
    </row>
    <row r="81" spans="1:8" s="1907" customFormat="1" ht="15" customHeight="1" x14ac:dyDescent="0.2">
      <c r="A81" s="1896">
        <v>4399</v>
      </c>
      <c r="B81" s="1903">
        <v>5021</v>
      </c>
      <c r="C81" s="1904">
        <v>33513233</v>
      </c>
      <c r="D81" s="1836" t="s">
        <v>389</v>
      </c>
      <c r="E81" s="1845">
        <v>0</v>
      </c>
      <c r="F81" s="1845">
        <v>247</v>
      </c>
      <c r="G81" s="1845">
        <v>247</v>
      </c>
      <c r="H81" s="1821">
        <f t="shared" si="4"/>
        <v>100</v>
      </c>
    </row>
    <row r="82" spans="1:8" s="1907" customFormat="1" ht="30" customHeight="1" x14ac:dyDescent="0.2">
      <c r="A82" s="1896">
        <v>4399</v>
      </c>
      <c r="B82" s="1903">
        <v>5031</v>
      </c>
      <c r="C82" s="1904">
        <v>33113233</v>
      </c>
      <c r="D82" s="1836" t="s">
        <v>1299</v>
      </c>
      <c r="E82" s="1845">
        <v>0</v>
      </c>
      <c r="F82" s="1845">
        <v>16</v>
      </c>
      <c r="G82" s="1845">
        <v>16</v>
      </c>
      <c r="H82" s="1821">
        <f t="shared" si="4"/>
        <v>100</v>
      </c>
    </row>
    <row r="83" spans="1:8" s="1907" customFormat="1" ht="30" customHeight="1" x14ac:dyDescent="0.2">
      <c r="A83" s="1896">
        <v>4399</v>
      </c>
      <c r="B83" s="1903">
        <v>5031</v>
      </c>
      <c r="C83" s="1904">
        <v>33513233</v>
      </c>
      <c r="D83" s="1836" t="s">
        <v>1299</v>
      </c>
      <c r="E83" s="1845">
        <v>0</v>
      </c>
      <c r="F83" s="1845">
        <v>90</v>
      </c>
      <c r="G83" s="1845">
        <v>90</v>
      </c>
      <c r="H83" s="1821">
        <f t="shared" si="4"/>
        <v>100</v>
      </c>
    </row>
    <row r="84" spans="1:8" s="1907" customFormat="1" ht="30" x14ac:dyDescent="0.2">
      <c r="A84" s="1896">
        <v>4399</v>
      </c>
      <c r="B84" s="1903">
        <v>5032</v>
      </c>
      <c r="C84" s="1904">
        <v>33113233</v>
      </c>
      <c r="D84" s="1836" t="s">
        <v>1177</v>
      </c>
      <c r="E84" s="1845">
        <v>0</v>
      </c>
      <c r="F84" s="1845">
        <v>5</v>
      </c>
      <c r="G84" s="1845">
        <v>5</v>
      </c>
      <c r="H84" s="1821">
        <f t="shared" si="4"/>
        <v>100</v>
      </c>
    </row>
    <row r="85" spans="1:8" s="1907" customFormat="1" ht="30" x14ac:dyDescent="0.2">
      <c r="A85" s="1896">
        <v>4399</v>
      </c>
      <c r="B85" s="1903">
        <v>5032</v>
      </c>
      <c r="C85" s="1904">
        <v>33513233</v>
      </c>
      <c r="D85" s="1836" t="s">
        <v>1177</v>
      </c>
      <c r="E85" s="1845">
        <v>0</v>
      </c>
      <c r="F85" s="1845">
        <v>31</v>
      </c>
      <c r="G85" s="1845">
        <v>31</v>
      </c>
      <c r="H85" s="1821">
        <f t="shared" si="4"/>
        <v>100</v>
      </c>
    </row>
    <row r="86" spans="1:8" s="1907" customFormat="1" ht="15" hidden="1" x14ac:dyDescent="0.2">
      <c r="A86" s="1896">
        <v>4399</v>
      </c>
      <c r="B86" s="1903">
        <v>5137</v>
      </c>
      <c r="C86" s="1904">
        <v>33113233</v>
      </c>
      <c r="D86" s="1836" t="s">
        <v>155</v>
      </c>
      <c r="E86" s="1845">
        <v>0</v>
      </c>
      <c r="F86" s="1845"/>
      <c r="G86" s="1845"/>
      <c r="H86" s="1821" t="e">
        <f t="shared" si="4"/>
        <v>#DIV/0!</v>
      </c>
    </row>
    <row r="87" spans="1:8" s="1907" customFormat="1" ht="15" hidden="1" x14ac:dyDescent="0.2">
      <c r="A87" s="1896">
        <v>4399</v>
      </c>
      <c r="B87" s="1903">
        <v>5137</v>
      </c>
      <c r="C87" s="1904">
        <v>33513233</v>
      </c>
      <c r="D87" s="1836" t="s">
        <v>155</v>
      </c>
      <c r="E87" s="1845">
        <v>0</v>
      </c>
      <c r="F87" s="1845"/>
      <c r="G87" s="1845"/>
      <c r="H87" s="1821" t="e">
        <f t="shared" si="4"/>
        <v>#DIV/0!</v>
      </c>
    </row>
    <row r="88" spans="1:8" s="1846" customFormat="1" ht="15" x14ac:dyDescent="0.2">
      <c r="A88" s="1896">
        <v>4399</v>
      </c>
      <c r="B88" s="1905">
        <v>5139</v>
      </c>
      <c r="C88" s="1904">
        <v>33113233</v>
      </c>
      <c r="D88" s="1836" t="s">
        <v>270</v>
      </c>
      <c r="E88" s="1845">
        <v>0</v>
      </c>
      <c r="F88" s="1845">
        <v>20</v>
      </c>
      <c r="G88" s="1845">
        <v>20</v>
      </c>
      <c r="H88" s="1821">
        <f t="shared" si="4"/>
        <v>100</v>
      </c>
    </row>
    <row r="89" spans="1:8" s="1846" customFormat="1" ht="15" x14ac:dyDescent="0.2">
      <c r="A89" s="1896">
        <v>4399</v>
      </c>
      <c r="B89" s="1905">
        <v>5139</v>
      </c>
      <c r="C89" s="1904">
        <v>33513233</v>
      </c>
      <c r="D89" s="1836" t="s">
        <v>270</v>
      </c>
      <c r="E89" s="1845">
        <v>0</v>
      </c>
      <c r="F89" s="1845">
        <v>114</v>
      </c>
      <c r="G89" s="1845">
        <v>114</v>
      </c>
      <c r="H89" s="1821">
        <f t="shared" si="4"/>
        <v>100</v>
      </c>
    </row>
    <row r="90" spans="1:8" ht="15" x14ac:dyDescent="0.2">
      <c r="A90" s="1896">
        <v>4399</v>
      </c>
      <c r="B90" s="1905">
        <v>5162</v>
      </c>
      <c r="C90" s="1904">
        <v>33113233</v>
      </c>
      <c r="D90" s="1836" t="s">
        <v>864</v>
      </c>
      <c r="E90" s="1845">
        <v>0</v>
      </c>
      <c r="F90" s="1845">
        <v>0</v>
      </c>
      <c r="G90" s="1845">
        <v>0</v>
      </c>
      <c r="H90" s="1821">
        <v>0</v>
      </c>
    </row>
    <row r="91" spans="1:8" ht="15" x14ac:dyDescent="0.2">
      <c r="A91" s="1896">
        <v>4399</v>
      </c>
      <c r="B91" s="1905">
        <v>5162</v>
      </c>
      <c r="C91" s="1904">
        <v>33513233</v>
      </c>
      <c r="D91" s="1836" t="s">
        <v>864</v>
      </c>
      <c r="E91" s="1845">
        <v>0</v>
      </c>
      <c r="F91" s="1845">
        <v>0</v>
      </c>
      <c r="G91" s="1845">
        <v>0</v>
      </c>
      <c r="H91" s="1821">
        <v>0</v>
      </c>
    </row>
    <row r="92" spans="1:8" ht="15" hidden="1" x14ac:dyDescent="0.2">
      <c r="A92" s="1896">
        <v>4399</v>
      </c>
      <c r="B92" s="1905">
        <v>5164</v>
      </c>
      <c r="C92" s="1904">
        <v>33113233</v>
      </c>
      <c r="D92" s="1836" t="s">
        <v>170</v>
      </c>
      <c r="E92" s="1845">
        <v>0</v>
      </c>
      <c r="F92" s="1845"/>
      <c r="G92" s="1845"/>
      <c r="H92" s="1821" t="e">
        <f t="shared" ref="H92:H98" si="5">G92/F92*100</f>
        <v>#DIV/0!</v>
      </c>
    </row>
    <row r="93" spans="1:8" ht="15" hidden="1" x14ac:dyDescent="0.2">
      <c r="A93" s="1896">
        <v>4399</v>
      </c>
      <c r="B93" s="1905">
        <v>5164</v>
      </c>
      <c r="C93" s="1904">
        <v>33513233</v>
      </c>
      <c r="D93" s="1836" t="s">
        <v>170</v>
      </c>
      <c r="E93" s="1845">
        <v>0</v>
      </c>
      <c r="F93" s="1845"/>
      <c r="G93" s="1845"/>
      <c r="H93" s="1821" t="e">
        <f t="shared" si="5"/>
        <v>#DIV/0!</v>
      </c>
    </row>
    <row r="94" spans="1:8" ht="15" hidden="1" x14ac:dyDescent="0.2">
      <c r="A94" s="1896">
        <v>4399</v>
      </c>
      <c r="B94" s="1905">
        <v>5166</v>
      </c>
      <c r="C94" s="1904">
        <v>33113233</v>
      </c>
      <c r="D94" s="1836" t="s">
        <v>609</v>
      </c>
      <c r="E94" s="1845">
        <v>0</v>
      </c>
      <c r="F94" s="1845"/>
      <c r="G94" s="1845"/>
      <c r="H94" s="1821" t="e">
        <f t="shared" si="5"/>
        <v>#DIV/0!</v>
      </c>
    </row>
    <row r="95" spans="1:8" ht="15" hidden="1" x14ac:dyDescent="0.2">
      <c r="A95" s="1896">
        <v>4399</v>
      </c>
      <c r="B95" s="1905">
        <v>5166</v>
      </c>
      <c r="C95" s="1904">
        <v>33513233</v>
      </c>
      <c r="D95" s="1836" t="s">
        <v>609</v>
      </c>
      <c r="E95" s="1845">
        <v>0</v>
      </c>
      <c r="F95" s="1845"/>
      <c r="G95" s="1845"/>
      <c r="H95" s="1821" t="e">
        <f t="shared" si="5"/>
        <v>#DIV/0!</v>
      </c>
    </row>
    <row r="96" spans="1:8" ht="15" x14ac:dyDescent="0.2">
      <c r="A96" s="1896">
        <v>4399</v>
      </c>
      <c r="B96" s="1905">
        <v>5169</v>
      </c>
      <c r="C96" s="1904">
        <v>33113233</v>
      </c>
      <c r="D96" s="1836" t="s">
        <v>852</v>
      </c>
      <c r="E96" s="1845">
        <v>0</v>
      </c>
      <c r="F96" s="1845">
        <v>54</v>
      </c>
      <c r="G96" s="1845">
        <v>54</v>
      </c>
      <c r="H96" s="1821">
        <f t="shared" si="5"/>
        <v>100</v>
      </c>
    </row>
    <row r="97" spans="1:9" ht="15" x14ac:dyDescent="0.2">
      <c r="A97" s="1896">
        <v>4399</v>
      </c>
      <c r="B97" s="1903">
        <v>5169</v>
      </c>
      <c r="C97" s="1904">
        <v>33513233</v>
      </c>
      <c r="D97" s="1836" t="s">
        <v>852</v>
      </c>
      <c r="E97" s="1845">
        <v>0</v>
      </c>
      <c r="F97" s="1845">
        <v>305</v>
      </c>
      <c r="G97" s="1845">
        <v>305</v>
      </c>
      <c r="H97" s="1821">
        <f t="shared" si="5"/>
        <v>100</v>
      </c>
    </row>
    <row r="98" spans="1:9" ht="15.75" customHeight="1" x14ac:dyDescent="0.2">
      <c r="A98" s="1896">
        <v>4399</v>
      </c>
      <c r="B98" s="1903">
        <v>5175</v>
      </c>
      <c r="C98" s="1904">
        <v>33113233</v>
      </c>
      <c r="D98" s="1836" t="s">
        <v>669</v>
      </c>
      <c r="E98" s="1845">
        <v>0</v>
      </c>
      <c r="F98" s="1845">
        <v>4</v>
      </c>
      <c r="G98" s="1845">
        <v>4</v>
      </c>
      <c r="H98" s="1821">
        <f t="shared" si="5"/>
        <v>100</v>
      </c>
    </row>
    <row r="99" spans="1:9" ht="15.75" customHeight="1" x14ac:dyDescent="0.2">
      <c r="A99" s="1896">
        <v>4399</v>
      </c>
      <c r="B99" s="1903">
        <v>5175</v>
      </c>
      <c r="C99" s="1904">
        <v>33513233</v>
      </c>
      <c r="D99" s="1836" t="s">
        <v>669</v>
      </c>
      <c r="E99" s="1845">
        <v>0</v>
      </c>
      <c r="F99" s="1845">
        <v>23</v>
      </c>
      <c r="G99" s="1845">
        <v>23</v>
      </c>
      <c r="H99" s="1821">
        <f>G99/F99*100</f>
        <v>100</v>
      </c>
    </row>
    <row r="100" spans="1:9" ht="15" x14ac:dyDescent="0.2">
      <c r="A100" s="1896">
        <v>4399</v>
      </c>
      <c r="B100" s="1903">
        <v>5424</v>
      </c>
      <c r="C100" s="1904">
        <v>33113233</v>
      </c>
      <c r="D100" s="1836" t="s">
        <v>650</v>
      </c>
      <c r="E100" s="1845">
        <v>0</v>
      </c>
      <c r="F100" s="1845">
        <v>0</v>
      </c>
      <c r="G100" s="1845">
        <v>0</v>
      </c>
      <c r="H100" s="1821">
        <v>0</v>
      </c>
    </row>
    <row r="101" spans="1:9" ht="15" x14ac:dyDescent="0.2">
      <c r="A101" s="1896">
        <v>4399</v>
      </c>
      <c r="B101" s="1903">
        <v>5424</v>
      </c>
      <c r="C101" s="1904">
        <v>33513233</v>
      </c>
      <c r="D101" s="1836" t="s">
        <v>650</v>
      </c>
      <c r="E101" s="1845">
        <v>0</v>
      </c>
      <c r="F101" s="1845">
        <v>1</v>
      </c>
      <c r="G101" s="1845">
        <v>1</v>
      </c>
      <c r="H101" s="1821">
        <f>G101/F101*100</f>
        <v>100</v>
      </c>
    </row>
    <row r="102" spans="1:9" ht="15" hidden="1" x14ac:dyDescent="0.2">
      <c r="A102" s="1896">
        <v>4378</v>
      </c>
      <c r="B102" s="1903">
        <v>5901</v>
      </c>
      <c r="C102" s="1904">
        <v>33113233</v>
      </c>
      <c r="D102" s="1836" t="s">
        <v>602</v>
      </c>
      <c r="E102" s="1845">
        <v>0</v>
      </c>
      <c r="F102" s="1845">
        <v>0</v>
      </c>
      <c r="G102" s="1845">
        <v>0</v>
      </c>
      <c r="H102" s="1821" t="e">
        <f>G102/F102*100</f>
        <v>#DIV/0!</v>
      </c>
    </row>
    <row r="103" spans="1:9" s="1846" customFormat="1" ht="15.75" thickBot="1" x14ac:dyDescent="0.25">
      <c r="A103" s="1896">
        <v>6330</v>
      </c>
      <c r="B103" s="1903">
        <v>5345</v>
      </c>
      <c r="C103" s="1904">
        <v>0</v>
      </c>
      <c r="D103" s="1836" t="s">
        <v>767</v>
      </c>
      <c r="E103" s="1845">
        <v>0</v>
      </c>
      <c r="F103" s="1845">
        <v>0</v>
      </c>
      <c r="G103" s="1845">
        <v>514</v>
      </c>
      <c r="H103" s="1827">
        <v>0</v>
      </c>
    </row>
    <row r="104" spans="1:9" s="1828" customFormat="1" ht="16.5" thickTop="1" thickBot="1" x14ac:dyDescent="0.3">
      <c r="A104" s="2751" t="s">
        <v>763</v>
      </c>
      <c r="B104" s="2752"/>
      <c r="C104" s="2752"/>
      <c r="D104" s="2752"/>
      <c r="E104" s="1818">
        <f>SUM(E78:E103)</f>
        <v>0</v>
      </c>
      <c r="F104" s="1818">
        <f>SUM(F78:F103)</f>
        <v>1178</v>
      </c>
      <c r="G104" s="1818">
        <f>SUM(G78:G103)</f>
        <v>1692</v>
      </c>
      <c r="H104" s="1822">
        <f>G104/F104*100</f>
        <v>143.6332767402377</v>
      </c>
      <c r="I104" s="1910"/>
    </row>
    <row r="105" spans="1:9" ht="13.5" thickTop="1" x14ac:dyDescent="0.2">
      <c r="I105" s="1829"/>
    </row>
    <row r="106" spans="1:9" ht="15" x14ac:dyDescent="0.25">
      <c r="A106" s="1976" t="s">
        <v>545</v>
      </c>
      <c r="B106" s="1854"/>
      <c r="C106" s="1854"/>
      <c r="D106" s="1854"/>
    </row>
    <row r="107" spans="1:9" ht="15.75" thickBot="1" x14ac:dyDescent="0.3">
      <c r="A107" s="1977" t="s">
        <v>58</v>
      </c>
      <c r="B107" s="1978"/>
      <c r="C107" s="1978"/>
      <c r="H107" s="1892" t="s">
        <v>161</v>
      </c>
    </row>
    <row r="108" spans="1:9" s="1638" customFormat="1" ht="25.5" thickTop="1" thickBot="1" x14ac:dyDescent="0.25">
      <c r="A108" s="1809" t="s">
        <v>162</v>
      </c>
      <c r="B108" s="1810" t="s">
        <v>761</v>
      </c>
      <c r="C108" s="1810" t="s">
        <v>377</v>
      </c>
      <c r="D108" s="1811" t="s">
        <v>164</v>
      </c>
      <c r="E108" s="1833" t="s">
        <v>632</v>
      </c>
      <c r="F108" s="1833" t="s">
        <v>633</v>
      </c>
      <c r="G108" s="1834" t="s">
        <v>882</v>
      </c>
      <c r="H108" s="1835" t="s">
        <v>883</v>
      </c>
    </row>
    <row r="109" spans="1:9" s="1638" customFormat="1" ht="13.5" thickTop="1" thickBot="1" x14ac:dyDescent="0.25">
      <c r="A109" s="1643">
        <v>1</v>
      </c>
      <c r="B109" s="1642">
        <v>2</v>
      </c>
      <c r="C109" s="1642">
        <v>3</v>
      </c>
      <c r="D109" s="1642">
        <v>4</v>
      </c>
      <c r="E109" s="1641">
        <v>5</v>
      </c>
      <c r="F109" s="1641">
        <v>6</v>
      </c>
      <c r="G109" s="1877">
        <v>7</v>
      </c>
      <c r="H109" s="1901" t="s">
        <v>61</v>
      </c>
    </row>
    <row r="110" spans="1:9" s="1907" customFormat="1" ht="15.75" hidden="1" customHeight="1" thickTop="1" x14ac:dyDescent="0.2">
      <c r="A110" s="1896">
        <v>6172</v>
      </c>
      <c r="B110" s="1903">
        <v>5011</v>
      </c>
      <c r="C110" s="1904">
        <v>33100880</v>
      </c>
      <c r="D110" s="1836" t="s">
        <v>206</v>
      </c>
      <c r="E110" s="1845"/>
      <c r="F110" s="1845"/>
      <c r="G110" s="1845"/>
      <c r="H110" s="1821" t="e">
        <f t="shared" ref="H110:H137" si="6">G110/F110*100</f>
        <v>#DIV/0!</v>
      </c>
    </row>
    <row r="111" spans="1:9" s="1907" customFormat="1" ht="15.75" hidden="1" thickTop="1" x14ac:dyDescent="0.2">
      <c r="A111" s="1896">
        <v>6172</v>
      </c>
      <c r="B111" s="1903">
        <v>5011</v>
      </c>
      <c r="C111" s="1904">
        <v>33514013</v>
      </c>
      <c r="D111" s="1836" t="s">
        <v>206</v>
      </c>
      <c r="E111" s="1845"/>
      <c r="F111" s="1845"/>
      <c r="G111" s="1845"/>
      <c r="H111" s="1821" t="e">
        <f t="shared" si="6"/>
        <v>#DIV/0!</v>
      </c>
    </row>
    <row r="112" spans="1:9" s="1907" customFormat="1" ht="15.75" hidden="1" thickTop="1" x14ac:dyDescent="0.2">
      <c r="A112" s="1896">
        <v>6172</v>
      </c>
      <c r="B112" s="1903">
        <v>5021</v>
      </c>
      <c r="C112" s="1904">
        <v>33100880</v>
      </c>
      <c r="D112" s="1836" t="s">
        <v>389</v>
      </c>
      <c r="E112" s="1845"/>
      <c r="F112" s="1845"/>
      <c r="G112" s="1845"/>
      <c r="H112" s="1821" t="e">
        <f t="shared" si="6"/>
        <v>#DIV/0!</v>
      </c>
    </row>
    <row r="113" spans="1:8" s="1907" customFormat="1" ht="15.75" hidden="1" thickTop="1" x14ac:dyDescent="0.2">
      <c r="A113" s="1896">
        <v>6172</v>
      </c>
      <c r="B113" s="1903">
        <v>5021</v>
      </c>
      <c r="C113" s="1904">
        <v>33514013</v>
      </c>
      <c r="D113" s="1836" t="s">
        <v>389</v>
      </c>
      <c r="E113" s="1845"/>
      <c r="F113" s="1845"/>
      <c r="G113" s="1845"/>
      <c r="H113" s="1821" t="e">
        <f t="shared" si="6"/>
        <v>#DIV/0!</v>
      </c>
    </row>
    <row r="114" spans="1:8" s="1907" customFormat="1" ht="30" hidden="1" customHeight="1" x14ac:dyDescent="0.2">
      <c r="A114" s="1896">
        <v>6172</v>
      </c>
      <c r="B114" s="1903">
        <v>5031</v>
      </c>
      <c r="C114" s="1904">
        <v>33100880</v>
      </c>
      <c r="D114" s="1836" t="s">
        <v>1299</v>
      </c>
      <c r="E114" s="1845"/>
      <c r="F114" s="1845"/>
      <c r="G114" s="1845"/>
      <c r="H114" s="1821" t="e">
        <f t="shared" si="6"/>
        <v>#DIV/0!</v>
      </c>
    </row>
    <row r="115" spans="1:8" s="1907" customFormat="1" ht="30" customHeight="1" thickTop="1" x14ac:dyDescent="0.2">
      <c r="A115" s="1896">
        <v>6172</v>
      </c>
      <c r="B115" s="1903">
        <v>5901</v>
      </c>
      <c r="C115" s="1904">
        <v>33514013</v>
      </c>
      <c r="D115" s="1836" t="s">
        <v>602</v>
      </c>
      <c r="E115" s="1845">
        <v>0</v>
      </c>
      <c r="F115" s="1845">
        <v>848</v>
      </c>
      <c r="G115" s="1845">
        <v>0</v>
      </c>
      <c r="H115" s="1821">
        <f t="shared" si="6"/>
        <v>0</v>
      </c>
    </row>
    <row r="116" spans="1:8" s="1907" customFormat="1" ht="30" hidden="1" x14ac:dyDescent="0.2">
      <c r="A116" s="1896">
        <v>6172</v>
      </c>
      <c r="B116" s="1903">
        <v>5032</v>
      </c>
      <c r="C116" s="1904">
        <v>33100880</v>
      </c>
      <c r="D116" s="1836" t="s">
        <v>1177</v>
      </c>
      <c r="E116" s="1845"/>
      <c r="F116" s="1845"/>
      <c r="G116" s="1845"/>
      <c r="H116" s="1821" t="e">
        <f t="shared" si="6"/>
        <v>#DIV/0!</v>
      </c>
    </row>
    <row r="117" spans="1:8" s="1907" customFormat="1" ht="30" hidden="1" x14ac:dyDescent="0.2">
      <c r="A117" s="1896">
        <v>6172</v>
      </c>
      <c r="B117" s="1903">
        <v>5032</v>
      </c>
      <c r="C117" s="1904">
        <v>33514013</v>
      </c>
      <c r="D117" s="1836" t="s">
        <v>1177</v>
      </c>
      <c r="E117" s="1845"/>
      <c r="F117" s="1845"/>
      <c r="G117" s="1845"/>
      <c r="H117" s="1821" t="e">
        <f t="shared" si="6"/>
        <v>#DIV/0!</v>
      </c>
    </row>
    <row r="118" spans="1:8" s="1907" customFormat="1" ht="15" hidden="1" x14ac:dyDescent="0.2">
      <c r="A118" s="1896">
        <v>6172</v>
      </c>
      <c r="B118" s="1903">
        <v>5137</v>
      </c>
      <c r="C118" s="1904">
        <v>33100880</v>
      </c>
      <c r="D118" s="1836" t="s">
        <v>155</v>
      </c>
      <c r="E118" s="1845"/>
      <c r="F118" s="1845"/>
      <c r="G118" s="1845"/>
      <c r="H118" s="1821" t="e">
        <f t="shared" si="6"/>
        <v>#DIV/0!</v>
      </c>
    </row>
    <row r="119" spans="1:8" s="1907" customFormat="1" ht="15" hidden="1" x14ac:dyDescent="0.2">
      <c r="A119" s="1896">
        <v>6172</v>
      </c>
      <c r="B119" s="1903">
        <v>5137</v>
      </c>
      <c r="C119" s="1904">
        <v>33514013</v>
      </c>
      <c r="D119" s="1836" t="s">
        <v>155</v>
      </c>
      <c r="E119" s="1845"/>
      <c r="F119" s="1845"/>
      <c r="G119" s="1845"/>
      <c r="H119" s="1821" t="e">
        <f t="shared" si="6"/>
        <v>#DIV/0!</v>
      </c>
    </row>
    <row r="120" spans="1:8" s="1846" customFormat="1" ht="15" hidden="1" x14ac:dyDescent="0.2">
      <c r="A120" s="1896">
        <v>6172</v>
      </c>
      <c r="B120" s="1905">
        <v>5139</v>
      </c>
      <c r="C120" s="1904">
        <v>33100880</v>
      </c>
      <c r="D120" s="1836" t="s">
        <v>270</v>
      </c>
      <c r="E120" s="1845"/>
      <c r="F120" s="1845"/>
      <c r="G120" s="1845"/>
      <c r="H120" s="1821" t="e">
        <f t="shared" si="6"/>
        <v>#DIV/0!</v>
      </c>
    </row>
    <row r="121" spans="1:8" s="1846" customFormat="1" ht="15" hidden="1" x14ac:dyDescent="0.2">
      <c r="A121" s="1896">
        <v>6172</v>
      </c>
      <c r="B121" s="1905">
        <v>5139</v>
      </c>
      <c r="C121" s="1904">
        <v>33514013</v>
      </c>
      <c r="D121" s="1836" t="s">
        <v>270</v>
      </c>
      <c r="E121" s="1845"/>
      <c r="F121" s="1845"/>
      <c r="G121" s="1845"/>
      <c r="H121" s="1821" t="e">
        <f t="shared" si="6"/>
        <v>#DIV/0!</v>
      </c>
    </row>
    <row r="122" spans="1:8" ht="15" hidden="1" x14ac:dyDescent="0.2">
      <c r="A122" s="1896">
        <v>6172</v>
      </c>
      <c r="B122" s="1905">
        <v>5164</v>
      </c>
      <c r="C122" s="1904">
        <v>33100880</v>
      </c>
      <c r="D122" s="1836" t="s">
        <v>170</v>
      </c>
      <c r="E122" s="1845"/>
      <c r="F122" s="1845"/>
      <c r="G122" s="1845"/>
      <c r="H122" s="1821" t="e">
        <f t="shared" si="6"/>
        <v>#DIV/0!</v>
      </c>
    </row>
    <row r="123" spans="1:8" ht="15" hidden="1" x14ac:dyDescent="0.2">
      <c r="A123" s="1896">
        <v>6172</v>
      </c>
      <c r="B123" s="1905">
        <v>5164</v>
      </c>
      <c r="C123" s="1904">
        <v>33514013</v>
      </c>
      <c r="D123" s="1836" t="s">
        <v>170</v>
      </c>
      <c r="E123" s="1845"/>
      <c r="F123" s="1845"/>
      <c r="G123" s="1845"/>
      <c r="H123" s="1821" t="e">
        <f t="shared" si="6"/>
        <v>#DIV/0!</v>
      </c>
    </row>
    <row r="124" spans="1:8" ht="15" hidden="1" x14ac:dyDescent="0.2">
      <c r="A124" s="1896">
        <v>6172</v>
      </c>
      <c r="B124" s="1905">
        <v>5166</v>
      </c>
      <c r="C124" s="1904">
        <v>33100880</v>
      </c>
      <c r="D124" s="1836" t="s">
        <v>609</v>
      </c>
      <c r="E124" s="1845"/>
      <c r="F124" s="1845"/>
      <c r="G124" s="1845"/>
      <c r="H124" s="1821" t="e">
        <f t="shared" si="6"/>
        <v>#DIV/0!</v>
      </c>
    </row>
    <row r="125" spans="1:8" ht="15" hidden="1" x14ac:dyDescent="0.2">
      <c r="A125" s="1896">
        <v>6172</v>
      </c>
      <c r="B125" s="1905">
        <v>5166</v>
      </c>
      <c r="C125" s="1904">
        <v>33500881</v>
      </c>
      <c r="D125" s="1836" t="s">
        <v>609</v>
      </c>
      <c r="E125" s="1845"/>
      <c r="F125" s="1845"/>
      <c r="G125" s="1845"/>
      <c r="H125" s="1821" t="e">
        <f t="shared" si="6"/>
        <v>#DIV/0!</v>
      </c>
    </row>
    <row r="126" spans="1:8" ht="15" hidden="1" x14ac:dyDescent="0.2">
      <c r="A126" s="1896">
        <v>6172</v>
      </c>
      <c r="B126" s="1905">
        <v>5166</v>
      </c>
      <c r="C126" s="1904">
        <v>33514013</v>
      </c>
      <c r="D126" s="1836" t="s">
        <v>609</v>
      </c>
      <c r="E126" s="1845"/>
      <c r="F126" s="1845"/>
      <c r="G126" s="1845"/>
      <c r="H126" s="1821" t="e">
        <f t="shared" si="6"/>
        <v>#DIV/0!</v>
      </c>
    </row>
    <row r="127" spans="1:8" ht="15" hidden="1" x14ac:dyDescent="0.2">
      <c r="A127" s="1896">
        <v>6172</v>
      </c>
      <c r="B127" s="1905">
        <v>5166</v>
      </c>
      <c r="C127" s="1904">
        <v>38100880</v>
      </c>
      <c r="D127" s="1836" t="s">
        <v>609</v>
      </c>
      <c r="E127" s="1845"/>
      <c r="F127" s="1845"/>
      <c r="G127" s="1845"/>
      <c r="H127" s="1821">
        <v>0</v>
      </c>
    </row>
    <row r="128" spans="1:8" ht="15" hidden="1" x14ac:dyDescent="0.2">
      <c r="A128" s="1896">
        <v>6172</v>
      </c>
      <c r="B128" s="1905">
        <v>5169</v>
      </c>
      <c r="C128" s="1904">
        <v>33100880</v>
      </c>
      <c r="D128" s="1836" t="s">
        <v>852</v>
      </c>
      <c r="E128" s="1845"/>
      <c r="F128" s="1845"/>
      <c r="G128" s="1845"/>
      <c r="H128" s="1821" t="e">
        <f t="shared" si="6"/>
        <v>#DIV/0!</v>
      </c>
    </row>
    <row r="129" spans="1:9" ht="15" hidden="1" x14ac:dyDescent="0.2">
      <c r="A129" s="1896">
        <v>6172</v>
      </c>
      <c r="B129" s="1903">
        <v>5169</v>
      </c>
      <c r="C129" s="1904">
        <v>33514013</v>
      </c>
      <c r="D129" s="1836" t="s">
        <v>852</v>
      </c>
      <c r="E129" s="1845"/>
      <c r="F129" s="1845"/>
      <c r="G129" s="1845"/>
      <c r="H129" s="1821" t="e">
        <f t="shared" si="6"/>
        <v>#DIV/0!</v>
      </c>
    </row>
    <row r="130" spans="1:9" ht="15" hidden="1" x14ac:dyDescent="0.2">
      <c r="A130" s="1896">
        <v>6172</v>
      </c>
      <c r="B130" s="1903">
        <v>5172</v>
      </c>
      <c r="C130" s="1904">
        <v>33100880</v>
      </c>
      <c r="D130" s="1836" t="s">
        <v>897</v>
      </c>
      <c r="E130" s="1845"/>
      <c r="F130" s="1845"/>
      <c r="G130" s="1845"/>
      <c r="H130" s="1821" t="e">
        <f t="shared" si="6"/>
        <v>#DIV/0!</v>
      </c>
    </row>
    <row r="131" spans="1:9" ht="15" hidden="1" x14ac:dyDescent="0.2">
      <c r="A131" s="1896">
        <v>6172</v>
      </c>
      <c r="B131" s="1903">
        <v>5172</v>
      </c>
      <c r="C131" s="1904">
        <v>33500881</v>
      </c>
      <c r="D131" s="1836" t="s">
        <v>897</v>
      </c>
      <c r="E131" s="1845"/>
      <c r="F131" s="1845"/>
      <c r="G131" s="1845"/>
      <c r="H131" s="1821" t="e">
        <f t="shared" si="6"/>
        <v>#DIV/0!</v>
      </c>
    </row>
    <row r="132" spans="1:9" ht="15.75" hidden="1" customHeight="1" x14ac:dyDescent="0.2">
      <c r="A132" s="1896">
        <v>6172</v>
      </c>
      <c r="B132" s="1903">
        <v>5175</v>
      </c>
      <c r="C132" s="1904">
        <v>33100880</v>
      </c>
      <c r="D132" s="1836" t="s">
        <v>1048</v>
      </c>
      <c r="E132" s="1845"/>
      <c r="F132" s="1845"/>
      <c r="G132" s="1845"/>
      <c r="H132" s="1821" t="e">
        <f t="shared" si="6"/>
        <v>#DIV/0!</v>
      </c>
    </row>
    <row r="133" spans="1:9" s="1846" customFormat="1" ht="15.75" hidden="1" customHeight="1" x14ac:dyDescent="0.2">
      <c r="A133" s="1896">
        <v>6172</v>
      </c>
      <c r="B133" s="1903">
        <v>5175</v>
      </c>
      <c r="C133" s="1904">
        <v>33514013</v>
      </c>
      <c r="D133" s="1836" t="s">
        <v>1048</v>
      </c>
      <c r="E133" s="1845"/>
      <c r="F133" s="1845"/>
      <c r="G133" s="1845"/>
      <c r="H133" s="1821" t="e">
        <f t="shared" si="6"/>
        <v>#DIV/0!</v>
      </c>
    </row>
    <row r="134" spans="1:9" s="1846" customFormat="1" ht="15" hidden="1" x14ac:dyDescent="0.2">
      <c r="A134" s="1896">
        <v>6172</v>
      </c>
      <c r="B134" s="1903">
        <v>6111</v>
      </c>
      <c r="C134" s="1904">
        <v>33100880</v>
      </c>
      <c r="D134" s="1836" t="s">
        <v>897</v>
      </c>
      <c r="E134" s="1845"/>
      <c r="F134" s="1845"/>
      <c r="G134" s="1845"/>
      <c r="H134" s="1821" t="e">
        <f t="shared" si="6"/>
        <v>#DIV/0!</v>
      </c>
    </row>
    <row r="135" spans="1:9" s="1846" customFormat="1" ht="15.75" hidden="1" thickBot="1" x14ac:dyDescent="0.25">
      <c r="A135" s="1916">
        <v>6172</v>
      </c>
      <c r="B135" s="1917">
        <v>6111</v>
      </c>
      <c r="C135" s="1975">
        <v>33500881</v>
      </c>
      <c r="D135" s="1841" t="s">
        <v>897</v>
      </c>
      <c r="E135" s="1842"/>
      <c r="F135" s="1842"/>
      <c r="G135" s="1842"/>
      <c r="H135" s="1827" t="e">
        <f t="shared" si="6"/>
        <v>#DIV/0!</v>
      </c>
    </row>
    <row r="136" spans="1:9" s="1846" customFormat="1" ht="15.75" customHeight="1" thickBot="1" x14ac:dyDescent="0.25">
      <c r="A136" s="1896">
        <v>6330</v>
      </c>
      <c r="B136" s="1903">
        <v>5345</v>
      </c>
      <c r="C136" s="1904">
        <v>0</v>
      </c>
      <c r="D136" s="1836" t="s">
        <v>767</v>
      </c>
      <c r="E136" s="1845">
        <v>0</v>
      </c>
      <c r="F136" s="1845">
        <v>0</v>
      </c>
      <c r="G136" s="1845">
        <v>192</v>
      </c>
      <c r="H136" s="1827">
        <v>0</v>
      </c>
    </row>
    <row r="137" spans="1:9" s="1828" customFormat="1" ht="16.5" thickTop="1" thickBot="1" x14ac:dyDescent="0.3">
      <c r="A137" s="2751" t="s">
        <v>763</v>
      </c>
      <c r="B137" s="2752"/>
      <c r="C137" s="2752"/>
      <c r="D137" s="2752"/>
      <c r="E137" s="1818">
        <f>SUM(E110:E136)</f>
        <v>0</v>
      </c>
      <c r="F137" s="1818">
        <f>SUM(F110:F136)</f>
        <v>848</v>
      </c>
      <c r="G137" s="1818">
        <f>SUM(G110:G136)</f>
        <v>192</v>
      </c>
      <c r="H137" s="1827">
        <f t="shared" si="6"/>
        <v>22.641509433962266</v>
      </c>
      <c r="I137" s="1910"/>
    </row>
    <row r="138" spans="1:9" ht="13.5" thickTop="1" x14ac:dyDescent="0.2">
      <c r="I138" s="1829"/>
    </row>
    <row r="139" spans="1:9" ht="15" x14ac:dyDescent="0.25">
      <c r="A139" s="1976" t="s">
        <v>1049</v>
      </c>
      <c r="B139" s="1854"/>
      <c r="C139" s="1854"/>
      <c r="D139" s="1854"/>
    </row>
    <row r="140" spans="1:9" ht="15.75" thickBot="1" x14ac:dyDescent="0.3">
      <c r="A140" s="1977" t="s">
        <v>1050</v>
      </c>
      <c r="B140" s="1978"/>
      <c r="C140" s="1978"/>
      <c r="H140" s="1892" t="s">
        <v>161</v>
      </c>
    </row>
    <row r="141" spans="1:9" s="1638" customFormat="1" ht="25.5" thickTop="1" thickBot="1" x14ac:dyDescent="0.25">
      <c r="A141" s="1809" t="s">
        <v>162</v>
      </c>
      <c r="B141" s="1810" t="s">
        <v>761</v>
      </c>
      <c r="C141" s="1810" t="s">
        <v>377</v>
      </c>
      <c r="D141" s="1811" t="s">
        <v>164</v>
      </c>
      <c r="E141" s="1833" t="s">
        <v>632</v>
      </c>
      <c r="F141" s="1833" t="s">
        <v>633</v>
      </c>
      <c r="G141" s="1834" t="s">
        <v>882</v>
      </c>
      <c r="H141" s="1835" t="s">
        <v>883</v>
      </c>
    </row>
    <row r="142" spans="1:9" s="1638" customFormat="1" ht="13.5" thickTop="1" thickBot="1" x14ac:dyDescent="0.25">
      <c r="A142" s="1643">
        <v>1</v>
      </c>
      <c r="B142" s="1642">
        <v>2</v>
      </c>
      <c r="C142" s="1642">
        <v>3</v>
      </c>
      <c r="D142" s="1642">
        <v>4</v>
      </c>
      <c r="E142" s="1641">
        <v>5</v>
      </c>
      <c r="F142" s="1641">
        <v>6</v>
      </c>
      <c r="G142" s="1877">
        <v>7</v>
      </c>
      <c r="H142" s="1901" t="s">
        <v>61</v>
      </c>
    </row>
    <row r="143" spans="1:9" s="1907" customFormat="1" ht="15.75" hidden="1" customHeight="1" thickTop="1" x14ac:dyDescent="0.2">
      <c r="A143" s="1896">
        <v>6172</v>
      </c>
      <c r="B143" s="1903">
        <v>5011</v>
      </c>
      <c r="C143" s="1904">
        <v>33100880</v>
      </c>
      <c r="D143" s="1836" t="s">
        <v>206</v>
      </c>
      <c r="E143" s="1845"/>
      <c r="F143" s="1845"/>
      <c r="G143" s="1845"/>
      <c r="H143" s="1821" t="e">
        <f t="shared" ref="H143:H164" si="7">G143/F143*100</f>
        <v>#DIV/0!</v>
      </c>
    </row>
    <row r="144" spans="1:9" s="1907" customFormat="1" ht="15.75" hidden="1" thickTop="1" x14ac:dyDescent="0.2">
      <c r="A144" s="1896">
        <v>6172</v>
      </c>
      <c r="B144" s="1903">
        <v>5011</v>
      </c>
      <c r="C144" s="1904">
        <v>33514012</v>
      </c>
      <c r="D144" s="1836" t="s">
        <v>206</v>
      </c>
      <c r="E144" s="1845"/>
      <c r="F144" s="1845"/>
      <c r="G144" s="1845"/>
      <c r="H144" s="1821" t="e">
        <f t="shared" si="7"/>
        <v>#DIV/0!</v>
      </c>
    </row>
    <row r="145" spans="1:8" s="1907" customFormat="1" ht="15.75" hidden="1" thickTop="1" x14ac:dyDescent="0.2">
      <c r="A145" s="1896">
        <v>6172</v>
      </c>
      <c r="B145" s="1903">
        <v>5021</v>
      </c>
      <c r="C145" s="1904">
        <v>33100880</v>
      </c>
      <c r="D145" s="1836" t="s">
        <v>389</v>
      </c>
      <c r="E145" s="1845"/>
      <c r="F145" s="1845"/>
      <c r="G145" s="1845"/>
      <c r="H145" s="1821" t="e">
        <f t="shared" si="7"/>
        <v>#DIV/0!</v>
      </c>
    </row>
    <row r="146" spans="1:8" s="1907" customFormat="1" ht="15.75" hidden="1" thickTop="1" x14ac:dyDescent="0.2">
      <c r="A146" s="1896">
        <v>6172</v>
      </c>
      <c r="B146" s="1903">
        <v>5021</v>
      </c>
      <c r="C146" s="1904">
        <v>33500881</v>
      </c>
      <c r="D146" s="1836" t="s">
        <v>389</v>
      </c>
      <c r="E146" s="1845"/>
      <c r="F146" s="1845"/>
      <c r="G146" s="1845"/>
      <c r="H146" s="1821" t="e">
        <f t="shared" si="7"/>
        <v>#DIV/0!</v>
      </c>
    </row>
    <row r="147" spans="1:8" s="1907" customFormat="1" ht="15.75" hidden="1" thickTop="1" x14ac:dyDescent="0.2">
      <c r="A147" s="1896">
        <v>6172</v>
      </c>
      <c r="B147" s="1903">
        <v>5021</v>
      </c>
      <c r="C147" s="1904">
        <v>33514012</v>
      </c>
      <c r="D147" s="1836" t="s">
        <v>389</v>
      </c>
      <c r="E147" s="1845"/>
      <c r="F147" s="1845"/>
      <c r="G147" s="1845"/>
      <c r="H147" s="1821" t="e">
        <f t="shared" si="7"/>
        <v>#DIV/0!</v>
      </c>
    </row>
    <row r="148" spans="1:8" s="1907" customFormat="1" ht="30" hidden="1" customHeight="1" x14ac:dyDescent="0.2">
      <c r="A148" s="1896">
        <v>6172</v>
      </c>
      <c r="B148" s="1903">
        <v>5031</v>
      </c>
      <c r="C148" s="1904">
        <v>33100880</v>
      </c>
      <c r="D148" s="1836" t="s">
        <v>1299</v>
      </c>
      <c r="E148" s="1845"/>
      <c r="F148" s="1845"/>
      <c r="G148" s="1845"/>
      <c r="H148" s="1821" t="e">
        <f t="shared" si="7"/>
        <v>#DIV/0!</v>
      </c>
    </row>
    <row r="149" spans="1:8" s="1907" customFormat="1" ht="30" hidden="1" customHeight="1" x14ac:dyDescent="0.2">
      <c r="A149" s="1896">
        <v>6172</v>
      </c>
      <c r="B149" s="1903">
        <v>5031</v>
      </c>
      <c r="C149" s="1904">
        <v>33514012</v>
      </c>
      <c r="D149" s="1836" t="s">
        <v>1299</v>
      </c>
      <c r="E149" s="1845"/>
      <c r="F149" s="1845"/>
      <c r="G149" s="1845"/>
      <c r="H149" s="1821" t="e">
        <f t="shared" si="7"/>
        <v>#DIV/0!</v>
      </c>
    </row>
    <row r="150" spans="1:8" s="1907" customFormat="1" ht="30.75" hidden="1" thickTop="1" x14ac:dyDescent="0.2">
      <c r="A150" s="1896">
        <v>6172</v>
      </c>
      <c r="B150" s="1903">
        <v>5032</v>
      </c>
      <c r="C150" s="1904">
        <v>33100880</v>
      </c>
      <c r="D150" s="1836" t="s">
        <v>1177</v>
      </c>
      <c r="E150" s="1845"/>
      <c r="F150" s="1845"/>
      <c r="G150" s="1845"/>
      <c r="H150" s="1821" t="e">
        <f t="shared" si="7"/>
        <v>#DIV/0!</v>
      </c>
    </row>
    <row r="151" spans="1:8" s="1907" customFormat="1" ht="30.75" hidden="1" thickTop="1" x14ac:dyDescent="0.2">
      <c r="A151" s="1896">
        <v>6172</v>
      </c>
      <c r="B151" s="1903">
        <v>5032</v>
      </c>
      <c r="C151" s="1904">
        <v>33514012</v>
      </c>
      <c r="D151" s="1836" t="s">
        <v>1177</v>
      </c>
      <c r="E151" s="1845"/>
      <c r="F151" s="1845"/>
      <c r="G151" s="1845"/>
      <c r="H151" s="1821" t="e">
        <f t="shared" si="7"/>
        <v>#DIV/0!</v>
      </c>
    </row>
    <row r="152" spans="1:8" s="1907" customFormat="1" ht="15.75" hidden="1" thickTop="1" x14ac:dyDescent="0.2">
      <c r="A152" s="1896">
        <v>6172</v>
      </c>
      <c r="B152" s="1903">
        <v>5137</v>
      </c>
      <c r="C152" s="1904">
        <v>33100880</v>
      </c>
      <c r="D152" s="1836" t="s">
        <v>155</v>
      </c>
      <c r="E152" s="1845"/>
      <c r="F152" s="1845"/>
      <c r="G152" s="1845"/>
      <c r="H152" s="1821" t="e">
        <f t="shared" si="7"/>
        <v>#DIV/0!</v>
      </c>
    </row>
    <row r="153" spans="1:8" s="1907" customFormat="1" ht="15.75" hidden="1" thickTop="1" x14ac:dyDescent="0.2">
      <c r="A153" s="1896">
        <v>6172</v>
      </c>
      <c r="B153" s="1903">
        <v>5137</v>
      </c>
      <c r="C153" s="1904">
        <v>33514012</v>
      </c>
      <c r="D153" s="1836" t="s">
        <v>155</v>
      </c>
      <c r="E153" s="1845"/>
      <c r="F153" s="1845"/>
      <c r="G153" s="1845"/>
      <c r="H153" s="1821" t="e">
        <f t="shared" si="7"/>
        <v>#DIV/0!</v>
      </c>
    </row>
    <row r="154" spans="1:8" s="1846" customFormat="1" ht="15.75" hidden="1" thickTop="1" x14ac:dyDescent="0.2">
      <c r="A154" s="1896">
        <v>6172</v>
      </c>
      <c r="B154" s="1905">
        <v>5139</v>
      </c>
      <c r="C154" s="1904">
        <v>33100880</v>
      </c>
      <c r="D154" s="1836" t="s">
        <v>270</v>
      </c>
      <c r="E154" s="1845"/>
      <c r="F154" s="1845"/>
      <c r="G154" s="1845"/>
      <c r="H154" s="1821" t="e">
        <f t="shared" si="7"/>
        <v>#DIV/0!</v>
      </c>
    </row>
    <row r="155" spans="1:8" s="1846" customFormat="1" ht="15.75" hidden="1" thickTop="1" x14ac:dyDescent="0.2">
      <c r="A155" s="1896">
        <v>6172</v>
      </c>
      <c r="B155" s="1905">
        <v>5139</v>
      </c>
      <c r="C155" s="1904">
        <v>33500881</v>
      </c>
      <c r="D155" s="1836" t="s">
        <v>270</v>
      </c>
      <c r="E155" s="1845"/>
      <c r="F155" s="1845"/>
      <c r="G155" s="1845"/>
      <c r="H155" s="1821" t="e">
        <f t="shared" si="7"/>
        <v>#DIV/0!</v>
      </c>
    </row>
    <row r="156" spans="1:8" ht="15.75" hidden="1" thickTop="1" x14ac:dyDescent="0.2">
      <c r="A156" s="1896">
        <v>6172</v>
      </c>
      <c r="B156" s="1905">
        <v>5139</v>
      </c>
      <c r="C156" s="1904">
        <v>33514012</v>
      </c>
      <c r="D156" s="1836" t="s">
        <v>270</v>
      </c>
      <c r="E156" s="1845"/>
      <c r="F156" s="1845"/>
      <c r="G156" s="1845"/>
      <c r="H156" s="1821" t="e">
        <f t="shared" si="7"/>
        <v>#DIV/0!</v>
      </c>
    </row>
    <row r="157" spans="1:8" ht="15.75" hidden="1" thickTop="1" x14ac:dyDescent="0.2">
      <c r="A157" s="1896">
        <v>6172</v>
      </c>
      <c r="B157" s="1905">
        <v>5162</v>
      </c>
      <c r="C157" s="1904">
        <v>33513233</v>
      </c>
      <c r="D157" s="1836" t="s">
        <v>864</v>
      </c>
      <c r="E157" s="1845"/>
      <c r="F157" s="1845"/>
      <c r="G157" s="1845"/>
      <c r="H157" s="1821" t="e">
        <f t="shared" si="7"/>
        <v>#DIV/0!</v>
      </c>
    </row>
    <row r="158" spans="1:8" ht="15.75" hidden="1" thickTop="1" x14ac:dyDescent="0.2">
      <c r="A158" s="1896">
        <v>6172</v>
      </c>
      <c r="B158" s="1905">
        <v>5166</v>
      </c>
      <c r="C158" s="1904">
        <v>33113233</v>
      </c>
      <c r="D158" s="1836" t="s">
        <v>609</v>
      </c>
      <c r="E158" s="1845"/>
      <c r="F158" s="1845"/>
      <c r="G158" s="1845"/>
      <c r="H158" s="1821" t="e">
        <f t="shared" si="7"/>
        <v>#DIV/0!</v>
      </c>
    </row>
    <row r="159" spans="1:8" ht="15.75" hidden="1" thickTop="1" x14ac:dyDescent="0.2">
      <c r="A159" s="1896">
        <v>6172</v>
      </c>
      <c r="B159" s="1905">
        <v>5166</v>
      </c>
      <c r="C159" s="1904">
        <v>33100880</v>
      </c>
      <c r="D159" s="1836" t="s">
        <v>609</v>
      </c>
      <c r="E159" s="1845"/>
      <c r="F159" s="1845"/>
      <c r="G159" s="1845"/>
      <c r="H159" s="1821" t="e">
        <f t="shared" si="7"/>
        <v>#DIV/0!</v>
      </c>
    </row>
    <row r="160" spans="1:8" ht="15.75" hidden="1" thickTop="1" x14ac:dyDescent="0.2">
      <c r="A160" s="1896">
        <v>6172</v>
      </c>
      <c r="B160" s="1905">
        <v>5166</v>
      </c>
      <c r="C160" s="1904">
        <v>33500881</v>
      </c>
      <c r="D160" s="1836" t="s">
        <v>609</v>
      </c>
      <c r="E160" s="1845"/>
      <c r="F160" s="1845"/>
      <c r="G160" s="1845"/>
      <c r="H160" s="1821">
        <v>0</v>
      </c>
    </row>
    <row r="161" spans="1:9" ht="15.75" hidden="1" thickTop="1" x14ac:dyDescent="0.2">
      <c r="A161" s="1896">
        <v>6172</v>
      </c>
      <c r="B161" s="1905">
        <v>5166</v>
      </c>
      <c r="C161" s="1904">
        <v>33514012</v>
      </c>
      <c r="D161" s="1836" t="s">
        <v>609</v>
      </c>
      <c r="E161" s="1845"/>
      <c r="F161" s="1845"/>
      <c r="G161" s="1845"/>
      <c r="H161" s="1821" t="e">
        <f t="shared" si="7"/>
        <v>#DIV/0!</v>
      </c>
    </row>
    <row r="162" spans="1:9" ht="15.75" hidden="1" thickTop="1" x14ac:dyDescent="0.2">
      <c r="A162" s="1896">
        <v>6172</v>
      </c>
      <c r="B162" s="1903">
        <v>5173</v>
      </c>
      <c r="C162" s="1904">
        <v>33113233</v>
      </c>
      <c r="D162" s="1836" t="s">
        <v>1152</v>
      </c>
      <c r="E162" s="1845">
        <v>0</v>
      </c>
      <c r="F162" s="1845">
        <v>0</v>
      </c>
      <c r="G162" s="1845">
        <v>0</v>
      </c>
      <c r="H162" s="1821" t="e">
        <f t="shared" si="7"/>
        <v>#DIV/0!</v>
      </c>
    </row>
    <row r="163" spans="1:9" ht="15.75" hidden="1" thickTop="1" x14ac:dyDescent="0.2">
      <c r="A163" s="1896">
        <v>6172</v>
      </c>
      <c r="B163" s="1903">
        <v>5173</v>
      </c>
      <c r="C163" s="1904">
        <v>33513233</v>
      </c>
      <c r="D163" s="1836" t="s">
        <v>1152</v>
      </c>
      <c r="E163" s="1845">
        <v>0</v>
      </c>
      <c r="F163" s="1845">
        <v>0</v>
      </c>
      <c r="G163" s="1845">
        <v>0</v>
      </c>
      <c r="H163" s="1821" t="e">
        <f t="shared" si="7"/>
        <v>#DIV/0!</v>
      </c>
    </row>
    <row r="164" spans="1:9" ht="15.75" hidden="1" thickTop="1" x14ac:dyDescent="0.2">
      <c r="A164" s="1896">
        <v>6172</v>
      </c>
      <c r="B164" s="1903">
        <v>5901</v>
      </c>
      <c r="C164" s="1904">
        <v>33100880</v>
      </c>
      <c r="D164" s="1836" t="s">
        <v>602</v>
      </c>
      <c r="E164" s="1845">
        <v>0</v>
      </c>
      <c r="F164" s="1845">
        <v>0</v>
      </c>
      <c r="G164" s="1845">
        <v>0</v>
      </c>
      <c r="H164" s="1821" t="e">
        <f t="shared" si="7"/>
        <v>#DIV/0!</v>
      </c>
    </row>
    <row r="165" spans="1:9" s="1846" customFormat="1" ht="16.5" thickTop="1" thickBot="1" x14ac:dyDescent="0.25">
      <c r="A165" s="1896">
        <v>6330</v>
      </c>
      <c r="B165" s="1903">
        <v>5345</v>
      </c>
      <c r="C165" s="1904">
        <v>0</v>
      </c>
      <c r="D165" s="1836" t="s">
        <v>767</v>
      </c>
      <c r="E165" s="1845">
        <v>0</v>
      </c>
      <c r="F165" s="1845">
        <v>0</v>
      </c>
      <c r="G165" s="1845">
        <v>292</v>
      </c>
      <c r="H165" s="1821">
        <v>0</v>
      </c>
    </row>
    <row r="166" spans="1:9" s="1846" customFormat="1" ht="15.75" hidden="1" thickBot="1" x14ac:dyDescent="0.25">
      <c r="A166" s="1896">
        <v>6330</v>
      </c>
      <c r="B166" s="1903">
        <v>5345</v>
      </c>
      <c r="C166" s="1904">
        <v>0</v>
      </c>
      <c r="D166" s="1836" t="s">
        <v>767</v>
      </c>
      <c r="E166" s="1845">
        <v>0</v>
      </c>
      <c r="F166" s="1845">
        <v>0</v>
      </c>
      <c r="G166" s="1845">
        <v>0</v>
      </c>
      <c r="H166" s="1827">
        <v>0</v>
      </c>
    </row>
    <row r="167" spans="1:9" s="1828" customFormat="1" ht="16.5" thickTop="1" thickBot="1" x14ac:dyDescent="0.3">
      <c r="A167" s="2751" t="s">
        <v>763</v>
      </c>
      <c r="B167" s="2752"/>
      <c r="C167" s="2752"/>
      <c r="D167" s="2752"/>
      <c r="E167" s="1818">
        <f>SUM(E143:E166)</f>
        <v>0</v>
      </c>
      <c r="F167" s="1818">
        <f>SUM(F143:F166)</f>
        <v>0</v>
      </c>
      <c r="G167" s="1818">
        <f>SUM(G143:G166)</f>
        <v>292</v>
      </c>
      <c r="H167" s="1822">
        <v>0</v>
      </c>
      <c r="I167" s="1910"/>
    </row>
    <row r="168" spans="1:9" ht="13.5" thickTop="1" x14ac:dyDescent="0.2">
      <c r="I168" s="1829"/>
    </row>
    <row r="169" spans="1:9" ht="15" x14ac:dyDescent="0.25">
      <c r="A169" s="1976" t="s">
        <v>1732</v>
      </c>
      <c r="B169" s="1854"/>
      <c r="C169" s="1854"/>
      <c r="D169" s="1854"/>
    </row>
    <row r="170" spans="1:9" ht="15.75" thickBot="1" x14ac:dyDescent="0.3">
      <c r="A170" s="1977" t="s">
        <v>1733</v>
      </c>
      <c r="B170" s="1978"/>
      <c r="C170" s="1978"/>
      <c r="H170" s="1892" t="s">
        <v>161</v>
      </c>
    </row>
    <row r="171" spans="1:9" s="1638" customFormat="1" ht="25.5" thickTop="1" thickBot="1" x14ac:dyDescent="0.25">
      <c r="A171" s="1809" t="s">
        <v>162</v>
      </c>
      <c r="B171" s="1810" t="s">
        <v>761</v>
      </c>
      <c r="C171" s="1810" t="s">
        <v>377</v>
      </c>
      <c r="D171" s="1811" t="s">
        <v>164</v>
      </c>
      <c r="E171" s="1833" t="s">
        <v>632</v>
      </c>
      <c r="F171" s="1833" t="s">
        <v>633</v>
      </c>
      <c r="G171" s="1834" t="s">
        <v>882</v>
      </c>
      <c r="H171" s="1835" t="s">
        <v>883</v>
      </c>
    </row>
    <row r="172" spans="1:9" s="1638" customFormat="1" ht="13.5" thickTop="1" thickBot="1" x14ac:dyDescent="0.25">
      <c r="A172" s="1643">
        <v>1</v>
      </c>
      <c r="B172" s="1642">
        <v>2</v>
      </c>
      <c r="C172" s="1642">
        <v>3</v>
      </c>
      <c r="D172" s="1642">
        <v>4</v>
      </c>
      <c r="E172" s="1641">
        <v>5</v>
      </c>
      <c r="F172" s="1641">
        <v>6</v>
      </c>
      <c r="G172" s="1877">
        <v>7</v>
      </c>
      <c r="H172" s="1901" t="s">
        <v>61</v>
      </c>
    </row>
    <row r="173" spans="1:9" s="1907" customFormat="1" ht="15.75" customHeight="1" thickTop="1" x14ac:dyDescent="0.2">
      <c r="A173" s="1896">
        <v>4378</v>
      </c>
      <c r="B173" s="1903">
        <v>5011</v>
      </c>
      <c r="C173" s="1904">
        <v>33113233</v>
      </c>
      <c r="D173" s="1836" t="s">
        <v>206</v>
      </c>
      <c r="E173" s="1845">
        <v>0</v>
      </c>
      <c r="F173" s="1845">
        <v>39</v>
      </c>
      <c r="G173" s="1845">
        <v>39</v>
      </c>
      <c r="H173" s="1821">
        <f t="shared" ref="H173:H189" si="8">G173/F173*100</f>
        <v>100</v>
      </c>
    </row>
    <row r="174" spans="1:9" s="1907" customFormat="1" ht="15" x14ac:dyDescent="0.2">
      <c r="A174" s="1896">
        <v>4378</v>
      </c>
      <c r="B174" s="1903">
        <v>5011</v>
      </c>
      <c r="C174" s="1904">
        <v>33513233</v>
      </c>
      <c r="D174" s="1836" t="s">
        <v>206</v>
      </c>
      <c r="E174" s="1845">
        <v>0</v>
      </c>
      <c r="F174" s="1845">
        <v>220</v>
      </c>
      <c r="G174" s="1845">
        <v>220</v>
      </c>
      <c r="H174" s="1821">
        <f t="shared" si="8"/>
        <v>100</v>
      </c>
    </row>
    <row r="175" spans="1:9" s="1907" customFormat="1" ht="15" hidden="1" x14ac:dyDescent="0.2">
      <c r="A175" s="1896">
        <v>4378</v>
      </c>
      <c r="B175" s="1903">
        <v>5021</v>
      </c>
      <c r="C175" s="1904">
        <v>33113233</v>
      </c>
      <c r="D175" s="1836" t="s">
        <v>389</v>
      </c>
      <c r="E175" s="1845">
        <v>0</v>
      </c>
      <c r="F175" s="1845"/>
      <c r="G175" s="1845"/>
      <c r="H175" s="1821" t="e">
        <f t="shared" si="8"/>
        <v>#DIV/0!</v>
      </c>
    </row>
    <row r="176" spans="1:9" s="1907" customFormat="1" ht="15" hidden="1" x14ac:dyDescent="0.2">
      <c r="A176" s="1896">
        <v>4378</v>
      </c>
      <c r="B176" s="1903">
        <v>5021</v>
      </c>
      <c r="C176" s="1904">
        <v>33513233</v>
      </c>
      <c r="D176" s="1836" t="s">
        <v>389</v>
      </c>
      <c r="E176" s="1845">
        <v>0</v>
      </c>
      <c r="F176" s="1845"/>
      <c r="G176" s="1845"/>
      <c r="H176" s="1821" t="e">
        <f t="shared" si="8"/>
        <v>#DIV/0!</v>
      </c>
    </row>
    <row r="177" spans="1:8" s="1907" customFormat="1" ht="15" hidden="1" x14ac:dyDescent="0.2">
      <c r="A177" s="1896">
        <v>4378</v>
      </c>
      <c r="B177" s="1903">
        <v>5021</v>
      </c>
      <c r="C177" s="1904">
        <v>33113233</v>
      </c>
      <c r="D177" s="1836" t="s">
        <v>389</v>
      </c>
      <c r="E177" s="1845"/>
      <c r="F177" s="1845"/>
      <c r="G177" s="1845"/>
      <c r="H177" s="1821" t="e">
        <f t="shared" si="8"/>
        <v>#DIV/0!</v>
      </c>
    </row>
    <row r="178" spans="1:8" s="1907" customFormat="1" ht="30" customHeight="1" x14ac:dyDescent="0.2">
      <c r="A178" s="1896">
        <v>4378</v>
      </c>
      <c r="B178" s="1903">
        <v>5031</v>
      </c>
      <c r="C178" s="1904">
        <v>33513233</v>
      </c>
      <c r="D178" s="1836" t="s">
        <v>1299</v>
      </c>
      <c r="E178" s="1845">
        <v>0</v>
      </c>
      <c r="F178" s="1845">
        <v>10</v>
      </c>
      <c r="G178" s="1845">
        <v>10</v>
      </c>
      <c r="H178" s="1821">
        <f t="shared" si="8"/>
        <v>100</v>
      </c>
    </row>
    <row r="179" spans="1:8" s="1907" customFormat="1" ht="30" customHeight="1" x14ac:dyDescent="0.2">
      <c r="A179" s="1896">
        <v>4378</v>
      </c>
      <c r="B179" s="1903">
        <v>5031</v>
      </c>
      <c r="C179" s="1904">
        <v>33113233</v>
      </c>
      <c r="D179" s="1836" t="s">
        <v>1299</v>
      </c>
      <c r="E179" s="1845">
        <v>0</v>
      </c>
      <c r="F179" s="1845">
        <v>55</v>
      </c>
      <c r="G179" s="1845">
        <v>55</v>
      </c>
      <c r="H179" s="1821">
        <f t="shared" si="8"/>
        <v>100</v>
      </c>
    </row>
    <row r="180" spans="1:8" s="1907" customFormat="1" ht="30" x14ac:dyDescent="0.2">
      <c r="A180" s="1896">
        <v>4378</v>
      </c>
      <c r="B180" s="1903">
        <v>5032</v>
      </c>
      <c r="C180" s="1904">
        <v>33513233</v>
      </c>
      <c r="D180" s="1836" t="s">
        <v>1177</v>
      </c>
      <c r="E180" s="1845">
        <v>0</v>
      </c>
      <c r="F180" s="1845">
        <v>4</v>
      </c>
      <c r="G180" s="1845">
        <v>3</v>
      </c>
      <c r="H180" s="1821">
        <f t="shared" si="8"/>
        <v>75</v>
      </c>
    </row>
    <row r="181" spans="1:8" s="1907" customFormat="1" ht="30" x14ac:dyDescent="0.2">
      <c r="A181" s="1896">
        <v>4378</v>
      </c>
      <c r="B181" s="1903">
        <v>5032</v>
      </c>
      <c r="C181" s="1904">
        <v>33113233</v>
      </c>
      <c r="D181" s="1836" t="s">
        <v>1177</v>
      </c>
      <c r="E181" s="1845">
        <v>0</v>
      </c>
      <c r="F181" s="1845">
        <v>20</v>
      </c>
      <c r="G181" s="1845">
        <v>20</v>
      </c>
      <c r="H181" s="1821">
        <f t="shared" si="8"/>
        <v>100</v>
      </c>
    </row>
    <row r="182" spans="1:8" s="1907" customFormat="1" ht="15" hidden="1" x14ac:dyDescent="0.2">
      <c r="A182" s="1896">
        <v>4378</v>
      </c>
      <c r="B182" s="1903">
        <v>5137</v>
      </c>
      <c r="C182" s="1904">
        <v>33513233</v>
      </c>
      <c r="D182" s="1836" t="s">
        <v>155</v>
      </c>
      <c r="E182" s="1845"/>
      <c r="F182" s="1845"/>
      <c r="G182" s="1845"/>
      <c r="H182" s="1821" t="e">
        <f t="shared" si="8"/>
        <v>#DIV/0!</v>
      </c>
    </row>
    <row r="183" spans="1:8" s="1907" customFormat="1" ht="15" hidden="1" x14ac:dyDescent="0.2">
      <c r="A183" s="1896">
        <v>4378</v>
      </c>
      <c r="B183" s="1903">
        <v>5137</v>
      </c>
      <c r="C183" s="1904">
        <v>33514012</v>
      </c>
      <c r="D183" s="1836" t="s">
        <v>155</v>
      </c>
      <c r="E183" s="1845"/>
      <c r="F183" s="1845"/>
      <c r="G183" s="1845"/>
      <c r="H183" s="1821" t="e">
        <f t="shared" si="8"/>
        <v>#DIV/0!</v>
      </c>
    </row>
    <row r="184" spans="1:8" s="1846" customFormat="1" ht="15" x14ac:dyDescent="0.2">
      <c r="A184" s="1896">
        <v>4378</v>
      </c>
      <c r="B184" s="1905">
        <v>5139</v>
      </c>
      <c r="C184" s="1904">
        <v>33113233</v>
      </c>
      <c r="D184" s="1836" t="s">
        <v>270</v>
      </c>
      <c r="E184" s="1845">
        <v>0</v>
      </c>
      <c r="F184" s="1845">
        <v>14</v>
      </c>
      <c r="G184" s="1845">
        <v>14</v>
      </c>
      <c r="H184" s="1821">
        <f t="shared" si="8"/>
        <v>100</v>
      </c>
    </row>
    <row r="185" spans="1:8" s="1846" customFormat="1" ht="15" x14ac:dyDescent="0.2">
      <c r="A185" s="1896">
        <v>4378</v>
      </c>
      <c r="B185" s="1905">
        <v>5139</v>
      </c>
      <c r="C185" s="1904">
        <v>33513233</v>
      </c>
      <c r="D185" s="1836" t="s">
        <v>270</v>
      </c>
      <c r="E185" s="1845">
        <v>0</v>
      </c>
      <c r="F185" s="1845">
        <v>81</v>
      </c>
      <c r="G185" s="1845">
        <v>81</v>
      </c>
      <c r="H185" s="1821">
        <f t="shared" si="8"/>
        <v>100</v>
      </c>
    </row>
    <row r="186" spans="1:8" ht="15" hidden="1" x14ac:dyDescent="0.2">
      <c r="A186" s="1896">
        <v>4378</v>
      </c>
      <c r="B186" s="1905">
        <v>5139</v>
      </c>
      <c r="C186" s="1904">
        <v>33113233</v>
      </c>
      <c r="D186" s="1836" t="s">
        <v>270</v>
      </c>
      <c r="E186" s="1845"/>
      <c r="F186" s="1845"/>
      <c r="G186" s="1845"/>
      <c r="H186" s="1821" t="e">
        <f t="shared" si="8"/>
        <v>#DIV/0!</v>
      </c>
    </row>
    <row r="187" spans="1:8" ht="15" hidden="1" x14ac:dyDescent="0.2">
      <c r="A187" s="1896">
        <v>4378</v>
      </c>
      <c r="B187" s="1905">
        <v>5162</v>
      </c>
      <c r="C187" s="1904">
        <v>33513233</v>
      </c>
      <c r="D187" s="1836" t="s">
        <v>864</v>
      </c>
      <c r="E187" s="1845"/>
      <c r="F187" s="1845"/>
      <c r="G187" s="1845"/>
      <c r="H187" s="1821" t="e">
        <f t="shared" si="8"/>
        <v>#DIV/0!</v>
      </c>
    </row>
    <row r="188" spans="1:8" ht="15" hidden="1" x14ac:dyDescent="0.2">
      <c r="A188" s="1896">
        <v>4378</v>
      </c>
      <c r="B188" s="1905">
        <v>5166</v>
      </c>
      <c r="C188" s="1904">
        <v>33113233</v>
      </c>
      <c r="D188" s="1836" t="s">
        <v>609</v>
      </c>
      <c r="E188" s="1845"/>
      <c r="F188" s="1845"/>
      <c r="G188" s="1845"/>
      <c r="H188" s="1821" t="e">
        <f t="shared" si="8"/>
        <v>#DIV/0!</v>
      </c>
    </row>
    <row r="189" spans="1:8" ht="15" x14ac:dyDescent="0.2">
      <c r="A189" s="1896">
        <v>4378</v>
      </c>
      <c r="B189" s="1905">
        <v>5166</v>
      </c>
      <c r="C189" s="1904">
        <v>33113233</v>
      </c>
      <c r="D189" s="1836" t="s">
        <v>609</v>
      </c>
      <c r="E189" s="1845">
        <v>0</v>
      </c>
      <c r="F189" s="1845">
        <v>26</v>
      </c>
      <c r="G189" s="1845">
        <v>26</v>
      </c>
      <c r="H189" s="1821">
        <f t="shared" si="8"/>
        <v>100</v>
      </c>
    </row>
    <row r="190" spans="1:8" ht="15" x14ac:dyDescent="0.2">
      <c r="A190" s="1896">
        <v>4378</v>
      </c>
      <c r="B190" s="1905">
        <v>5166</v>
      </c>
      <c r="C190" s="1904">
        <v>33513233</v>
      </c>
      <c r="D190" s="1836" t="s">
        <v>609</v>
      </c>
      <c r="E190" s="1845">
        <v>0</v>
      </c>
      <c r="F190" s="1845">
        <v>149</v>
      </c>
      <c r="G190" s="1845">
        <v>149</v>
      </c>
      <c r="H190" s="1821">
        <v>0</v>
      </c>
    </row>
    <row r="191" spans="1:8" ht="15" hidden="1" x14ac:dyDescent="0.2">
      <c r="A191" s="1896">
        <v>4378</v>
      </c>
      <c r="B191" s="1905">
        <v>5166</v>
      </c>
      <c r="C191" s="1904">
        <v>33113233</v>
      </c>
      <c r="D191" s="1836" t="s">
        <v>609</v>
      </c>
      <c r="E191" s="1845"/>
      <c r="F191" s="1845"/>
      <c r="G191" s="1845"/>
      <c r="H191" s="1821" t="e">
        <f t="shared" ref="H191:H197" si="9">G191/F191*100</f>
        <v>#DIV/0!</v>
      </c>
    </row>
    <row r="192" spans="1:8" ht="15" x14ac:dyDescent="0.2">
      <c r="A192" s="1896">
        <v>4378</v>
      </c>
      <c r="B192" s="1903">
        <v>5169</v>
      </c>
      <c r="C192" s="1904">
        <v>33113233</v>
      </c>
      <c r="D192" s="1836" t="s">
        <v>852</v>
      </c>
      <c r="E192" s="1845">
        <v>0</v>
      </c>
      <c r="F192" s="1845">
        <v>2140</v>
      </c>
      <c r="G192" s="1845">
        <v>2019</v>
      </c>
      <c r="H192" s="1821">
        <f t="shared" si="9"/>
        <v>94.345794392523359</v>
      </c>
    </row>
    <row r="193" spans="1:9" ht="15" x14ac:dyDescent="0.2">
      <c r="A193" s="1896">
        <v>4378</v>
      </c>
      <c r="B193" s="1903">
        <v>5169</v>
      </c>
      <c r="C193" s="1904">
        <v>33513233</v>
      </c>
      <c r="D193" s="1836" t="s">
        <v>852</v>
      </c>
      <c r="E193" s="1845">
        <v>0</v>
      </c>
      <c r="F193" s="1845">
        <v>12127</v>
      </c>
      <c r="G193" s="1845">
        <v>11438</v>
      </c>
      <c r="H193" s="1821">
        <f t="shared" si="9"/>
        <v>94.31846293394905</v>
      </c>
    </row>
    <row r="194" spans="1:9" ht="15" x14ac:dyDescent="0.2">
      <c r="A194" s="1896">
        <v>4378</v>
      </c>
      <c r="B194" s="1903">
        <v>5175</v>
      </c>
      <c r="C194" s="1904">
        <v>33113233</v>
      </c>
      <c r="D194" s="1836" t="s">
        <v>669</v>
      </c>
      <c r="E194" s="1845">
        <v>0</v>
      </c>
      <c r="F194" s="1845">
        <v>3</v>
      </c>
      <c r="G194" s="1845">
        <v>2</v>
      </c>
      <c r="H194" s="1821">
        <f t="shared" si="9"/>
        <v>66.666666666666657</v>
      </c>
    </row>
    <row r="195" spans="1:9" s="1846" customFormat="1" ht="15" x14ac:dyDescent="0.2">
      <c r="A195" s="1896">
        <v>4378</v>
      </c>
      <c r="B195" s="1903">
        <v>5175</v>
      </c>
      <c r="C195" s="1904">
        <v>33513233</v>
      </c>
      <c r="D195" s="1836" t="s">
        <v>669</v>
      </c>
      <c r="E195" s="1845">
        <v>0</v>
      </c>
      <c r="F195" s="1845">
        <v>19</v>
      </c>
      <c r="G195" s="1845">
        <v>11</v>
      </c>
      <c r="H195" s="1821">
        <f t="shared" si="9"/>
        <v>57.894736842105267</v>
      </c>
    </row>
    <row r="196" spans="1:9" s="1846" customFormat="1" ht="15" x14ac:dyDescent="0.2">
      <c r="A196" s="1896">
        <v>4378</v>
      </c>
      <c r="B196" s="1903">
        <v>5424</v>
      </c>
      <c r="C196" s="1904">
        <v>33113233</v>
      </c>
      <c r="D196" s="1836" t="s">
        <v>650</v>
      </c>
      <c r="E196" s="1845">
        <v>0</v>
      </c>
      <c r="F196" s="1845">
        <v>1</v>
      </c>
      <c r="G196" s="1845">
        <v>0</v>
      </c>
      <c r="H196" s="1821">
        <f t="shared" si="9"/>
        <v>0</v>
      </c>
    </row>
    <row r="197" spans="1:9" s="1846" customFormat="1" ht="15" x14ac:dyDescent="0.2">
      <c r="A197" s="1896">
        <v>4378</v>
      </c>
      <c r="B197" s="1903">
        <v>5424</v>
      </c>
      <c r="C197" s="1904">
        <v>33513233</v>
      </c>
      <c r="D197" s="1836" t="s">
        <v>650</v>
      </c>
      <c r="E197" s="1845">
        <v>0</v>
      </c>
      <c r="F197" s="1845">
        <v>4</v>
      </c>
      <c r="G197" s="1845">
        <v>2</v>
      </c>
      <c r="H197" s="1821">
        <f t="shared" si="9"/>
        <v>50</v>
      </c>
    </row>
    <row r="198" spans="1:9" s="1846" customFormat="1" ht="15.75" thickBot="1" x14ac:dyDescent="0.25">
      <c r="A198" s="1896">
        <v>6330</v>
      </c>
      <c r="B198" s="1903">
        <v>5345</v>
      </c>
      <c r="C198" s="1904">
        <v>0</v>
      </c>
      <c r="D198" s="1836" t="s">
        <v>767</v>
      </c>
      <c r="E198" s="1845">
        <v>0</v>
      </c>
      <c r="F198" s="1845">
        <v>0</v>
      </c>
      <c r="G198" s="1845">
        <v>12937</v>
      </c>
      <c r="H198" s="1827">
        <v>0</v>
      </c>
    </row>
    <row r="199" spans="1:9" s="1828" customFormat="1" ht="16.5" thickTop="1" thickBot="1" x14ac:dyDescent="0.3">
      <c r="A199" s="2751" t="s">
        <v>763</v>
      </c>
      <c r="B199" s="2752"/>
      <c r="C199" s="2752"/>
      <c r="D199" s="2752"/>
      <c r="E199" s="1818">
        <f>SUM(E173:E198)</f>
        <v>0</v>
      </c>
      <c r="F199" s="1818">
        <f>SUM(F173:F198)</f>
        <v>14912</v>
      </c>
      <c r="G199" s="1818">
        <f>SUM(G173:G198)</f>
        <v>27026</v>
      </c>
      <c r="H199" s="1822">
        <f>G199/F199*100</f>
        <v>181.23658798283262</v>
      </c>
      <c r="I199" s="1910"/>
    </row>
    <row r="200" spans="1:9" ht="13.5" thickTop="1" x14ac:dyDescent="0.2">
      <c r="I200" s="1829"/>
    </row>
    <row r="201" spans="1:9" ht="15" x14ac:dyDescent="0.25">
      <c r="A201" s="1976" t="s">
        <v>2021</v>
      </c>
      <c r="B201" s="1854"/>
      <c r="C201" s="1854"/>
      <c r="D201" s="1854"/>
    </row>
    <row r="202" spans="1:9" ht="15.75" thickBot="1" x14ac:dyDescent="0.3">
      <c r="A202" s="1977" t="s">
        <v>2022</v>
      </c>
      <c r="B202" s="1978"/>
      <c r="C202" s="1978"/>
      <c r="H202" s="1892" t="s">
        <v>161</v>
      </c>
    </row>
    <row r="203" spans="1:9" s="1638" customFormat="1" ht="25.5" thickTop="1" thickBot="1" x14ac:dyDescent="0.25">
      <c r="A203" s="1809" t="s">
        <v>162</v>
      </c>
      <c r="B203" s="1810" t="s">
        <v>761</v>
      </c>
      <c r="C203" s="1810" t="s">
        <v>377</v>
      </c>
      <c r="D203" s="1811" t="s">
        <v>164</v>
      </c>
      <c r="E203" s="1833" t="s">
        <v>632</v>
      </c>
      <c r="F203" s="1833" t="s">
        <v>633</v>
      </c>
      <c r="G203" s="1834" t="s">
        <v>882</v>
      </c>
      <c r="H203" s="1835" t="s">
        <v>883</v>
      </c>
    </row>
    <row r="204" spans="1:9" s="1638" customFormat="1" ht="13.5" thickTop="1" thickBot="1" x14ac:dyDescent="0.25">
      <c r="A204" s="1643">
        <v>1</v>
      </c>
      <c r="B204" s="1642">
        <v>2</v>
      </c>
      <c r="C204" s="1642">
        <v>3</v>
      </c>
      <c r="D204" s="1642">
        <v>4</v>
      </c>
      <c r="E204" s="1641">
        <v>5</v>
      </c>
      <c r="F204" s="1641">
        <v>6</v>
      </c>
      <c r="G204" s="1877">
        <v>7</v>
      </c>
      <c r="H204" s="1901" t="s">
        <v>61</v>
      </c>
    </row>
    <row r="205" spans="1:9" s="1907" customFormat="1" ht="15.75" customHeight="1" thickTop="1" x14ac:dyDescent="0.2">
      <c r="A205" s="1896">
        <v>4399</v>
      </c>
      <c r="B205" s="1903">
        <v>5011</v>
      </c>
      <c r="C205" s="1904">
        <v>33113233</v>
      </c>
      <c r="D205" s="1836" t="s">
        <v>206</v>
      </c>
      <c r="E205" s="1845">
        <v>0</v>
      </c>
      <c r="F205" s="1845">
        <v>27</v>
      </c>
      <c r="G205" s="1845">
        <v>26</v>
      </c>
      <c r="H205" s="1821">
        <f t="shared" ref="H205:H221" si="10">G205/F205*100</f>
        <v>96.296296296296291</v>
      </c>
    </row>
    <row r="206" spans="1:9" s="1907" customFormat="1" ht="15" x14ac:dyDescent="0.2">
      <c r="A206" s="1896">
        <v>4399</v>
      </c>
      <c r="B206" s="1903">
        <v>5011</v>
      </c>
      <c r="C206" s="1904">
        <v>33513233</v>
      </c>
      <c r="D206" s="1836" t="s">
        <v>206</v>
      </c>
      <c r="E206" s="1845">
        <v>0</v>
      </c>
      <c r="F206" s="1845">
        <v>151</v>
      </c>
      <c r="G206" s="1845">
        <v>149</v>
      </c>
      <c r="H206" s="1821">
        <f t="shared" si="10"/>
        <v>98.675496688741731</v>
      </c>
    </row>
    <row r="207" spans="1:9" s="1907" customFormat="1" ht="15" hidden="1" x14ac:dyDescent="0.2">
      <c r="A207" s="1896">
        <v>4399</v>
      </c>
      <c r="B207" s="1903">
        <v>5021</v>
      </c>
      <c r="C207" s="1904">
        <v>33113233</v>
      </c>
      <c r="D207" s="1836" t="s">
        <v>389</v>
      </c>
      <c r="E207" s="1845">
        <v>0</v>
      </c>
      <c r="F207" s="1845"/>
      <c r="G207" s="1845"/>
      <c r="H207" s="1821" t="e">
        <f t="shared" si="10"/>
        <v>#DIV/0!</v>
      </c>
    </row>
    <row r="208" spans="1:9" s="1907" customFormat="1" ht="15" x14ac:dyDescent="0.2">
      <c r="A208" s="1896">
        <v>4399</v>
      </c>
      <c r="B208" s="1903">
        <v>5021</v>
      </c>
      <c r="C208" s="1904">
        <v>33513233</v>
      </c>
      <c r="D208" s="1836" t="s">
        <v>389</v>
      </c>
      <c r="E208" s="1845">
        <v>0</v>
      </c>
      <c r="F208" s="1845">
        <v>15</v>
      </c>
      <c r="G208" s="1845">
        <v>0</v>
      </c>
      <c r="H208" s="1821">
        <f t="shared" si="10"/>
        <v>0</v>
      </c>
    </row>
    <row r="209" spans="1:8" s="1907" customFormat="1" ht="15" x14ac:dyDescent="0.2">
      <c r="A209" s="1896">
        <v>4399</v>
      </c>
      <c r="B209" s="1903">
        <v>5021</v>
      </c>
      <c r="C209" s="1904">
        <v>33113233</v>
      </c>
      <c r="D209" s="1836" t="s">
        <v>389</v>
      </c>
      <c r="E209" s="1845">
        <v>0</v>
      </c>
      <c r="F209" s="1845">
        <v>85</v>
      </c>
      <c r="G209" s="1845">
        <v>0</v>
      </c>
      <c r="H209" s="1821">
        <f t="shared" si="10"/>
        <v>0</v>
      </c>
    </row>
    <row r="210" spans="1:8" s="1907" customFormat="1" ht="30" customHeight="1" x14ac:dyDescent="0.2">
      <c r="A210" s="1896">
        <v>4399</v>
      </c>
      <c r="B210" s="1903">
        <v>5031</v>
      </c>
      <c r="C210" s="1904">
        <v>33513233</v>
      </c>
      <c r="D210" s="1836" t="s">
        <v>1299</v>
      </c>
      <c r="E210" s="1845">
        <v>0</v>
      </c>
      <c r="F210" s="1845">
        <v>8</v>
      </c>
      <c r="G210" s="1845">
        <v>7</v>
      </c>
      <c r="H210" s="1821">
        <f t="shared" si="10"/>
        <v>87.5</v>
      </c>
    </row>
    <row r="211" spans="1:8" s="1907" customFormat="1" ht="30" customHeight="1" x14ac:dyDescent="0.2">
      <c r="A211" s="1896">
        <v>4399</v>
      </c>
      <c r="B211" s="1903">
        <v>5031</v>
      </c>
      <c r="C211" s="1904">
        <v>33113233</v>
      </c>
      <c r="D211" s="1836" t="s">
        <v>1299</v>
      </c>
      <c r="E211" s="1845">
        <v>0</v>
      </c>
      <c r="F211" s="1845">
        <v>48</v>
      </c>
      <c r="G211" s="1845">
        <v>37</v>
      </c>
      <c r="H211" s="1821">
        <f t="shared" si="10"/>
        <v>77.083333333333343</v>
      </c>
    </row>
    <row r="212" spans="1:8" s="1907" customFormat="1" ht="30" x14ac:dyDescent="0.2">
      <c r="A212" s="1896">
        <v>4399</v>
      </c>
      <c r="B212" s="1903">
        <v>5032</v>
      </c>
      <c r="C212" s="1904">
        <v>33513233</v>
      </c>
      <c r="D212" s="1836" t="s">
        <v>1177</v>
      </c>
      <c r="E212" s="1845">
        <v>0</v>
      </c>
      <c r="F212" s="1845">
        <v>3</v>
      </c>
      <c r="G212" s="1845">
        <v>2</v>
      </c>
      <c r="H212" s="1821">
        <f t="shared" si="10"/>
        <v>66.666666666666657</v>
      </c>
    </row>
    <row r="213" spans="1:8" s="1907" customFormat="1" ht="30" x14ac:dyDescent="0.2">
      <c r="A213" s="1896">
        <v>4399</v>
      </c>
      <c r="B213" s="1903">
        <v>5032</v>
      </c>
      <c r="C213" s="1904">
        <v>33113233</v>
      </c>
      <c r="D213" s="1836" t="s">
        <v>1177</v>
      </c>
      <c r="E213" s="1845">
        <v>0</v>
      </c>
      <c r="F213" s="1845">
        <v>17</v>
      </c>
      <c r="G213" s="1845">
        <v>13</v>
      </c>
      <c r="H213" s="1821">
        <f t="shared" si="10"/>
        <v>76.470588235294116</v>
      </c>
    </row>
    <row r="214" spans="1:8" s="1907" customFormat="1" ht="15" hidden="1" x14ac:dyDescent="0.2">
      <c r="A214" s="1896">
        <v>4399</v>
      </c>
      <c r="B214" s="1903">
        <v>5137</v>
      </c>
      <c r="C214" s="1904">
        <v>33513233</v>
      </c>
      <c r="D214" s="1836" t="s">
        <v>155</v>
      </c>
      <c r="E214" s="1845"/>
      <c r="F214" s="1845"/>
      <c r="G214" s="1845"/>
      <c r="H214" s="1821" t="e">
        <f t="shared" si="10"/>
        <v>#DIV/0!</v>
      </c>
    </row>
    <row r="215" spans="1:8" s="1907" customFormat="1" ht="15" hidden="1" x14ac:dyDescent="0.2">
      <c r="A215" s="1896">
        <v>4399</v>
      </c>
      <c r="B215" s="1903">
        <v>5137</v>
      </c>
      <c r="C215" s="1904">
        <v>33514012</v>
      </c>
      <c r="D215" s="1836" t="s">
        <v>155</v>
      </c>
      <c r="E215" s="1845"/>
      <c r="F215" s="1845"/>
      <c r="G215" s="1845"/>
      <c r="H215" s="1821" t="e">
        <f t="shared" si="10"/>
        <v>#DIV/0!</v>
      </c>
    </row>
    <row r="216" spans="1:8" s="1846" customFormat="1" ht="15" x14ac:dyDescent="0.2">
      <c r="A216" s="1896">
        <v>4399</v>
      </c>
      <c r="B216" s="1905">
        <v>5139</v>
      </c>
      <c r="C216" s="1904">
        <v>33113233</v>
      </c>
      <c r="D216" s="1836" t="s">
        <v>270</v>
      </c>
      <c r="E216" s="1845">
        <v>0</v>
      </c>
      <c r="F216" s="1845">
        <v>56</v>
      </c>
      <c r="G216" s="1845">
        <v>11</v>
      </c>
      <c r="H216" s="1821">
        <f t="shared" si="10"/>
        <v>19.642857142857142</v>
      </c>
    </row>
    <row r="217" spans="1:8" s="1846" customFormat="1" ht="15" x14ac:dyDescent="0.2">
      <c r="A217" s="1896">
        <v>4399</v>
      </c>
      <c r="B217" s="1905">
        <v>5139</v>
      </c>
      <c r="C217" s="1904">
        <v>33513233</v>
      </c>
      <c r="D217" s="1836" t="s">
        <v>270</v>
      </c>
      <c r="E217" s="1845">
        <v>0</v>
      </c>
      <c r="F217" s="1845">
        <v>319</v>
      </c>
      <c r="G217" s="1845">
        <v>63</v>
      </c>
      <c r="H217" s="1821">
        <f t="shared" si="10"/>
        <v>19.749216300940439</v>
      </c>
    </row>
    <row r="218" spans="1:8" ht="15" hidden="1" x14ac:dyDescent="0.2">
      <c r="A218" s="1896">
        <v>4399</v>
      </c>
      <c r="B218" s="1905">
        <v>5139</v>
      </c>
      <c r="C218" s="1904">
        <v>33113233</v>
      </c>
      <c r="D218" s="1836" t="s">
        <v>270</v>
      </c>
      <c r="E218" s="1845"/>
      <c r="F218" s="1845"/>
      <c r="G218" s="1845"/>
      <c r="H218" s="1821" t="e">
        <f t="shared" si="10"/>
        <v>#DIV/0!</v>
      </c>
    </row>
    <row r="219" spans="1:8" ht="15" hidden="1" x14ac:dyDescent="0.2">
      <c r="A219" s="1896">
        <v>4399</v>
      </c>
      <c r="B219" s="1905">
        <v>5162</v>
      </c>
      <c r="C219" s="1904">
        <v>33513233</v>
      </c>
      <c r="D219" s="1836" t="s">
        <v>864</v>
      </c>
      <c r="E219" s="1845"/>
      <c r="F219" s="1845"/>
      <c r="G219" s="1845"/>
      <c r="H219" s="1821" t="e">
        <f t="shared" si="10"/>
        <v>#DIV/0!</v>
      </c>
    </row>
    <row r="220" spans="1:8" ht="15" hidden="1" x14ac:dyDescent="0.2">
      <c r="A220" s="1896">
        <v>4399</v>
      </c>
      <c r="B220" s="1905">
        <v>5166</v>
      </c>
      <c r="C220" s="1904">
        <v>33113233</v>
      </c>
      <c r="D220" s="1836" t="s">
        <v>609</v>
      </c>
      <c r="E220" s="1845"/>
      <c r="F220" s="1845"/>
      <c r="G220" s="1845"/>
      <c r="H220" s="1821" t="e">
        <f t="shared" si="10"/>
        <v>#DIV/0!</v>
      </c>
    </row>
    <row r="221" spans="1:8" ht="15" x14ac:dyDescent="0.2">
      <c r="A221" s="1896">
        <v>4399</v>
      </c>
      <c r="B221" s="1905">
        <v>5166</v>
      </c>
      <c r="C221" s="1904">
        <v>33113233</v>
      </c>
      <c r="D221" s="1836" t="s">
        <v>609</v>
      </c>
      <c r="E221" s="1845">
        <v>0</v>
      </c>
      <c r="F221" s="1845">
        <v>252</v>
      </c>
      <c r="G221" s="1845">
        <v>222</v>
      </c>
      <c r="H221" s="1821">
        <f t="shared" si="10"/>
        <v>88.095238095238088</v>
      </c>
    </row>
    <row r="222" spans="1:8" ht="15" x14ac:dyDescent="0.2">
      <c r="A222" s="1896">
        <v>4399</v>
      </c>
      <c r="B222" s="1905">
        <v>5166</v>
      </c>
      <c r="C222" s="1904">
        <v>33513233</v>
      </c>
      <c r="D222" s="1836" t="s">
        <v>609</v>
      </c>
      <c r="E222" s="1845">
        <v>0</v>
      </c>
      <c r="F222" s="1845">
        <v>1429</v>
      </c>
      <c r="G222" s="1845">
        <v>1259</v>
      </c>
      <c r="H222" s="1821">
        <v>0</v>
      </c>
    </row>
    <row r="223" spans="1:8" ht="15" hidden="1" x14ac:dyDescent="0.2">
      <c r="A223" s="1896">
        <v>4399</v>
      </c>
      <c r="B223" s="1905">
        <v>5166</v>
      </c>
      <c r="C223" s="1904">
        <v>33113233</v>
      </c>
      <c r="D223" s="1836" t="s">
        <v>609</v>
      </c>
      <c r="E223" s="1845"/>
      <c r="F223" s="1845"/>
      <c r="G223" s="1845"/>
      <c r="H223" s="1821" t="e">
        <f t="shared" ref="H223:H229" si="11">G223/F223*100</f>
        <v>#DIV/0!</v>
      </c>
    </row>
    <row r="224" spans="1:8" ht="15" x14ac:dyDescent="0.2">
      <c r="A224" s="1896">
        <v>4399</v>
      </c>
      <c r="B224" s="1903">
        <v>5169</v>
      </c>
      <c r="C224" s="1904">
        <v>33113233</v>
      </c>
      <c r="D224" s="1836" t="s">
        <v>852</v>
      </c>
      <c r="E224" s="1845">
        <v>0</v>
      </c>
      <c r="F224" s="1845">
        <v>112</v>
      </c>
      <c r="G224" s="1845">
        <v>31</v>
      </c>
      <c r="H224" s="1821">
        <f t="shared" si="11"/>
        <v>27.678571428571431</v>
      </c>
    </row>
    <row r="225" spans="1:9" ht="15" x14ac:dyDescent="0.2">
      <c r="A225" s="1896">
        <v>4399</v>
      </c>
      <c r="B225" s="1903">
        <v>5169</v>
      </c>
      <c r="C225" s="1904">
        <v>33513233</v>
      </c>
      <c r="D225" s="1836" t="s">
        <v>852</v>
      </c>
      <c r="E225" s="1845">
        <v>0</v>
      </c>
      <c r="F225" s="1845">
        <v>635</v>
      </c>
      <c r="G225" s="1845">
        <v>173</v>
      </c>
      <c r="H225" s="1821">
        <f t="shared" si="11"/>
        <v>27.244094488188974</v>
      </c>
    </row>
    <row r="226" spans="1:9" ht="15" x14ac:dyDescent="0.2">
      <c r="A226" s="1896">
        <v>4399</v>
      </c>
      <c r="B226" s="1903">
        <v>5175</v>
      </c>
      <c r="C226" s="1904">
        <v>33113233</v>
      </c>
      <c r="D226" s="1836" t="s">
        <v>669</v>
      </c>
      <c r="E226" s="1845">
        <v>0</v>
      </c>
      <c r="F226" s="1845">
        <v>14</v>
      </c>
      <c r="G226" s="1845">
        <v>4</v>
      </c>
      <c r="H226" s="1821">
        <f t="shared" si="11"/>
        <v>28.571428571428569</v>
      </c>
    </row>
    <row r="227" spans="1:9" s="1846" customFormat="1" ht="15" x14ac:dyDescent="0.2">
      <c r="A227" s="1896">
        <v>4399</v>
      </c>
      <c r="B227" s="1903">
        <v>5175</v>
      </c>
      <c r="C227" s="1904">
        <v>33513233</v>
      </c>
      <c r="D227" s="1836" t="s">
        <v>669</v>
      </c>
      <c r="E227" s="1845">
        <v>0</v>
      </c>
      <c r="F227" s="1845">
        <v>77</v>
      </c>
      <c r="G227" s="1845">
        <v>21</v>
      </c>
      <c r="H227" s="1821">
        <f t="shared" si="11"/>
        <v>27.27272727272727</v>
      </c>
    </row>
    <row r="228" spans="1:9" s="1846" customFormat="1" ht="15" x14ac:dyDescent="0.2">
      <c r="A228" s="1896">
        <v>4399</v>
      </c>
      <c r="B228" s="1903">
        <v>5424</v>
      </c>
      <c r="C228" s="1904">
        <v>33113233</v>
      </c>
      <c r="D228" s="1836" t="s">
        <v>650</v>
      </c>
      <c r="E228" s="1845">
        <v>0</v>
      </c>
      <c r="F228" s="1845">
        <v>1</v>
      </c>
      <c r="G228" s="1845">
        <v>0</v>
      </c>
      <c r="H228" s="1821">
        <f t="shared" si="11"/>
        <v>0</v>
      </c>
    </row>
    <row r="229" spans="1:9" s="1846" customFormat="1" ht="15" x14ac:dyDescent="0.2">
      <c r="A229" s="1896">
        <v>4399</v>
      </c>
      <c r="B229" s="1903">
        <v>5424</v>
      </c>
      <c r="C229" s="1904">
        <v>33513233</v>
      </c>
      <c r="D229" s="1836" t="s">
        <v>650</v>
      </c>
      <c r="E229" s="1845">
        <v>0</v>
      </c>
      <c r="F229" s="1845">
        <v>2</v>
      </c>
      <c r="G229" s="1845">
        <v>1</v>
      </c>
      <c r="H229" s="1821">
        <f t="shared" si="11"/>
        <v>50</v>
      </c>
    </row>
    <row r="230" spans="1:9" s="1846" customFormat="1" ht="15.75" thickBot="1" x14ac:dyDescent="0.25">
      <c r="A230" s="1896">
        <v>6330</v>
      </c>
      <c r="B230" s="1903">
        <v>5345</v>
      </c>
      <c r="C230" s="1904">
        <v>0</v>
      </c>
      <c r="D230" s="1836" t="s">
        <v>767</v>
      </c>
      <c r="E230" s="1845">
        <v>0</v>
      </c>
      <c r="F230" s="1845">
        <v>0</v>
      </c>
      <c r="G230" s="1845">
        <v>3250</v>
      </c>
      <c r="H230" s="1827">
        <v>0</v>
      </c>
    </row>
    <row r="231" spans="1:9" s="1828" customFormat="1" ht="16.5" thickTop="1" thickBot="1" x14ac:dyDescent="0.3">
      <c r="A231" s="2751" t="s">
        <v>763</v>
      </c>
      <c r="B231" s="2752"/>
      <c r="C231" s="2752"/>
      <c r="D231" s="2752"/>
      <c r="E231" s="1818">
        <f>SUM(E205:E230)</f>
        <v>0</v>
      </c>
      <c r="F231" s="1818">
        <f>SUM(F205:F230)</f>
        <v>3251</v>
      </c>
      <c r="G231" s="1818">
        <f>SUM(G205:G230)</f>
        <v>5269</v>
      </c>
      <c r="H231" s="1822">
        <f>G231/F231*100</f>
        <v>162.07320824361736</v>
      </c>
      <c r="I231" s="1910"/>
    </row>
    <row r="232" spans="1:9" ht="13.5" thickTop="1" x14ac:dyDescent="0.2">
      <c r="I232" s="1829"/>
    </row>
    <row r="233" spans="1:9" x14ac:dyDescent="0.2">
      <c r="I233" s="1829"/>
    </row>
    <row r="234" spans="1:9" x14ac:dyDescent="0.2">
      <c r="I234" s="1829"/>
    </row>
    <row r="235" spans="1:9" x14ac:dyDescent="0.2">
      <c r="I235" s="1829"/>
    </row>
    <row r="236" spans="1:9" ht="15" x14ac:dyDescent="0.25">
      <c r="A236" s="1976" t="s">
        <v>2023</v>
      </c>
      <c r="B236" s="1854"/>
      <c r="C236" s="1854"/>
      <c r="D236" s="1854"/>
    </row>
    <row r="237" spans="1:9" ht="15.75" thickBot="1" x14ac:dyDescent="0.3">
      <c r="A237" s="1977" t="s">
        <v>2024</v>
      </c>
      <c r="B237" s="1978"/>
      <c r="C237" s="1978"/>
      <c r="H237" s="1892" t="s">
        <v>161</v>
      </c>
    </row>
    <row r="238" spans="1:9" s="1638" customFormat="1" ht="25.5" thickTop="1" thickBot="1" x14ac:dyDescent="0.25">
      <c r="A238" s="1809" t="s">
        <v>162</v>
      </c>
      <c r="B238" s="1810" t="s">
        <v>761</v>
      </c>
      <c r="C238" s="1810" t="s">
        <v>377</v>
      </c>
      <c r="D238" s="1811" t="s">
        <v>164</v>
      </c>
      <c r="E238" s="1833" t="s">
        <v>632</v>
      </c>
      <c r="F238" s="1833" t="s">
        <v>633</v>
      </c>
      <c r="G238" s="1834" t="s">
        <v>882</v>
      </c>
      <c r="H238" s="1835" t="s">
        <v>883</v>
      </c>
    </row>
    <row r="239" spans="1:9" s="1638" customFormat="1" ht="13.5" thickTop="1" thickBot="1" x14ac:dyDescent="0.25">
      <c r="A239" s="1643">
        <v>1</v>
      </c>
      <c r="B239" s="1642">
        <v>2</v>
      </c>
      <c r="C239" s="1642">
        <v>3</v>
      </c>
      <c r="D239" s="1642">
        <v>4</v>
      </c>
      <c r="E239" s="1641">
        <v>5</v>
      </c>
      <c r="F239" s="1641">
        <v>6</v>
      </c>
      <c r="G239" s="1877">
        <v>7</v>
      </c>
      <c r="H239" s="1901" t="s">
        <v>61</v>
      </c>
    </row>
    <row r="240" spans="1:9" s="1907" customFormat="1" ht="15.75" hidden="1" customHeight="1" x14ac:dyDescent="0.2">
      <c r="A240" s="1896">
        <v>6172</v>
      </c>
      <c r="B240" s="1903">
        <v>5011</v>
      </c>
      <c r="C240" s="1904">
        <v>33100880</v>
      </c>
      <c r="D240" s="1836" t="s">
        <v>206</v>
      </c>
      <c r="E240" s="1845"/>
      <c r="F240" s="1845"/>
      <c r="G240" s="1845"/>
      <c r="H240" s="1821" t="e">
        <f t="shared" ref="H240:H256" si="12">G240/F240*100</f>
        <v>#DIV/0!</v>
      </c>
    </row>
    <row r="241" spans="1:8" s="1907" customFormat="1" ht="15.75" hidden="1" thickTop="1" x14ac:dyDescent="0.2">
      <c r="A241" s="1896">
        <v>6172</v>
      </c>
      <c r="B241" s="1903">
        <v>5011</v>
      </c>
      <c r="C241" s="1904">
        <v>33514012</v>
      </c>
      <c r="D241" s="1836" t="s">
        <v>206</v>
      </c>
      <c r="E241" s="1845"/>
      <c r="F241" s="1845"/>
      <c r="G241" s="1845"/>
      <c r="H241" s="1821" t="e">
        <f t="shared" si="12"/>
        <v>#DIV/0!</v>
      </c>
    </row>
    <row r="242" spans="1:8" s="1907" customFormat="1" ht="15.75" hidden="1" thickTop="1" x14ac:dyDescent="0.2">
      <c r="A242" s="1896">
        <v>6172</v>
      </c>
      <c r="B242" s="1903">
        <v>5021</v>
      </c>
      <c r="C242" s="1904">
        <v>33100880</v>
      </c>
      <c r="D242" s="1836" t="s">
        <v>389</v>
      </c>
      <c r="E242" s="1845"/>
      <c r="F242" s="1845"/>
      <c r="G242" s="1845"/>
      <c r="H242" s="1821" t="e">
        <f t="shared" si="12"/>
        <v>#DIV/0!</v>
      </c>
    </row>
    <row r="243" spans="1:8" s="1907" customFormat="1" ht="15.75" hidden="1" thickTop="1" x14ac:dyDescent="0.2">
      <c r="A243" s="1896">
        <v>6172</v>
      </c>
      <c r="B243" s="1903">
        <v>5021</v>
      </c>
      <c r="C243" s="1904">
        <v>33500881</v>
      </c>
      <c r="D243" s="1836" t="s">
        <v>389</v>
      </c>
      <c r="E243" s="1845"/>
      <c r="F243" s="1845"/>
      <c r="G243" s="1845"/>
      <c r="H243" s="1821" t="e">
        <f t="shared" si="12"/>
        <v>#DIV/0!</v>
      </c>
    </row>
    <row r="244" spans="1:8" s="1907" customFormat="1" ht="15.75" hidden="1" thickTop="1" x14ac:dyDescent="0.2">
      <c r="A244" s="1896">
        <v>6172</v>
      </c>
      <c r="B244" s="1903">
        <v>5021</v>
      </c>
      <c r="C244" s="1904">
        <v>33514012</v>
      </c>
      <c r="D244" s="1836" t="s">
        <v>389</v>
      </c>
      <c r="E244" s="1845"/>
      <c r="F244" s="1845"/>
      <c r="G244" s="1845"/>
      <c r="H244" s="1821" t="e">
        <f t="shared" si="12"/>
        <v>#DIV/0!</v>
      </c>
    </row>
    <row r="245" spans="1:8" s="1907" customFormat="1" ht="30" hidden="1" customHeight="1" x14ac:dyDescent="0.2">
      <c r="A245" s="1896">
        <v>6172</v>
      </c>
      <c r="B245" s="1903">
        <v>5031</v>
      </c>
      <c r="C245" s="1904">
        <v>33100880</v>
      </c>
      <c r="D245" s="1836" t="s">
        <v>1299</v>
      </c>
      <c r="E245" s="1845"/>
      <c r="F245" s="1845"/>
      <c r="G245" s="1845"/>
      <c r="H245" s="1821" t="e">
        <f t="shared" si="12"/>
        <v>#DIV/0!</v>
      </c>
    </row>
    <row r="246" spans="1:8" s="1907" customFormat="1" ht="30" hidden="1" customHeight="1" x14ac:dyDescent="0.2">
      <c r="A246" s="1896">
        <v>6172</v>
      </c>
      <c r="B246" s="1903">
        <v>5031</v>
      </c>
      <c r="C246" s="1904">
        <v>33514012</v>
      </c>
      <c r="D246" s="1836" t="s">
        <v>1299</v>
      </c>
      <c r="E246" s="1845"/>
      <c r="F246" s="1845"/>
      <c r="G246" s="1845"/>
      <c r="H246" s="1821" t="e">
        <f t="shared" si="12"/>
        <v>#DIV/0!</v>
      </c>
    </row>
    <row r="247" spans="1:8" s="1907" customFormat="1" ht="30.75" hidden="1" thickTop="1" x14ac:dyDescent="0.2">
      <c r="A247" s="1896">
        <v>6172</v>
      </c>
      <c r="B247" s="1903">
        <v>5032</v>
      </c>
      <c r="C247" s="1904">
        <v>33100880</v>
      </c>
      <c r="D247" s="1836" t="s">
        <v>1177</v>
      </c>
      <c r="E247" s="1845"/>
      <c r="F247" s="1845"/>
      <c r="G247" s="1845"/>
      <c r="H247" s="1821" t="e">
        <f t="shared" si="12"/>
        <v>#DIV/0!</v>
      </c>
    </row>
    <row r="248" spans="1:8" s="1907" customFormat="1" ht="30.75" hidden="1" thickTop="1" x14ac:dyDescent="0.2">
      <c r="A248" s="1896">
        <v>6172</v>
      </c>
      <c r="B248" s="1903">
        <v>5032</v>
      </c>
      <c r="C248" s="1904">
        <v>33514012</v>
      </c>
      <c r="D248" s="1836" t="s">
        <v>1177</v>
      </c>
      <c r="E248" s="1845"/>
      <c r="F248" s="1845"/>
      <c r="G248" s="1845"/>
      <c r="H248" s="1821" t="e">
        <f t="shared" si="12"/>
        <v>#DIV/0!</v>
      </c>
    </row>
    <row r="249" spans="1:8" s="1907" customFormat="1" ht="15.75" hidden="1" thickTop="1" x14ac:dyDescent="0.2">
      <c r="A249" s="1896">
        <v>6172</v>
      </c>
      <c r="B249" s="1903">
        <v>5137</v>
      </c>
      <c r="C249" s="1904">
        <v>33100880</v>
      </c>
      <c r="D249" s="1836" t="s">
        <v>155</v>
      </c>
      <c r="E249" s="1845"/>
      <c r="F249" s="1845"/>
      <c r="G249" s="1845"/>
      <c r="H249" s="1821" t="e">
        <f t="shared" si="12"/>
        <v>#DIV/0!</v>
      </c>
    </row>
    <row r="250" spans="1:8" s="1907" customFormat="1" ht="15.75" hidden="1" thickTop="1" x14ac:dyDescent="0.2">
      <c r="A250" s="1896">
        <v>6172</v>
      </c>
      <c r="B250" s="1903">
        <v>5137</v>
      </c>
      <c r="C250" s="1904">
        <v>33514012</v>
      </c>
      <c r="D250" s="1836" t="s">
        <v>155</v>
      </c>
      <c r="E250" s="1845"/>
      <c r="F250" s="1845"/>
      <c r="G250" s="1845"/>
      <c r="H250" s="1821" t="e">
        <f t="shared" si="12"/>
        <v>#DIV/0!</v>
      </c>
    </row>
    <row r="251" spans="1:8" s="1846" customFormat="1" ht="15.75" hidden="1" thickTop="1" x14ac:dyDescent="0.2">
      <c r="A251" s="1896">
        <v>6172</v>
      </c>
      <c r="B251" s="1905">
        <v>5139</v>
      </c>
      <c r="C251" s="1904">
        <v>33100880</v>
      </c>
      <c r="D251" s="1836" t="s">
        <v>270</v>
      </c>
      <c r="E251" s="1845"/>
      <c r="F251" s="1845"/>
      <c r="G251" s="1845"/>
      <c r="H251" s="1821" t="e">
        <f t="shared" si="12"/>
        <v>#DIV/0!</v>
      </c>
    </row>
    <row r="252" spans="1:8" s="1846" customFormat="1" ht="15.75" hidden="1" thickTop="1" x14ac:dyDescent="0.2">
      <c r="A252" s="1896">
        <v>6172</v>
      </c>
      <c r="B252" s="1905">
        <v>5139</v>
      </c>
      <c r="C252" s="1904">
        <v>33500881</v>
      </c>
      <c r="D252" s="1836" t="s">
        <v>270</v>
      </c>
      <c r="E252" s="1845"/>
      <c r="F252" s="1845"/>
      <c r="G252" s="1845"/>
      <c r="H252" s="1821" t="e">
        <f t="shared" si="12"/>
        <v>#DIV/0!</v>
      </c>
    </row>
    <row r="253" spans="1:8" ht="15.75" hidden="1" thickTop="1" x14ac:dyDescent="0.2">
      <c r="A253" s="1896">
        <v>6172</v>
      </c>
      <c r="B253" s="1905">
        <v>5139</v>
      </c>
      <c r="C253" s="1904">
        <v>33514012</v>
      </c>
      <c r="D253" s="1836" t="s">
        <v>270</v>
      </c>
      <c r="E253" s="1845"/>
      <c r="F253" s="1845"/>
      <c r="G253" s="1845"/>
      <c r="H253" s="1821" t="e">
        <f t="shared" si="12"/>
        <v>#DIV/0!</v>
      </c>
    </row>
    <row r="254" spans="1:8" ht="15.75" hidden="1" thickTop="1" x14ac:dyDescent="0.2">
      <c r="A254" s="1896">
        <v>6172</v>
      </c>
      <c r="B254" s="1905">
        <v>5162</v>
      </c>
      <c r="C254" s="1904">
        <v>33513233</v>
      </c>
      <c r="D254" s="1836" t="s">
        <v>864</v>
      </c>
      <c r="E254" s="1845"/>
      <c r="F254" s="1845"/>
      <c r="G254" s="1845"/>
      <c r="H254" s="1821" t="e">
        <f t="shared" si="12"/>
        <v>#DIV/0!</v>
      </c>
    </row>
    <row r="255" spans="1:8" ht="15.75" hidden="1" thickTop="1" x14ac:dyDescent="0.2">
      <c r="A255" s="1896">
        <v>6172</v>
      </c>
      <c r="B255" s="1905">
        <v>5166</v>
      </c>
      <c r="C255" s="1904">
        <v>33113233</v>
      </c>
      <c r="D255" s="1836" t="s">
        <v>609</v>
      </c>
      <c r="E255" s="1845"/>
      <c r="F255" s="1845"/>
      <c r="G255" s="1845"/>
      <c r="H255" s="1821" t="e">
        <f t="shared" si="12"/>
        <v>#DIV/0!</v>
      </c>
    </row>
    <row r="256" spans="1:8" ht="15.75" hidden="1" thickTop="1" x14ac:dyDescent="0.2">
      <c r="A256" s="1896">
        <v>6172</v>
      </c>
      <c r="B256" s="1905">
        <v>5166</v>
      </c>
      <c r="C256" s="1904">
        <v>33100880</v>
      </c>
      <c r="D256" s="1836" t="s">
        <v>609</v>
      </c>
      <c r="E256" s="1845"/>
      <c r="F256" s="1845"/>
      <c r="G256" s="1845"/>
      <c r="H256" s="1821" t="e">
        <f t="shared" si="12"/>
        <v>#DIV/0!</v>
      </c>
    </row>
    <row r="257" spans="1:12" ht="15.75" hidden="1" thickTop="1" x14ac:dyDescent="0.2">
      <c r="A257" s="1896">
        <v>6172</v>
      </c>
      <c r="B257" s="1905">
        <v>5166</v>
      </c>
      <c r="C257" s="1904">
        <v>33500881</v>
      </c>
      <c r="D257" s="1836" t="s">
        <v>609</v>
      </c>
      <c r="E257" s="1845"/>
      <c r="F257" s="1845"/>
      <c r="G257" s="1845"/>
      <c r="H257" s="1821">
        <v>0</v>
      </c>
    </row>
    <row r="258" spans="1:12" ht="15.75" hidden="1" thickTop="1" x14ac:dyDescent="0.2">
      <c r="A258" s="1896">
        <v>6172</v>
      </c>
      <c r="B258" s="1905">
        <v>5166</v>
      </c>
      <c r="C258" s="1904">
        <v>33514012</v>
      </c>
      <c r="D258" s="1836" t="s">
        <v>609</v>
      </c>
      <c r="E258" s="1845"/>
      <c r="F258" s="1845"/>
      <c r="G258" s="1845"/>
      <c r="H258" s="1821" t="e">
        <f t="shared" ref="H258:H261" si="13">G258/F258*100</f>
        <v>#DIV/0!</v>
      </c>
    </row>
    <row r="259" spans="1:12" ht="15.75" hidden="1" thickTop="1" x14ac:dyDescent="0.2">
      <c r="A259" s="1896">
        <v>6172</v>
      </c>
      <c r="B259" s="1903">
        <v>5173</v>
      </c>
      <c r="C259" s="1904">
        <v>33113233</v>
      </c>
      <c r="D259" s="1836" t="s">
        <v>1152</v>
      </c>
      <c r="E259" s="1845">
        <v>0</v>
      </c>
      <c r="F259" s="1845">
        <v>0</v>
      </c>
      <c r="G259" s="1845">
        <v>0</v>
      </c>
      <c r="H259" s="1821" t="e">
        <f t="shared" si="13"/>
        <v>#DIV/0!</v>
      </c>
    </row>
    <row r="260" spans="1:12" ht="15.75" hidden="1" thickTop="1" x14ac:dyDescent="0.2">
      <c r="A260" s="1896">
        <v>6172</v>
      </c>
      <c r="B260" s="1903">
        <v>5173</v>
      </c>
      <c r="C260" s="1904">
        <v>33513233</v>
      </c>
      <c r="D260" s="1836" t="s">
        <v>1152</v>
      </c>
      <c r="E260" s="1845">
        <v>0</v>
      </c>
      <c r="F260" s="1845">
        <v>0</v>
      </c>
      <c r="G260" s="1845">
        <v>0</v>
      </c>
      <c r="H260" s="1821" t="e">
        <f t="shared" si="13"/>
        <v>#DIV/0!</v>
      </c>
    </row>
    <row r="261" spans="1:12" ht="15.75" thickTop="1" x14ac:dyDescent="0.2">
      <c r="A261" s="1896">
        <v>6172</v>
      </c>
      <c r="B261" s="1903">
        <v>5139</v>
      </c>
      <c r="C261" s="1904">
        <v>33100880</v>
      </c>
      <c r="D261" s="1836" t="s">
        <v>270</v>
      </c>
      <c r="E261" s="1845">
        <v>0</v>
      </c>
      <c r="F261" s="1845">
        <v>39</v>
      </c>
      <c r="G261" s="1845">
        <v>38</v>
      </c>
      <c r="H261" s="1821">
        <f t="shared" si="13"/>
        <v>97.435897435897431</v>
      </c>
    </row>
    <row r="262" spans="1:12" s="1846" customFormat="1" ht="15" x14ac:dyDescent="0.2">
      <c r="A262" s="1896">
        <v>6172</v>
      </c>
      <c r="B262" s="1903">
        <v>5139</v>
      </c>
      <c r="C262" s="1904">
        <v>33514013</v>
      </c>
      <c r="D262" s="1836" t="s">
        <v>270</v>
      </c>
      <c r="E262" s="1845">
        <v>0</v>
      </c>
      <c r="F262" s="1845">
        <v>365</v>
      </c>
      <c r="G262" s="1845">
        <v>213</v>
      </c>
      <c r="H262" s="1821">
        <v>0</v>
      </c>
      <c r="K262" s="2493"/>
    </row>
    <row r="263" spans="1:12" s="1846" customFormat="1" ht="15.75" thickBot="1" x14ac:dyDescent="0.25">
      <c r="A263" s="1896">
        <v>6172</v>
      </c>
      <c r="B263" s="1903">
        <v>5169</v>
      </c>
      <c r="C263" s="1904">
        <v>33514013</v>
      </c>
      <c r="D263" s="1836" t="s">
        <v>852</v>
      </c>
      <c r="E263" s="1845">
        <v>0</v>
      </c>
      <c r="F263" s="1845">
        <v>19</v>
      </c>
      <c r="G263" s="1845">
        <v>0</v>
      </c>
      <c r="H263" s="1827">
        <v>0</v>
      </c>
    </row>
    <row r="264" spans="1:12" s="1828" customFormat="1" ht="16.5" thickTop="1" thickBot="1" x14ac:dyDescent="0.3">
      <c r="A264" s="2751" t="s">
        <v>763</v>
      </c>
      <c r="B264" s="2752"/>
      <c r="C264" s="2752"/>
      <c r="D264" s="2752"/>
      <c r="E264" s="1818">
        <f>SUM(E240:E263)</f>
        <v>0</v>
      </c>
      <c r="F264" s="1818">
        <f>SUM(F240:F263)</f>
        <v>423</v>
      </c>
      <c r="G264" s="1818">
        <f>SUM(G240:G263)</f>
        <v>251</v>
      </c>
      <c r="H264" s="1822">
        <v>0</v>
      </c>
      <c r="I264" s="1910"/>
    </row>
    <row r="265" spans="1:12" ht="13.5" thickTop="1" x14ac:dyDescent="0.2">
      <c r="I265" s="1829"/>
    </row>
    <row r="266" spans="1:12" x14ac:dyDescent="0.2">
      <c r="I266" s="1829"/>
    </row>
    <row r="267" spans="1:12" x14ac:dyDescent="0.2">
      <c r="I267" s="1829"/>
    </row>
    <row r="268" spans="1:12" x14ac:dyDescent="0.2">
      <c r="I268" s="1829"/>
    </row>
    <row r="269" spans="1:12" x14ac:dyDescent="0.2">
      <c r="I269" s="1829"/>
    </row>
    <row r="271" spans="1:12" ht="16.5" x14ac:dyDescent="0.25">
      <c r="A271" s="1860" t="s">
        <v>465</v>
      </c>
      <c r="B271" s="1861"/>
      <c r="C271" s="1862"/>
      <c r="D271" s="1863"/>
      <c r="E271" s="1864">
        <f>SUM(E272:E274)</f>
        <v>530</v>
      </c>
      <c r="F271" s="1864">
        <f>F272+F273+F274+F275</f>
        <v>23055</v>
      </c>
      <c r="G271" s="1864">
        <f>G272+G273+G274+G275</f>
        <v>37924</v>
      </c>
      <c r="H271" s="1884">
        <f>G271/F271*100</f>
        <v>164.49360225547605</v>
      </c>
      <c r="J271" s="1866">
        <f>J272+J273+J274</f>
        <v>530000</v>
      </c>
      <c r="K271" s="1866">
        <f>K272+K273+K274</f>
        <v>23055258.109999999</v>
      </c>
      <c r="L271" s="1866">
        <f>L272+L273+L274</f>
        <v>37924314.350000001</v>
      </c>
    </row>
    <row r="272" spans="1:12" ht="15" x14ac:dyDescent="0.2">
      <c r="A272" s="1600" t="s">
        <v>263</v>
      </c>
      <c r="B272" s="1603"/>
      <c r="C272" s="1598"/>
      <c r="D272" s="1867"/>
      <c r="E272" s="1601">
        <f>E11+E12+E13+E14+E15+E16+E17+E18+E19+E20+E29+E30+E65+E78+E79+E80+E81+E82+E83+E84+E85+E88+E89+E90+E91+E96+E97+E98+E99+E100+E101+E115+E173+E174+E178+E179+E180+E181+E184+E185+E189+E190+E192+E193+E194+E195+E196+E197+E205+E206+E208+E210+E209+E211+E212+E213+E216+E217+E221+E222+E224+E225+E226+E227+E228+E229+E261+E262+E263</f>
        <v>530</v>
      </c>
      <c r="F272" s="1601">
        <f t="shared" ref="F272:G272" si="14">F11+F12+F13+F14+F15+F16+F17+F18+F19+F20+F29+F30+F65+F78+F79+F80+F81+F82+F83+F84+F85+F88+F89+F90+F91+F96+F97+F98+F99+F100+F101+F115+F173+F174+F178+F179+F180+F181+F184+F185+F189+F190+F192+F193+F194+F195+F196+F197+F205+F206+F208+F210+F209+F211+F212+F213+F216+F217+F221+F222+F224+F225+F226+F227+F228+F229+F261+F262+F263</f>
        <v>23055</v>
      </c>
      <c r="G272" s="1601">
        <f t="shared" si="14"/>
        <v>18402</v>
      </c>
      <c r="H272" s="1883">
        <f>G272/F272*100</f>
        <v>79.817826935588812</v>
      </c>
      <c r="J272" s="1868">
        <v>530000</v>
      </c>
      <c r="K272" s="1868">
        <v>23055258.109999999</v>
      </c>
      <c r="L272" s="1868">
        <v>18402775.66</v>
      </c>
    </row>
    <row r="273" spans="1:12" ht="15" x14ac:dyDescent="0.2">
      <c r="A273" s="1600" t="s">
        <v>264</v>
      </c>
      <c r="B273" s="1599"/>
      <c r="C273" s="1598"/>
      <c r="D273" s="1869"/>
      <c r="E273" s="1601">
        <v>0</v>
      </c>
      <c r="F273" s="1601">
        <v>0</v>
      </c>
      <c r="G273" s="1601">
        <v>0</v>
      </c>
      <c r="H273" s="1883">
        <v>0</v>
      </c>
      <c r="J273" s="1868">
        <v>0</v>
      </c>
      <c r="K273" s="1868">
        <v>0</v>
      </c>
      <c r="L273" s="1868">
        <v>0</v>
      </c>
    </row>
    <row r="274" spans="1:12" ht="15" x14ac:dyDescent="0.2">
      <c r="A274" s="1600" t="s">
        <v>466</v>
      </c>
      <c r="B274" s="1599"/>
      <c r="C274" s="1598"/>
      <c r="D274" s="1869"/>
      <c r="E274" s="1601">
        <f>E35+E103+E136+E198+E230+E165</f>
        <v>0</v>
      </c>
      <c r="F274" s="1601">
        <f t="shared" ref="F274:G274" si="15">F35+F103+F136+F198+F230+F165</f>
        <v>0</v>
      </c>
      <c r="G274" s="1601">
        <f t="shared" si="15"/>
        <v>19522</v>
      </c>
      <c r="H274" s="1883">
        <v>0</v>
      </c>
      <c r="J274" s="1868">
        <v>0</v>
      </c>
      <c r="K274" s="1868">
        <v>0</v>
      </c>
      <c r="L274" s="1868">
        <v>19521538.690000001</v>
      </c>
    </row>
    <row r="275" spans="1:12" ht="15" x14ac:dyDescent="0.2">
      <c r="A275" s="1600"/>
      <c r="B275" s="1599"/>
      <c r="C275" s="1598"/>
      <c r="D275" s="1869"/>
      <c r="E275" s="1601"/>
      <c r="F275" s="1601"/>
      <c r="G275" s="1601"/>
      <c r="H275" s="1597"/>
    </row>
    <row r="276" spans="1:12" ht="46.5" customHeight="1" thickBot="1" x14ac:dyDescent="0.4">
      <c r="A276" s="2741" t="s">
        <v>1051</v>
      </c>
      <c r="B276" s="2742"/>
      <c r="C276" s="2742"/>
      <c r="D276" s="2742"/>
      <c r="E276" s="1591">
        <f>SUM(E271)</f>
        <v>530</v>
      </c>
      <c r="F276" s="1591">
        <f>SUM(F271)</f>
        <v>23055</v>
      </c>
      <c r="G276" s="1591">
        <f>SUM(G271)</f>
        <v>37924</v>
      </c>
      <c r="H276" s="1590">
        <f>(G276/F276)*100</f>
        <v>164.49360225547605</v>
      </c>
    </row>
    <row r="277" spans="1:12" ht="13.5" thickTop="1" x14ac:dyDescent="0.2"/>
    <row r="396" spans="1:5" ht="13.5" thickBot="1" x14ac:dyDescent="0.25">
      <c r="A396" s="1840"/>
      <c r="B396" s="1840"/>
      <c r="C396" s="1840"/>
      <c r="D396" s="1911"/>
      <c r="E396" s="1912"/>
    </row>
    <row r="397" spans="1:5" ht="13.5" thickTop="1" x14ac:dyDescent="0.2">
      <c r="A397" s="1858"/>
      <c r="B397" s="1858"/>
      <c r="C397" s="1858"/>
      <c r="D397" s="1850"/>
      <c r="E397" s="1913"/>
    </row>
    <row r="398" spans="1:5" x14ac:dyDescent="0.2">
      <c r="D398" s="1803" t="e">
        <f>#REF!+#REF!</f>
        <v>#REF!</v>
      </c>
    </row>
  </sheetData>
  <mergeCells count="9">
    <mergeCell ref="A231:D231"/>
    <mergeCell ref="A264:D264"/>
    <mergeCell ref="A276:D276"/>
    <mergeCell ref="A36:D36"/>
    <mergeCell ref="A66:D66"/>
    <mergeCell ref="A104:D104"/>
    <mergeCell ref="A137:D137"/>
    <mergeCell ref="A167:D167"/>
    <mergeCell ref="A199:D199"/>
  </mergeCells>
  <pageMargins left="0.98425196850393704" right="0.78740157480314965" top="0.98425196850393704" bottom="0.98425196850393704" header="0.51181102362204722" footer="0.51181102362204722"/>
  <pageSetup paperSize="9" scale="63" firstPageNumber="154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1" manualBreakCount="1">
    <brk id="104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 enableFormatConditionsCalculation="0">
    <tabColor rgb="FFFF0000"/>
  </sheetPr>
  <dimension ref="A1:L164"/>
  <sheetViews>
    <sheetView showGridLines="0" view="pageBreakPreview" topLeftCell="A16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643" customWidth="1"/>
    <col min="2" max="2" width="5.140625" style="2135" customWidth="1"/>
    <col min="3" max="3" width="8.85546875" style="814" customWidth="1"/>
    <col min="4" max="4" width="46.5703125" style="381" customWidth="1"/>
    <col min="5" max="5" width="14.5703125" style="382" customWidth="1"/>
    <col min="6" max="6" width="14" style="382" customWidth="1"/>
    <col min="7" max="7" width="14.42578125" style="382" customWidth="1"/>
    <col min="8" max="8" width="8.140625" style="2455" customWidth="1"/>
    <col min="9" max="9" width="9.140625" style="381"/>
    <col min="10" max="10" width="9.5703125" style="381" bestFit="1" customWidth="1"/>
    <col min="11" max="11" width="12.28515625" style="381" customWidth="1"/>
    <col min="12" max="12" width="10.7109375" style="381" customWidth="1"/>
    <col min="13" max="16384" width="9.140625" style="381"/>
  </cols>
  <sheetData>
    <row r="1" spans="1:11" ht="18.75" thickBot="1" x14ac:dyDescent="0.3">
      <c r="A1" s="463" t="s">
        <v>1188</v>
      </c>
      <c r="B1" s="464"/>
      <c r="C1" s="488"/>
      <c r="D1" s="475"/>
      <c r="E1" s="466"/>
      <c r="F1" s="467" t="s">
        <v>1225</v>
      </c>
      <c r="I1" s="17"/>
    </row>
    <row r="2" spans="1:11" ht="12.75" customHeight="1" x14ac:dyDescent="0.25">
      <c r="A2" s="6"/>
      <c r="B2" s="28"/>
      <c r="C2" s="57"/>
      <c r="D2" s="10"/>
      <c r="E2" s="307"/>
      <c r="F2" s="307"/>
      <c r="G2" s="16"/>
      <c r="H2" s="372"/>
      <c r="I2" s="17"/>
    </row>
    <row r="3" spans="1:11" ht="12.75" customHeight="1" x14ac:dyDescent="0.25">
      <c r="A3" s="67" t="s">
        <v>367</v>
      </c>
      <c r="B3" s="28"/>
      <c r="C3" s="523" t="s">
        <v>368</v>
      </c>
      <c r="D3" s="627"/>
      <c r="E3" s="307"/>
      <c r="F3" s="16"/>
      <c r="G3" s="17"/>
      <c r="H3" s="372"/>
    </row>
    <row r="4" spans="1:11" ht="12.75" customHeight="1" x14ac:dyDescent="0.25">
      <c r="A4" s="6"/>
      <c r="B4" s="28"/>
      <c r="C4" s="523" t="s">
        <v>341</v>
      </c>
      <c r="D4" s="382"/>
      <c r="E4" s="307"/>
      <c r="F4" s="16"/>
      <c r="G4" s="17"/>
      <c r="H4" s="372"/>
    </row>
    <row r="5" spans="1:11" ht="12.75" customHeight="1" x14ac:dyDescent="0.25">
      <c r="A5" s="6"/>
      <c r="B5" s="28"/>
      <c r="C5" s="523"/>
      <c r="D5" s="382"/>
      <c r="E5" s="307"/>
      <c r="F5" s="16"/>
      <c r="G5" s="17"/>
      <c r="H5" s="372"/>
    </row>
    <row r="6" spans="1:11" ht="18" x14ac:dyDescent="0.25">
      <c r="A6" s="33" t="s">
        <v>884</v>
      </c>
      <c r="B6" s="28"/>
      <c r="C6" s="57"/>
      <c r="D6" s="10"/>
      <c r="E6" s="307"/>
      <c r="F6" s="307"/>
      <c r="G6" s="16"/>
      <c r="H6" s="372"/>
      <c r="I6" s="17"/>
    </row>
    <row r="7" spans="1:11" ht="13.5" thickBot="1" x14ac:dyDescent="0.25">
      <c r="A7" s="629"/>
      <c r="B7" s="629"/>
      <c r="C7" s="815"/>
      <c r="D7" s="630"/>
      <c r="G7" s="617"/>
      <c r="H7" s="2455" t="s">
        <v>161</v>
      </c>
    </row>
    <row r="8" spans="1:11" s="107" customFormat="1" ht="20.25" customHeight="1" thickTop="1" thickBot="1" x14ac:dyDescent="0.25">
      <c r="A8" s="631" t="s">
        <v>162</v>
      </c>
      <c r="B8" s="632" t="s">
        <v>163</v>
      </c>
      <c r="C8" s="634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635" t="s">
        <v>883</v>
      </c>
    </row>
    <row r="9" spans="1:11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636" t="s">
        <v>61</v>
      </c>
      <c r="I9" s="107"/>
    </row>
    <row r="10" spans="1:11" s="383" customFormat="1" ht="15.75" thickTop="1" x14ac:dyDescent="0.25">
      <c r="A10" s="1399">
        <v>3900</v>
      </c>
      <c r="B10" s="2385">
        <v>5222</v>
      </c>
      <c r="C10" s="1625"/>
      <c r="D10" s="1680" t="s">
        <v>221</v>
      </c>
      <c r="E10" s="1310"/>
      <c r="F10" s="2384">
        <v>25</v>
      </c>
      <c r="G10" s="1408">
        <v>25</v>
      </c>
      <c r="H10" s="1062">
        <f>(G10/F10)*100</f>
        <v>100</v>
      </c>
      <c r="I10" s="107"/>
    </row>
    <row r="11" spans="1:11" s="383" customFormat="1" ht="14.25" x14ac:dyDescent="0.2">
      <c r="A11" s="1399"/>
      <c r="B11" s="2382"/>
      <c r="C11" s="1630" t="s">
        <v>1202</v>
      </c>
      <c r="D11" s="1631" t="s">
        <v>1635</v>
      </c>
      <c r="E11" s="1310"/>
      <c r="F11" s="2383">
        <v>25</v>
      </c>
      <c r="G11" s="1491">
        <v>25</v>
      </c>
      <c r="H11" s="1065">
        <f>(G11/F11)*100</f>
        <v>100</v>
      </c>
      <c r="I11" s="107"/>
    </row>
    <row r="12" spans="1:11" s="1056" customFormat="1" ht="15" x14ac:dyDescent="0.25">
      <c r="A12" s="34">
        <v>6115</v>
      </c>
      <c r="B12" s="2386">
        <v>5011</v>
      </c>
      <c r="C12" s="1069"/>
      <c r="D12" s="1057" t="s">
        <v>206</v>
      </c>
      <c r="E12" s="1093"/>
      <c r="F12" s="313">
        <v>8</v>
      </c>
      <c r="G12" s="315">
        <v>8</v>
      </c>
      <c r="H12" s="1062">
        <f>(G12/F12)*100</f>
        <v>100</v>
      </c>
      <c r="J12" s="1090"/>
      <c r="K12" s="1090"/>
    </row>
    <row r="13" spans="1:11" s="1056" customFormat="1" ht="14.25" x14ac:dyDescent="0.2">
      <c r="A13" s="34"/>
      <c r="B13" s="2387"/>
      <c r="C13" s="2634" t="s">
        <v>1839</v>
      </c>
      <c r="D13" s="2638" t="s">
        <v>1838</v>
      </c>
      <c r="E13" s="1093"/>
      <c r="F13" s="314">
        <v>8</v>
      </c>
      <c r="G13" s="316">
        <v>8</v>
      </c>
      <c r="H13" s="1065">
        <f>(G13/F13)*100</f>
        <v>100</v>
      </c>
    </row>
    <row r="14" spans="1:11" s="1056" customFormat="1" ht="14.25" x14ac:dyDescent="0.2">
      <c r="A14" s="34"/>
      <c r="B14" s="2387"/>
      <c r="C14" s="2635"/>
      <c r="D14" s="2639"/>
      <c r="E14" s="1093"/>
      <c r="F14" s="314"/>
      <c r="G14" s="316"/>
      <c r="H14" s="1065"/>
    </row>
    <row r="15" spans="1:11" s="1056" customFormat="1" ht="15" x14ac:dyDescent="0.25">
      <c r="A15" s="34">
        <v>6115</v>
      </c>
      <c r="B15" s="2386">
        <v>5031</v>
      </c>
      <c r="C15" s="1069"/>
      <c r="D15" s="1057" t="s">
        <v>237</v>
      </c>
      <c r="E15" s="1093"/>
      <c r="F15" s="313">
        <v>2</v>
      </c>
      <c r="G15" s="315">
        <v>2</v>
      </c>
      <c r="H15" s="1062">
        <f>(G15/F15)*100</f>
        <v>100</v>
      </c>
    </row>
    <row r="16" spans="1:11" s="1056" customFormat="1" ht="15" x14ac:dyDescent="0.25">
      <c r="A16" s="34"/>
      <c r="B16" s="2386"/>
      <c r="C16" s="1069"/>
      <c r="D16" s="1057" t="s">
        <v>724</v>
      </c>
      <c r="E16" s="1093"/>
      <c r="F16" s="314"/>
      <c r="G16" s="316"/>
      <c r="H16" s="1065"/>
    </row>
    <row r="17" spans="1:8" s="1056" customFormat="1" ht="14.25" x14ac:dyDescent="0.2">
      <c r="A17" s="34"/>
      <c r="B17" s="2386"/>
      <c r="C17" s="2634" t="s">
        <v>1839</v>
      </c>
      <c r="D17" s="2638" t="s">
        <v>1838</v>
      </c>
      <c r="E17" s="1093"/>
      <c r="F17" s="314">
        <v>2</v>
      </c>
      <c r="G17" s="316">
        <v>2</v>
      </c>
      <c r="H17" s="1065">
        <f t="shared" ref="H17:H35" si="0">(G17/F17)*100</f>
        <v>100</v>
      </c>
    </row>
    <row r="18" spans="1:8" s="1056" customFormat="1" ht="14.25" x14ac:dyDescent="0.2">
      <c r="A18" s="34"/>
      <c r="B18" s="2387"/>
      <c r="C18" s="2635"/>
      <c r="D18" s="2639"/>
      <c r="E18" s="1093"/>
      <c r="F18" s="314"/>
      <c r="G18" s="316"/>
      <c r="H18" s="1065"/>
    </row>
    <row r="19" spans="1:8" s="1056" customFormat="1" ht="15" x14ac:dyDescent="0.25">
      <c r="A19" s="34">
        <v>6115</v>
      </c>
      <c r="B19" s="2386">
        <v>5032</v>
      </c>
      <c r="C19" s="1069"/>
      <c r="D19" s="1057" t="s">
        <v>238</v>
      </c>
      <c r="E19" s="1093"/>
      <c r="F19" s="313">
        <v>1</v>
      </c>
      <c r="G19" s="315">
        <v>1</v>
      </c>
      <c r="H19" s="203">
        <f t="shared" si="0"/>
        <v>100</v>
      </c>
    </row>
    <row r="20" spans="1:8" s="1056" customFormat="1" ht="14.25" x14ac:dyDescent="0.2">
      <c r="A20" s="34"/>
      <c r="B20" s="2386"/>
      <c r="C20" s="2634" t="s">
        <v>1839</v>
      </c>
      <c r="D20" s="2638" t="s">
        <v>1838</v>
      </c>
      <c r="E20" s="1093"/>
      <c r="F20" s="314">
        <v>1</v>
      </c>
      <c r="G20" s="316">
        <v>1</v>
      </c>
      <c r="H20" s="1065">
        <f t="shared" si="0"/>
        <v>100</v>
      </c>
    </row>
    <row r="21" spans="1:8" s="1056" customFormat="1" ht="14.25" x14ac:dyDescent="0.2">
      <c r="A21" s="34"/>
      <c r="B21" s="2387"/>
      <c r="C21" s="2635"/>
      <c r="D21" s="2639"/>
      <c r="E21" s="1093"/>
      <c r="F21" s="314"/>
      <c r="G21" s="316"/>
      <c r="H21" s="1065"/>
    </row>
    <row r="22" spans="1:8" s="1056" customFormat="1" ht="15" x14ac:dyDescent="0.25">
      <c r="A22" s="34">
        <v>6115</v>
      </c>
      <c r="B22" s="2386">
        <v>5139</v>
      </c>
      <c r="C22" s="1069"/>
      <c r="D22" s="1057" t="s">
        <v>295</v>
      </c>
      <c r="E22" s="1093"/>
      <c r="F22" s="313">
        <v>2</v>
      </c>
      <c r="G22" s="315">
        <v>2</v>
      </c>
      <c r="H22" s="203">
        <f t="shared" si="0"/>
        <v>100</v>
      </c>
    </row>
    <row r="23" spans="1:8" s="1056" customFormat="1" ht="14.25" customHeight="1" x14ac:dyDescent="0.2">
      <c r="A23" s="34"/>
      <c r="B23" s="2387"/>
      <c r="C23" s="2634" t="s">
        <v>1839</v>
      </c>
      <c r="D23" s="2638" t="s">
        <v>1838</v>
      </c>
      <c r="E23" s="1093"/>
      <c r="F23" s="314">
        <v>2</v>
      </c>
      <c r="G23" s="316">
        <v>2</v>
      </c>
      <c r="H23" s="1065">
        <f t="shared" si="0"/>
        <v>100</v>
      </c>
    </row>
    <row r="24" spans="1:8" s="1056" customFormat="1" ht="14.25" customHeight="1" x14ac:dyDescent="0.2">
      <c r="A24" s="34"/>
      <c r="B24" s="2387"/>
      <c r="C24" s="2635"/>
      <c r="D24" s="2639"/>
      <c r="E24" s="1093"/>
      <c r="F24" s="314"/>
      <c r="G24" s="316"/>
      <c r="H24" s="1065"/>
    </row>
    <row r="25" spans="1:8" s="1056" customFormat="1" ht="15" x14ac:dyDescent="0.25">
      <c r="A25" s="34">
        <v>6115</v>
      </c>
      <c r="B25" s="2387">
        <v>5156</v>
      </c>
      <c r="C25" s="1069"/>
      <c r="D25" s="1057" t="s">
        <v>298</v>
      </c>
      <c r="E25" s="1093"/>
      <c r="F25" s="313">
        <v>5</v>
      </c>
      <c r="G25" s="315">
        <v>5</v>
      </c>
      <c r="H25" s="203">
        <f t="shared" si="0"/>
        <v>100</v>
      </c>
    </row>
    <row r="26" spans="1:8" s="1056" customFormat="1" ht="15" customHeight="1" x14ac:dyDescent="0.2">
      <c r="A26" s="34"/>
      <c r="B26" s="2387"/>
      <c r="C26" s="2634" t="s">
        <v>1839</v>
      </c>
      <c r="D26" s="2638" t="s">
        <v>1838</v>
      </c>
      <c r="E26" s="1093"/>
      <c r="F26" s="314">
        <v>5</v>
      </c>
      <c r="G26" s="316">
        <v>5</v>
      </c>
      <c r="H26" s="1065">
        <f t="shared" si="0"/>
        <v>100</v>
      </c>
    </row>
    <row r="27" spans="1:8" s="1056" customFormat="1" ht="14.25" x14ac:dyDescent="0.2">
      <c r="A27" s="34"/>
      <c r="B27" s="2387"/>
      <c r="C27" s="2635"/>
      <c r="D27" s="2639"/>
      <c r="E27" s="1093"/>
      <c r="F27" s="314"/>
      <c r="G27" s="316"/>
      <c r="H27" s="1065"/>
    </row>
    <row r="28" spans="1:8" s="1056" customFormat="1" ht="15" x14ac:dyDescent="0.25">
      <c r="A28" s="34">
        <v>6115</v>
      </c>
      <c r="B28" s="2387">
        <v>5169</v>
      </c>
      <c r="C28" s="2099"/>
      <c r="D28" s="1057" t="s">
        <v>1151</v>
      </c>
      <c r="E28" s="1093"/>
      <c r="F28" s="315">
        <f>F29+F30</f>
        <v>95</v>
      </c>
      <c r="G28" s="315">
        <f>G29+G30</f>
        <v>0</v>
      </c>
      <c r="H28" s="203">
        <f t="shared" si="0"/>
        <v>0</v>
      </c>
    </row>
    <row r="29" spans="1:8" s="1056" customFormat="1" ht="25.5" x14ac:dyDescent="0.2">
      <c r="A29" s="34"/>
      <c r="B29" s="2387"/>
      <c r="C29" s="1403" t="s">
        <v>1841</v>
      </c>
      <c r="D29" s="2436" t="s">
        <v>1840</v>
      </c>
      <c r="E29" s="1093"/>
      <c r="F29" s="1328">
        <v>15</v>
      </c>
      <c r="G29" s="1327">
        <v>0</v>
      </c>
      <c r="H29" s="1354">
        <v>0</v>
      </c>
    </row>
    <row r="30" spans="1:8" s="1056" customFormat="1" ht="14.25" x14ac:dyDescent="0.2">
      <c r="A30" s="34"/>
      <c r="B30" s="2387"/>
      <c r="C30" s="2634" t="s">
        <v>1839</v>
      </c>
      <c r="D30" s="2638" t="s">
        <v>1838</v>
      </c>
      <c r="E30" s="1093"/>
      <c r="F30" s="314">
        <v>80</v>
      </c>
      <c r="G30" s="316">
        <v>0</v>
      </c>
      <c r="H30" s="1065">
        <v>0</v>
      </c>
    </row>
    <row r="31" spans="1:8" s="1056" customFormat="1" ht="14.25" x14ac:dyDescent="0.2">
      <c r="A31" s="34"/>
      <c r="B31" s="2387"/>
      <c r="C31" s="2635"/>
      <c r="D31" s="2639"/>
      <c r="E31" s="1093"/>
      <c r="F31" s="314"/>
      <c r="G31" s="316"/>
      <c r="H31" s="1065"/>
    </row>
    <row r="32" spans="1:8" s="1056" customFormat="1" ht="15" x14ac:dyDescent="0.25">
      <c r="A32" s="34">
        <v>6115</v>
      </c>
      <c r="B32" s="2387">
        <v>5173</v>
      </c>
      <c r="C32" s="1069"/>
      <c r="D32" s="1057" t="s">
        <v>1152</v>
      </c>
      <c r="E32" s="1093"/>
      <c r="F32" s="313">
        <v>1</v>
      </c>
      <c r="G32" s="315">
        <v>1</v>
      </c>
      <c r="H32" s="203">
        <f t="shared" si="0"/>
        <v>100</v>
      </c>
    </row>
    <row r="33" spans="1:8" s="1056" customFormat="1" ht="15" customHeight="1" x14ac:dyDescent="0.2">
      <c r="A33" s="34"/>
      <c r="B33" s="2387"/>
      <c r="C33" s="2634" t="s">
        <v>1839</v>
      </c>
      <c r="D33" s="2638" t="s">
        <v>1838</v>
      </c>
      <c r="E33" s="1093"/>
      <c r="F33" s="314">
        <v>1</v>
      </c>
      <c r="G33" s="316">
        <v>1</v>
      </c>
      <c r="H33" s="1065">
        <f t="shared" si="0"/>
        <v>100</v>
      </c>
    </row>
    <row r="34" spans="1:8" s="1056" customFormat="1" ht="14.25" x14ac:dyDescent="0.2">
      <c r="A34" s="34"/>
      <c r="B34" s="2387"/>
      <c r="C34" s="2635"/>
      <c r="D34" s="2639"/>
      <c r="E34" s="1093"/>
      <c r="F34" s="314"/>
      <c r="G34" s="316"/>
      <c r="H34" s="1065"/>
    </row>
    <row r="35" spans="1:8" s="1056" customFormat="1" ht="15" x14ac:dyDescent="0.25">
      <c r="A35" s="34">
        <v>6117</v>
      </c>
      <c r="B35" s="2386">
        <v>5011</v>
      </c>
      <c r="C35" s="1069"/>
      <c r="D35" s="1057" t="s">
        <v>206</v>
      </c>
      <c r="E35" s="1093"/>
      <c r="F35" s="313">
        <v>5</v>
      </c>
      <c r="G35" s="315">
        <v>5</v>
      </c>
      <c r="H35" s="1062">
        <f t="shared" si="0"/>
        <v>100</v>
      </c>
    </row>
    <row r="36" spans="1:8" s="1056" customFormat="1" ht="14.25" x14ac:dyDescent="0.2">
      <c r="A36" s="34"/>
      <c r="B36" s="2387"/>
      <c r="C36" s="2634" t="s">
        <v>1842</v>
      </c>
      <c r="D36" s="2636" t="s">
        <v>1843</v>
      </c>
      <c r="E36" s="1093"/>
      <c r="F36" s="314">
        <v>5</v>
      </c>
      <c r="G36" s="316">
        <v>5</v>
      </c>
      <c r="H36" s="1065">
        <f>(G36/F36)*100</f>
        <v>100</v>
      </c>
    </row>
    <row r="37" spans="1:8" s="1056" customFormat="1" ht="14.25" x14ac:dyDescent="0.2">
      <c r="A37" s="34"/>
      <c r="B37" s="2387"/>
      <c r="C37" s="2635"/>
      <c r="D37" s="2633"/>
      <c r="E37" s="1093"/>
      <c r="F37" s="314"/>
      <c r="G37" s="316"/>
      <c r="H37" s="1065"/>
    </row>
    <row r="38" spans="1:8" s="1056" customFormat="1" ht="15" x14ac:dyDescent="0.25">
      <c r="A38" s="34">
        <v>6117</v>
      </c>
      <c r="B38" s="2386">
        <v>5031</v>
      </c>
      <c r="C38" s="1069"/>
      <c r="D38" s="1057" t="s">
        <v>237</v>
      </c>
      <c r="E38" s="1093"/>
      <c r="F38" s="313">
        <v>1</v>
      </c>
      <c r="G38" s="315">
        <v>1</v>
      </c>
      <c r="H38" s="203">
        <f>(G38/F38)*100</f>
        <v>100</v>
      </c>
    </row>
    <row r="39" spans="1:8" s="1056" customFormat="1" ht="15" x14ac:dyDescent="0.25">
      <c r="A39" s="34"/>
      <c r="B39" s="2386"/>
      <c r="C39" s="1069"/>
      <c r="D39" s="1057" t="s">
        <v>724</v>
      </c>
      <c r="E39" s="1093"/>
      <c r="F39" s="314"/>
      <c r="G39" s="316"/>
      <c r="H39" s="1065"/>
    </row>
    <row r="40" spans="1:8" s="1056" customFormat="1" ht="14.25" customHeight="1" x14ac:dyDescent="0.2">
      <c r="A40" s="34"/>
      <c r="B40" s="2386"/>
      <c r="C40" s="2634" t="s">
        <v>1842</v>
      </c>
      <c r="D40" s="2636" t="s">
        <v>1843</v>
      </c>
      <c r="E40" s="1093"/>
      <c r="F40" s="314">
        <v>1</v>
      </c>
      <c r="G40" s="316">
        <v>1</v>
      </c>
      <c r="H40" s="1065">
        <f>(G40/F40)*100</f>
        <v>100</v>
      </c>
    </row>
    <row r="41" spans="1:8" s="1056" customFormat="1" ht="14.25" x14ac:dyDescent="0.2">
      <c r="A41" s="34"/>
      <c r="B41" s="2387"/>
      <c r="C41" s="2635"/>
      <c r="D41" s="2633"/>
      <c r="E41" s="1093"/>
      <c r="F41" s="314"/>
      <c r="G41" s="316"/>
      <c r="H41" s="1065"/>
    </row>
    <row r="42" spans="1:8" s="1056" customFormat="1" ht="15" x14ac:dyDescent="0.25">
      <c r="A42" s="34">
        <v>6117</v>
      </c>
      <c r="B42" s="2386">
        <v>5156</v>
      </c>
      <c r="C42" s="1069"/>
      <c r="D42" s="1057" t="s">
        <v>298</v>
      </c>
      <c r="E42" s="1093"/>
      <c r="F42" s="313">
        <v>6</v>
      </c>
      <c r="G42" s="315">
        <v>6</v>
      </c>
      <c r="H42" s="1062">
        <f t="shared" ref="H42:H52" si="1">(G42/F42)*100</f>
        <v>100</v>
      </c>
    </row>
    <row r="43" spans="1:8" s="1056" customFormat="1" ht="15" customHeight="1" x14ac:dyDescent="0.2">
      <c r="A43" s="34"/>
      <c r="B43" s="2386"/>
      <c r="C43" s="2634" t="s">
        <v>1842</v>
      </c>
      <c r="D43" s="2636" t="s">
        <v>1843</v>
      </c>
      <c r="E43" s="1093"/>
      <c r="F43" s="314">
        <v>6</v>
      </c>
      <c r="G43" s="316">
        <v>6</v>
      </c>
      <c r="H43" s="1065">
        <f t="shared" si="1"/>
        <v>100</v>
      </c>
    </row>
    <row r="44" spans="1:8" s="1056" customFormat="1" ht="14.25" x14ac:dyDescent="0.2">
      <c r="A44" s="34"/>
      <c r="B44" s="2387"/>
      <c r="C44" s="2635"/>
      <c r="D44" s="2633"/>
      <c r="E44" s="1093"/>
      <c r="F44" s="314"/>
      <c r="G44" s="316"/>
      <c r="H44" s="1065"/>
    </row>
    <row r="45" spans="1:8" s="1056" customFormat="1" ht="15" x14ac:dyDescent="0.25">
      <c r="A45" s="34">
        <v>6117</v>
      </c>
      <c r="B45" s="2387">
        <v>5164</v>
      </c>
      <c r="C45" s="2099"/>
      <c r="D45" s="1057" t="s">
        <v>893</v>
      </c>
      <c r="E45" s="1093"/>
      <c r="F45" s="313">
        <v>18</v>
      </c>
      <c r="G45" s="315">
        <v>18</v>
      </c>
      <c r="H45" s="1062">
        <f t="shared" si="1"/>
        <v>100</v>
      </c>
    </row>
    <row r="46" spans="1:8" s="1056" customFormat="1" ht="14.25" customHeight="1" x14ac:dyDescent="0.2">
      <c r="A46" s="34"/>
      <c r="B46" s="2387"/>
      <c r="C46" s="2634" t="s">
        <v>1842</v>
      </c>
      <c r="D46" s="2636" t="s">
        <v>1843</v>
      </c>
      <c r="E46" s="1093"/>
      <c r="F46" s="314">
        <v>18</v>
      </c>
      <c r="G46" s="316">
        <v>18</v>
      </c>
      <c r="H46" s="1065">
        <f>(G46/F46)*100</f>
        <v>100</v>
      </c>
    </row>
    <row r="47" spans="1:8" s="1056" customFormat="1" ht="14.25" x14ac:dyDescent="0.2">
      <c r="A47" s="34"/>
      <c r="B47" s="2387"/>
      <c r="C47" s="2635"/>
      <c r="D47" s="2633"/>
      <c r="E47" s="1093"/>
      <c r="F47" s="314"/>
      <c r="G47" s="316"/>
      <c r="H47" s="1065"/>
    </row>
    <row r="48" spans="1:8" s="1056" customFormat="1" ht="15" x14ac:dyDescent="0.25">
      <c r="A48" s="34">
        <v>6117</v>
      </c>
      <c r="B48" s="2387">
        <v>5169</v>
      </c>
      <c r="C48" s="2099"/>
      <c r="D48" s="1057" t="s">
        <v>1151</v>
      </c>
      <c r="E48" s="1093"/>
      <c r="F48" s="313">
        <v>69</v>
      </c>
      <c r="G48" s="315">
        <v>0</v>
      </c>
      <c r="H48" s="203">
        <v>0</v>
      </c>
    </row>
    <row r="49" spans="1:8" s="1056" customFormat="1" ht="14.25" x14ac:dyDescent="0.2">
      <c r="A49" s="34"/>
      <c r="B49" s="2387"/>
      <c r="C49" s="2634" t="s">
        <v>1842</v>
      </c>
      <c r="D49" s="2636" t="s">
        <v>1843</v>
      </c>
      <c r="E49" s="1093"/>
      <c r="F49" s="314">
        <v>69</v>
      </c>
      <c r="G49" s="316">
        <v>0</v>
      </c>
      <c r="H49" s="1065">
        <v>0</v>
      </c>
    </row>
    <row r="50" spans="1:8" s="1056" customFormat="1" ht="14.25" x14ac:dyDescent="0.2">
      <c r="A50" s="34"/>
      <c r="B50" s="2387"/>
      <c r="C50" s="2635"/>
      <c r="D50" s="2633"/>
      <c r="E50" s="1093"/>
      <c r="F50" s="314"/>
      <c r="G50" s="316"/>
      <c r="H50" s="1065"/>
    </row>
    <row r="51" spans="1:8" s="1056" customFormat="1" ht="15" x14ac:dyDescent="0.25">
      <c r="A51" s="34">
        <v>6117</v>
      </c>
      <c r="B51" s="2386">
        <v>5173</v>
      </c>
      <c r="C51" s="1069"/>
      <c r="D51" s="1057" t="s">
        <v>1152</v>
      </c>
      <c r="E51" s="1093"/>
      <c r="F51" s="313">
        <v>2</v>
      </c>
      <c r="G51" s="315">
        <v>2</v>
      </c>
      <c r="H51" s="1062">
        <f t="shared" si="1"/>
        <v>100</v>
      </c>
    </row>
    <row r="52" spans="1:8" s="1056" customFormat="1" ht="15" customHeight="1" x14ac:dyDescent="0.2">
      <c r="A52" s="34"/>
      <c r="B52" s="2386"/>
      <c r="C52" s="2634" t="s">
        <v>1842</v>
      </c>
      <c r="D52" s="2636" t="s">
        <v>1843</v>
      </c>
      <c r="E52" s="1093"/>
      <c r="F52" s="314">
        <v>2</v>
      </c>
      <c r="G52" s="316">
        <v>2</v>
      </c>
      <c r="H52" s="1065">
        <f t="shared" si="1"/>
        <v>100</v>
      </c>
    </row>
    <row r="53" spans="1:8" s="1056" customFormat="1" ht="14.25" x14ac:dyDescent="0.2">
      <c r="A53" s="34"/>
      <c r="B53" s="2387"/>
      <c r="C53" s="2635"/>
      <c r="D53" s="2633"/>
      <c r="E53" s="1093"/>
      <c r="F53" s="314"/>
      <c r="G53" s="316"/>
      <c r="H53" s="1065"/>
    </row>
    <row r="54" spans="1:8" s="1056" customFormat="1" ht="15" x14ac:dyDescent="0.25">
      <c r="A54" s="34">
        <v>6172</v>
      </c>
      <c r="B54" s="2386">
        <v>5011</v>
      </c>
      <c r="C54" s="1067"/>
      <c r="D54" s="1057" t="s">
        <v>206</v>
      </c>
      <c r="E54" s="48">
        <f>E55</f>
        <v>176000</v>
      </c>
      <c r="F54" s="446">
        <f>F55+F56+F57+F58</f>
        <v>183311</v>
      </c>
      <c r="G54" s="446">
        <f>G55+G56+G57+G58</f>
        <v>182329</v>
      </c>
      <c r="H54" s="1062">
        <f>(G54/F54)*100</f>
        <v>99.464298378166077</v>
      </c>
    </row>
    <row r="55" spans="1:8" s="1056" customFormat="1" ht="14.25" x14ac:dyDescent="0.2">
      <c r="A55" s="34"/>
      <c r="B55" s="2386"/>
      <c r="C55" s="1069" t="s">
        <v>753</v>
      </c>
      <c r="D55" s="1063" t="s">
        <v>1259</v>
      </c>
      <c r="E55" s="55">
        <v>176000</v>
      </c>
      <c r="F55" s="314">
        <v>182747</v>
      </c>
      <c r="G55" s="316">
        <v>181806</v>
      </c>
      <c r="H55" s="1065">
        <f t="shared" ref="H55:H69" si="2">(G55/F55)*100</f>
        <v>99.485080466437211</v>
      </c>
    </row>
    <row r="56" spans="1:8" s="1056" customFormat="1" ht="14.25" x14ac:dyDescent="0.2">
      <c r="A56" s="34"/>
      <c r="B56" s="2386"/>
      <c r="C56" s="1069" t="s">
        <v>302</v>
      </c>
      <c r="D56" s="1064" t="s">
        <v>811</v>
      </c>
      <c r="E56" s="55"/>
      <c r="F56" s="314">
        <v>318</v>
      </c>
      <c r="G56" s="316">
        <v>318</v>
      </c>
      <c r="H56" s="1065">
        <f t="shared" si="2"/>
        <v>100</v>
      </c>
    </row>
    <row r="57" spans="1:8" s="1056" customFormat="1" ht="14.25" x14ac:dyDescent="0.2">
      <c r="A57" s="34"/>
      <c r="B57" s="2386"/>
      <c r="C57" s="1069" t="s">
        <v>1355</v>
      </c>
      <c r="D57" s="1064" t="s">
        <v>1844</v>
      </c>
      <c r="E57" s="55"/>
      <c r="F57" s="314">
        <v>37</v>
      </c>
      <c r="G57" s="316">
        <v>31</v>
      </c>
      <c r="H57" s="1065">
        <f t="shared" si="2"/>
        <v>83.78378378378379</v>
      </c>
    </row>
    <row r="58" spans="1:8" s="1056" customFormat="1" ht="14.25" x14ac:dyDescent="0.2">
      <c r="A58" s="34"/>
      <c r="B58" s="2386"/>
      <c r="C58" s="1069" t="s">
        <v>1357</v>
      </c>
      <c r="D58" s="1064" t="s">
        <v>1844</v>
      </c>
      <c r="E58" s="55"/>
      <c r="F58" s="314">
        <v>209</v>
      </c>
      <c r="G58" s="316">
        <v>174</v>
      </c>
      <c r="H58" s="1065">
        <f t="shared" si="2"/>
        <v>83.253588516746419</v>
      </c>
    </row>
    <row r="59" spans="1:8" s="1056" customFormat="1" ht="15" x14ac:dyDescent="0.25">
      <c r="A59" s="34">
        <v>6172</v>
      </c>
      <c r="B59" s="2386">
        <v>5021</v>
      </c>
      <c r="C59" s="1067"/>
      <c r="D59" s="1057" t="s">
        <v>389</v>
      </c>
      <c r="E59" s="48">
        <v>1500</v>
      </c>
      <c r="F59" s="446">
        <f>F60+F63+F64+F65+F66+F67+F61+F62</f>
        <v>2391</v>
      </c>
      <c r="G59" s="446">
        <f>G60+G63+G64+G65+G66+G67+G61+G62</f>
        <v>1571</v>
      </c>
      <c r="H59" s="1062">
        <f>(G59/F59)*100</f>
        <v>65.704726056043498</v>
      </c>
    </row>
    <row r="60" spans="1:8" s="1056" customFormat="1" ht="14.25" x14ac:dyDescent="0.2">
      <c r="A60" s="34"/>
      <c r="B60" s="2386"/>
      <c r="C60" s="1069" t="s">
        <v>753</v>
      </c>
      <c r="D60" s="1063" t="s">
        <v>1259</v>
      </c>
      <c r="E60" s="55">
        <v>1500</v>
      </c>
      <c r="F60" s="314">
        <v>1656</v>
      </c>
      <c r="G60" s="316">
        <v>1306</v>
      </c>
      <c r="H60" s="1065">
        <f t="shared" si="2"/>
        <v>78.864734299516897</v>
      </c>
    </row>
    <row r="61" spans="1:8" s="1056" customFormat="1" ht="14.25" x14ac:dyDescent="0.2">
      <c r="A61" s="34"/>
      <c r="B61" s="2386"/>
      <c r="C61" s="1069" t="s">
        <v>1355</v>
      </c>
      <c r="D61" s="1064" t="s">
        <v>1844</v>
      </c>
      <c r="E61" s="55"/>
      <c r="F61" s="314">
        <v>14</v>
      </c>
      <c r="G61" s="316">
        <v>11</v>
      </c>
      <c r="H61" s="1065">
        <f t="shared" si="2"/>
        <v>78.571428571428569</v>
      </c>
    </row>
    <row r="62" spans="1:8" s="1056" customFormat="1" ht="14.25" x14ac:dyDescent="0.2">
      <c r="A62" s="34"/>
      <c r="B62" s="2386"/>
      <c r="C62" s="1069" t="s">
        <v>1357</v>
      </c>
      <c r="D62" s="1064" t="s">
        <v>1844</v>
      </c>
      <c r="E62" s="55"/>
      <c r="F62" s="314">
        <v>78</v>
      </c>
      <c r="G62" s="316">
        <v>60</v>
      </c>
      <c r="H62" s="1065">
        <f t="shared" si="2"/>
        <v>76.923076923076934</v>
      </c>
    </row>
    <row r="63" spans="1:8" s="1056" customFormat="1" ht="15" x14ac:dyDescent="0.25">
      <c r="A63" s="34"/>
      <c r="B63" s="2386"/>
      <c r="C63" s="1713">
        <v>41100880</v>
      </c>
      <c r="D63" s="1351" t="s">
        <v>1484</v>
      </c>
      <c r="E63" s="48"/>
      <c r="F63" s="314">
        <v>1</v>
      </c>
      <c r="G63" s="316">
        <v>0</v>
      </c>
      <c r="H63" s="1065">
        <f t="shared" si="2"/>
        <v>0</v>
      </c>
    </row>
    <row r="64" spans="1:8" s="1056" customFormat="1" ht="15" x14ac:dyDescent="0.25">
      <c r="A64" s="34"/>
      <c r="B64" s="2386"/>
      <c r="C64" s="1713">
        <v>41100882</v>
      </c>
      <c r="D64" s="1351" t="s">
        <v>1485</v>
      </c>
      <c r="E64" s="48"/>
      <c r="F64" s="314">
        <v>3</v>
      </c>
      <c r="G64" s="316">
        <v>0</v>
      </c>
      <c r="H64" s="1065">
        <f t="shared" si="2"/>
        <v>0</v>
      </c>
    </row>
    <row r="65" spans="1:12" s="1056" customFormat="1" ht="15" x14ac:dyDescent="0.25">
      <c r="A65" s="34"/>
      <c r="B65" s="2386"/>
      <c r="C65" s="1713">
        <v>41500881</v>
      </c>
      <c r="D65" s="1064" t="s">
        <v>1486</v>
      </c>
      <c r="E65" s="48"/>
      <c r="F65" s="314">
        <v>24</v>
      </c>
      <c r="G65" s="316">
        <v>3</v>
      </c>
      <c r="H65" s="1065">
        <f t="shared" si="2"/>
        <v>12.5</v>
      </c>
      <c r="J65" s="2459"/>
    </row>
    <row r="66" spans="1:12" s="1056" customFormat="1" ht="15" x14ac:dyDescent="0.25">
      <c r="A66" s="34"/>
      <c r="B66" s="2386"/>
      <c r="C66" s="1713">
        <v>42100880</v>
      </c>
      <c r="D66" s="1351" t="s">
        <v>1484</v>
      </c>
      <c r="E66" s="48"/>
      <c r="F66" s="314">
        <v>92</v>
      </c>
      <c r="G66" s="316">
        <v>29</v>
      </c>
      <c r="H66" s="1065">
        <f t="shared" si="2"/>
        <v>31.521739130434785</v>
      </c>
      <c r="J66" s="2459"/>
    </row>
    <row r="67" spans="1:12" s="1056" customFormat="1" ht="15" x14ac:dyDescent="0.25">
      <c r="A67" s="34"/>
      <c r="B67" s="2386"/>
      <c r="C67" s="1713">
        <v>42500881</v>
      </c>
      <c r="D67" s="1064" t="s">
        <v>1486</v>
      </c>
      <c r="E67" s="48"/>
      <c r="F67" s="314">
        <v>523</v>
      </c>
      <c r="G67" s="316">
        <v>162</v>
      </c>
      <c r="H67" s="1065">
        <f t="shared" si="2"/>
        <v>30.975143403441685</v>
      </c>
      <c r="J67" s="2459"/>
    </row>
    <row r="68" spans="1:12" s="1056" customFormat="1" ht="15" x14ac:dyDescent="0.25">
      <c r="A68" s="34">
        <v>6172</v>
      </c>
      <c r="B68" s="2386">
        <v>5024</v>
      </c>
      <c r="C68" s="1713"/>
      <c r="D68" s="1075" t="s">
        <v>1845</v>
      </c>
      <c r="E68" s="48"/>
      <c r="F68" s="313">
        <v>121</v>
      </c>
      <c r="G68" s="315">
        <v>121</v>
      </c>
      <c r="H68" s="203">
        <f t="shared" si="2"/>
        <v>100</v>
      </c>
      <c r="J68" s="2459"/>
    </row>
    <row r="69" spans="1:12" s="1056" customFormat="1" ht="15.75" thickBot="1" x14ac:dyDescent="0.3">
      <c r="A69" s="1095">
        <v>6172</v>
      </c>
      <c r="B69" s="2392">
        <v>5029</v>
      </c>
      <c r="C69" s="1081"/>
      <c r="D69" s="1077" t="s">
        <v>488</v>
      </c>
      <c r="E69" s="1083">
        <v>100</v>
      </c>
      <c r="F69" s="443">
        <v>100</v>
      </c>
      <c r="G69" s="442">
        <v>0</v>
      </c>
      <c r="H69" s="1326">
        <f t="shared" si="2"/>
        <v>0</v>
      </c>
      <c r="J69" s="2459"/>
    </row>
    <row r="70" spans="1:12" ht="14.25" thickTop="1" thickBot="1" x14ac:dyDescent="0.25">
      <c r="A70" s="629"/>
      <c r="B70" s="629"/>
      <c r="C70" s="815"/>
      <c r="D70" s="630"/>
      <c r="G70" s="617"/>
      <c r="H70" s="2455" t="s">
        <v>161</v>
      </c>
      <c r="J70" s="382">
        <f>E54+E59+E69</f>
        <v>177600</v>
      </c>
      <c r="K70" s="2460">
        <f>F10+F12+F15+F19+F20+F22+F25+F28+F32+F35+F38+F42+F45+F48+F51+F54+F59+F68+F69</f>
        <v>186164</v>
      </c>
      <c r="L70" s="2460">
        <f>G10+G12+G15+G19+G22+G25+G28+G32+G35+G38+G42+G45+G48+G51+G54+G59+G68+G69</f>
        <v>184097</v>
      </c>
    </row>
    <row r="71" spans="1:12" s="107" customFormat="1" ht="20.25" customHeight="1" thickTop="1" thickBot="1" x14ac:dyDescent="0.25">
      <c r="A71" s="631" t="s">
        <v>162</v>
      </c>
      <c r="B71" s="632" t="s">
        <v>163</v>
      </c>
      <c r="C71" s="634" t="s">
        <v>705</v>
      </c>
      <c r="D71" s="634" t="s">
        <v>164</v>
      </c>
      <c r="E71" s="634" t="s">
        <v>165</v>
      </c>
      <c r="F71" s="634" t="s">
        <v>881</v>
      </c>
      <c r="G71" s="634" t="s">
        <v>882</v>
      </c>
      <c r="H71" s="635" t="s">
        <v>883</v>
      </c>
    </row>
    <row r="72" spans="1:12" s="383" customFormat="1" ht="13.5" thickTop="1" thickBot="1" x14ac:dyDescent="0.25">
      <c r="A72" s="566">
        <v>1</v>
      </c>
      <c r="B72" s="567">
        <v>2</v>
      </c>
      <c r="C72" s="567">
        <v>3</v>
      </c>
      <c r="D72" s="567">
        <v>4</v>
      </c>
      <c r="E72" s="567">
        <v>5</v>
      </c>
      <c r="F72" s="541">
        <v>6</v>
      </c>
      <c r="G72" s="541">
        <v>7</v>
      </c>
      <c r="H72" s="636" t="s">
        <v>61</v>
      </c>
      <c r="I72" s="107"/>
    </row>
    <row r="73" spans="1:12" s="1056" customFormat="1" ht="15.75" thickTop="1" x14ac:dyDescent="0.25">
      <c r="A73" s="34">
        <v>6172</v>
      </c>
      <c r="B73" s="2386">
        <v>5031</v>
      </c>
      <c r="C73" s="1069"/>
      <c r="D73" s="1057" t="s">
        <v>237</v>
      </c>
      <c r="E73" s="48">
        <f>E75</f>
        <v>44500</v>
      </c>
      <c r="F73" s="446">
        <f>F75+F76+F77+F78</f>
        <v>46451</v>
      </c>
      <c r="G73" s="446">
        <f>G75+G76+G77+G78</f>
        <v>45933</v>
      </c>
      <c r="H73" s="1062">
        <f>(G73/F73)*100</f>
        <v>98.884846397278864</v>
      </c>
    </row>
    <row r="74" spans="1:12" s="1056" customFormat="1" ht="15" x14ac:dyDescent="0.25">
      <c r="A74" s="34"/>
      <c r="B74" s="2386"/>
      <c r="C74" s="1069"/>
      <c r="D74" s="1057" t="s">
        <v>724</v>
      </c>
      <c r="E74" s="48"/>
      <c r="F74" s="168"/>
      <c r="G74" s="316"/>
      <c r="H74" s="1062"/>
    </row>
    <row r="75" spans="1:12" s="1056" customFormat="1" ht="14.25" x14ac:dyDescent="0.2">
      <c r="A75" s="34"/>
      <c r="B75" s="2386"/>
      <c r="C75" s="1069" t="s">
        <v>753</v>
      </c>
      <c r="D75" s="1063" t="s">
        <v>1259</v>
      </c>
      <c r="E75" s="55">
        <v>44500</v>
      </c>
      <c r="F75" s="314">
        <v>46292</v>
      </c>
      <c r="G75" s="316">
        <v>45785</v>
      </c>
      <c r="H75" s="1065">
        <f t="shared" ref="H75:H84" si="3">(G75/F75)*100</f>
        <v>98.904778363432115</v>
      </c>
    </row>
    <row r="76" spans="1:12" s="1056" customFormat="1" ht="14.25" x14ac:dyDescent="0.2">
      <c r="A76" s="34"/>
      <c r="B76" s="2386"/>
      <c r="C76" s="1069" t="s">
        <v>302</v>
      </c>
      <c r="D76" s="1064" t="s">
        <v>811</v>
      </c>
      <c r="E76" s="55"/>
      <c r="F76" s="314">
        <v>79</v>
      </c>
      <c r="G76" s="316">
        <v>79</v>
      </c>
      <c r="H76" s="1065">
        <f t="shared" si="3"/>
        <v>100</v>
      </c>
    </row>
    <row r="77" spans="1:12" s="1056" customFormat="1" ht="14.25" x14ac:dyDescent="0.2">
      <c r="A77" s="34"/>
      <c r="B77" s="2386"/>
      <c r="C77" s="1069" t="s">
        <v>1355</v>
      </c>
      <c r="D77" s="1064" t="s">
        <v>1844</v>
      </c>
      <c r="E77" s="55"/>
      <c r="F77" s="314">
        <v>12</v>
      </c>
      <c r="G77" s="316">
        <v>10</v>
      </c>
      <c r="H77" s="1065">
        <f t="shared" si="3"/>
        <v>83.333333333333343</v>
      </c>
    </row>
    <row r="78" spans="1:12" s="1056" customFormat="1" ht="14.25" x14ac:dyDescent="0.2">
      <c r="A78" s="34"/>
      <c r="B78" s="2386"/>
      <c r="C78" s="1069" t="s">
        <v>1357</v>
      </c>
      <c r="D78" s="1064" t="s">
        <v>1844</v>
      </c>
      <c r="E78" s="55"/>
      <c r="F78" s="314">
        <v>68</v>
      </c>
      <c r="G78" s="316">
        <v>59</v>
      </c>
      <c r="H78" s="1065">
        <f t="shared" si="3"/>
        <v>86.764705882352942</v>
      </c>
    </row>
    <row r="79" spans="1:12" s="1056" customFormat="1" ht="15" x14ac:dyDescent="0.25">
      <c r="A79" s="34">
        <v>6172</v>
      </c>
      <c r="B79" s="2386">
        <v>5032</v>
      </c>
      <c r="C79" s="1069"/>
      <c r="D79" s="1057" t="s">
        <v>238</v>
      </c>
      <c r="E79" s="48">
        <f>E80</f>
        <v>16000</v>
      </c>
      <c r="F79" s="446">
        <f>F80+F82+F83+F84+F81</f>
        <v>16702</v>
      </c>
      <c r="G79" s="446">
        <f>G80+G82+G83+G84+G81</f>
        <v>16536</v>
      </c>
      <c r="H79" s="1062">
        <f>(G79/F79)*100</f>
        <v>99.006107053047543</v>
      </c>
    </row>
    <row r="80" spans="1:12" s="1056" customFormat="1" ht="14.25" x14ac:dyDescent="0.2">
      <c r="A80" s="34"/>
      <c r="B80" s="2386"/>
      <c r="C80" s="1069" t="s">
        <v>753</v>
      </c>
      <c r="D80" s="1063" t="s">
        <v>1259</v>
      </c>
      <c r="E80" s="55">
        <v>16000</v>
      </c>
      <c r="F80" s="314">
        <v>16110</v>
      </c>
      <c r="G80" s="316">
        <v>16066</v>
      </c>
      <c r="H80" s="1065">
        <f t="shared" si="3"/>
        <v>99.726877715704532</v>
      </c>
    </row>
    <row r="81" spans="1:12" s="1056" customFormat="1" ht="14.25" x14ac:dyDescent="0.2">
      <c r="A81" s="34"/>
      <c r="B81" s="2386"/>
      <c r="C81" s="1069" t="s">
        <v>22</v>
      </c>
      <c r="D81" s="1064" t="s">
        <v>1203</v>
      </c>
      <c r="E81" s="55"/>
      <c r="F81" s="314">
        <v>534</v>
      </c>
      <c r="G81" s="316">
        <v>417</v>
      </c>
      <c r="H81" s="1065">
        <f t="shared" si="3"/>
        <v>78.089887640449433</v>
      </c>
    </row>
    <row r="82" spans="1:12" s="1056" customFormat="1" ht="14.25" x14ac:dyDescent="0.2">
      <c r="A82" s="34"/>
      <c r="B82" s="2386"/>
      <c r="C82" s="1069" t="s">
        <v>302</v>
      </c>
      <c r="D82" s="1064" t="s">
        <v>811</v>
      </c>
      <c r="E82" s="55"/>
      <c r="F82" s="314">
        <v>29</v>
      </c>
      <c r="G82" s="316">
        <v>29</v>
      </c>
      <c r="H82" s="1065">
        <f t="shared" si="3"/>
        <v>100</v>
      </c>
    </row>
    <row r="83" spans="1:12" s="1056" customFormat="1" ht="14.25" x14ac:dyDescent="0.2">
      <c r="A83" s="34"/>
      <c r="B83" s="2386"/>
      <c r="C83" s="1069" t="s">
        <v>1355</v>
      </c>
      <c r="D83" s="1064" t="s">
        <v>1844</v>
      </c>
      <c r="E83" s="55"/>
      <c r="F83" s="314">
        <v>4</v>
      </c>
      <c r="G83" s="316">
        <v>4</v>
      </c>
      <c r="H83" s="1065">
        <f t="shared" si="3"/>
        <v>100</v>
      </c>
    </row>
    <row r="84" spans="1:12" s="1056" customFormat="1" ht="14.25" x14ac:dyDescent="0.2">
      <c r="A84" s="34"/>
      <c r="B84" s="2386"/>
      <c r="C84" s="1069" t="s">
        <v>1357</v>
      </c>
      <c r="D84" s="1064" t="s">
        <v>1844</v>
      </c>
      <c r="E84" s="55"/>
      <c r="F84" s="314">
        <v>25</v>
      </c>
      <c r="G84" s="316">
        <v>20</v>
      </c>
      <c r="H84" s="1065">
        <f t="shared" si="3"/>
        <v>80</v>
      </c>
    </row>
    <row r="85" spans="1:12" s="1056" customFormat="1" ht="15" x14ac:dyDescent="0.25">
      <c r="A85" s="34">
        <v>6172</v>
      </c>
      <c r="B85" s="2386">
        <v>5038</v>
      </c>
      <c r="C85" s="1069"/>
      <c r="D85" s="1057" t="s">
        <v>1104</v>
      </c>
      <c r="E85" s="48">
        <v>800</v>
      </c>
      <c r="F85" s="446">
        <v>770</v>
      </c>
      <c r="G85" s="446">
        <v>766</v>
      </c>
      <c r="H85" s="1062">
        <f>(G85/F85)*100</f>
        <v>99.480519480519476</v>
      </c>
    </row>
    <row r="86" spans="1:12" s="1056" customFormat="1" ht="15" x14ac:dyDescent="0.25">
      <c r="A86" s="34">
        <v>6172</v>
      </c>
      <c r="B86" s="2386">
        <v>5039</v>
      </c>
      <c r="C86" s="1069"/>
      <c r="D86" s="1057" t="s">
        <v>1230</v>
      </c>
      <c r="E86" s="48">
        <v>50</v>
      </c>
      <c r="F86" s="168">
        <v>0</v>
      </c>
      <c r="G86" s="315">
        <v>0</v>
      </c>
      <c r="H86" s="1062">
        <v>0</v>
      </c>
    </row>
    <row r="87" spans="1:12" s="1056" customFormat="1" ht="15" x14ac:dyDescent="0.25">
      <c r="A87" s="34">
        <v>6172</v>
      </c>
      <c r="B87" s="2386">
        <v>5132</v>
      </c>
      <c r="C87" s="1069"/>
      <c r="D87" s="1057" t="s">
        <v>1846</v>
      </c>
      <c r="E87" s="48">
        <v>40</v>
      </c>
      <c r="F87" s="168">
        <v>26</v>
      </c>
      <c r="G87" s="315">
        <v>21</v>
      </c>
      <c r="H87" s="1062">
        <f>(G87/F87)*100</f>
        <v>80.769230769230774</v>
      </c>
    </row>
    <row r="88" spans="1:12" s="1056" customFormat="1" ht="15" x14ac:dyDescent="0.25">
      <c r="A88" s="34">
        <v>6172</v>
      </c>
      <c r="B88" s="2386">
        <v>5136</v>
      </c>
      <c r="C88" s="1069"/>
      <c r="D88" s="1057" t="s">
        <v>239</v>
      </c>
      <c r="E88" s="48">
        <v>500</v>
      </c>
      <c r="F88" s="168">
        <v>500</v>
      </c>
      <c r="G88" s="315">
        <v>400</v>
      </c>
      <c r="H88" s="1062">
        <f t="shared" ref="H88:H99" si="4">(G88/F88)*100</f>
        <v>80</v>
      </c>
    </row>
    <row r="89" spans="1:12" s="1056" customFormat="1" ht="15" x14ac:dyDescent="0.25">
      <c r="A89" s="34">
        <v>6172</v>
      </c>
      <c r="B89" s="2386">
        <v>5137</v>
      </c>
      <c r="C89" s="1069"/>
      <c r="D89" s="1057" t="s">
        <v>155</v>
      </c>
      <c r="E89" s="48">
        <v>500</v>
      </c>
      <c r="F89" s="168">
        <v>449</v>
      </c>
      <c r="G89" s="315">
        <v>432</v>
      </c>
      <c r="H89" s="1062">
        <f t="shared" si="4"/>
        <v>96.213808463251667</v>
      </c>
    </row>
    <row r="90" spans="1:12" s="1056" customFormat="1" ht="14.25" x14ac:dyDescent="0.2">
      <c r="A90" s="34"/>
      <c r="B90" s="2386"/>
      <c r="C90" s="1069" t="s">
        <v>753</v>
      </c>
      <c r="D90" s="1063" t="s">
        <v>1259</v>
      </c>
      <c r="E90" s="55">
        <v>500</v>
      </c>
      <c r="F90" s="314">
        <v>445</v>
      </c>
      <c r="G90" s="316">
        <v>432</v>
      </c>
      <c r="H90" s="1065">
        <f t="shared" si="4"/>
        <v>97.078651685393254</v>
      </c>
    </row>
    <row r="91" spans="1:12" s="1056" customFormat="1" ht="14.25" x14ac:dyDescent="0.2">
      <c r="A91" s="34"/>
      <c r="B91" s="2386"/>
      <c r="C91" s="1069" t="s">
        <v>302</v>
      </c>
      <c r="D91" s="1064" t="s">
        <v>811</v>
      </c>
      <c r="E91" s="55"/>
      <c r="F91" s="314">
        <v>4</v>
      </c>
      <c r="G91" s="316">
        <v>0</v>
      </c>
      <c r="H91" s="1065">
        <f t="shared" si="4"/>
        <v>0</v>
      </c>
    </row>
    <row r="92" spans="1:12" s="1056" customFormat="1" ht="15" x14ac:dyDescent="0.25">
      <c r="A92" s="34">
        <v>6172</v>
      </c>
      <c r="B92" s="2386">
        <v>5139</v>
      </c>
      <c r="C92" s="1069"/>
      <c r="D92" s="1057" t="s">
        <v>295</v>
      </c>
      <c r="E92" s="48">
        <v>3050</v>
      </c>
      <c r="F92" s="446">
        <v>2673</v>
      </c>
      <c r="G92" s="446">
        <v>2344</v>
      </c>
      <c r="H92" s="1062">
        <f t="shared" si="4"/>
        <v>87.691732136176583</v>
      </c>
    </row>
    <row r="93" spans="1:12" s="1056" customFormat="1" ht="15" x14ac:dyDescent="0.25">
      <c r="A93" s="34">
        <v>6172</v>
      </c>
      <c r="B93" s="2386">
        <v>5151</v>
      </c>
      <c r="C93" s="1069"/>
      <c r="D93" s="1057" t="s">
        <v>860</v>
      </c>
      <c r="E93" s="48">
        <v>440</v>
      </c>
      <c r="F93" s="168">
        <v>468</v>
      </c>
      <c r="G93" s="315">
        <v>371</v>
      </c>
      <c r="H93" s="1062">
        <f t="shared" si="4"/>
        <v>79.273504273504273</v>
      </c>
    </row>
    <row r="94" spans="1:12" s="1056" customFormat="1" ht="15" x14ac:dyDescent="0.25">
      <c r="A94" s="50">
        <v>6172</v>
      </c>
      <c r="B94" s="2388">
        <v>5152</v>
      </c>
      <c r="C94" s="1069"/>
      <c r="D94" s="1057" t="s">
        <v>863</v>
      </c>
      <c r="E94" s="48">
        <v>3205</v>
      </c>
      <c r="F94" s="168">
        <v>3170</v>
      </c>
      <c r="G94" s="315">
        <v>2541</v>
      </c>
      <c r="H94" s="1062">
        <f t="shared" si="4"/>
        <v>80.15772870662461</v>
      </c>
      <c r="J94" s="1090"/>
      <c r="K94" s="1090"/>
      <c r="L94" s="1090"/>
    </row>
    <row r="95" spans="1:12" s="1056" customFormat="1" ht="15" x14ac:dyDescent="0.25">
      <c r="A95" s="50">
        <v>6172</v>
      </c>
      <c r="B95" s="2388">
        <v>5153</v>
      </c>
      <c r="C95" s="1069"/>
      <c r="D95" s="1057" t="s">
        <v>1226</v>
      </c>
      <c r="E95" s="48">
        <v>100</v>
      </c>
      <c r="F95" s="168">
        <v>100</v>
      </c>
      <c r="G95" s="315">
        <v>51</v>
      </c>
      <c r="H95" s="1062">
        <f t="shared" si="4"/>
        <v>51</v>
      </c>
    </row>
    <row r="96" spans="1:12" s="1056" customFormat="1" ht="15" x14ac:dyDescent="0.25">
      <c r="A96" s="50">
        <v>6172</v>
      </c>
      <c r="B96" s="2388">
        <v>5154</v>
      </c>
      <c r="C96" s="1069"/>
      <c r="D96" s="1057" t="s">
        <v>297</v>
      </c>
      <c r="E96" s="48">
        <v>3652</v>
      </c>
      <c r="F96" s="168">
        <v>3619</v>
      </c>
      <c r="G96" s="315">
        <v>3192</v>
      </c>
      <c r="H96" s="1062">
        <f t="shared" si="4"/>
        <v>88.201160541586077</v>
      </c>
    </row>
    <row r="97" spans="1:12" s="1056" customFormat="1" ht="15" x14ac:dyDescent="0.25">
      <c r="A97" s="50">
        <v>6172</v>
      </c>
      <c r="B97" s="2388">
        <v>5156</v>
      </c>
      <c r="C97" s="1069"/>
      <c r="D97" s="1057" t="s">
        <v>298</v>
      </c>
      <c r="E97" s="48">
        <f>E98</f>
        <v>1200</v>
      </c>
      <c r="F97" s="446">
        <f>F98+F99</f>
        <v>1202</v>
      </c>
      <c r="G97" s="446">
        <f>G98+G99</f>
        <v>1013</v>
      </c>
      <c r="H97" s="1062">
        <f t="shared" si="4"/>
        <v>84.276206322795346</v>
      </c>
    </row>
    <row r="98" spans="1:12" s="1056" customFormat="1" ht="14.25" x14ac:dyDescent="0.2">
      <c r="A98" s="50"/>
      <c r="B98" s="2388"/>
      <c r="C98" s="1069" t="s">
        <v>753</v>
      </c>
      <c r="D98" s="1063" t="s">
        <v>1259</v>
      </c>
      <c r="E98" s="55">
        <v>1200</v>
      </c>
      <c r="F98" s="314">
        <v>1200</v>
      </c>
      <c r="G98" s="316">
        <v>1012</v>
      </c>
      <c r="H98" s="1065">
        <f t="shared" si="4"/>
        <v>84.333333333333343</v>
      </c>
    </row>
    <row r="99" spans="1:12" s="1056" customFormat="1" ht="15" x14ac:dyDescent="0.25">
      <c r="A99" s="50"/>
      <c r="B99" s="2388"/>
      <c r="C99" s="1713">
        <v>41500881</v>
      </c>
      <c r="D99" s="1064" t="s">
        <v>1486</v>
      </c>
      <c r="E99" s="48"/>
      <c r="F99" s="314">
        <v>2</v>
      </c>
      <c r="G99" s="316">
        <v>1</v>
      </c>
      <c r="H99" s="1065">
        <f t="shared" si="4"/>
        <v>50</v>
      </c>
    </row>
    <row r="100" spans="1:12" s="1056" customFormat="1" ht="15" x14ac:dyDescent="0.25">
      <c r="A100" s="34">
        <v>6172</v>
      </c>
      <c r="B100" s="2388">
        <v>5157</v>
      </c>
      <c r="C100" s="1069"/>
      <c r="D100" s="1057" t="s">
        <v>383</v>
      </c>
      <c r="E100" s="48">
        <v>120</v>
      </c>
      <c r="F100" s="168">
        <v>134</v>
      </c>
      <c r="G100" s="315">
        <v>132</v>
      </c>
      <c r="H100" s="1062">
        <f t="shared" ref="H100:H106" si="5">(G100/F100)*100</f>
        <v>98.507462686567166</v>
      </c>
      <c r="J100" s="1090"/>
      <c r="K100" s="1090"/>
      <c r="L100" s="1090"/>
    </row>
    <row r="101" spans="1:12" s="1056" customFormat="1" ht="15" x14ac:dyDescent="0.25">
      <c r="A101" s="50">
        <v>6172</v>
      </c>
      <c r="B101" s="2388">
        <v>5159</v>
      </c>
      <c r="C101" s="1069"/>
      <c r="D101" s="1057" t="s">
        <v>489</v>
      </c>
      <c r="E101" s="48">
        <v>25</v>
      </c>
      <c r="F101" s="168">
        <v>5</v>
      </c>
      <c r="G101" s="315">
        <v>0</v>
      </c>
      <c r="H101" s="1062">
        <f t="shared" si="5"/>
        <v>0</v>
      </c>
    </row>
    <row r="102" spans="1:12" s="1056" customFormat="1" ht="15" x14ac:dyDescent="0.25">
      <c r="A102" s="50">
        <v>6172</v>
      </c>
      <c r="B102" s="2388">
        <v>5161</v>
      </c>
      <c r="C102" s="1069"/>
      <c r="D102" s="2461" t="s">
        <v>1837</v>
      </c>
      <c r="E102" s="48">
        <v>1000</v>
      </c>
      <c r="F102" s="446">
        <v>1150</v>
      </c>
      <c r="G102" s="446">
        <v>1077</v>
      </c>
      <c r="H102" s="1062">
        <f t="shared" si="5"/>
        <v>93.652173913043484</v>
      </c>
    </row>
    <row r="103" spans="1:12" s="1056" customFormat="1" ht="15" x14ac:dyDescent="0.25">
      <c r="A103" s="50">
        <v>6172</v>
      </c>
      <c r="B103" s="2388">
        <v>5162</v>
      </c>
      <c r="C103" s="1069"/>
      <c r="D103" s="1057" t="s">
        <v>864</v>
      </c>
      <c r="E103" s="48">
        <v>1800</v>
      </c>
      <c r="F103" s="446">
        <f>F104+F105</f>
        <v>1657</v>
      </c>
      <c r="G103" s="446">
        <f>G104+G105</f>
        <v>1469</v>
      </c>
      <c r="H103" s="1062">
        <f t="shared" si="5"/>
        <v>88.654194327097173</v>
      </c>
    </row>
    <row r="104" spans="1:12" s="1056" customFormat="1" ht="14.25" x14ac:dyDescent="0.2">
      <c r="A104" s="50"/>
      <c r="B104" s="2388"/>
      <c r="C104" s="1069" t="s">
        <v>753</v>
      </c>
      <c r="D104" s="1063" t="s">
        <v>1259</v>
      </c>
      <c r="E104" s="55">
        <v>1800</v>
      </c>
      <c r="F104" s="314">
        <v>1650</v>
      </c>
      <c r="G104" s="316">
        <v>1465</v>
      </c>
      <c r="H104" s="1065">
        <f t="shared" si="5"/>
        <v>88.787878787878796</v>
      </c>
    </row>
    <row r="105" spans="1:12" s="1056" customFormat="1" ht="15" x14ac:dyDescent="0.25">
      <c r="A105" s="50"/>
      <c r="B105" s="2388"/>
      <c r="C105" s="1069" t="s">
        <v>302</v>
      </c>
      <c r="D105" s="1064" t="s">
        <v>811</v>
      </c>
      <c r="E105" s="48"/>
      <c r="F105" s="314">
        <v>7</v>
      </c>
      <c r="G105" s="316">
        <v>4</v>
      </c>
      <c r="H105" s="1065">
        <f t="shared" si="5"/>
        <v>57.142857142857139</v>
      </c>
      <c r="J105" s="1090"/>
    </row>
    <row r="106" spans="1:12" s="1056" customFormat="1" ht="15.75" customHeight="1" x14ac:dyDescent="0.25">
      <c r="A106" s="50">
        <v>6172</v>
      </c>
      <c r="B106" s="2388">
        <v>5163</v>
      </c>
      <c r="C106" s="1069"/>
      <c r="D106" s="1057" t="s">
        <v>892</v>
      </c>
      <c r="E106" s="48">
        <v>100</v>
      </c>
      <c r="F106" s="1714">
        <v>100</v>
      </c>
      <c r="G106" s="446">
        <v>8</v>
      </c>
      <c r="H106" s="1062">
        <f t="shared" si="5"/>
        <v>8</v>
      </c>
      <c r="J106" s="1090"/>
      <c r="K106" s="1090"/>
      <c r="L106" s="1090"/>
    </row>
    <row r="107" spans="1:12" s="1056" customFormat="1" ht="15" x14ac:dyDescent="0.25">
      <c r="A107" s="50">
        <v>6172</v>
      </c>
      <c r="B107" s="2388">
        <v>5164</v>
      </c>
      <c r="C107" s="1069"/>
      <c r="D107" s="1057" t="s">
        <v>893</v>
      </c>
      <c r="E107" s="48">
        <v>17001</v>
      </c>
      <c r="F107" s="446">
        <f>F108+F109</f>
        <v>17074</v>
      </c>
      <c r="G107" s="446">
        <f>G108+G109</f>
        <v>17063</v>
      </c>
      <c r="H107" s="1062">
        <f t="shared" ref="H107:H118" si="6">(G107/F107)*100</f>
        <v>99.9355745578072</v>
      </c>
    </row>
    <row r="108" spans="1:12" s="1056" customFormat="1" ht="14.25" x14ac:dyDescent="0.2">
      <c r="A108" s="50"/>
      <c r="B108" s="2388"/>
      <c r="C108" s="1069" t="s">
        <v>753</v>
      </c>
      <c r="D108" s="1063" t="s">
        <v>1259</v>
      </c>
      <c r="E108" s="55">
        <v>16902</v>
      </c>
      <c r="F108" s="314">
        <v>16739</v>
      </c>
      <c r="G108" s="316">
        <v>16729</v>
      </c>
      <c r="H108" s="1065">
        <f t="shared" si="6"/>
        <v>99.940259274747604</v>
      </c>
    </row>
    <row r="109" spans="1:12" s="1056" customFormat="1" ht="14.25" x14ac:dyDescent="0.2">
      <c r="A109" s="50"/>
      <c r="B109" s="2388"/>
      <c r="C109" s="1069" t="s">
        <v>1205</v>
      </c>
      <c r="D109" s="1063" t="s">
        <v>1206</v>
      </c>
      <c r="E109" s="55">
        <v>99</v>
      </c>
      <c r="F109" s="314">
        <v>335</v>
      </c>
      <c r="G109" s="316">
        <v>334</v>
      </c>
      <c r="H109" s="1065">
        <f t="shared" si="6"/>
        <v>99.701492537313428</v>
      </c>
    </row>
    <row r="110" spans="1:12" s="1056" customFormat="1" ht="15" x14ac:dyDescent="0.25">
      <c r="A110" s="50">
        <v>6172</v>
      </c>
      <c r="B110" s="2388">
        <v>5166</v>
      </c>
      <c r="C110" s="1069"/>
      <c r="D110" s="128" t="s">
        <v>609</v>
      </c>
      <c r="E110" s="60">
        <v>200</v>
      </c>
      <c r="F110" s="313">
        <v>33</v>
      </c>
      <c r="G110" s="315">
        <v>32</v>
      </c>
      <c r="H110" s="1062">
        <f t="shared" si="6"/>
        <v>96.969696969696969</v>
      </c>
    </row>
    <row r="111" spans="1:12" s="1056" customFormat="1" ht="15" x14ac:dyDescent="0.25">
      <c r="A111" s="50">
        <v>6172</v>
      </c>
      <c r="B111" s="2388">
        <v>5167</v>
      </c>
      <c r="C111" s="1069"/>
      <c r="D111" s="1057" t="s">
        <v>895</v>
      </c>
      <c r="E111" s="48">
        <v>2000</v>
      </c>
      <c r="F111" s="168">
        <v>2041</v>
      </c>
      <c r="G111" s="315">
        <v>1901</v>
      </c>
      <c r="H111" s="1062">
        <f t="shared" si="6"/>
        <v>93.140617344439008</v>
      </c>
    </row>
    <row r="112" spans="1:12" s="1056" customFormat="1" ht="15" x14ac:dyDescent="0.25">
      <c r="A112" s="50">
        <v>6172</v>
      </c>
      <c r="B112" s="2388">
        <v>5168</v>
      </c>
      <c r="C112" s="1069"/>
      <c r="D112" s="2637" t="s">
        <v>1836</v>
      </c>
      <c r="E112" s="48"/>
      <c r="F112" s="168">
        <v>51</v>
      </c>
      <c r="G112" s="315">
        <v>11</v>
      </c>
      <c r="H112" s="1062">
        <f t="shared" si="6"/>
        <v>21.568627450980394</v>
      </c>
    </row>
    <row r="113" spans="1:11" s="1056" customFormat="1" ht="15" x14ac:dyDescent="0.25">
      <c r="A113" s="50"/>
      <c r="B113" s="2388"/>
      <c r="C113" s="1069"/>
      <c r="D113" s="2633"/>
      <c r="E113" s="48"/>
      <c r="F113" s="168"/>
      <c r="G113" s="315"/>
      <c r="H113" s="1062"/>
    </row>
    <row r="114" spans="1:11" s="1056" customFormat="1" ht="15" x14ac:dyDescent="0.25">
      <c r="A114" s="50">
        <v>6172</v>
      </c>
      <c r="B114" s="2388">
        <v>5169</v>
      </c>
      <c r="C114" s="1069"/>
      <c r="D114" s="1057" t="s">
        <v>1151</v>
      </c>
      <c r="E114" s="48">
        <v>13000</v>
      </c>
      <c r="F114" s="446">
        <v>13359</v>
      </c>
      <c r="G114" s="446">
        <v>12796</v>
      </c>
      <c r="H114" s="1062">
        <f t="shared" si="6"/>
        <v>95.785612695561042</v>
      </c>
    </row>
    <row r="115" spans="1:11" s="1056" customFormat="1" ht="15" x14ac:dyDescent="0.25">
      <c r="A115" s="50">
        <v>6172</v>
      </c>
      <c r="B115" s="2388">
        <v>5171</v>
      </c>
      <c r="C115" s="1069"/>
      <c r="D115" s="1057" t="s">
        <v>1231</v>
      </c>
      <c r="E115" s="48">
        <f>E116+E117</f>
        <v>2778</v>
      </c>
      <c r="F115" s="48">
        <f>F116+F117</f>
        <v>3342</v>
      </c>
      <c r="G115" s="48">
        <f>G116+G117</f>
        <v>3205</v>
      </c>
      <c r="H115" s="1062">
        <f t="shared" si="6"/>
        <v>95.900658288450018</v>
      </c>
    </row>
    <row r="116" spans="1:11" s="1056" customFormat="1" ht="14.25" x14ac:dyDescent="0.2">
      <c r="A116" s="50"/>
      <c r="B116" s="2388"/>
      <c r="C116" s="1069" t="s">
        <v>753</v>
      </c>
      <c r="D116" s="1063" t="s">
        <v>1259</v>
      </c>
      <c r="E116" s="55">
        <v>2778</v>
      </c>
      <c r="F116" s="314">
        <v>3193</v>
      </c>
      <c r="G116" s="316">
        <v>3077</v>
      </c>
      <c r="H116" s="1065">
        <f t="shared" si="6"/>
        <v>96.367052928280614</v>
      </c>
    </row>
    <row r="117" spans="1:11" s="1056" customFormat="1" ht="15" x14ac:dyDescent="0.25">
      <c r="A117" s="50"/>
      <c r="B117" s="2388"/>
      <c r="C117" s="1069" t="s">
        <v>812</v>
      </c>
      <c r="D117" s="1064" t="s">
        <v>813</v>
      </c>
      <c r="E117" s="48"/>
      <c r="F117" s="314">
        <v>149</v>
      </c>
      <c r="G117" s="316">
        <v>128</v>
      </c>
      <c r="H117" s="1065">
        <f t="shared" si="6"/>
        <v>85.90604026845638</v>
      </c>
    </row>
    <row r="118" spans="1:11" s="1056" customFormat="1" ht="15" x14ac:dyDescent="0.25">
      <c r="A118" s="50">
        <v>6172</v>
      </c>
      <c r="B118" s="2388">
        <v>5173</v>
      </c>
      <c r="C118" s="1069"/>
      <c r="D118" s="1057" t="s">
        <v>1152</v>
      </c>
      <c r="E118" s="48">
        <v>3000</v>
      </c>
      <c r="F118" s="446">
        <f>F119+F120+F122+F123</f>
        <v>2863</v>
      </c>
      <c r="G118" s="446">
        <f>G119+G120+G122+G123+G121</f>
        <v>2286</v>
      </c>
      <c r="H118" s="1062">
        <f t="shared" si="6"/>
        <v>79.846315054139012</v>
      </c>
      <c r="J118" s="1090"/>
      <c r="K118" s="1090"/>
    </row>
    <row r="119" spans="1:11" s="1056" customFormat="1" ht="14.25" x14ac:dyDescent="0.2">
      <c r="A119" s="50"/>
      <c r="B119" s="2388"/>
      <c r="C119" s="1069" t="s">
        <v>753</v>
      </c>
      <c r="D119" s="1063" t="s">
        <v>1259</v>
      </c>
      <c r="E119" s="55">
        <v>3000</v>
      </c>
      <c r="F119" s="314">
        <v>2600</v>
      </c>
      <c r="G119" s="316">
        <v>2124</v>
      </c>
      <c r="H119" s="1065">
        <f t="shared" ref="H119:H125" si="7">(G119/F119)*100</f>
        <v>81.692307692307693</v>
      </c>
    </row>
    <row r="120" spans="1:11" s="1056" customFormat="1" ht="14.25" x14ac:dyDescent="0.2">
      <c r="A120" s="50"/>
      <c r="B120" s="2388"/>
      <c r="C120" s="1069" t="s">
        <v>302</v>
      </c>
      <c r="D120" s="1064" t="s">
        <v>811</v>
      </c>
      <c r="E120" s="55"/>
      <c r="F120" s="314">
        <v>13</v>
      </c>
      <c r="G120" s="316">
        <v>13</v>
      </c>
      <c r="H120" s="1065">
        <f t="shared" si="7"/>
        <v>100</v>
      </c>
    </row>
    <row r="121" spans="1:11" s="1056" customFormat="1" ht="14.25" x14ac:dyDescent="0.2">
      <c r="A121" s="50"/>
      <c r="B121" s="2388"/>
      <c r="C121" s="1069" t="s">
        <v>1847</v>
      </c>
      <c r="D121" s="1064" t="s">
        <v>1486</v>
      </c>
      <c r="E121" s="55"/>
      <c r="F121" s="314"/>
      <c r="G121" s="316">
        <v>1</v>
      </c>
      <c r="H121" s="1065">
        <v>0</v>
      </c>
    </row>
    <row r="122" spans="1:11" s="1056" customFormat="1" ht="14.25" x14ac:dyDescent="0.2">
      <c r="A122" s="50"/>
      <c r="B122" s="2388"/>
      <c r="C122" s="1713">
        <v>42100880</v>
      </c>
      <c r="D122" s="1351" t="s">
        <v>1484</v>
      </c>
      <c r="E122" s="55"/>
      <c r="F122" s="314">
        <v>38</v>
      </c>
      <c r="G122" s="316">
        <v>22</v>
      </c>
      <c r="H122" s="1065">
        <f t="shared" si="7"/>
        <v>57.894736842105267</v>
      </c>
    </row>
    <row r="123" spans="1:11" s="1056" customFormat="1" ht="14.25" x14ac:dyDescent="0.2">
      <c r="A123" s="50"/>
      <c r="B123" s="2388"/>
      <c r="C123" s="1713">
        <v>42500881</v>
      </c>
      <c r="D123" s="1064" t="s">
        <v>1486</v>
      </c>
      <c r="E123" s="55"/>
      <c r="F123" s="314">
        <v>212</v>
      </c>
      <c r="G123" s="316">
        <v>126</v>
      </c>
      <c r="H123" s="1065">
        <f t="shared" si="7"/>
        <v>59.433962264150942</v>
      </c>
    </row>
    <row r="124" spans="1:11" s="1056" customFormat="1" ht="15" x14ac:dyDescent="0.25">
      <c r="A124" s="50">
        <v>6172</v>
      </c>
      <c r="B124" s="2388">
        <v>5175</v>
      </c>
      <c r="C124" s="1069"/>
      <c r="D124" s="1080" t="s">
        <v>669</v>
      </c>
      <c r="E124" s="71">
        <v>500</v>
      </c>
      <c r="F124" s="313">
        <v>500</v>
      </c>
      <c r="G124" s="315">
        <v>399</v>
      </c>
      <c r="H124" s="1062">
        <f t="shared" si="7"/>
        <v>79.800000000000011</v>
      </c>
    </row>
    <row r="125" spans="1:11" s="1056" customFormat="1" ht="15" x14ac:dyDescent="0.25">
      <c r="A125" s="50">
        <v>6172</v>
      </c>
      <c r="B125" s="2388">
        <v>5176</v>
      </c>
      <c r="C125" s="1069"/>
      <c r="D125" s="1080" t="s">
        <v>1247</v>
      </c>
      <c r="E125" s="71">
        <v>200</v>
      </c>
      <c r="F125" s="313">
        <v>200</v>
      </c>
      <c r="G125" s="315">
        <v>174</v>
      </c>
      <c r="H125" s="1062">
        <f t="shared" si="7"/>
        <v>87</v>
      </c>
    </row>
    <row r="126" spans="1:11" s="1056" customFormat="1" ht="15" x14ac:dyDescent="0.25">
      <c r="A126" s="50">
        <v>6172</v>
      </c>
      <c r="B126" s="2388">
        <v>5192</v>
      </c>
      <c r="C126" s="1069"/>
      <c r="D126" s="1057" t="s">
        <v>1033</v>
      </c>
      <c r="E126" s="48">
        <v>100</v>
      </c>
      <c r="F126" s="168">
        <v>120</v>
      </c>
      <c r="G126" s="315">
        <v>73</v>
      </c>
      <c r="H126" s="1062">
        <f t="shared" ref="H126:H130" si="8">(G126/F126)*100</f>
        <v>60.833333333333329</v>
      </c>
    </row>
    <row r="127" spans="1:11" s="1056" customFormat="1" ht="15" x14ac:dyDescent="0.25">
      <c r="A127" s="50">
        <v>6172</v>
      </c>
      <c r="B127" s="2388">
        <v>5323</v>
      </c>
      <c r="C127" s="1069"/>
      <c r="D127" s="1057" t="s">
        <v>222</v>
      </c>
      <c r="E127" s="48">
        <v>40</v>
      </c>
      <c r="F127" s="168">
        <v>40</v>
      </c>
      <c r="G127" s="315">
        <v>33</v>
      </c>
      <c r="H127" s="1062">
        <f t="shared" si="8"/>
        <v>82.5</v>
      </c>
    </row>
    <row r="128" spans="1:11" s="1056" customFormat="1" ht="15" x14ac:dyDescent="0.25">
      <c r="A128" s="50">
        <v>6172</v>
      </c>
      <c r="B128" s="2388">
        <v>5361</v>
      </c>
      <c r="C128" s="1069"/>
      <c r="D128" s="1057" t="s">
        <v>600</v>
      </c>
      <c r="E128" s="48">
        <v>100</v>
      </c>
      <c r="F128" s="168">
        <v>99</v>
      </c>
      <c r="G128" s="315">
        <v>40</v>
      </c>
      <c r="H128" s="1062">
        <f t="shared" si="8"/>
        <v>40.404040404040401</v>
      </c>
    </row>
    <row r="129" spans="1:12" s="1056" customFormat="1" ht="15" x14ac:dyDescent="0.25">
      <c r="A129" s="50">
        <v>6172</v>
      </c>
      <c r="B129" s="2388">
        <v>5362</v>
      </c>
      <c r="C129" s="1069"/>
      <c r="D129" s="1057" t="s">
        <v>601</v>
      </c>
      <c r="E129" s="48">
        <v>50</v>
      </c>
      <c r="F129" s="168">
        <v>51</v>
      </c>
      <c r="G129" s="315">
        <v>50</v>
      </c>
      <c r="H129" s="1062">
        <f t="shared" si="8"/>
        <v>98.039215686274503</v>
      </c>
    </row>
    <row r="130" spans="1:12" s="1056" customFormat="1" ht="15" x14ac:dyDescent="0.25">
      <c r="A130" s="50">
        <v>6172</v>
      </c>
      <c r="B130" s="2388">
        <v>5424</v>
      </c>
      <c r="C130" s="1069"/>
      <c r="D130" s="1057" t="s">
        <v>650</v>
      </c>
      <c r="E130" s="48">
        <v>1000</v>
      </c>
      <c r="F130" s="168">
        <v>1001</v>
      </c>
      <c r="G130" s="315">
        <v>885</v>
      </c>
      <c r="H130" s="1062">
        <f t="shared" si="8"/>
        <v>88.411588411588411</v>
      </c>
    </row>
    <row r="131" spans="1:12" s="1056" customFormat="1" ht="15" x14ac:dyDescent="0.25">
      <c r="A131" s="50">
        <v>6172</v>
      </c>
      <c r="B131" s="19">
        <v>5499</v>
      </c>
      <c r="C131" s="1069"/>
      <c r="D131" s="2407" t="s">
        <v>375</v>
      </c>
      <c r="E131" s="48"/>
      <c r="F131" s="168"/>
      <c r="G131" s="446">
        <v>204</v>
      </c>
      <c r="H131" s="1062">
        <v>0</v>
      </c>
    </row>
    <row r="132" spans="1:12" s="1056" customFormat="1" ht="15" x14ac:dyDescent="0.25">
      <c r="A132" s="50">
        <v>6172</v>
      </c>
      <c r="B132" s="2388">
        <v>5909</v>
      </c>
      <c r="C132" s="1069"/>
      <c r="D132" s="1057" t="s">
        <v>781</v>
      </c>
      <c r="E132" s="48"/>
      <c r="F132" s="168"/>
      <c r="G132" s="315">
        <v>2092</v>
      </c>
      <c r="H132" s="1062">
        <v>0</v>
      </c>
    </row>
    <row r="133" spans="1:12" s="1056" customFormat="1" ht="15.75" thickBot="1" x14ac:dyDescent="0.3">
      <c r="A133" s="1076">
        <v>6330</v>
      </c>
      <c r="B133" s="2389">
        <v>5342</v>
      </c>
      <c r="C133" s="1081"/>
      <c r="D133" s="1077" t="s">
        <v>339</v>
      </c>
      <c r="E133" s="1083">
        <v>6160</v>
      </c>
      <c r="F133" s="443">
        <v>6660</v>
      </c>
      <c r="G133" s="442">
        <v>5836</v>
      </c>
      <c r="H133" s="1326">
        <f>(G133/F133)*100</f>
        <v>87.627627627627618</v>
      </c>
      <c r="J133" s="1089">
        <f>E73+E79+E85+E86+E87+E88+E89+E92+E93+E94+E95+E96+E97+E100+E101+E102+E103+E106+E107+E110+E111+E114+E115+E118+E124+E125+E126+E127+E128+E129+E130+E133</f>
        <v>123211</v>
      </c>
      <c r="K133" s="1089">
        <f>F73+F79+F85+F86+F87+F88+F89+F92+F93+F94+F95+F96+F97+F100+F101+F102+F103+F106+F107+F110+F111+F112+F114+F115+F118+F124+F125+F126+F127+F128+F129+F130+F133</f>
        <v>126610</v>
      </c>
      <c r="L133" s="1089">
        <f>G73+G79+G85+G86+G87+G88+G89+G92+G93+G94+G95+G96+G97+G100+G101+G102+G103+G106+G107+G110+G111+G112+G114+G115+G118+G124+G125+G126+G127+G128+G129+G130+G132+G133+G131</f>
        <v>123366</v>
      </c>
    </row>
    <row r="134" spans="1:12" s="360" customFormat="1" ht="35.25" customHeight="1" thickTop="1" thickBot="1" x14ac:dyDescent="0.3">
      <c r="A134" s="688" t="s">
        <v>245</v>
      </c>
      <c r="B134" s="2390"/>
      <c r="C134" s="1070"/>
      <c r="D134" s="689"/>
      <c r="E134" s="691">
        <f>J70+J133</f>
        <v>300811</v>
      </c>
      <c r="F134" s="691">
        <f>K70+K133</f>
        <v>312774</v>
      </c>
      <c r="G134" s="691">
        <f>L70+L133</f>
        <v>307463</v>
      </c>
      <c r="H134" s="1036">
        <f>(G134/F134)*100</f>
        <v>98.30196883372659</v>
      </c>
    </row>
    <row r="135" spans="1:12" ht="15.75" thickTop="1" x14ac:dyDescent="0.25">
      <c r="A135" s="746"/>
      <c r="B135" s="2454"/>
      <c r="C135" s="1037"/>
      <c r="D135" s="746"/>
      <c r="E135" s="181"/>
      <c r="F135" s="883"/>
      <c r="G135" s="168"/>
      <c r="H135" s="999"/>
    </row>
    <row r="136" spans="1:12" ht="15" x14ac:dyDescent="0.25">
      <c r="A136" s="746"/>
      <c r="B136" s="2454"/>
      <c r="C136" s="1037"/>
      <c r="D136" s="746"/>
      <c r="E136" s="181"/>
      <c r="F136" s="181"/>
      <c r="G136" s="181"/>
      <c r="H136" s="999"/>
    </row>
    <row r="137" spans="1:12" ht="15" x14ac:dyDescent="0.25">
      <c r="A137" s="746"/>
      <c r="B137" s="2454"/>
      <c r="C137" s="1037"/>
      <c r="D137" s="746"/>
      <c r="E137" s="181"/>
      <c r="F137" s="181"/>
      <c r="G137" s="181"/>
      <c r="H137" s="999"/>
    </row>
    <row r="138" spans="1:12" ht="15" x14ac:dyDescent="0.25">
      <c r="A138" s="746"/>
      <c r="B138" s="2454"/>
      <c r="C138" s="1037"/>
      <c r="D138" s="746"/>
      <c r="E138" s="181"/>
      <c r="F138" s="181"/>
      <c r="G138" s="181"/>
      <c r="H138" s="999"/>
    </row>
    <row r="139" spans="1:12" ht="18" x14ac:dyDescent="0.25">
      <c r="A139" s="33" t="s">
        <v>1248</v>
      </c>
      <c r="B139" s="28"/>
      <c r="C139" s="10"/>
      <c r="D139" s="1397"/>
      <c r="E139" s="307"/>
      <c r="F139" s="16"/>
      <c r="G139" s="17"/>
      <c r="H139" s="372"/>
    </row>
    <row r="140" spans="1:12" ht="13.5" thickBot="1" x14ac:dyDescent="0.25">
      <c r="A140" s="629"/>
      <c r="B140" s="629"/>
      <c r="C140" s="630"/>
      <c r="F140" s="617"/>
      <c r="H140" s="2455" t="s">
        <v>161</v>
      </c>
    </row>
    <row r="141" spans="1:12" s="107" customFormat="1" ht="20.25" customHeight="1" thickTop="1" thickBot="1" x14ac:dyDescent="0.25">
      <c r="A141" s="631" t="s">
        <v>162</v>
      </c>
      <c r="B141" s="632" t="s">
        <v>163</v>
      </c>
      <c r="C141" s="634" t="s">
        <v>705</v>
      </c>
      <c r="D141" s="774" t="s">
        <v>164</v>
      </c>
      <c r="E141" s="774" t="s">
        <v>165</v>
      </c>
      <c r="F141" s="774" t="s">
        <v>881</v>
      </c>
      <c r="G141" s="774" t="s">
        <v>882</v>
      </c>
      <c r="H141" s="635" t="s">
        <v>883</v>
      </c>
    </row>
    <row r="142" spans="1:12" s="383" customFormat="1" ht="13.5" thickTop="1" thickBot="1" x14ac:dyDescent="0.25">
      <c r="A142" s="566">
        <v>1</v>
      </c>
      <c r="B142" s="567">
        <v>2</v>
      </c>
      <c r="C142" s="567">
        <v>3</v>
      </c>
      <c r="D142" s="567">
        <v>4</v>
      </c>
      <c r="E142" s="567">
        <v>5</v>
      </c>
      <c r="F142" s="541">
        <v>6</v>
      </c>
      <c r="G142" s="541">
        <v>7</v>
      </c>
      <c r="H142" s="636" t="s">
        <v>61</v>
      </c>
      <c r="I142" s="107"/>
    </row>
    <row r="143" spans="1:12" s="1056" customFormat="1" ht="15.75" thickTop="1" x14ac:dyDescent="0.25">
      <c r="A143" s="222">
        <v>6172</v>
      </c>
      <c r="B143" s="2391">
        <v>6121</v>
      </c>
      <c r="C143" s="1085"/>
      <c r="D143" s="1117" t="s">
        <v>603</v>
      </c>
      <c r="E143" s="1072">
        <v>0</v>
      </c>
      <c r="F143" s="450">
        <f>F144+F145</f>
        <v>1702</v>
      </c>
      <c r="G143" s="450">
        <f>G144+G145</f>
        <v>1601</v>
      </c>
      <c r="H143" s="1329">
        <f>(G143/F143)*100</f>
        <v>94.065804935370153</v>
      </c>
      <c r="J143" s="1089"/>
      <c r="K143" s="1089"/>
    </row>
    <row r="144" spans="1:12" s="1056" customFormat="1" ht="14.25" x14ac:dyDescent="0.2">
      <c r="A144" s="50"/>
      <c r="B144" s="2388"/>
      <c r="C144" s="1069" t="s">
        <v>753</v>
      </c>
      <c r="D144" s="1063" t="s">
        <v>1259</v>
      </c>
      <c r="E144" s="55"/>
      <c r="F144" s="314">
        <v>302</v>
      </c>
      <c r="G144" s="316">
        <v>201</v>
      </c>
      <c r="H144" s="1065">
        <f>(G144/F144)*100</f>
        <v>66.556291390728475</v>
      </c>
      <c r="J144" s="1089"/>
      <c r="K144" s="1089"/>
    </row>
    <row r="145" spans="1:12" s="1056" customFormat="1" ht="14.25" x14ac:dyDescent="0.2">
      <c r="A145" s="50"/>
      <c r="B145" s="2388"/>
      <c r="C145" s="1069" t="s">
        <v>22</v>
      </c>
      <c r="D145" s="1064" t="s">
        <v>1203</v>
      </c>
      <c r="E145" s="55"/>
      <c r="F145" s="314">
        <v>1400</v>
      </c>
      <c r="G145" s="316">
        <v>1400</v>
      </c>
      <c r="H145" s="2140">
        <f>(G145/F145)*100</f>
        <v>100</v>
      </c>
      <c r="J145" s="1089"/>
      <c r="K145" s="1089"/>
    </row>
    <row r="146" spans="1:12" s="1056" customFormat="1" ht="15.75" thickBot="1" x14ac:dyDescent="0.3">
      <c r="A146" s="1095">
        <v>6172</v>
      </c>
      <c r="B146" s="2389">
        <v>6122</v>
      </c>
      <c r="C146" s="1081"/>
      <c r="D146" s="2393" t="s">
        <v>604</v>
      </c>
      <c r="E146" s="71">
        <v>0</v>
      </c>
      <c r="F146" s="313">
        <v>65</v>
      </c>
      <c r="G146" s="315">
        <v>65</v>
      </c>
      <c r="H146" s="1062">
        <f>(G146/F146)*100</f>
        <v>100</v>
      </c>
      <c r="J146" s="1089"/>
      <c r="K146" s="1089"/>
    </row>
    <row r="147" spans="1:12" s="360" customFormat="1" ht="35.25" customHeight="1" thickTop="1" thickBot="1" x14ac:dyDescent="0.3">
      <c r="A147" s="637" t="s">
        <v>244</v>
      </c>
      <c r="B147" s="944"/>
      <c r="C147" s="639"/>
      <c r="D147" s="640"/>
      <c r="E147" s="641">
        <f>E143</f>
        <v>0</v>
      </c>
      <c r="F147" s="641">
        <f>F143+F146</f>
        <v>1767</v>
      </c>
      <c r="G147" s="641">
        <f>G143+G146</f>
        <v>1666</v>
      </c>
      <c r="H147" s="1038">
        <f>(G147/F147)*100</f>
        <v>94.284097340124504</v>
      </c>
      <c r="J147" s="693">
        <f>E134+E147</f>
        <v>300811</v>
      </c>
      <c r="K147" s="693">
        <f>F134+F147</f>
        <v>314541</v>
      </c>
      <c r="L147" s="693">
        <f>G134+G147</f>
        <v>309129</v>
      </c>
    </row>
    <row r="148" spans="1:12" ht="13.5" thickTop="1" x14ac:dyDescent="0.2">
      <c r="A148" s="629"/>
      <c r="C148" s="1011"/>
    </row>
    <row r="149" spans="1:12" x14ac:dyDescent="0.2">
      <c r="A149" s="629"/>
      <c r="C149" s="1011"/>
    </row>
    <row r="150" spans="1:12" x14ac:dyDescent="0.2">
      <c r="A150" s="629"/>
      <c r="C150" s="1011"/>
    </row>
    <row r="151" spans="1:12" x14ac:dyDescent="0.2">
      <c r="A151" s="629"/>
      <c r="C151" s="1011"/>
    </row>
    <row r="152" spans="1:12" x14ac:dyDescent="0.2">
      <c r="A152" s="629"/>
      <c r="C152" s="1011"/>
    </row>
    <row r="153" spans="1:12" x14ac:dyDescent="0.2">
      <c r="A153" s="629"/>
      <c r="C153" s="1011"/>
    </row>
    <row r="154" spans="1:12" x14ac:dyDescent="0.2">
      <c r="A154" s="629"/>
      <c r="C154" s="1011"/>
    </row>
    <row r="155" spans="1:12" x14ac:dyDescent="0.2">
      <c r="A155" s="629"/>
      <c r="C155" s="1011"/>
    </row>
    <row r="156" spans="1:12" ht="16.5" x14ac:dyDescent="0.25">
      <c r="A156" s="361" t="s">
        <v>484</v>
      </c>
      <c r="B156" s="362"/>
      <c r="C156" s="363"/>
      <c r="D156" s="363"/>
      <c r="E156" s="1034">
        <f>E157+E158+E159+E160+E161</f>
        <v>300811</v>
      </c>
      <c r="F156" s="1034">
        <f>F157+F158+F159+F160+F161</f>
        <v>314541</v>
      </c>
      <c r="G156" s="1034">
        <f>G157+G158+G159+G160+G161</f>
        <v>309129</v>
      </c>
      <c r="H156" s="1039">
        <f>G156/F156*100</f>
        <v>98.279397598405296</v>
      </c>
    </row>
    <row r="157" spans="1:12" ht="15" x14ac:dyDescent="0.2">
      <c r="A157" s="555" t="s">
        <v>263</v>
      </c>
      <c r="B157" s="809"/>
      <c r="C157" s="1452"/>
      <c r="D157" s="1452"/>
      <c r="E157" s="2462">
        <f>E134-E161</f>
        <v>294651</v>
      </c>
      <c r="F157" s="2462">
        <f>F134-F161-F159</f>
        <v>305002</v>
      </c>
      <c r="G157" s="2462">
        <f>G134-G161-G159</f>
        <v>300764</v>
      </c>
      <c r="H157" s="2463">
        <f>G157/F157*100</f>
        <v>98.610500914748101</v>
      </c>
    </row>
    <row r="158" spans="1:12" ht="15" x14ac:dyDescent="0.2">
      <c r="A158" s="555" t="s">
        <v>264</v>
      </c>
      <c r="B158" s="809"/>
      <c r="C158" s="1452"/>
      <c r="D158" s="1452"/>
      <c r="E158" s="936">
        <f>E147</f>
        <v>0</v>
      </c>
      <c r="F158" s="936">
        <f>F147</f>
        <v>1767</v>
      </c>
      <c r="G158" s="936">
        <f>G147</f>
        <v>1666</v>
      </c>
      <c r="H158" s="2463">
        <f>G158/F158*100</f>
        <v>94.284097340124504</v>
      </c>
    </row>
    <row r="159" spans="1:12" ht="15" x14ac:dyDescent="0.2">
      <c r="A159" s="555" t="s">
        <v>208</v>
      </c>
      <c r="B159" s="809"/>
      <c r="C159" s="1452"/>
      <c r="D159" s="1452"/>
      <c r="E159" s="592">
        <v>0</v>
      </c>
      <c r="F159" s="588">
        <f>F13+F17+F20+F23+F26+F29+F30+F33+F36+F40+F43+F46+F49+F52+F56+F57+F58+F61+F62+F76+F77+F78+F82+F83+F84+F91+F105+F120</f>
        <v>1112</v>
      </c>
      <c r="G159" s="588">
        <f>G13+G17+G20+G23+G26+G29+G30+G33+G36+G40+G43+G46+G49+G52+G56+G57+G58+G61+G62+G76+G77+G78+G82+G83+G84+G91+G105+G120</f>
        <v>863</v>
      </c>
      <c r="H159" s="2463">
        <f>G159/F159*100</f>
        <v>77.607913669064743</v>
      </c>
    </row>
    <row r="160" spans="1:12" ht="15" x14ac:dyDescent="0.2">
      <c r="A160" s="555" t="s">
        <v>1147</v>
      </c>
      <c r="B160" s="809"/>
      <c r="C160" s="1452"/>
      <c r="D160" s="1452"/>
      <c r="E160" s="592">
        <v>0</v>
      </c>
      <c r="F160" s="592">
        <v>0</v>
      </c>
      <c r="G160" s="592">
        <v>0</v>
      </c>
      <c r="H160" s="2463">
        <v>0</v>
      </c>
    </row>
    <row r="161" spans="1:8" ht="15" x14ac:dyDescent="0.2">
      <c r="A161" s="555" t="s">
        <v>466</v>
      </c>
      <c r="B161" s="809"/>
      <c r="C161" s="1452"/>
      <c r="D161" s="1452"/>
      <c r="E161" s="592">
        <f>SUM(E133)</f>
        <v>6160</v>
      </c>
      <c r="F161" s="592">
        <f>SUM(F133)</f>
        <v>6660</v>
      </c>
      <c r="G161" s="592">
        <f>SUM(G133)</f>
        <v>5836</v>
      </c>
      <c r="H161" s="2463">
        <f>G161/F161*100</f>
        <v>87.627627627627618</v>
      </c>
    </row>
    <row r="162" spans="1:8" x14ac:dyDescent="0.2">
      <c r="A162" s="629"/>
      <c r="C162" s="1011"/>
    </row>
    <row r="163" spans="1:8" s="58" customFormat="1" ht="47.25" customHeight="1" thickBot="1" x14ac:dyDescent="0.4">
      <c r="A163" s="648" t="s">
        <v>1189</v>
      </c>
      <c r="B163" s="649"/>
      <c r="C163" s="650"/>
      <c r="D163" s="651"/>
      <c r="E163" s="593">
        <f>SUM(E134,E147)</f>
        <v>300811</v>
      </c>
      <c r="F163" s="593">
        <f>SUM(F134,F147)</f>
        <v>314541</v>
      </c>
      <c r="G163" s="593">
        <f>SUM(G134,G147)</f>
        <v>309129</v>
      </c>
      <c r="H163" s="594">
        <f>(G163/F163)*100</f>
        <v>98.279397598405296</v>
      </c>
    </row>
    <row r="164" spans="1:8" ht="13.5" thickTop="1" x14ac:dyDescent="0.2"/>
  </sheetData>
  <mergeCells count="27">
    <mergeCell ref="D13:D14"/>
    <mergeCell ref="C13:C14"/>
    <mergeCell ref="C17:C18"/>
    <mergeCell ref="D17:D18"/>
    <mergeCell ref="C20:C21"/>
    <mergeCell ref="D20:D21"/>
    <mergeCell ref="C23:C24"/>
    <mergeCell ref="D23:D24"/>
    <mergeCell ref="C26:C27"/>
    <mergeCell ref="D26:D27"/>
    <mergeCell ref="C30:C31"/>
    <mergeCell ref="D30:D31"/>
    <mergeCell ref="C33:C34"/>
    <mergeCell ref="D33:D34"/>
    <mergeCell ref="D36:D37"/>
    <mergeCell ref="C36:C37"/>
    <mergeCell ref="C40:C41"/>
    <mergeCell ref="D40:D41"/>
    <mergeCell ref="C52:C53"/>
    <mergeCell ref="D52:D53"/>
    <mergeCell ref="D112:D113"/>
    <mergeCell ref="C43:C44"/>
    <mergeCell ref="D43:D44"/>
    <mergeCell ref="C46:C47"/>
    <mergeCell ref="D46:D47"/>
    <mergeCell ref="C49:C50"/>
    <mergeCell ref="D49:D50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1" orientation="portrait" useFirstPageNumber="1" r:id="rId1"/>
  <headerFooter alignWithMargins="0">
    <oddFooter xml:space="preserve">&amp;L&amp;"Arial,Kurzíva"Zastupitelstvo Olomouckého kraje 26.6.2015
4. - Závěrečný  účet Olomouckého kraje za rok 2014
Příloha č. 3: Plnění rozpočtu výdajů Olomouckého kraje k 31.12.2014&amp;R&amp;"Arial,Kurzíva"Strana &amp;P (Celkem 484)
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466"/>
  <sheetViews>
    <sheetView view="pageBreakPreview" topLeftCell="A296" zoomScaleNormal="100" zoomScaleSheetLayoutView="100" workbookViewId="0">
      <selection activeCell="I10" sqref="I10"/>
    </sheetView>
  </sheetViews>
  <sheetFormatPr defaultRowHeight="12.75" x14ac:dyDescent="0.2"/>
  <cols>
    <col min="1" max="1" width="5" style="1986" customWidth="1"/>
    <col min="2" max="2" width="6.7109375" style="1986" customWidth="1"/>
    <col min="3" max="3" width="8.85546875" style="1986" customWidth="1"/>
    <col min="4" max="4" width="47.85546875" style="1986" customWidth="1"/>
    <col min="5" max="5" width="12.85546875" style="1986" customWidth="1"/>
    <col min="6" max="6" width="15.5703125" style="1986" customWidth="1"/>
    <col min="7" max="7" width="15.85546875" style="1986" customWidth="1"/>
    <col min="8" max="8" width="9.140625" style="1986" customWidth="1"/>
    <col min="9" max="10" width="9.140625" style="1986"/>
    <col min="11" max="11" width="18.85546875" style="1986" customWidth="1"/>
    <col min="12" max="12" width="17.7109375" style="1986" customWidth="1"/>
    <col min="13" max="256" width="9.140625" style="1986"/>
    <col min="257" max="257" width="4.7109375" style="1986" customWidth="1"/>
    <col min="258" max="258" width="6.7109375" style="1986" customWidth="1"/>
    <col min="259" max="259" width="8.85546875" style="1986" customWidth="1"/>
    <col min="260" max="260" width="47.85546875" style="1986" customWidth="1"/>
    <col min="261" max="261" width="12.85546875" style="1986" customWidth="1"/>
    <col min="262" max="262" width="15.5703125" style="1986" customWidth="1"/>
    <col min="263" max="263" width="15.85546875" style="1986" customWidth="1"/>
    <col min="264" max="264" width="6.42578125" style="1986" customWidth="1"/>
    <col min="265" max="266" width="9.140625" style="1986"/>
    <col min="267" max="267" width="18.85546875" style="1986" customWidth="1"/>
    <col min="268" max="268" width="17.7109375" style="1986" customWidth="1"/>
    <col min="269" max="512" width="9.140625" style="1986"/>
    <col min="513" max="513" width="4.7109375" style="1986" customWidth="1"/>
    <col min="514" max="514" width="6.7109375" style="1986" customWidth="1"/>
    <col min="515" max="515" width="8.85546875" style="1986" customWidth="1"/>
    <col min="516" max="516" width="47.85546875" style="1986" customWidth="1"/>
    <col min="517" max="517" width="12.85546875" style="1986" customWidth="1"/>
    <col min="518" max="518" width="15.5703125" style="1986" customWidth="1"/>
    <col min="519" max="519" width="15.85546875" style="1986" customWidth="1"/>
    <col min="520" max="520" width="6.42578125" style="1986" customWidth="1"/>
    <col min="521" max="522" width="9.140625" style="1986"/>
    <col min="523" max="523" width="18.85546875" style="1986" customWidth="1"/>
    <col min="524" max="524" width="17.7109375" style="1986" customWidth="1"/>
    <col min="525" max="768" width="9.140625" style="1986"/>
    <col min="769" max="769" width="4.7109375" style="1986" customWidth="1"/>
    <col min="770" max="770" width="6.7109375" style="1986" customWidth="1"/>
    <col min="771" max="771" width="8.85546875" style="1986" customWidth="1"/>
    <col min="772" max="772" width="47.85546875" style="1986" customWidth="1"/>
    <col min="773" max="773" width="12.85546875" style="1986" customWidth="1"/>
    <col min="774" max="774" width="15.5703125" style="1986" customWidth="1"/>
    <col min="775" max="775" width="15.85546875" style="1986" customWidth="1"/>
    <col min="776" max="776" width="6.42578125" style="1986" customWidth="1"/>
    <col min="777" max="778" width="9.140625" style="1986"/>
    <col min="779" max="779" width="18.85546875" style="1986" customWidth="1"/>
    <col min="780" max="780" width="17.7109375" style="1986" customWidth="1"/>
    <col min="781" max="1024" width="9.140625" style="1986"/>
    <col min="1025" max="1025" width="4.7109375" style="1986" customWidth="1"/>
    <col min="1026" max="1026" width="6.7109375" style="1986" customWidth="1"/>
    <col min="1027" max="1027" width="8.85546875" style="1986" customWidth="1"/>
    <col min="1028" max="1028" width="47.85546875" style="1986" customWidth="1"/>
    <col min="1029" max="1029" width="12.85546875" style="1986" customWidth="1"/>
    <col min="1030" max="1030" width="15.5703125" style="1986" customWidth="1"/>
    <col min="1031" max="1031" width="15.85546875" style="1986" customWidth="1"/>
    <col min="1032" max="1032" width="6.42578125" style="1986" customWidth="1"/>
    <col min="1033" max="1034" width="9.140625" style="1986"/>
    <col min="1035" max="1035" width="18.85546875" style="1986" customWidth="1"/>
    <col min="1036" max="1036" width="17.7109375" style="1986" customWidth="1"/>
    <col min="1037" max="1280" width="9.140625" style="1986"/>
    <col min="1281" max="1281" width="4.7109375" style="1986" customWidth="1"/>
    <col min="1282" max="1282" width="6.7109375" style="1986" customWidth="1"/>
    <col min="1283" max="1283" width="8.85546875" style="1986" customWidth="1"/>
    <col min="1284" max="1284" width="47.85546875" style="1986" customWidth="1"/>
    <col min="1285" max="1285" width="12.85546875" style="1986" customWidth="1"/>
    <col min="1286" max="1286" width="15.5703125" style="1986" customWidth="1"/>
    <col min="1287" max="1287" width="15.85546875" style="1986" customWidth="1"/>
    <col min="1288" max="1288" width="6.42578125" style="1986" customWidth="1"/>
    <col min="1289" max="1290" width="9.140625" style="1986"/>
    <col min="1291" max="1291" width="18.85546875" style="1986" customWidth="1"/>
    <col min="1292" max="1292" width="17.7109375" style="1986" customWidth="1"/>
    <col min="1293" max="1536" width="9.140625" style="1986"/>
    <col min="1537" max="1537" width="4.7109375" style="1986" customWidth="1"/>
    <col min="1538" max="1538" width="6.7109375" style="1986" customWidth="1"/>
    <col min="1539" max="1539" width="8.85546875" style="1986" customWidth="1"/>
    <col min="1540" max="1540" width="47.85546875" style="1986" customWidth="1"/>
    <col min="1541" max="1541" width="12.85546875" style="1986" customWidth="1"/>
    <col min="1542" max="1542" width="15.5703125" style="1986" customWidth="1"/>
    <col min="1543" max="1543" width="15.85546875" style="1986" customWidth="1"/>
    <col min="1544" max="1544" width="6.42578125" style="1986" customWidth="1"/>
    <col min="1545" max="1546" width="9.140625" style="1986"/>
    <col min="1547" max="1547" width="18.85546875" style="1986" customWidth="1"/>
    <col min="1548" max="1548" width="17.7109375" style="1986" customWidth="1"/>
    <col min="1549" max="1792" width="9.140625" style="1986"/>
    <col min="1793" max="1793" width="4.7109375" style="1986" customWidth="1"/>
    <col min="1794" max="1794" width="6.7109375" style="1986" customWidth="1"/>
    <col min="1795" max="1795" width="8.85546875" style="1986" customWidth="1"/>
    <col min="1796" max="1796" width="47.85546875" style="1986" customWidth="1"/>
    <col min="1797" max="1797" width="12.85546875" style="1986" customWidth="1"/>
    <col min="1798" max="1798" width="15.5703125" style="1986" customWidth="1"/>
    <col min="1799" max="1799" width="15.85546875" style="1986" customWidth="1"/>
    <col min="1800" max="1800" width="6.42578125" style="1986" customWidth="1"/>
    <col min="1801" max="1802" width="9.140625" style="1986"/>
    <col min="1803" max="1803" width="18.85546875" style="1986" customWidth="1"/>
    <col min="1804" max="1804" width="17.7109375" style="1986" customWidth="1"/>
    <col min="1805" max="2048" width="9.140625" style="1986"/>
    <col min="2049" max="2049" width="4.7109375" style="1986" customWidth="1"/>
    <col min="2050" max="2050" width="6.7109375" style="1986" customWidth="1"/>
    <col min="2051" max="2051" width="8.85546875" style="1986" customWidth="1"/>
    <col min="2052" max="2052" width="47.85546875" style="1986" customWidth="1"/>
    <col min="2053" max="2053" width="12.85546875" style="1986" customWidth="1"/>
    <col min="2054" max="2054" width="15.5703125" style="1986" customWidth="1"/>
    <col min="2055" max="2055" width="15.85546875" style="1986" customWidth="1"/>
    <col min="2056" max="2056" width="6.42578125" style="1986" customWidth="1"/>
    <col min="2057" max="2058" width="9.140625" style="1986"/>
    <col min="2059" max="2059" width="18.85546875" style="1986" customWidth="1"/>
    <col min="2060" max="2060" width="17.7109375" style="1986" customWidth="1"/>
    <col min="2061" max="2304" width="9.140625" style="1986"/>
    <col min="2305" max="2305" width="4.7109375" style="1986" customWidth="1"/>
    <col min="2306" max="2306" width="6.7109375" style="1986" customWidth="1"/>
    <col min="2307" max="2307" width="8.85546875" style="1986" customWidth="1"/>
    <col min="2308" max="2308" width="47.85546875" style="1986" customWidth="1"/>
    <col min="2309" max="2309" width="12.85546875" style="1986" customWidth="1"/>
    <col min="2310" max="2310" width="15.5703125" style="1986" customWidth="1"/>
    <col min="2311" max="2311" width="15.85546875" style="1986" customWidth="1"/>
    <col min="2312" max="2312" width="6.42578125" style="1986" customWidth="1"/>
    <col min="2313" max="2314" width="9.140625" style="1986"/>
    <col min="2315" max="2315" width="18.85546875" style="1986" customWidth="1"/>
    <col min="2316" max="2316" width="17.7109375" style="1986" customWidth="1"/>
    <col min="2317" max="2560" width="9.140625" style="1986"/>
    <col min="2561" max="2561" width="4.7109375" style="1986" customWidth="1"/>
    <col min="2562" max="2562" width="6.7109375" style="1986" customWidth="1"/>
    <col min="2563" max="2563" width="8.85546875" style="1986" customWidth="1"/>
    <col min="2564" max="2564" width="47.85546875" style="1986" customWidth="1"/>
    <col min="2565" max="2565" width="12.85546875" style="1986" customWidth="1"/>
    <col min="2566" max="2566" width="15.5703125" style="1986" customWidth="1"/>
    <col min="2567" max="2567" width="15.85546875" style="1986" customWidth="1"/>
    <col min="2568" max="2568" width="6.42578125" style="1986" customWidth="1"/>
    <col min="2569" max="2570" width="9.140625" style="1986"/>
    <col min="2571" max="2571" width="18.85546875" style="1986" customWidth="1"/>
    <col min="2572" max="2572" width="17.7109375" style="1986" customWidth="1"/>
    <col min="2573" max="2816" width="9.140625" style="1986"/>
    <col min="2817" max="2817" width="4.7109375" style="1986" customWidth="1"/>
    <col min="2818" max="2818" width="6.7109375" style="1986" customWidth="1"/>
    <col min="2819" max="2819" width="8.85546875" style="1986" customWidth="1"/>
    <col min="2820" max="2820" width="47.85546875" style="1986" customWidth="1"/>
    <col min="2821" max="2821" width="12.85546875" style="1986" customWidth="1"/>
    <col min="2822" max="2822" width="15.5703125" style="1986" customWidth="1"/>
    <col min="2823" max="2823" width="15.85546875" style="1986" customWidth="1"/>
    <col min="2824" max="2824" width="6.42578125" style="1986" customWidth="1"/>
    <col min="2825" max="2826" width="9.140625" style="1986"/>
    <col min="2827" max="2827" width="18.85546875" style="1986" customWidth="1"/>
    <col min="2828" max="2828" width="17.7109375" style="1986" customWidth="1"/>
    <col min="2829" max="3072" width="9.140625" style="1986"/>
    <col min="3073" max="3073" width="4.7109375" style="1986" customWidth="1"/>
    <col min="3074" max="3074" width="6.7109375" style="1986" customWidth="1"/>
    <col min="3075" max="3075" width="8.85546875" style="1986" customWidth="1"/>
    <col min="3076" max="3076" width="47.85546875" style="1986" customWidth="1"/>
    <col min="3077" max="3077" width="12.85546875" style="1986" customWidth="1"/>
    <col min="3078" max="3078" width="15.5703125" style="1986" customWidth="1"/>
    <col min="3079" max="3079" width="15.85546875" style="1986" customWidth="1"/>
    <col min="3080" max="3080" width="6.42578125" style="1986" customWidth="1"/>
    <col min="3081" max="3082" width="9.140625" style="1986"/>
    <col min="3083" max="3083" width="18.85546875" style="1986" customWidth="1"/>
    <col min="3084" max="3084" width="17.7109375" style="1986" customWidth="1"/>
    <col min="3085" max="3328" width="9.140625" style="1986"/>
    <col min="3329" max="3329" width="4.7109375" style="1986" customWidth="1"/>
    <col min="3330" max="3330" width="6.7109375" style="1986" customWidth="1"/>
    <col min="3331" max="3331" width="8.85546875" style="1986" customWidth="1"/>
    <col min="3332" max="3332" width="47.85546875" style="1986" customWidth="1"/>
    <col min="3333" max="3333" width="12.85546875" style="1986" customWidth="1"/>
    <col min="3334" max="3334" width="15.5703125" style="1986" customWidth="1"/>
    <col min="3335" max="3335" width="15.85546875" style="1986" customWidth="1"/>
    <col min="3336" max="3336" width="6.42578125" style="1986" customWidth="1"/>
    <col min="3337" max="3338" width="9.140625" style="1986"/>
    <col min="3339" max="3339" width="18.85546875" style="1986" customWidth="1"/>
    <col min="3340" max="3340" width="17.7109375" style="1986" customWidth="1"/>
    <col min="3341" max="3584" width="9.140625" style="1986"/>
    <col min="3585" max="3585" width="4.7109375" style="1986" customWidth="1"/>
    <col min="3586" max="3586" width="6.7109375" style="1986" customWidth="1"/>
    <col min="3587" max="3587" width="8.85546875" style="1986" customWidth="1"/>
    <col min="3588" max="3588" width="47.85546875" style="1986" customWidth="1"/>
    <col min="3589" max="3589" width="12.85546875" style="1986" customWidth="1"/>
    <col min="3590" max="3590" width="15.5703125" style="1986" customWidth="1"/>
    <col min="3591" max="3591" width="15.85546875" style="1986" customWidth="1"/>
    <col min="3592" max="3592" width="6.42578125" style="1986" customWidth="1"/>
    <col min="3593" max="3594" width="9.140625" style="1986"/>
    <col min="3595" max="3595" width="18.85546875" style="1986" customWidth="1"/>
    <col min="3596" max="3596" width="17.7109375" style="1986" customWidth="1"/>
    <col min="3597" max="3840" width="9.140625" style="1986"/>
    <col min="3841" max="3841" width="4.7109375" style="1986" customWidth="1"/>
    <col min="3842" max="3842" width="6.7109375" style="1986" customWidth="1"/>
    <col min="3843" max="3843" width="8.85546875" style="1986" customWidth="1"/>
    <col min="3844" max="3844" width="47.85546875" style="1986" customWidth="1"/>
    <col min="3845" max="3845" width="12.85546875" style="1986" customWidth="1"/>
    <col min="3846" max="3846" width="15.5703125" style="1986" customWidth="1"/>
    <col min="3847" max="3847" width="15.85546875" style="1986" customWidth="1"/>
    <col min="3848" max="3848" width="6.42578125" style="1986" customWidth="1"/>
    <col min="3849" max="3850" width="9.140625" style="1986"/>
    <col min="3851" max="3851" width="18.85546875" style="1986" customWidth="1"/>
    <col min="3852" max="3852" width="17.7109375" style="1986" customWidth="1"/>
    <col min="3853" max="4096" width="9.140625" style="1986"/>
    <col min="4097" max="4097" width="4.7109375" style="1986" customWidth="1"/>
    <col min="4098" max="4098" width="6.7109375" style="1986" customWidth="1"/>
    <col min="4099" max="4099" width="8.85546875" style="1986" customWidth="1"/>
    <col min="4100" max="4100" width="47.85546875" style="1986" customWidth="1"/>
    <col min="4101" max="4101" width="12.85546875" style="1986" customWidth="1"/>
    <col min="4102" max="4102" width="15.5703125" style="1986" customWidth="1"/>
    <col min="4103" max="4103" width="15.85546875" style="1986" customWidth="1"/>
    <col min="4104" max="4104" width="6.42578125" style="1986" customWidth="1"/>
    <col min="4105" max="4106" width="9.140625" style="1986"/>
    <col min="4107" max="4107" width="18.85546875" style="1986" customWidth="1"/>
    <col min="4108" max="4108" width="17.7109375" style="1986" customWidth="1"/>
    <col min="4109" max="4352" width="9.140625" style="1986"/>
    <col min="4353" max="4353" width="4.7109375" style="1986" customWidth="1"/>
    <col min="4354" max="4354" width="6.7109375" style="1986" customWidth="1"/>
    <col min="4355" max="4355" width="8.85546875" style="1986" customWidth="1"/>
    <col min="4356" max="4356" width="47.85546875" style="1986" customWidth="1"/>
    <col min="4357" max="4357" width="12.85546875" style="1986" customWidth="1"/>
    <col min="4358" max="4358" width="15.5703125" style="1986" customWidth="1"/>
    <col min="4359" max="4359" width="15.85546875" style="1986" customWidth="1"/>
    <col min="4360" max="4360" width="6.42578125" style="1986" customWidth="1"/>
    <col min="4361" max="4362" width="9.140625" style="1986"/>
    <col min="4363" max="4363" width="18.85546875" style="1986" customWidth="1"/>
    <col min="4364" max="4364" width="17.7109375" style="1986" customWidth="1"/>
    <col min="4365" max="4608" width="9.140625" style="1986"/>
    <col min="4609" max="4609" width="4.7109375" style="1986" customWidth="1"/>
    <col min="4610" max="4610" width="6.7109375" style="1986" customWidth="1"/>
    <col min="4611" max="4611" width="8.85546875" style="1986" customWidth="1"/>
    <col min="4612" max="4612" width="47.85546875" style="1986" customWidth="1"/>
    <col min="4613" max="4613" width="12.85546875" style="1986" customWidth="1"/>
    <col min="4614" max="4614" width="15.5703125" style="1986" customWidth="1"/>
    <col min="4615" max="4615" width="15.85546875" style="1986" customWidth="1"/>
    <col min="4616" max="4616" width="6.42578125" style="1986" customWidth="1"/>
    <col min="4617" max="4618" width="9.140625" style="1986"/>
    <col min="4619" max="4619" width="18.85546875" style="1986" customWidth="1"/>
    <col min="4620" max="4620" width="17.7109375" style="1986" customWidth="1"/>
    <col min="4621" max="4864" width="9.140625" style="1986"/>
    <col min="4865" max="4865" width="4.7109375" style="1986" customWidth="1"/>
    <col min="4866" max="4866" width="6.7109375" style="1986" customWidth="1"/>
    <col min="4867" max="4867" width="8.85546875" style="1986" customWidth="1"/>
    <col min="4868" max="4868" width="47.85546875" style="1986" customWidth="1"/>
    <col min="4869" max="4869" width="12.85546875" style="1986" customWidth="1"/>
    <col min="4870" max="4870" width="15.5703125" style="1986" customWidth="1"/>
    <col min="4871" max="4871" width="15.85546875" style="1986" customWidth="1"/>
    <col min="4872" max="4872" width="6.42578125" style="1986" customWidth="1"/>
    <col min="4873" max="4874" width="9.140625" style="1986"/>
    <col min="4875" max="4875" width="18.85546875" style="1986" customWidth="1"/>
    <col min="4876" max="4876" width="17.7109375" style="1986" customWidth="1"/>
    <col min="4877" max="5120" width="9.140625" style="1986"/>
    <col min="5121" max="5121" width="4.7109375" style="1986" customWidth="1"/>
    <col min="5122" max="5122" width="6.7109375" style="1986" customWidth="1"/>
    <col min="5123" max="5123" width="8.85546875" style="1986" customWidth="1"/>
    <col min="5124" max="5124" width="47.85546875" style="1986" customWidth="1"/>
    <col min="5125" max="5125" width="12.85546875" style="1986" customWidth="1"/>
    <col min="5126" max="5126" width="15.5703125" style="1986" customWidth="1"/>
    <col min="5127" max="5127" width="15.85546875" style="1986" customWidth="1"/>
    <col min="5128" max="5128" width="6.42578125" style="1986" customWidth="1"/>
    <col min="5129" max="5130" width="9.140625" style="1986"/>
    <col min="5131" max="5131" width="18.85546875" style="1986" customWidth="1"/>
    <col min="5132" max="5132" width="17.7109375" style="1986" customWidth="1"/>
    <col min="5133" max="5376" width="9.140625" style="1986"/>
    <col min="5377" max="5377" width="4.7109375" style="1986" customWidth="1"/>
    <col min="5378" max="5378" width="6.7109375" style="1986" customWidth="1"/>
    <col min="5379" max="5379" width="8.85546875" style="1986" customWidth="1"/>
    <col min="5380" max="5380" width="47.85546875" style="1986" customWidth="1"/>
    <col min="5381" max="5381" width="12.85546875" style="1986" customWidth="1"/>
    <col min="5382" max="5382" width="15.5703125" style="1986" customWidth="1"/>
    <col min="5383" max="5383" width="15.85546875" style="1986" customWidth="1"/>
    <col min="5384" max="5384" width="6.42578125" style="1986" customWidth="1"/>
    <col min="5385" max="5386" width="9.140625" style="1986"/>
    <col min="5387" max="5387" width="18.85546875" style="1986" customWidth="1"/>
    <col min="5388" max="5388" width="17.7109375" style="1986" customWidth="1"/>
    <col min="5389" max="5632" width="9.140625" style="1986"/>
    <col min="5633" max="5633" width="4.7109375" style="1986" customWidth="1"/>
    <col min="5634" max="5634" width="6.7109375" style="1986" customWidth="1"/>
    <col min="5635" max="5635" width="8.85546875" style="1986" customWidth="1"/>
    <col min="5636" max="5636" width="47.85546875" style="1986" customWidth="1"/>
    <col min="5637" max="5637" width="12.85546875" style="1986" customWidth="1"/>
    <col min="5638" max="5638" width="15.5703125" style="1986" customWidth="1"/>
    <col min="5639" max="5639" width="15.85546875" style="1986" customWidth="1"/>
    <col min="5640" max="5640" width="6.42578125" style="1986" customWidth="1"/>
    <col min="5641" max="5642" width="9.140625" style="1986"/>
    <col min="5643" max="5643" width="18.85546875" style="1986" customWidth="1"/>
    <col min="5644" max="5644" width="17.7109375" style="1986" customWidth="1"/>
    <col min="5645" max="5888" width="9.140625" style="1986"/>
    <col min="5889" max="5889" width="4.7109375" style="1986" customWidth="1"/>
    <col min="5890" max="5890" width="6.7109375" style="1986" customWidth="1"/>
    <col min="5891" max="5891" width="8.85546875" style="1986" customWidth="1"/>
    <col min="5892" max="5892" width="47.85546875" style="1986" customWidth="1"/>
    <col min="5893" max="5893" width="12.85546875" style="1986" customWidth="1"/>
    <col min="5894" max="5894" width="15.5703125" style="1986" customWidth="1"/>
    <col min="5895" max="5895" width="15.85546875" style="1986" customWidth="1"/>
    <col min="5896" max="5896" width="6.42578125" style="1986" customWidth="1"/>
    <col min="5897" max="5898" width="9.140625" style="1986"/>
    <col min="5899" max="5899" width="18.85546875" style="1986" customWidth="1"/>
    <col min="5900" max="5900" width="17.7109375" style="1986" customWidth="1"/>
    <col min="5901" max="6144" width="9.140625" style="1986"/>
    <col min="6145" max="6145" width="4.7109375" style="1986" customWidth="1"/>
    <col min="6146" max="6146" width="6.7109375" style="1986" customWidth="1"/>
    <col min="6147" max="6147" width="8.85546875" style="1986" customWidth="1"/>
    <col min="6148" max="6148" width="47.85546875" style="1986" customWidth="1"/>
    <col min="6149" max="6149" width="12.85546875" style="1986" customWidth="1"/>
    <col min="6150" max="6150" width="15.5703125" style="1986" customWidth="1"/>
    <col min="6151" max="6151" width="15.85546875" style="1986" customWidth="1"/>
    <col min="6152" max="6152" width="6.42578125" style="1986" customWidth="1"/>
    <col min="6153" max="6154" width="9.140625" style="1986"/>
    <col min="6155" max="6155" width="18.85546875" style="1986" customWidth="1"/>
    <col min="6156" max="6156" width="17.7109375" style="1986" customWidth="1"/>
    <col min="6157" max="6400" width="9.140625" style="1986"/>
    <col min="6401" max="6401" width="4.7109375" style="1986" customWidth="1"/>
    <col min="6402" max="6402" width="6.7109375" style="1986" customWidth="1"/>
    <col min="6403" max="6403" width="8.85546875" style="1986" customWidth="1"/>
    <col min="6404" max="6404" width="47.85546875" style="1986" customWidth="1"/>
    <col min="6405" max="6405" width="12.85546875" style="1986" customWidth="1"/>
    <col min="6406" max="6406" width="15.5703125" style="1986" customWidth="1"/>
    <col min="6407" max="6407" width="15.85546875" style="1986" customWidth="1"/>
    <col min="6408" max="6408" width="6.42578125" style="1986" customWidth="1"/>
    <col min="6409" max="6410" width="9.140625" style="1986"/>
    <col min="6411" max="6411" width="18.85546875" style="1986" customWidth="1"/>
    <col min="6412" max="6412" width="17.7109375" style="1986" customWidth="1"/>
    <col min="6413" max="6656" width="9.140625" style="1986"/>
    <col min="6657" max="6657" width="4.7109375" style="1986" customWidth="1"/>
    <col min="6658" max="6658" width="6.7109375" style="1986" customWidth="1"/>
    <col min="6659" max="6659" width="8.85546875" style="1986" customWidth="1"/>
    <col min="6660" max="6660" width="47.85546875" style="1986" customWidth="1"/>
    <col min="6661" max="6661" width="12.85546875" style="1986" customWidth="1"/>
    <col min="6662" max="6662" width="15.5703125" style="1986" customWidth="1"/>
    <col min="6663" max="6663" width="15.85546875" style="1986" customWidth="1"/>
    <col min="6664" max="6664" width="6.42578125" style="1986" customWidth="1"/>
    <col min="6665" max="6666" width="9.140625" style="1986"/>
    <col min="6667" max="6667" width="18.85546875" style="1986" customWidth="1"/>
    <col min="6668" max="6668" width="17.7109375" style="1986" customWidth="1"/>
    <col min="6669" max="6912" width="9.140625" style="1986"/>
    <col min="6913" max="6913" width="4.7109375" style="1986" customWidth="1"/>
    <col min="6914" max="6914" width="6.7109375" style="1986" customWidth="1"/>
    <col min="6915" max="6915" width="8.85546875" style="1986" customWidth="1"/>
    <col min="6916" max="6916" width="47.85546875" style="1986" customWidth="1"/>
    <col min="6917" max="6917" width="12.85546875" style="1986" customWidth="1"/>
    <col min="6918" max="6918" width="15.5703125" style="1986" customWidth="1"/>
    <col min="6919" max="6919" width="15.85546875" style="1986" customWidth="1"/>
    <col min="6920" max="6920" width="6.42578125" style="1986" customWidth="1"/>
    <col min="6921" max="6922" width="9.140625" style="1986"/>
    <col min="6923" max="6923" width="18.85546875" style="1986" customWidth="1"/>
    <col min="6924" max="6924" width="17.7109375" style="1986" customWidth="1"/>
    <col min="6925" max="7168" width="9.140625" style="1986"/>
    <col min="7169" max="7169" width="4.7109375" style="1986" customWidth="1"/>
    <col min="7170" max="7170" width="6.7109375" style="1986" customWidth="1"/>
    <col min="7171" max="7171" width="8.85546875" style="1986" customWidth="1"/>
    <col min="7172" max="7172" width="47.85546875" style="1986" customWidth="1"/>
    <col min="7173" max="7173" width="12.85546875" style="1986" customWidth="1"/>
    <col min="7174" max="7174" width="15.5703125" style="1986" customWidth="1"/>
    <col min="7175" max="7175" width="15.85546875" style="1986" customWidth="1"/>
    <col min="7176" max="7176" width="6.42578125" style="1986" customWidth="1"/>
    <col min="7177" max="7178" width="9.140625" style="1986"/>
    <col min="7179" max="7179" width="18.85546875" style="1986" customWidth="1"/>
    <col min="7180" max="7180" width="17.7109375" style="1986" customWidth="1"/>
    <col min="7181" max="7424" width="9.140625" style="1986"/>
    <col min="7425" max="7425" width="4.7109375" style="1986" customWidth="1"/>
    <col min="7426" max="7426" width="6.7109375" style="1986" customWidth="1"/>
    <col min="7427" max="7427" width="8.85546875" style="1986" customWidth="1"/>
    <col min="7428" max="7428" width="47.85546875" style="1986" customWidth="1"/>
    <col min="7429" max="7429" width="12.85546875" style="1986" customWidth="1"/>
    <col min="7430" max="7430" width="15.5703125" style="1986" customWidth="1"/>
    <col min="7431" max="7431" width="15.85546875" style="1986" customWidth="1"/>
    <col min="7432" max="7432" width="6.42578125" style="1986" customWidth="1"/>
    <col min="7433" max="7434" width="9.140625" style="1986"/>
    <col min="7435" max="7435" width="18.85546875" style="1986" customWidth="1"/>
    <col min="7436" max="7436" width="17.7109375" style="1986" customWidth="1"/>
    <col min="7437" max="7680" width="9.140625" style="1986"/>
    <col min="7681" max="7681" width="4.7109375" style="1986" customWidth="1"/>
    <col min="7682" max="7682" width="6.7109375" style="1986" customWidth="1"/>
    <col min="7683" max="7683" width="8.85546875" style="1986" customWidth="1"/>
    <col min="7684" max="7684" width="47.85546875" style="1986" customWidth="1"/>
    <col min="7685" max="7685" width="12.85546875" style="1986" customWidth="1"/>
    <col min="7686" max="7686" width="15.5703125" style="1986" customWidth="1"/>
    <col min="7687" max="7687" width="15.85546875" style="1986" customWidth="1"/>
    <col min="7688" max="7688" width="6.42578125" style="1986" customWidth="1"/>
    <col min="7689" max="7690" width="9.140625" style="1986"/>
    <col min="7691" max="7691" width="18.85546875" style="1986" customWidth="1"/>
    <col min="7692" max="7692" width="17.7109375" style="1986" customWidth="1"/>
    <col min="7693" max="7936" width="9.140625" style="1986"/>
    <col min="7937" max="7937" width="4.7109375" style="1986" customWidth="1"/>
    <col min="7938" max="7938" width="6.7109375" style="1986" customWidth="1"/>
    <col min="7939" max="7939" width="8.85546875" style="1986" customWidth="1"/>
    <col min="7940" max="7940" width="47.85546875" style="1986" customWidth="1"/>
    <col min="7941" max="7941" width="12.85546875" style="1986" customWidth="1"/>
    <col min="7942" max="7942" width="15.5703125" style="1986" customWidth="1"/>
    <col min="7943" max="7943" width="15.85546875" style="1986" customWidth="1"/>
    <col min="7944" max="7944" width="6.42578125" style="1986" customWidth="1"/>
    <col min="7945" max="7946" width="9.140625" style="1986"/>
    <col min="7947" max="7947" width="18.85546875" style="1986" customWidth="1"/>
    <col min="7948" max="7948" width="17.7109375" style="1986" customWidth="1"/>
    <col min="7949" max="8192" width="9.140625" style="1986"/>
    <col min="8193" max="8193" width="4.7109375" style="1986" customWidth="1"/>
    <col min="8194" max="8194" width="6.7109375" style="1986" customWidth="1"/>
    <col min="8195" max="8195" width="8.85546875" style="1986" customWidth="1"/>
    <col min="8196" max="8196" width="47.85546875" style="1986" customWidth="1"/>
    <col min="8197" max="8197" width="12.85546875" style="1986" customWidth="1"/>
    <col min="8198" max="8198" width="15.5703125" style="1986" customWidth="1"/>
    <col min="8199" max="8199" width="15.85546875" style="1986" customWidth="1"/>
    <col min="8200" max="8200" width="6.42578125" style="1986" customWidth="1"/>
    <col min="8201" max="8202" width="9.140625" style="1986"/>
    <col min="8203" max="8203" width="18.85546875" style="1986" customWidth="1"/>
    <col min="8204" max="8204" width="17.7109375" style="1986" customWidth="1"/>
    <col min="8205" max="8448" width="9.140625" style="1986"/>
    <col min="8449" max="8449" width="4.7109375" style="1986" customWidth="1"/>
    <col min="8450" max="8450" width="6.7109375" style="1986" customWidth="1"/>
    <col min="8451" max="8451" width="8.85546875" style="1986" customWidth="1"/>
    <col min="8452" max="8452" width="47.85546875" style="1986" customWidth="1"/>
    <col min="8453" max="8453" width="12.85546875" style="1986" customWidth="1"/>
    <col min="8454" max="8454" width="15.5703125" style="1986" customWidth="1"/>
    <col min="8455" max="8455" width="15.85546875" style="1986" customWidth="1"/>
    <col min="8456" max="8456" width="6.42578125" style="1986" customWidth="1"/>
    <col min="8457" max="8458" width="9.140625" style="1986"/>
    <col min="8459" max="8459" width="18.85546875" style="1986" customWidth="1"/>
    <col min="8460" max="8460" width="17.7109375" style="1986" customWidth="1"/>
    <col min="8461" max="8704" width="9.140625" style="1986"/>
    <col min="8705" max="8705" width="4.7109375" style="1986" customWidth="1"/>
    <col min="8706" max="8706" width="6.7109375" style="1986" customWidth="1"/>
    <col min="8707" max="8707" width="8.85546875" style="1986" customWidth="1"/>
    <col min="8708" max="8708" width="47.85546875" style="1986" customWidth="1"/>
    <col min="8709" max="8709" width="12.85546875" style="1986" customWidth="1"/>
    <col min="8710" max="8710" width="15.5703125" style="1986" customWidth="1"/>
    <col min="8711" max="8711" width="15.85546875" style="1986" customWidth="1"/>
    <col min="8712" max="8712" width="6.42578125" style="1986" customWidth="1"/>
    <col min="8713" max="8714" width="9.140625" style="1986"/>
    <col min="8715" max="8715" width="18.85546875" style="1986" customWidth="1"/>
    <col min="8716" max="8716" width="17.7109375" style="1986" customWidth="1"/>
    <col min="8717" max="8960" width="9.140625" style="1986"/>
    <col min="8961" max="8961" width="4.7109375" style="1986" customWidth="1"/>
    <col min="8962" max="8962" width="6.7109375" style="1986" customWidth="1"/>
    <col min="8963" max="8963" width="8.85546875" style="1986" customWidth="1"/>
    <col min="8964" max="8964" width="47.85546875" style="1986" customWidth="1"/>
    <col min="8965" max="8965" width="12.85546875" style="1986" customWidth="1"/>
    <col min="8966" max="8966" width="15.5703125" style="1986" customWidth="1"/>
    <col min="8967" max="8967" width="15.85546875" style="1986" customWidth="1"/>
    <col min="8968" max="8968" width="6.42578125" style="1986" customWidth="1"/>
    <col min="8969" max="8970" width="9.140625" style="1986"/>
    <col min="8971" max="8971" width="18.85546875" style="1986" customWidth="1"/>
    <col min="8972" max="8972" width="17.7109375" style="1986" customWidth="1"/>
    <col min="8973" max="9216" width="9.140625" style="1986"/>
    <col min="9217" max="9217" width="4.7109375" style="1986" customWidth="1"/>
    <col min="9218" max="9218" width="6.7109375" style="1986" customWidth="1"/>
    <col min="9219" max="9219" width="8.85546875" style="1986" customWidth="1"/>
    <col min="9220" max="9220" width="47.85546875" style="1986" customWidth="1"/>
    <col min="9221" max="9221" width="12.85546875" style="1986" customWidth="1"/>
    <col min="9222" max="9222" width="15.5703125" style="1986" customWidth="1"/>
    <col min="9223" max="9223" width="15.85546875" style="1986" customWidth="1"/>
    <col min="9224" max="9224" width="6.42578125" style="1986" customWidth="1"/>
    <col min="9225" max="9226" width="9.140625" style="1986"/>
    <col min="9227" max="9227" width="18.85546875" style="1986" customWidth="1"/>
    <col min="9228" max="9228" width="17.7109375" style="1986" customWidth="1"/>
    <col min="9229" max="9472" width="9.140625" style="1986"/>
    <col min="9473" max="9473" width="4.7109375" style="1986" customWidth="1"/>
    <col min="9474" max="9474" width="6.7109375" style="1986" customWidth="1"/>
    <col min="9475" max="9475" width="8.85546875" style="1986" customWidth="1"/>
    <col min="9476" max="9476" width="47.85546875" style="1986" customWidth="1"/>
    <col min="9477" max="9477" width="12.85546875" style="1986" customWidth="1"/>
    <col min="9478" max="9478" width="15.5703125" style="1986" customWidth="1"/>
    <col min="9479" max="9479" width="15.85546875" style="1986" customWidth="1"/>
    <col min="9480" max="9480" width="6.42578125" style="1986" customWidth="1"/>
    <col min="9481" max="9482" width="9.140625" style="1986"/>
    <col min="9483" max="9483" width="18.85546875" style="1986" customWidth="1"/>
    <col min="9484" max="9484" width="17.7109375" style="1986" customWidth="1"/>
    <col min="9485" max="9728" width="9.140625" style="1986"/>
    <col min="9729" max="9729" width="4.7109375" style="1986" customWidth="1"/>
    <col min="9730" max="9730" width="6.7109375" style="1986" customWidth="1"/>
    <col min="9731" max="9731" width="8.85546875" style="1986" customWidth="1"/>
    <col min="9732" max="9732" width="47.85546875" style="1986" customWidth="1"/>
    <col min="9733" max="9733" width="12.85546875" style="1986" customWidth="1"/>
    <col min="9734" max="9734" width="15.5703125" style="1986" customWidth="1"/>
    <col min="9735" max="9735" width="15.85546875" style="1986" customWidth="1"/>
    <col min="9736" max="9736" width="6.42578125" style="1986" customWidth="1"/>
    <col min="9737" max="9738" width="9.140625" style="1986"/>
    <col min="9739" max="9739" width="18.85546875" style="1986" customWidth="1"/>
    <col min="9740" max="9740" width="17.7109375" style="1986" customWidth="1"/>
    <col min="9741" max="9984" width="9.140625" style="1986"/>
    <col min="9985" max="9985" width="4.7109375" style="1986" customWidth="1"/>
    <col min="9986" max="9986" width="6.7109375" style="1986" customWidth="1"/>
    <col min="9987" max="9987" width="8.85546875" style="1986" customWidth="1"/>
    <col min="9988" max="9988" width="47.85546875" style="1986" customWidth="1"/>
    <col min="9989" max="9989" width="12.85546875" style="1986" customWidth="1"/>
    <col min="9990" max="9990" width="15.5703125" style="1986" customWidth="1"/>
    <col min="9991" max="9991" width="15.85546875" style="1986" customWidth="1"/>
    <col min="9992" max="9992" width="6.42578125" style="1986" customWidth="1"/>
    <col min="9993" max="9994" width="9.140625" style="1986"/>
    <col min="9995" max="9995" width="18.85546875" style="1986" customWidth="1"/>
    <col min="9996" max="9996" width="17.7109375" style="1986" customWidth="1"/>
    <col min="9997" max="10240" width="9.140625" style="1986"/>
    <col min="10241" max="10241" width="4.7109375" style="1986" customWidth="1"/>
    <col min="10242" max="10242" width="6.7109375" style="1986" customWidth="1"/>
    <col min="10243" max="10243" width="8.85546875" style="1986" customWidth="1"/>
    <col min="10244" max="10244" width="47.85546875" style="1986" customWidth="1"/>
    <col min="10245" max="10245" width="12.85546875" style="1986" customWidth="1"/>
    <col min="10246" max="10246" width="15.5703125" style="1986" customWidth="1"/>
    <col min="10247" max="10247" width="15.85546875" style="1986" customWidth="1"/>
    <col min="10248" max="10248" width="6.42578125" style="1986" customWidth="1"/>
    <col min="10249" max="10250" width="9.140625" style="1986"/>
    <col min="10251" max="10251" width="18.85546875" style="1986" customWidth="1"/>
    <col min="10252" max="10252" width="17.7109375" style="1986" customWidth="1"/>
    <col min="10253" max="10496" width="9.140625" style="1986"/>
    <col min="10497" max="10497" width="4.7109375" style="1986" customWidth="1"/>
    <col min="10498" max="10498" width="6.7109375" style="1986" customWidth="1"/>
    <col min="10499" max="10499" width="8.85546875" style="1986" customWidth="1"/>
    <col min="10500" max="10500" width="47.85546875" style="1986" customWidth="1"/>
    <col min="10501" max="10501" width="12.85546875" style="1986" customWidth="1"/>
    <col min="10502" max="10502" width="15.5703125" style="1986" customWidth="1"/>
    <col min="10503" max="10503" width="15.85546875" style="1986" customWidth="1"/>
    <col min="10504" max="10504" width="6.42578125" style="1986" customWidth="1"/>
    <col min="10505" max="10506" width="9.140625" style="1986"/>
    <col min="10507" max="10507" width="18.85546875" style="1986" customWidth="1"/>
    <col min="10508" max="10508" width="17.7109375" style="1986" customWidth="1"/>
    <col min="10509" max="10752" width="9.140625" style="1986"/>
    <col min="10753" max="10753" width="4.7109375" style="1986" customWidth="1"/>
    <col min="10754" max="10754" width="6.7109375" style="1986" customWidth="1"/>
    <col min="10755" max="10755" width="8.85546875" style="1986" customWidth="1"/>
    <col min="10756" max="10756" width="47.85546875" style="1986" customWidth="1"/>
    <col min="10757" max="10757" width="12.85546875" style="1986" customWidth="1"/>
    <col min="10758" max="10758" width="15.5703125" style="1986" customWidth="1"/>
    <col min="10759" max="10759" width="15.85546875" style="1986" customWidth="1"/>
    <col min="10760" max="10760" width="6.42578125" style="1986" customWidth="1"/>
    <col min="10761" max="10762" width="9.140625" style="1986"/>
    <col min="10763" max="10763" width="18.85546875" style="1986" customWidth="1"/>
    <col min="10764" max="10764" width="17.7109375" style="1986" customWidth="1"/>
    <col min="10765" max="11008" width="9.140625" style="1986"/>
    <col min="11009" max="11009" width="4.7109375" style="1986" customWidth="1"/>
    <col min="11010" max="11010" width="6.7109375" style="1986" customWidth="1"/>
    <col min="11011" max="11011" width="8.85546875" style="1986" customWidth="1"/>
    <col min="11012" max="11012" width="47.85546875" style="1986" customWidth="1"/>
    <col min="11013" max="11013" width="12.85546875" style="1986" customWidth="1"/>
    <col min="11014" max="11014" width="15.5703125" style="1986" customWidth="1"/>
    <col min="11015" max="11015" width="15.85546875" style="1986" customWidth="1"/>
    <col min="11016" max="11016" width="6.42578125" style="1986" customWidth="1"/>
    <col min="11017" max="11018" width="9.140625" style="1986"/>
    <col min="11019" max="11019" width="18.85546875" style="1986" customWidth="1"/>
    <col min="11020" max="11020" width="17.7109375" style="1986" customWidth="1"/>
    <col min="11021" max="11264" width="9.140625" style="1986"/>
    <col min="11265" max="11265" width="4.7109375" style="1986" customWidth="1"/>
    <col min="11266" max="11266" width="6.7109375" style="1986" customWidth="1"/>
    <col min="11267" max="11267" width="8.85546875" style="1986" customWidth="1"/>
    <col min="11268" max="11268" width="47.85546875" style="1986" customWidth="1"/>
    <col min="11269" max="11269" width="12.85546875" style="1986" customWidth="1"/>
    <col min="11270" max="11270" width="15.5703125" style="1986" customWidth="1"/>
    <col min="11271" max="11271" width="15.85546875" style="1986" customWidth="1"/>
    <col min="11272" max="11272" width="6.42578125" style="1986" customWidth="1"/>
    <col min="11273" max="11274" width="9.140625" style="1986"/>
    <col min="11275" max="11275" width="18.85546875" style="1986" customWidth="1"/>
    <col min="11276" max="11276" width="17.7109375" style="1986" customWidth="1"/>
    <col min="11277" max="11520" width="9.140625" style="1986"/>
    <col min="11521" max="11521" width="4.7109375" style="1986" customWidth="1"/>
    <col min="11522" max="11522" width="6.7109375" style="1986" customWidth="1"/>
    <col min="11523" max="11523" width="8.85546875" style="1986" customWidth="1"/>
    <col min="11524" max="11524" width="47.85546875" style="1986" customWidth="1"/>
    <col min="11525" max="11525" width="12.85546875" style="1986" customWidth="1"/>
    <col min="11526" max="11526" width="15.5703125" style="1986" customWidth="1"/>
    <col min="11527" max="11527" width="15.85546875" style="1986" customWidth="1"/>
    <col min="11528" max="11528" width="6.42578125" style="1986" customWidth="1"/>
    <col min="11529" max="11530" width="9.140625" style="1986"/>
    <col min="11531" max="11531" width="18.85546875" style="1986" customWidth="1"/>
    <col min="11532" max="11532" width="17.7109375" style="1986" customWidth="1"/>
    <col min="11533" max="11776" width="9.140625" style="1986"/>
    <col min="11777" max="11777" width="4.7109375" style="1986" customWidth="1"/>
    <col min="11778" max="11778" width="6.7109375" style="1986" customWidth="1"/>
    <col min="11779" max="11779" width="8.85546875" style="1986" customWidth="1"/>
    <col min="11780" max="11780" width="47.85546875" style="1986" customWidth="1"/>
    <col min="11781" max="11781" width="12.85546875" style="1986" customWidth="1"/>
    <col min="11782" max="11782" width="15.5703125" style="1986" customWidth="1"/>
    <col min="11783" max="11783" width="15.85546875" style="1986" customWidth="1"/>
    <col min="11784" max="11784" width="6.42578125" style="1986" customWidth="1"/>
    <col min="11785" max="11786" width="9.140625" style="1986"/>
    <col min="11787" max="11787" width="18.85546875" style="1986" customWidth="1"/>
    <col min="11788" max="11788" width="17.7109375" style="1986" customWidth="1"/>
    <col min="11789" max="12032" width="9.140625" style="1986"/>
    <col min="12033" max="12033" width="4.7109375" style="1986" customWidth="1"/>
    <col min="12034" max="12034" width="6.7109375" style="1986" customWidth="1"/>
    <col min="12035" max="12035" width="8.85546875" style="1986" customWidth="1"/>
    <col min="12036" max="12036" width="47.85546875" style="1986" customWidth="1"/>
    <col min="12037" max="12037" width="12.85546875" style="1986" customWidth="1"/>
    <col min="12038" max="12038" width="15.5703125" style="1986" customWidth="1"/>
    <col min="12039" max="12039" width="15.85546875" style="1986" customWidth="1"/>
    <col min="12040" max="12040" width="6.42578125" style="1986" customWidth="1"/>
    <col min="12041" max="12042" width="9.140625" style="1986"/>
    <col min="12043" max="12043" width="18.85546875" style="1986" customWidth="1"/>
    <col min="12044" max="12044" width="17.7109375" style="1986" customWidth="1"/>
    <col min="12045" max="12288" width="9.140625" style="1986"/>
    <col min="12289" max="12289" width="4.7109375" style="1986" customWidth="1"/>
    <col min="12290" max="12290" width="6.7109375" style="1986" customWidth="1"/>
    <col min="12291" max="12291" width="8.85546875" style="1986" customWidth="1"/>
    <col min="12292" max="12292" width="47.85546875" style="1986" customWidth="1"/>
    <col min="12293" max="12293" width="12.85546875" style="1986" customWidth="1"/>
    <col min="12294" max="12294" width="15.5703125" style="1986" customWidth="1"/>
    <col min="12295" max="12295" width="15.85546875" style="1986" customWidth="1"/>
    <col min="12296" max="12296" width="6.42578125" style="1986" customWidth="1"/>
    <col min="12297" max="12298" width="9.140625" style="1986"/>
    <col min="12299" max="12299" width="18.85546875" style="1986" customWidth="1"/>
    <col min="12300" max="12300" width="17.7109375" style="1986" customWidth="1"/>
    <col min="12301" max="12544" width="9.140625" style="1986"/>
    <col min="12545" max="12545" width="4.7109375" style="1986" customWidth="1"/>
    <col min="12546" max="12546" width="6.7109375" style="1986" customWidth="1"/>
    <col min="12547" max="12547" width="8.85546875" style="1986" customWidth="1"/>
    <col min="12548" max="12548" width="47.85546875" style="1986" customWidth="1"/>
    <col min="12549" max="12549" width="12.85546875" style="1986" customWidth="1"/>
    <col min="12550" max="12550" width="15.5703125" style="1986" customWidth="1"/>
    <col min="12551" max="12551" width="15.85546875" style="1986" customWidth="1"/>
    <col min="12552" max="12552" width="6.42578125" style="1986" customWidth="1"/>
    <col min="12553" max="12554" width="9.140625" style="1986"/>
    <col min="12555" max="12555" width="18.85546875" style="1986" customWidth="1"/>
    <col min="12556" max="12556" width="17.7109375" style="1986" customWidth="1"/>
    <col min="12557" max="12800" width="9.140625" style="1986"/>
    <col min="12801" max="12801" width="4.7109375" style="1986" customWidth="1"/>
    <col min="12802" max="12802" width="6.7109375" style="1986" customWidth="1"/>
    <col min="12803" max="12803" width="8.85546875" style="1986" customWidth="1"/>
    <col min="12804" max="12804" width="47.85546875" style="1986" customWidth="1"/>
    <col min="12805" max="12805" width="12.85546875" style="1986" customWidth="1"/>
    <col min="12806" max="12806" width="15.5703125" style="1986" customWidth="1"/>
    <col min="12807" max="12807" width="15.85546875" style="1986" customWidth="1"/>
    <col min="12808" max="12808" width="6.42578125" style="1986" customWidth="1"/>
    <col min="12809" max="12810" width="9.140625" style="1986"/>
    <col min="12811" max="12811" width="18.85546875" style="1986" customWidth="1"/>
    <col min="12812" max="12812" width="17.7109375" style="1986" customWidth="1"/>
    <col min="12813" max="13056" width="9.140625" style="1986"/>
    <col min="13057" max="13057" width="4.7109375" style="1986" customWidth="1"/>
    <col min="13058" max="13058" width="6.7109375" style="1986" customWidth="1"/>
    <col min="13059" max="13059" width="8.85546875" style="1986" customWidth="1"/>
    <col min="13060" max="13060" width="47.85546875" style="1986" customWidth="1"/>
    <col min="13061" max="13061" width="12.85546875" style="1986" customWidth="1"/>
    <col min="13062" max="13062" width="15.5703125" style="1986" customWidth="1"/>
    <col min="13063" max="13063" width="15.85546875" style="1986" customWidth="1"/>
    <col min="13064" max="13064" width="6.42578125" style="1986" customWidth="1"/>
    <col min="13065" max="13066" width="9.140625" style="1986"/>
    <col min="13067" max="13067" width="18.85546875" style="1986" customWidth="1"/>
    <col min="13068" max="13068" width="17.7109375" style="1986" customWidth="1"/>
    <col min="13069" max="13312" width="9.140625" style="1986"/>
    <col min="13313" max="13313" width="4.7109375" style="1986" customWidth="1"/>
    <col min="13314" max="13314" width="6.7109375" style="1986" customWidth="1"/>
    <col min="13315" max="13315" width="8.85546875" style="1986" customWidth="1"/>
    <col min="13316" max="13316" width="47.85546875" style="1986" customWidth="1"/>
    <col min="13317" max="13317" width="12.85546875" style="1986" customWidth="1"/>
    <col min="13318" max="13318" width="15.5703125" style="1986" customWidth="1"/>
    <col min="13319" max="13319" width="15.85546875" style="1986" customWidth="1"/>
    <col min="13320" max="13320" width="6.42578125" style="1986" customWidth="1"/>
    <col min="13321" max="13322" width="9.140625" style="1986"/>
    <col min="13323" max="13323" width="18.85546875" style="1986" customWidth="1"/>
    <col min="13324" max="13324" width="17.7109375" style="1986" customWidth="1"/>
    <col min="13325" max="13568" width="9.140625" style="1986"/>
    <col min="13569" max="13569" width="4.7109375" style="1986" customWidth="1"/>
    <col min="13570" max="13570" width="6.7109375" style="1986" customWidth="1"/>
    <col min="13571" max="13571" width="8.85546875" style="1986" customWidth="1"/>
    <col min="13572" max="13572" width="47.85546875" style="1986" customWidth="1"/>
    <col min="13573" max="13573" width="12.85546875" style="1986" customWidth="1"/>
    <col min="13574" max="13574" width="15.5703125" style="1986" customWidth="1"/>
    <col min="13575" max="13575" width="15.85546875" style="1986" customWidth="1"/>
    <col min="13576" max="13576" width="6.42578125" style="1986" customWidth="1"/>
    <col min="13577" max="13578" width="9.140625" style="1986"/>
    <col min="13579" max="13579" width="18.85546875" style="1986" customWidth="1"/>
    <col min="13580" max="13580" width="17.7109375" style="1986" customWidth="1"/>
    <col min="13581" max="13824" width="9.140625" style="1986"/>
    <col min="13825" max="13825" width="4.7109375" style="1986" customWidth="1"/>
    <col min="13826" max="13826" width="6.7109375" style="1986" customWidth="1"/>
    <col min="13827" max="13827" width="8.85546875" style="1986" customWidth="1"/>
    <col min="13828" max="13828" width="47.85546875" style="1986" customWidth="1"/>
    <col min="13829" max="13829" width="12.85546875" style="1986" customWidth="1"/>
    <col min="13830" max="13830" width="15.5703125" style="1986" customWidth="1"/>
    <col min="13831" max="13831" width="15.85546875" style="1986" customWidth="1"/>
    <col min="13832" max="13832" width="6.42578125" style="1986" customWidth="1"/>
    <col min="13833" max="13834" width="9.140625" style="1986"/>
    <col min="13835" max="13835" width="18.85546875" style="1986" customWidth="1"/>
    <col min="13836" max="13836" width="17.7109375" style="1986" customWidth="1"/>
    <col min="13837" max="14080" width="9.140625" style="1986"/>
    <col min="14081" max="14081" width="4.7109375" style="1986" customWidth="1"/>
    <col min="14082" max="14082" width="6.7109375" style="1986" customWidth="1"/>
    <col min="14083" max="14083" width="8.85546875" style="1986" customWidth="1"/>
    <col min="14084" max="14084" width="47.85546875" style="1986" customWidth="1"/>
    <col min="14085" max="14085" width="12.85546875" style="1986" customWidth="1"/>
    <col min="14086" max="14086" width="15.5703125" style="1986" customWidth="1"/>
    <col min="14087" max="14087" width="15.85546875" style="1986" customWidth="1"/>
    <col min="14088" max="14088" width="6.42578125" style="1986" customWidth="1"/>
    <col min="14089" max="14090" width="9.140625" style="1986"/>
    <col min="14091" max="14091" width="18.85546875" style="1986" customWidth="1"/>
    <col min="14092" max="14092" width="17.7109375" style="1986" customWidth="1"/>
    <col min="14093" max="14336" width="9.140625" style="1986"/>
    <col min="14337" max="14337" width="4.7109375" style="1986" customWidth="1"/>
    <col min="14338" max="14338" width="6.7109375" style="1986" customWidth="1"/>
    <col min="14339" max="14339" width="8.85546875" style="1986" customWidth="1"/>
    <col min="14340" max="14340" width="47.85546875" style="1986" customWidth="1"/>
    <col min="14341" max="14341" width="12.85546875" style="1986" customWidth="1"/>
    <col min="14342" max="14342" width="15.5703125" style="1986" customWidth="1"/>
    <col min="14343" max="14343" width="15.85546875" style="1986" customWidth="1"/>
    <col min="14344" max="14344" width="6.42578125" style="1986" customWidth="1"/>
    <col min="14345" max="14346" width="9.140625" style="1986"/>
    <col min="14347" max="14347" width="18.85546875" style="1986" customWidth="1"/>
    <col min="14348" max="14348" width="17.7109375" style="1986" customWidth="1"/>
    <col min="14349" max="14592" width="9.140625" style="1986"/>
    <col min="14593" max="14593" width="4.7109375" style="1986" customWidth="1"/>
    <col min="14594" max="14594" width="6.7109375" style="1986" customWidth="1"/>
    <col min="14595" max="14595" width="8.85546875" style="1986" customWidth="1"/>
    <col min="14596" max="14596" width="47.85546875" style="1986" customWidth="1"/>
    <col min="14597" max="14597" width="12.85546875" style="1986" customWidth="1"/>
    <col min="14598" max="14598" width="15.5703125" style="1986" customWidth="1"/>
    <col min="14599" max="14599" width="15.85546875" style="1986" customWidth="1"/>
    <col min="14600" max="14600" width="6.42578125" style="1986" customWidth="1"/>
    <col min="14601" max="14602" width="9.140625" style="1986"/>
    <col min="14603" max="14603" width="18.85546875" style="1986" customWidth="1"/>
    <col min="14604" max="14604" width="17.7109375" style="1986" customWidth="1"/>
    <col min="14605" max="14848" width="9.140625" style="1986"/>
    <col min="14849" max="14849" width="4.7109375" style="1986" customWidth="1"/>
    <col min="14850" max="14850" width="6.7109375" style="1986" customWidth="1"/>
    <col min="14851" max="14851" width="8.85546875" style="1986" customWidth="1"/>
    <col min="14852" max="14852" width="47.85546875" style="1986" customWidth="1"/>
    <col min="14853" max="14853" width="12.85546875" style="1986" customWidth="1"/>
    <col min="14854" max="14854" width="15.5703125" style="1986" customWidth="1"/>
    <col min="14855" max="14855" width="15.85546875" style="1986" customWidth="1"/>
    <col min="14856" max="14856" width="6.42578125" style="1986" customWidth="1"/>
    <col min="14857" max="14858" width="9.140625" style="1986"/>
    <col min="14859" max="14859" width="18.85546875" style="1986" customWidth="1"/>
    <col min="14860" max="14860" width="17.7109375" style="1986" customWidth="1"/>
    <col min="14861" max="15104" width="9.140625" style="1986"/>
    <col min="15105" max="15105" width="4.7109375" style="1986" customWidth="1"/>
    <col min="15106" max="15106" width="6.7109375" style="1986" customWidth="1"/>
    <col min="15107" max="15107" width="8.85546875" style="1986" customWidth="1"/>
    <col min="15108" max="15108" width="47.85546875" style="1986" customWidth="1"/>
    <col min="15109" max="15109" width="12.85546875" style="1986" customWidth="1"/>
    <col min="15110" max="15110" width="15.5703125" style="1986" customWidth="1"/>
    <col min="15111" max="15111" width="15.85546875" style="1986" customWidth="1"/>
    <col min="15112" max="15112" width="6.42578125" style="1986" customWidth="1"/>
    <col min="15113" max="15114" width="9.140625" style="1986"/>
    <col min="15115" max="15115" width="18.85546875" style="1986" customWidth="1"/>
    <col min="15116" max="15116" width="17.7109375" style="1986" customWidth="1"/>
    <col min="15117" max="15360" width="9.140625" style="1986"/>
    <col min="15361" max="15361" width="4.7109375" style="1986" customWidth="1"/>
    <col min="15362" max="15362" width="6.7109375" style="1986" customWidth="1"/>
    <col min="15363" max="15363" width="8.85546875" style="1986" customWidth="1"/>
    <col min="15364" max="15364" width="47.85546875" style="1986" customWidth="1"/>
    <col min="15365" max="15365" width="12.85546875" style="1986" customWidth="1"/>
    <col min="15366" max="15366" width="15.5703125" style="1986" customWidth="1"/>
    <col min="15367" max="15367" width="15.85546875" style="1986" customWidth="1"/>
    <col min="15368" max="15368" width="6.42578125" style="1986" customWidth="1"/>
    <col min="15369" max="15370" width="9.140625" style="1986"/>
    <col min="15371" max="15371" width="18.85546875" style="1986" customWidth="1"/>
    <col min="15372" max="15372" width="17.7109375" style="1986" customWidth="1"/>
    <col min="15373" max="15616" width="9.140625" style="1986"/>
    <col min="15617" max="15617" width="4.7109375" style="1986" customWidth="1"/>
    <col min="15618" max="15618" width="6.7109375" style="1986" customWidth="1"/>
    <col min="15619" max="15619" width="8.85546875" style="1986" customWidth="1"/>
    <col min="15620" max="15620" width="47.85546875" style="1986" customWidth="1"/>
    <col min="15621" max="15621" width="12.85546875" style="1986" customWidth="1"/>
    <col min="15622" max="15622" width="15.5703125" style="1986" customWidth="1"/>
    <col min="15623" max="15623" width="15.85546875" style="1986" customWidth="1"/>
    <col min="15624" max="15624" width="6.42578125" style="1986" customWidth="1"/>
    <col min="15625" max="15626" width="9.140625" style="1986"/>
    <col min="15627" max="15627" width="18.85546875" style="1986" customWidth="1"/>
    <col min="15628" max="15628" width="17.7109375" style="1986" customWidth="1"/>
    <col min="15629" max="15872" width="9.140625" style="1986"/>
    <col min="15873" max="15873" width="4.7109375" style="1986" customWidth="1"/>
    <col min="15874" max="15874" width="6.7109375" style="1986" customWidth="1"/>
    <col min="15875" max="15875" width="8.85546875" style="1986" customWidth="1"/>
    <col min="15876" max="15876" width="47.85546875" style="1986" customWidth="1"/>
    <col min="15877" max="15877" width="12.85546875" style="1986" customWidth="1"/>
    <col min="15878" max="15878" width="15.5703125" style="1986" customWidth="1"/>
    <col min="15879" max="15879" width="15.85546875" style="1986" customWidth="1"/>
    <col min="15880" max="15880" width="6.42578125" style="1986" customWidth="1"/>
    <col min="15881" max="15882" width="9.140625" style="1986"/>
    <col min="15883" max="15883" width="18.85546875" style="1986" customWidth="1"/>
    <col min="15884" max="15884" width="17.7109375" style="1986" customWidth="1"/>
    <col min="15885" max="16128" width="9.140625" style="1986"/>
    <col min="16129" max="16129" width="4.7109375" style="1986" customWidth="1"/>
    <col min="16130" max="16130" width="6.7109375" style="1986" customWidth="1"/>
    <col min="16131" max="16131" width="8.85546875" style="1986" customWidth="1"/>
    <col min="16132" max="16132" width="47.85546875" style="1986" customWidth="1"/>
    <col min="16133" max="16133" width="12.85546875" style="1986" customWidth="1"/>
    <col min="16134" max="16134" width="15.5703125" style="1986" customWidth="1"/>
    <col min="16135" max="16135" width="15.85546875" style="1986" customWidth="1"/>
    <col min="16136" max="16136" width="6.42578125" style="1986" customWidth="1"/>
    <col min="16137" max="16138" width="9.140625" style="1986"/>
    <col min="16139" max="16139" width="18.85546875" style="1986" customWidth="1"/>
    <col min="16140" max="16140" width="17.7109375" style="1986" customWidth="1"/>
    <col min="16141" max="16384" width="9.140625" style="1986"/>
  </cols>
  <sheetData>
    <row r="1" spans="1:8" ht="18.75" thickBot="1" x14ac:dyDescent="0.3">
      <c r="A1" s="1980" t="s">
        <v>1397</v>
      </c>
      <c r="B1" s="1981"/>
      <c r="C1" s="1982"/>
      <c r="D1" s="1983"/>
      <c r="E1" s="1984"/>
      <c r="F1" s="1983"/>
      <c r="G1" s="1985"/>
      <c r="H1" s="1980"/>
    </row>
    <row r="2" spans="1:8" ht="18" x14ac:dyDescent="0.25">
      <c r="A2" s="1987"/>
      <c r="B2" s="1988"/>
      <c r="C2" s="1988"/>
      <c r="D2" s="1988"/>
      <c r="E2" s="1988"/>
      <c r="F2" s="1988"/>
      <c r="G2" s="1988"/>
      <c r="H2" s="1989" t="s">
        <v>1396</v>
      </c>
    </row>
    <row r="3" spans="1:8" ht="18" x14ac:dyDescent="0.25">
      <c r="A3" s="1990" t="s">
        <v>367</v>
      </c>
      <c r="B3" s="1988"/>
      <c r="C3" s="1991" t="s">
        <v>347</v>
      </c>
      <c r="D3" s="1988"/>
      <c r="E3" s="1988"/>
      <c r="F3" s="1988"/>
      <c r="G3" s="1988"/>
      <c r="H3" s="1989"/>
    </row>
    <row r="4" spans="1:8" ht="18" x14ac:dyDescent="0.25">
      <c r="A4" s="1987"/>
      <c r="B4" s="1988"/>
      <c r="C4" s="1991" t="s">
        <v>348</v>
      </c>
      <c r="D4" s="1988"/>
      <c r="E4" s="1988"/>
      <c r="F4" s="1988"/>
      <c r="G4" s="1988"/>
      <c r="H4" s="1989"/>
    </row>
    <row r="5" spans="1:8" ht="18" x14ac:dyDescent="0.25">
      <c r="A5" s="1992" t="s">
        <v>1395</v>
      </c>
      <c r="B5" s="1988"/>
      <c r="C5" s="1988"/>
      <c r="D5" s="1988"/>
      <c r="E5" s="1988"/>
      <c r="F5" s="1988"/>
      <c r="G5" s="1988"/>
      <c r="H5" s="1989"/>
    </row>
    <row r="6" spans="1:8" x14ac:dyDescent="0.2">
      <c r="A6" s="1993"/>
      <c r="B6" s="1993"/>
      <c r="C6" s="1993"/>
      <c r="E6" s="1994"/>
      <c r="F6" s="1994"/>
      <c r="G6" s="1994"/>
    </row>
    <row r="7" spans="1:8" ht="15.75" thickBot="1" x14ac:dyDescent="0.3">
      <c r="A7" s="1979" t="s">
        <v>250</v>
      </c>
      <c r="B7" s="1993"/>
      <c r="C7" s="1993"/>
      <c r="E7" s="1994"/>
      <c r="F7" s="1994"/>
      <c r="G7" s="1994"/>
      <c r="H7" s="1995" t="s">
        <v>161</v>
      </c>
    </row>
    <row r="8" spans="1:8" ht="25.5" thickTop="1" thickBot="1" x14ac:dyDescent="0.25">
      <c r="A8" s="1996" t="s">
        <v>162</v>
      </c>
      <c r="B8" s="1997" t="s">
        <v>761</v>
      </c>
      <c r="C8" s="1997" t="s">
        <v>377</v>
      </c>
      <c r="D8" s="1998" t="s">
        <v>164</v>
      </c>
      <c r="E8" s="1999" t="s">
        <v>632</v>
      </c>
      <c r="F8" s="1999" t="s">
        <v>633</v>
      </c>
      <c r="G8" s="2000" t="s">
        <v>882</v>
      </c>
      <c r="H8" s="2001" t="s">
        <v>883</v>
      </c>
    </row>
    <row r="9" spans="1:8" ht="14.25" thickTop="1" thickBot="1" x14ac:dyDescent="0.25">
      <c r="A9" s="2002">
        <v>1</v>
      </c>
      <c r="B9" s="2003">
        <v>2</v>
      </c>
      <c r="C9" s="2003">
        <v>3</v>
      </c>
      <c r="D9" s="2003">
        <v>4</v>
      </c>
      <c r="E9" s="2004">
        <v>5</v>
      </c>
      <c r="F9" s="2004">
        <v>6</v>
      </c>
      <c r="G9" s="2005">
        <v>7</v>
      </c>
      <c r="H9" s="2006" t="s">
        <v>61</v>
      </c>
    </row>
    <row r="10" spans="1:8" ht="45.75" thickTop="1" x14ac:dyDescent="0.2">
      <c r="A10" s="2007">
        <v>3299</v>
      </c>
      <c r="B10" s="2008">
        <v>5213</v>
      </c>
      <c r="C10" s="2008">
        <v>32133030</v>
      </c>
      <c r="D10" s="2009" t="s">
        <v>1261</v>
      </c>
      <c r="E10" s="2010">
        <v>0</v>
      </c>
      <c r="F10" s="2010">
        <v>331</v>
      </c>
      <c r="G10" s="2010">
        <v>315</v>
      </c>
      <c r="H10" s="2011">
        <f t="shared" ref="H10:H30" si="0">G10/F10*100</f>
        <v>95.166163141993948</v>
      </c>
    </row>
    <row r="11" spans="1:8" ht="45" x14ac:dyDescent="0.2">
      <c r="A11" s="2012">
        <v>3299</v>
      </c>
      <c r="B11" s="2013">
        <v>5213</v>
      </c>
      <c r="C11" s="2013">
        <v>32533030</v>
      </c>
      <c r="D11" s="2014" t="s">
        <v>1261</v>
      </c>
      <c r="E11" s="2015">
        <v>0</v>
      </c>
      <c r="F11" s="2015">
        <v>1878</v>
      </c>
      <c r="G11" s="2015">
        <v>1784</v>
      </c>
      <c r="H11" s="2016">
        <f t="shared" si="0"/>
        <v>94.994675186368482</v>
      </c>
    </row>
    <row r="12" spans="1:8" ht="30" x14ac:dyDescent="0.2">
      <c r="A12" s="2012">
        <v>3299</v>
      </c>
      <c r="B12" s="2013">
        <v>5221</v>
      </c>
      <c r="C12" s="2013">
        <v>32133030</v>
      </c>
      <c r="D12" s="2014" t="s">
        <v>1317</v>
      </c>
      <c r="E12" s="2015">
        <v>0</v>
      </c>
      <c r="F12" s="2015">
        <v>803</v>
      </c>
      <c r="G12" s="2015">
        <v>655</v>
      </c>
      <c r="H12" s="2016">
        <f t="shared" si="0"/>
        <v>81.569115815691163</v>
      </c>
    </row>
    <row r="13" spans="1:8" ht="30" x14ac:dyDescent="0.2">
      <c r="A13" s="2012">
        <v>3299</v>
      </c>
      <c r="B13" s="2013">
        <v>5221</v>
      </c>
      <c r="C13" s="2013">
        <v>32533030</v>
      </c>
      <c r="D13" s="2014" t="s">
        <v>1317</v>
      </c>
      <c r="E13" s="2015">
        <v>0</v>
      </c>
      <c r="F13" s="2015">
        <v>4551</v>
      </c>
      <c r="G13" s="2015">
        <v>3714</v>
      </c>
      <c r="H13" s="2016">
        <f t="shared" si="0"/>
        <v>81.608437705998682</v>
      </c>
    </row>
    <row r="14" spans="1:8" ht="30" x14ac:dyDescent="0.2">
      <c r="A14" s="2012">
        <v>3299</v>
      </c>
      <c r="B14" s="2013">
        <v>5223</v>
      </c>
      <c r="C14" s="2013">
        <v>32133030</v>
      </c>
      <c r="D14" s="2014" t="s">
        <v>2025</v>
      </c>
      <c r="E14" s="2015">
        <v>0</v>
      </c>
      <c r="F14" s="2015">
        <v>210</v>
      </c>
      <c r="G14" s="2015">
        <v>69</v>
      </c>
      <c r="H14" s="2016">
        <f t="shared" si="0"/>
        <v>32.857142857142854</v>
      </c>
    </row>
    <row r="15" spans="1:8" ht="30" x14ac:dyDescent="0.2">
      <c r="A15" s="2012">
        <v>3299</v>
      </c>
      <c r="B15" s="2013">
        <v>5223</v>
      </c>
      <c r="C15" s="2013">
        <v>32533030</v>
      </c>
      <c r="D15" s="2014" t="s">
        <v>2025</v>
      </c>
      <c r="E15" s="2015">
        <v>0</v>
      </c>
      <c r="F15" s="2015">
        <v>1190</v>
      </c>
      <c r="G15" s="2015">
        <v>390</v>
      </c>
      <c r="H15" s="2016">
        <f t="shared" si="0"/>
        <v>32.773109243697476</v>
      </c>
    </row>
    <row r="16" spans="1:8" ht="31.5" customHeight="1" x14ac:dyDescent="0.2">
      <c r="A16" s="2012">
        <v>3299</v>
      </c>
      <c r="B16" s="2013">
        <v>5229</v>
      </c>
      <c r="C16" s="2013">
        <v>32133030</v>
      </c>
      <c r="D16" s="2014" t="s">
        <v>969</v>
      </c>
      <c r="E16" s="2015">
        <v>0</v>
      </c>
      <c r="F16" s="2015">
        <v>242</v>
      </c>
      <c r="G16" s="2015">
        <v>242</v>
      </c>
      <c r="H16" s="2016">
        <f t="shared" si="0"/>
        <v>100</v>
      </c>
    </row>
    <row r="17" spans="1:11" ht="30" x14ac:dyDescent="0.2">
      <c r="A17" s="2012">
        <v>3299</v>
      </c>
      <c r="B17" s="2013">
        <v>5229</v>
      </c>
      <c r="C17" s="2013">
        <v>32533030</v>
      </c>
      <c r="D17" s="2014" t="s">
        <v>969</v>
      </c>
      <c r="E17" s="2015">
        <v>0</v>
      </c>
      <c r="F17" s="2015">
        <v>1373</v>
      </c>
      <c r="G17" s="2015">
        <v>1372</v>
      </c>
      <c r="H17" s="2016">
        <f t="shared" si="0"/>
        <v>99.927166788055359</v>
      </c>
    </row>
    <row r="18" spans="1:11" ht="15" x14ac:dyDescent="0.2">
      <c r="A18" s="2012">
        <v>3299</v>
      </c>
      <c r="B18" s="2013">
        <v>5332</v>
      </c>
      <c r="C18" s="2017">
        <v>32133030</v>
      </c>
      <c r="D18" s="2014" t="s">
        <v>619</v>
      </c>
      <c r="E18" s="2015">
        <v>0</v>
      </c>
      <c r="F18" s="2015">
        <v>801</v>
      </c>
      <c r="G18" s="2015">
        <v>641</v>
      </c>
      <c r="H18" s="2016">
        <f t="shared" si="0"/>
        <v>80.024968789013727</v>
      </c>
    </row>
    <row r="19" spans="1:11" ht="15" x14ac:dyDescent="0.2">
      <c r="A19" s="2012">
        <v>3299</v>
      </c>
      <c r="B19" s="2013">
        <v>5332</v>
      </c>
      <c r="C19" s="2017">
        <v>32533030</v>
      </c>
      <c r="D19" s="2014" t="s">
        <v>619</v>
      </c>
      <c r="E19" s="2015">
        <v>0</v>
      </c>
      <c r="F19" s="2015">
        <v>4539</v>
      </c>
      <c r="G19" s="2015">
        <v>3631</v>
      </c>
      <c r="H19" s="2016">
        <f t="shared" si="0"/>
        <v>79.995593743115222</v>
      </c>
    </row>
    <row r="20" spans="1:11" ht="15" customHeight="1" x14ac:dyDescent="0.2">
      <c r="A20" s="2012">
        <v>3299</v>
      </c>
      <c r="B20" s="2013">
        <v>5901</v>
      </c>
      <c r="C20" s="2017">
        <v>32133030</v>
      </c>
      <c r="D20" s="2014" t="s">
        <v>602</v>
      </c>
      <c r="E20" s="2015">
        <v>0</v>
      </c>
      <c r="F20" s="2015">
        <v>226</v>
      </c>
      <c r="G20" s="2015">
        <v>0</v>
      </c>
      <c r="H20" s="2016">
        <f t="shared" si="0"/>
        <v>0</v>
      </c>
    </row>
    <row r="21" spans="1:11" ht="15" customHeight="1" x14ac:dyDescent="0.2">
      <c r="A21" s="2012">
        <v>3299</v>
      </c>
      <c r="B21" s="2013">
        <v>5901</v>
      </c>
      <c r="C21" s="2017">
        <v>32533030</v>
      </c>
      <c r="D21" s="2014" t="s">
        <v>602</v>
      </c>
      <c r="E21" s="2015">
        <v>0</v>
      </c>
      <c r="F21" s="2015">
        <v>1278</v>
      </c>
      <c r="G21" s="2015">
        <v>0</v>
      </c>
      <c r="H21" s="2016">
        <f t="shared" si="0"/>
        <v>0</v>
      </c>
    </row>
    <row r="22" spans="1:11" ht="30" x14ac:dyDescent="0.2">
      <c r="A22" s="2012">
        <v>3299</v>
      </c>
      <c r="B22" s="2013">
        <v>6321</v>
      </c>
      <c r="C22" s="2017">
        <v>32133926</v>
      </c>
      <c r="D22" s="2014" t="s">
        <v>1140</v>
      </c>
      <c r="E22" s="2015">
        <v>0</v>
      </c>
      <c r="F22" s="2015">
        <v>58</v>
      </c>
      <c r="G22" s="2015">
        <v>36</v>
      </c>
      <c r="H22" s="2016">
        <f t="shared" si="0"/>
        <v>62.068965517241381</v>
      </c>
    </row>
    <row r="23" spans="1:11" ht="30" x14ac:dyDescent="0.2">
      <c r="A23" s="2012">
        <v>3299</v>
      </c>
      <c r="B23" s="2013">
        <v>6321</v>
      </c>
      <c r="C23" s="2017">
        <v>32533926</v>
      </c>
      <c r="D23" s="2014" t="s">
        <v>1140</v>
      </c>
      <c r="E23" s="2015">
        <v>0</v>
      </c>
      <c r="F23" s="2015">
        <v>330</v>
      </c>
      <c r="G23" s="2015">
        <v>207</v>
      </c>
      <c r="H23" s="2016">
        <f t="shared" si="0"/>
        <v>62.727272727272734</v>
      </c>
    </row>
    <row r="24" spans="1:11" ht="30" x14ac:dyDescent="0.2">
      <c r="A24" s="2012">
        <v>3299</v>
      </c>
      <c r="B24" s="2013">
        <v>6323</v>
      </c>
      <c r="C24" s="2017">
        <v>32133926</v>
      </c>
      <c r="D24" s="2014" t="s">
        <v>548</v>
      </c>
      <c r="E24" s="2015">
        <v>0</v>
      </c>
      <c r="F24" s="2015">
        <v>8</v>
      </c>
      <c r="G24" s="2015">
        <v>8</v>
      </c>
      <c r="H24" s="2016">
        <f t="shared" si="0"/>
        <v>100</v>
      </c>
    </row>
    <row r="25" spans="1:11" ht="30" x14ac:dyDescent="0.2">
      <c r="A25" s="2012">
        <v>3299</v>
      </c>
      <c r="B25" s="2013">
        <v>6323</v>
      </c>
      <c r="C25" s="2017">
        <v>32533926</v>
      </c>
      <c r="D25" s="2014" t="s">
        <v>548</v>
      </c>
      <c r="E25" s="2015">
        <v>0</v>
      </c>
      <c r="F25" s="2015">
        <v>48</v>
      </c>
      <c r="G25" s="2015">
        <v>48</v>
      </c>
      <c r="H25" s="2016">
        <f t="shared" si="0"/>
        <v>100</v>
      </c>
    </row>
    <row r="26" spans="1:11" ht="15" customHeight="1" x14ac:dyDescent="0.2">
      <c r="A26" s="2012">
        <v>3636</v>
      </c>
      <c r="B26" s="2013">
        <v>6901</v>
      </c>
      <c r="C26" s="2017">
        <v>32133926</v>
      </c>
      <c r="D26" s="2014" t="s">
        <v>428</v>
      </c>
      <c r="E26" s="2015">
        <v>0</v>
      </c>
      <c r="F26" s="2015">
        <v>3</v>
      </c>
      <c r="G26" s="2015">
        <v>0</v>
      </c>
      <c r="H26" s="2016">
        <f t="shared" si="0"/>
        <v>0</v>
      </c>
    </row>
    <row r="27" spans="1:11" ht="15" x14ac:dyDescent="0.2">
      <c r="A27" s="2012">
        <v>3636</v>
      </c>
      <c r="B27" s="2013">
        <v>6901</v>
      </c>
      <c r="C27" s="2017">
        <v>32533926</v>
      </c>
      <c r="D27" s="2014" t="s">
        <v>428</v>
      </c>
      <c r="E27" s="2015">
        <v>0</v>
      </c>
      <c r="F27" s="2015">
        <v>19</v>
      </c>
      <c r="G27" s="2015">
        <v>0</v>
      </c>
      <c r="H27" s="2016">
        <f t="shared" si="0"/>
        <v>0</v>
      </c>
    </row>
    <row r="28" spans="1:11" ht="15" x14ac:dyDescent="0.2">
      <c r="A28" s="2012">
        <v>6330</v>
      </c>
      <c r="B28" s="2013">
        <v>5345</v>
      </c>
      <c r="C28" s="2017">
        <v>0</v>
      </c>
      <c r="D28" s="2014" t="s">
        <v>767</v>
      </c>
      <c r="E28" s="2015">
        <v>0</v>
      </c>
      <c r="F28" s="2015">
        <v>0</v>
      </c>
      <c r="G28" s="2015">
        <v>69542</v>
      </c>
      <c r="H28" s="2016">
        <v>0</v>
      </c>
    </row>
    <row r="29" spans="1:11" ht="15.75" thickBot="1" x14ac:dyDescent="0.25">
      <c r="A29" s="2012">
        <v>6402</v>
      </c>
      <c r="B29" s="2013">
        <v>5363</v>
      </c>
      <c r="C29" s="2017">
        <v>19</v>
      </c>
      <c r="D29" s="2014" t="s">
        <v>1542</v>
      </c>
      <c r="E29" s="2015">
        <v>0</v>
      </c>
      <c r="F29" s="2015">
        <v>40</v>
      </c>
      <c r="G29" s="2015">
        <v>31</v>
      </c>
      <c r="H29" s="2016">
        <v>0</v>
      </c>
      <c r="J29" s="1986">
        <f>17887.85+40.38</f>
        <v>17928.23</v>
      </c>
      <c r="K29" s="1986">
        <f>31179.23+82654322.71</f>
        <v>82685501.939999998</v>
      </c>
    </row>
    <row r="30" spans="1:11" ht="16.5" thickTop="1" thickBot="1" x14ac:dyDescent="0.3">
      <c r="A30" s="2757" t="s">
        <v>763</v>
      </c>
      <c r="B30" s="2758"/>
      <c r="C30" s="2758"/>
      <c r="D30" s="2758"/>
      <c r="E30" s="2019">
        <f>SUM(E10:E29)</f>
        <v>0</v>
      </c>
      <c r="F30" s="2019">
        <f t="shared" ref="F30:G30" si="1">SUM(F10:F29)</f>
        <v>17928</v>
      </c>
      <c r="G30" s="2019">
        <f t="shared" si="1"/>
        <v>82685</v>
      </c>
      <c r="H30" s="2020">
        <f t="shared" si="0"/>
        <v>461.20593485051319</v>
      </c>
    </row>
    <row r="31" spans="1:11" ht="13.5" thickTop="1" x14ac:dyDescent="0.2"/>
    <row r="33" spans="1:9" ht="15" x14ac:dyDescent="0.25">
      <c r="A33" s="1979" t="s">
        <v>1632</v>
      </c>
      <c r="B33" s="1993"/>
      <c r="C33" s="1993"/>
      <c r="D33" s="1993"/>
      <c r="F33" s="1994"/>
      <c r="G33" s="1994"/>
      <c r="H33" s="1994"/>
      <c r="I33" s="1994"/>
    </row>
    <row r="34" spans="1:9" ht="15.75" thickBot="1" x14ac:dyDescent="0.3">
      <c r="A34" s="1979" t="s">
        <v>1551</v>
      </c>
      <c r="B34" s="1993"/>
      <c r="C34" s="1993"/>
      <c r="D34" s="1993"/>
      <c r="F34" s="1994"/>
      <c r="G34" s="1994"/>
      <c r="H34" s="1995" t="s">
        <v>161</v>
      </c>
      <c r="I34" s="1994"/>
    </row>
    <row r="35" spans="1:9" ht="25.5" thickTop="1" thickBot="1" x14ac:dyDescent="0.25">
      <c r="A35" s="1996" t="s">
        <v>162</v>
      </c>
      <c r="B35" s="1997" t="s">
        <v>761</v>
      </c>
      <c r="C35" s="1997" t="s">
        <v>377</v>
      </c>
      <c r="D35" s="1998" t="s">
        <v>164</v>
      </c>
      <c r="E35" s="1999" t="s">
        <v>632</v>
      </c>
      <c r="F35" s="1999" t="s">
        <v>633</v>
      </c>
      <c r="G35" s="2000" t="s">
        <v>882</v>
      </c>
      <c r="H35" s="2001" t="s">
        <v>883</v>
      </c>
      <c r="I35" s="1994"/>
    </row>
    <row r="36" spans="1:9" ht="14.25" thickTop="1" thickBot="1" x14ac:dyDescent="0.25">
      <c r="A36" s="2002">
        <v>1</v>
      </c>
      <c r="B36" s="2003">
        <v>2</v>
      </c>
      <c r="C36" s="2003">
        <v>3</v>
      </c>
      <c r="D36" s="2003">
        <v>5</v>
      </c>
      <c r="E36" s="2004">
        <v>6</v>
      </c>
      <c r="F36" s="2004">
        <v>7</v>
      </c>
      <c r="G36" s="2005">
        <v>8</v>
      </c>
      <c r="H36" s="2021" t="s">
        <v>762</v>
      </c>
      <c r="I36" s="1994"/>
    </row>
    <row r="37" spans="1:9" ht="30.75" thickTop="1" x14ac:dyDescent="0.2">
      <c r="A37" s="2012">
        <v>3299</v>
      </c>
      <c r="B37" s="2013">
        <v>5336</v>
      </c>
      <c r="C37" s="2013">
        <v>32133030</v>
      </c>
      <c r="D37" s="2014" t="s">
        <v>1263</v>
      </c>
      <c r="E37" s="2010">
        <v>0</v>
      </c>
      <c r="F37" s="2010">
        <v>90</v>
      </c>
      <c r="G37" s="2022">
        <v>88</v>
      </c>
      <c r="H37" s="2011">
        <f>G37/F37*100</f>
        <v>97.777777777777771</v>
      </c>
      <c r="I37" s="1994"/>
    </row>
    <row r="38" spans="1:9" ht="30.75" thickBot="1" x14ac:dyDescent="0.25">
      <c r="A38" s="2012">
        <v>3299</v>
      </c>
      <c r="B38" s="2013">
        <v>5336</v>
      </c>
      <c r="C38" s="2013">
        <v>32533030</v>
      </c>
      <c r="D38" s="2014" t="s">
        <v>1263</v>
      </c>
      <c r="E38" s="2015">
        <v>0</v>
      </c>
      <c r="F38" s="2015">
        <v>507</v>
      </c>
      <c r="G38" s="2023">
        <v>501</v>
      </c>
      <c r="H38" s="2016">
        <f>G38/F38*100</f>
        <v>98.816568047337284</v>
      </c>
      <c r="I38" s="1994"/>
    </row>
    <row r="39" spans="1:9" ht="30.75" hidden="1" thickBot="1" x14ac:dyDescent="0.25">
      <c r="A39" s="2012">
        <v>3299</v>
      </c>
      <c r="B39" s="2013">
        <v>6351</v>
      </c>
      <c r="C39" s="2013">
        <v>32133926</v>
      </c>
      <c r="D39" s="2014" t="s">
        <v>1277</v>
      </c>
      <c r="E39" s="2015">
        <v>0</v>
      </c>
      <c r="F39" s="2015">
        <v>0</v>
      </c>
      <c r="G39" s="2023">
        <v>0</v>
      </c>
      <c r="H39" s="2016" t="e">
        <f>G39/F39*100</f>
        <v>#DIV/0!</v>
      </c>
      <c r="I39" s="1994"/>
    </row>
    <row r="40" spans="1:9" ht="30.75" hidden="1" thickBot="1" x14ac:dyDescent="0.25">
      <c r="A40" s="2012">
        <v>3299</v>
      </c>
      <c r="B40" s="2013">
        <v>6351</v>
      </c>
      <c r="C40" s="2013">
        <v>32533926</v>
      </c>
      <c r="D40" s="2014" t="s">
        <v>1277</v>
      </c>
      <c r="E40" s="2015">
        <v>0</v>
      </c>
      <c r="F40" s="2015">
        <v>0</v>
      </c>
      <c r="G40" s="2023">
        <v>0</v>
      </c>
      <c r="H40" s="2016" t="e">
        <f>G40/F40*100</f>
        <v>#DIV/0!</v>
      </c>
      <c r="I40" s="1994"/>
    </row>
    <row r="41" spans="1:9" ht="16.5" thickTop="1" thickBot="1" x14ac:dyDescent="0.3">
      <c r="A41" s="2024" t="s">
        <v>763</v>
      </c>
      <c r="B41" s="2025"/>
      <c r="C41" s="2025"/>
      <c r="D41" s="2026"/>
      <c r="E41" s="2019">
        <f>SUM(E37:E40)</f>
        <v>0</v>
      </c>
      <c r="F41" s="2019">
        <f>SUM(F37:F40)</f>
        <v>597</v>
      </c>
      <c r="G41" s="2019">
        <f>SUM(G37:G40)</f>
        <v>589</v>
      </c>
      <c r="H41" s="2020">
        <f>G41/F41*100</f>
        <v>98.659966499162479</v>
      </c>
      <c r="I41" s="1994"/>
    </row>
    <row r="42" spans="1:9" ht="13.5" thickTop="1" x14ac:dyDescent="0.2">
      <c r="A42" s="1993"/>
      <c r="B42" s="1993"/>
      <c r="C42" s="1993"/>
      <c r="E42" s="1994"/>
      <c r="F42" s="1994"/>
      <c r="G42" s="1994"/>
      <c r="I42" s="1994"/>
    </row>
    <row r="43" spans="1:9" ht="15" x14ac:dyDescent="0.25">
      <c r="A43" s="1979" t="s">
        <v>1734</v>
      </c>
      <c r="B43" s="1993"/>
      <c r="C43" s="1993"/>
      <c r="D43" s="1993"/>
      <c r="F43" s="1994"/>
      <c r="G43" s="1994"/>
      <c r="H43" s="1994"/>
      <c r="I43" s="1994"/>
    </row>
    <row r="44" spans="1:9" ht="15.75" thickBot="1" x14ac:dyDescent="0.3">
      <c r="A44" s="1979" t="s">
        <v>1262</v>
      </c>
      <c r="B44" s="1993"/>
      <c r="C44" s="1993"/>
      <c r="D44" s="1993"/>
      <c r="F44" s="1994"/>
      <c r="G44" s="1994"/>
      <c r="H44" s="1995" t="s">
        <v>161</v>
      </c>
      <c r="I44" s="1994"/>
    </row>
    <row r="45" spans="1:9" ht="25.5" thickTop="1" thickBot="1" x14ac:dyDescent="0.25">
      <c r="A45" s="1996" t="s">
        <v>162</v>
      </c>
      <c r="B45" s="1997" t="s">
        <v>761</v>
      </c>
      <c r="C45" s="1997" t="s">
        <v>377</v>
      </c>
      <c r="D45" s="1998" t="s">
        <v>164</v>
      </c>
      <c r="E45" s="1999" t="s">
        <v>632</v>
      </c>
      <c r="F45" s="1999" t="s">
        <v>633</v>
      </c>
      <c r="G45" s="2000" t="s">
        <v>882</v>
      </c>
      <c r="H45" s="2001" t="s">
        <v>883</v>
      </c>
      <c r="I45" s="1994"/>
    </row>
    <row r="46" spans="1:9" ht="14.25" thickTop="1" thickBot="1" x14ac:dyDescent="0.25">
      <c r="A46" s="2002">
        <v>1</v>
      </c>
      <c r="B46" s="2003">
        <v>2</v>
      </c>
      <c r="C46" s="2003">
        <v>3</v>
      </c>
      <c r="D46" s="2003">
        <v>5</v>
      </c>
      <c r="E46" s="2004">
        <v>6</v>
      </c>
      <c r="F46" s="2004">
        <v>7</v>
      </c>
      <c r="G46" s="2005">
        <v>8</v>
      </c>
      <c r="H46" s="2021" t="s">
        <v>762</v>
      </c>
      <c r="I46" s="1994"/>
    </row>
    <row r="47" spans="1:9" ht="30.75" thickTop="1" x14ac:dyDescent="0.2">
      <c r="A47" s="2012">
        <v>3299</v>
      </c>
      <c r="B47" s="2013">
        <v>5336</v>
      </c>
      <c r="C47" s="2013">
        <v>32133030</v>
      </c>
      <c r="D47" s="2014" t="s">
        <v>1263</v>
      </c>
      <c r="E47" s="2010">
        <v>0</v>
      </c>
      <c r="F47" s="2010">
        <v>332</v>
      </c>
      <c r="G47" s="2022">
        <v>131</v>
      </c>
      <c r="H47" s="2011">
        <f>G47/F47*100</f>
        <v>39.457831325301207</v>
      </c>
      <c r="I47" s="1994"/>
    </row>
    <row r="48" spans="1:9" ht="30.75" thickBot="1" x14ac:dyDescent="0.25">
      <c r="A48" s="2012">
        <v>3299</v>
      </c>
      <c r="B48" s="2013">
        <v>5336</v>
      </c>
      <c r="C48" s="2013">
        <v>32533030</v>
      </c>
      <c r="D48" s="2014" t="s">
        <v>1263</v>
      </c>
      <c r="E48" s="2015">
        <v>0</v>
      </c>
      <c r="F48" s="2015">
        <v>1882</v>
      </c>
      <c r="G48" s="2023">
        <v>742</v>
      </c>
      <c r="H48" s="2016">
        <f>G48/F48*100</f>
        <v>39.426142401700318</v>
      </c>
      <c r="I48" s="1994"/>
    </row>
    <row r="49" spans="1:9" ht="30.75" hidden="1" thickBot="1" x14ac:dyDescent="0.25">
      <c r="A49" s="2012">
        <v>3299</v>
      </c>
      <c r="B49" s="2013">
        <v>6351</v>
      </c>
      <c r="C49" s="2013">
        <v>32133006</v>
      </c>
      <c r="D49" s="2014" t="s">
        <v>1277</v>
      </c>
      <c r="E49" s="2015">
        <v>0</v>
      </c>
      <c r="F49" s="2015">
        <v>0</v>
      </c>
      <c r="G49" s="2023">
        <v>0</v>
      </c>
      <c r="H49" s="2016" t="e">
        <f>G49/F49*100</f>
        <v>#DIV/0!</v>
      </c>
      <c r="I49" s="1994"/>
    </row>
    <row r="50" spans="1:9" ht="30.75" hidden="1" thickBot="1" x14ac:dyDescent="0.25">
      <c r="A50" s="2012">
        <v>3299</v>
      </c>
      <c r="B50" s="2013">
        <v>6351</v>
      </c>
      <c r="C50" s="2013">
        <v>32533006</v>
      </c>
      <c r="D50" s="2014" t="s">
        <v>1277</v>
      </c>
      <c r="E50" s="2015">
        <v>0</v>
      </c>
      <c r="F50" s="2015">
        <v>0</v>
      </c>
      <c r="G50" s="2023">
        <v>0</v>
      </c>
      <c r="H50" s="2016" t="e">
        <f>G50/F50*100</f>
        <v>#DIV/0!</v>
      </c>
      <c r="I50" s="1994"/>
    </row>
    <row r="51" spans="1:9" ht="16.5" thickTop="1" thickBot="1" x14ac:dyDescent="0.3">
      <c r="A51" s="2024" t="s">
        <v>763</v>
      </c>
      <c r="B51" s="2025"/>
      <c r="C51" s="2025"/>
      <c r="D51" s="2026"/>
      <c r="E51" s="2019">
        <f>SUM(E47:E50)</f>
        <v>0</v>
      </c>
      <c r="F51" s="2019">
        <f>SUM(F47:F50)</f>
        <v>2214</v>
      </c>
      <c r="G51" s="2019">
        <f>SUM(G47:G50)</f>
        <v>873</v>
      </c>
      <c r="H51" s="2020">
        <f>G51/F51*100</f>
        <v>39.430894308943088</v>
      </c>
      <c r="I51" s="1994"/>
    </row>
    <row r="52" spans="1:9" ht="13.5" thickTop="1" x14ac:dyDescent="0.2">
      <c r="A52" s="1993"/>
      <c r="B52" s="1993"/>
      <c r="C52" s="1993"/>
      <c r="E52" s="1994"/>
      <c r="F52" s="1994"/>
      <c r="G52" s="1994"/>
      <c r="I52" s="1994"/>
    </row>
    <row r="53" spans="1:9" ht="15" x14ac:dyDescent="0.25">
      <c r="A53" s="1979" t="s">
        <v>334</v>
      </c>
      <c r="B53" s="1993"/>
      <c r="C53" s="1993"/>
      <c r="D53" s="1993"/>
      <c r="F53" s="1994"/>
      <c r="G53" s="1994"/>
      <c r="H53" s="1994"/>
      <c r="I53" s="1994"/>
    </row>
    <row r="54" spans="1:9" ht="15.75" thickBot="1" x14ac:dyDescent="0.3">
      <c r="A54" s="1979" t="s">
        <v>1735</v>
      </c>
      <c r="B54" s="1993"/>
      <c r="C54" s="1993"/>
      <c r="D54" s="1993"/>
      <c r="F54" s="1994"/>
      <c r="G54" s="1994"/>
      <c r="H54" s="1995" t="s">
        <v>161</v>
      </c>
      <c r="I54" s="1994"/>
    </row>
    <row r="55" spans="1:9" ht="25.5" thickTop="1" thickBot="1" x14ac:dyDescent="0.25">
      <c r="A55" s="1996" t="s">
        <v>162</v>
      </c>
      <c r="B55" s="1997" t="s">
        <v>761</v>
      </c>
      <c r="C55" s="1997" t="s">
        <v>377</v>
      </c>
      <c r="D55" s="1998" t="s">
        <v>164</v>
      </c>
      <c r="E55" s="1999" t="s">
        <v>632</v>
      </c>
      <c r="F55" s="1999" t="s">
        <v>633</v>
      </c>
      <c r="G55" s="2000" t="s">
        <v>882</v>
      </c>
      <c r="H55" s="2001" t="s">
        <v>883</v>
      </c>
      <c r="I55" s="1994"/>
    </row>
    <row r="56" spans="1:9" ht="14.25" thickTop="1" thickBot="1" x14ac:dyDescent="0.25">
      <c r="A56" s="2002">
        <v>1</v>
      </c>
      <c r="B56" s="2003">
        <v>2</v>
      </c>
      <c r="C56" s="2003">
        <v>3</v>
      </c>
      <c r="D56" s="2003">
        <v>5</v>
      </c>
      <c r="E56" s="2004">
        <v>6</v>
      </c>
      <c r="F56" s="2004">
        <v>7</v>
      </c>
      <c r="G56" s="2005">
        <v>8</v>
      </c>
      <c r="H56" s="2021" t="s">
        <v>762</v>
      </c>
      <c r="I56" s="1994"/>
    </row>
    <row r="57" spans="1:9" ht="30.75" thickTop="1" x14ac:dyDescent="0.2">
      <c r="A57" s="2012">
        <v>3299</v>
      </c>
      <c r="B57" s="2013">
        <v>5336</v>
      </c>
      <c r="C57" s="2013">
        <v>32133030</v>
      </c>
      <c r="D57" s="2014" t="s">
        <v>1263</v>
      </c>
      <c r="E57" s="2010">
        <v>0</v>
      </c>
      <c r="F57" s="2010">
        <v>143</v>
      </c>
      <c r="G57" s="2022">
        <v>129</v>
      </c>
      <c r="H57" s="2011">
        <f>G57/F57*100</f>
        <v>90.209790209790214</v>
      </c>
      <c r="I57" s="1994"/>
    </row>
    <row r="58" spans="1:9" ht="30.75" thickBot="1" x14ac:dyDescent="0.25">
      <c r="A58" s="2012">
        <v>3299</v>
      </c>
      <c r="B58" s="2013">
        <v>5336</v>
      </c>
      <c r="C58" s="2013">
        <v>32533030</v>
      </c>
      <c r="D58" s="2014" t="s">
        <v>1263</v>
      </c>
      <c r="E58" s="2015">
        <v>0</v>
      </c>
      <c r="F58" s="2015">
        <v>813</v>
      </c>
      <c r="G58" s="2023">
        <v>727</v>
      </c>
      <c r="H58" s="2016">
        <f>G58/F58*100</f>
        <v>89.421894218942185</v>
      </c>
      <c r="I58" s="1994"/>
    </row>
    <row r="59" spans="1:9" ht="30.75" hidden="1" thickBot="1" x14ac:dyDescent="0.25">
      <c r="A59" s="2012">
        <v>3299</v>
      </c>
      <c r="B59" s="2013">
        <v>6351</v>
      </c>
      <c r="C59" s="2013">
        <v>32133006</v>
      </c>
      <c r="D59" s="2014" t="s">
        <v>1277</v>
      </c>
      <c r="E59" s="2015">
        <v>0</v>
      </c>
      <c r="F59" s="2015">
        <v>0</v>
      </c>
      <c r="G59" s="2023">
        <v>0</v>
      </c>
      <c r="H59" s="2016" t="e">
        <f>G59/F59*100</f>
        <v>#DIV/0!</v>
      </c>
      <c r="I59" s="1994"/>
    </row>
    <row r="60" spans="1:9" ht="30.75" hidden="1" thickBot="1" x14ac:dyDescent="0.25">
      <c r="A60" s="2012">
        <v>3299</v>
      </c>
      <c r="B60" s="2013">
        <v>6351</v>
      </c>
      <c r="C60" s="2013">
        <v>32533006</v>
      </c>
      <c r="D60" s="2014" t="s">
        <v>1277</v>
      </c>
      <c r="E60" s="2015">
        <v>0</v>
      </c>
      <c r="F60" s="2015">
        <v>0</v>
      </c>
      <c r="G60" s="2023">
        <v>0</v>
      </c>
      <c r="H60" s="2016" t="e">
        <f>G60/F60*100</f>
        <v>#DIV/0!</v>
      </c>
      <c r="I60" s="1994"/>
    </row>
    <row r="61" spans="1:9" ht="16.5" thickTop="1" thickBot="1" x14ac:dyDescent="0.3">
      <c r="A61" s="2024" t="s">
        <v>763</v>
      </c>
      <c r="B61" s="2025"/>
      <c r="C61" s="2025"/>
      <c r="D61" s="2026"/>
      <c r="E61" s="2019">
        <f>SUM(E57:E60)</f>
        <v>0</v>
      </c>
      <c r="F61" s="2019">
        <f>SUM(F57:F60)</f>
        <v>956</v>
      </c>
      <c r="G61" s="2019">
        <f>SUM(G57:G60)</f>
        <v>856</v>
      </c>
      <c r="H61" s="2020">
        <f>G61/F61*100</f>
        <v>89.539748953974893</v>
      </c>
      <c r="I61" s="1994"/>
    </row>
    <row r="62" spans="1:9" ht="13.5" thickTop="1" x14ac:dyDescent="0.2">
      <c r="A62" s="1993"/>
      <c r="B62" s="1993"/>
      <c r="C62" s="1993"/>
      <c r="E62" s="1994"/>
      <c r="F62" s="1994"/>
      <c r="G62" s="1994"/>
      <c r="I62" s="1994"/>
    </row>
    <row r="63" spans="1:9" ht="15" x14ac:dyDescent="0.25">
      <c r="A63" s="1979" t="s">
        <v>1552</v>
      </c>
      <c r="B63" s="1993"/>
      <c r="C63" s="1993"/>
      <c r="D63" s="1993"/>
      <c r="F63" s="1994"/>
      <c r="G63" s="1994"/>
      <c r="H63" s="1994"/>
      <c r="I63" s="1994"/>
    </row>
    <row r="64" spans="1:9" ht="15.75" thickBot="1" x14ac:dyDescent="0.3">
      <c r="A64" s="1979" t="s">
        <v>1266</v>
      </c>
      <c r="B64" s="1993"/>
      <c r="C64" s="1993"/>
      <c r="D64" s="1993"/>
      <c r="F64" s="1994"/>
      <c r="G64" s="1994"/>
      <c r="H64" s="1995" t="s">
        <v>161</v>
      </c>
      <c r="I64" s="1994"/>
    </row>
    <row r="65" spans="1:9" ht="25.5" thickTop="1" thickBot="1" x14ac:dyDescent="0.25">
      <c r="A65" s="1996" t="s">
        <v>162</v>
      </c>
      <c r="B65" s="1997" t="s">
        <v>761</v>
      </c>
      <c r="C65" s="1997" t="s">
        <v>377</v>
      </c>
      <c r="D65" s="1998" t="s">
        <v>164</v>
      </c>
      <c r="E65" s="1999" t="s">
        <v>632</v>
      </c>
      <c r="F65" s="1999" t="s">
        <v>633</v>
      </c>
      <c r="G65" s="2000" t="s">
        <v>882</v>
      </c>
      <c r="H65" s="2001" t="s">
        <v>883</v>
      </c>
      <c r="I65" s="1994"/>
    </row>
    <row r="66" spans="1:9" ht="14.25" thickTop="1" thickBot="1" x14ac:dyDescent="0.25">
      <c r="A66" s="2002">
        <v>1</v>
      </c>
      <c r="B66" s="2003">
        <v>2</v>
      </c>
      <c r="C66" s="2003">
        <v>3</v>
      </c>
      <c r="D66" s="2003">
        <v>5</v>
      </c>
      <c r="E66" s="2004">
        <v>6</v>
      </c>
      <c r="F66" s="2004">
        <v>7</v>
      </c>
      <c r="G66" s="2005">
        <v>8</v>
      </c>
      <c r="H66" s="2021" t="s">
        <v>762</v>
      </c>
      <c r="I66" s="1994"/>
    </row>
    <row r="67" spans="1:9" ht="30.75" thickTop="1" x14ac:dyDescent="0.2">
      <c r="A67" s="2012">
        <v>3299</v>
      </c>
      <c r="B67" s="2013">
        <v>5336</v>
      </c>
      <c r="C67" s="2013">
        <v>32133030</v>
      </c>
      <c r="D67" s="2014" t="s">
        <v>1263</v>
      </c>
      <c r="E67" s="2010">
        <v>0</v>
      </c>
      <c r="F67" s="2010">
        <v>437</v>
      </c>
      <c r="G67" s="2022">
        <v>405</v>
      </c>
      <c r="H67" s="2011">
        <f>G67/F67*100</f>
        <v>92.677345537757432</v>
      </c>
      <c r="I67" s="1994"/>
    </row>
    <row r="68" spans="1:9" ht="30.75" thickBot="1" x14ac:dyDescent="0.25">
      <c r="A68" s="2012">
        <v>3299</v>
      </c>
      <c r="B68" s="2013">
        <v>5336</v>
      </c>
      <c r="C68" s="2013">
        <v>32533030</v>
      </c>
      <c r="D68" s="2014" t="s">
        <v>1263</v>
      </c>
      <c r="E68" s="2015">
        <v>0</v>
      </c>
      <c r="F68" s="2015">
        <v>2478</v>
      </c>
      <c r="G68" s="2023">
        <v>2297</v>
      </c>
      <c r="H68" s="2016">
        <f>G68/F68*100</f>
        <v>92.69572235673931</v>
      </c>
      <c r="I68" s="1994"/>
    </row>
    <row r="69" spans="1:9" ht="30.75" hidden="1" thickBot="1" x14ac:dyDescent="0.25">
      <c r="A69" s="2012">
        <v>3299</v>
      </c>
      <c r="B69" s="2013">
        <v>6351</v>
      </c>
      <c r="C69" s="2013">
        <v>32133006</v>
      </c>
      <c r="D69" s="2014" t="s">
        <v>1277</v>
      </c>
      <c r="E69" s="2015">
        <v>0</v>
      </c>
      <c r="F69" s="2015">
        <v>0</v>
      </c>
      <c r="G69" s="2023">
        <v>0</v>
      </c>
      <c r="H69" s="2016" t="e">
        <f>G69/F69*100</f>
        <v>#DIV/0!</v>
      </c>
      <c r="I69" s="1994"/>
    </row>
    <row r="70" spans="1:9" ht="30.75" hidden="1" thickBot="1" x14ac:dyDescent="0.25">
      <c r="A70" s="2012">
        <v>3299</v>
      </c>
      <c r="B70" s="2013">
        <v>6351</v>
      </c>
      <c r="C70" s="2013">
        <v>32533006</v>
      </c>
      <c r="D70" s="2014" t="s">
        <v>1277</v>
      </c>
      <c r="E70" s="2015">
        <v>0</v>
      </c>
      <c r="F70" s="2015">
        <v>0</v>
      </c>
      <c r="G70" s="2023">
        <v>0</v>
      </c>
      <c r="H70" s="2016" t="e">
        <f>G70/F70*100</f>
        <v>#DIV/0!</v>
      </c>
      <c r="I70" s="1994"/>
    </row>
    <row r="71" spans="1:9" ht="16.5" thickTop="1" thickBot="1" x14ac:dyDescent="0.3">
      <c r="A71" s="2024" t="s">
        <v>763</v>
      </c>
      <c r="B71" s="2025"/>
      <c r="C71" s="2025"/>
      <c r="D71" s="2026"/>
      <c r="E71" s="2019">
        <f>SUM(E67:E70)</f>
        <v>0</v>
      </c>
      <c r="F71" s="2019">
        <f>SUM(F67:F70)</f>
        <v>2915</v>
      </c>
      <c r="G71" s="2019">
        <f>SUM(G67:G70)</f>
        <v>2702</v>
      </c>
      <c r="H71" s="2020">
        <f>G71/F71*100</f>
        <v>92.692967409948551</v>
      </c>
      <c r="I71" s="1994"/>
    </row>
    <row r="72" spans="1:9" ht="15.75" thickTop="1" x14ac:dyDescent="0.25">
      <c r="A72" s="2171"/>
      <c r="B72" s="2171"/>
      <c r="C72" s="2171"/>
      <c r="D72" s="2171"/>
      <c r="E72" s="2060"/>
      <c r="F72" s="2060"/>
      <c r="G72" s="2060"/>
      <c r="H72" s="2061"/>
      <c r="I72" s="1994"/>
    </row>
    <row r="73" spans="1:9" ht="15" x14ac:dyDescent="0.25">
      <c r="A73" s="1979" t="s">
        <v>336</v>
      </c>
      <c r="B73" s="1993"/>
      <c r="C73" s="1993"/>
      <c r="D73" s="1993"/>
      <c r="F73" s="1994"/>
      <c r="G73" s="1994"/>
      <c r="H73" s="1994"/>
      <c r="I73" s="1994"/>
    </row>
    <row r="74" spans="1:9" ht="15.75" thickBot="1" x14ac:dyDescent="0.3">
      <c r="A74" s="1979" t="s">
        <v>1141</v>
      </c>
      <c r="B74" s="1993"/>
      <c r="C74" s="1993"/>
      <c r="D74" s="1993"/>
      <c r="F74" s="1994"/>
      <c r="G74" s="1994"/>
      <c r="H74" s="1995" t="s">
        <v>161</v>
      </c>
      <c r="I74" s="1994"/>
    </row>
    <row r="75" spans="1:9" ht="25.5" thickTop="1" thickBot="1" x14ac:dyDescent="0.25">
      <c r="A75" s="1996" t="s">
        <v>162</v>
      </c>
      <c r="B75" s="1997" t="s">
        <v>761</v>
      </c>
      <c r="C75" s="1997" t="s">
        <v>377</v>
      </c>
      <c r="D75" s="1998" t="s">
        <v>164</v>
      </c>
      <c r="E75" s="1999" t="s">
        <v>632</v>
      </c>
      <c r="F75" s="1999" t="s">
        <v>633</v>
      </c>
      <c r="G75" s="2000" t="s">
        <v>882</v>
      </c>
      <c r="H75" s="2001" t="s">
        <v>883</v>
      </c>
      <c r="I75" s="1994"/>
    </row>
    <row r="76" spans="1:9" ht="14.25" thickTop="1" thickBot="1" x14ac:dyDescent="0.25">
      <c r="A76" s="2002">
        <v>1</v>
      </c>
      <c r="B76" s="2003">
        <v>2</v>
      </c>
      <c r="C76" s="2003">
        <v>3</v>
      </c>
      <c r="D76" s="2003">
        <v>5</v>
      </c>
      <c r="E76" s="2004">
        <v>6</v>
      </c>
      <c r="F76" s="2004">
        <v>7</v>
      </c>
      <c r="G76" s="2005">
        <v>8</v>
      </c>
      <c r="H76" s="2021" t="s">
        <v>762</v>
      </c>
      <c r="I76" s="1994"/>
    </row>
    <row r="77" spans="1:9" ht="30.75" thickTop="1" x14ac:dyDescent="0.2">
      <c r="A77" s="2012">
        <v>3299</v>
      </c>
      <c r="B77" s="2013">
        <v>5336</v>
      </c>
      <c r="C77" s="2013">
        <v>32133030</v>
      </c>
      <c r="D77" s="2014" t="s">
        <v>1263</v>
      </c>
      <c r="E77" s="2010">
        <v>0</v>
      </c>
      <c r="F77" s="2010">
        <v>212</v>
      </c>
      <c r="G77" s="2022">
        <v>134</v>
      </c>
      <c r="H77" s="2011">
        <f>G77/F77*100</f>
        <v>63.20754716981132</v>
      </c>
      <c r="I77" s="1994"/>
    </row>
    <row r="78" spans="1:9" ht="30.75" thickBot="1" x14ac:dyDescent="0.25">
      <c r="A78" s="2012">
        <v>3299</v>
      </c>
      <c r="B78" s="2013">
        <v>5336</v>
      </c>
      <c r="C78" s="2013">
        <v>32533030</v>
      </c>
      <c r="D78" s="2014" t="s">
        <v>1263</v>
      </c>
      <c r="E78" s="2015">
        <v>0</v>
      </c>
      <c r="F78" s="2015">
        <v>1202</v>
      </c>
      <c r="G78" s="2023">
        <v>760</v>
      </c>
      <c r="H78" s="2016">
        <f>G78/F78*100</f>
        <v>63.227953410981698</v>
      </c>
      <c r="I78" s="1994"/>
    </row>
    <row r="79" spans="1:9" ht="30.75" hidden="1" thickBot="1" x14ac:dyDescent="0.25">
      <c r="A79" s="2012">
        <v>3299</v>
      </c>
      <c r="B79" s="2013">
        <v>6351</v>
      </c>
      <c r="C79" s="2013">
        <v>32133006</v>
      </c>
      <c r="D79" s="2014" t="s">
        <v>1277</v>
      </c>
      <c r="E79" s="2015">
        <v>0</v>
      </c>
      <c r="F79" s="2015"/>
      <c r="G79" s="2023"/>
      <c r="H79" s="2016" t="e">
        <f>G79/F79*100</f>
        <v>#DIV/0!</v>
      </c>
      <c r="I79" s="1994"/>
    </row>
    <row r="80" spans="1:9" ht="30.75" hidden="1" thickBot="1" x14ac:dyDescent="0.25">
      <c r="A80" s="2012">
        <v>3299</v>
      </c>
      <c r="B80" s="2013">
        <v>6351</v>
      </c>
      <c r="C80" s="2013">
        <v>32533006</v>
      </c>
      <c r="D80" s="2014" t="s">
        <v>1277</v>
      </c>
      <c r="E80" s="2015">
        <v>0</v>
      </c>
      <c r="F80" s="2015"/>
      <c r="G80" s="2023"/>
      <c r="H80" s="2016" t="e">
        <f>G80/F80*100</f>
        <v>#DIV/0!</v>
      </c>
      <c r="I80" s="1994"/>
    </row>
    <row r="81" spans="1:9" ht="16.5" thickTop="1" thickBot="1" x14ac:dyDescent="0.3">
      <c r="A81" s="2024" t="s">
        <v>763</v>
      </c>
      <c r="B81" s="2025"/>
      <c r="C81" s="2025"/>
      <c r="D81" s="2026"/>
      <c r="E81" s="2019">
        <f>SUM(E77:E80)</f>
        <v>0</v>
      </c>
      <c r="F81" s="2019">
        <f>SUM(F77:F80)</f>
        <v>1414</v>
      </c>
      <c r="G81" s="2019">
        <f>SUM(G77:G80)</f>
        <v>894</v>
      </c>
      <c r="H81" s="2020">
        <f>G81/F81*100</f>
        <v>63.224893917963222</v>
      </c>
      <c r="I81" s="1994"/>
    </row>
    <row r="82" spans="1:9" ht="15.75" thickTop="1" x14ac:dyDescent="0.25">
      <c r="A82" s="2171"/>
      <c r="B82" s="2171"/>
      <c r="C82" s="2171"/>
      <c r="D82" s="2171"/>
      <c r="E82" s="2060"/>
      <c r="F82" s="2060"/>
      <c r="G82" s="2060"/>
      <c r="H82" s="2061"/>
      <c r="I82" s="1994"/>
    </row>
    <row r="83" spans="1:9" ht="15" x14ac:dyDescent="0.25">
      <c r="A83" s="1979" t="s">
        <v>1236</v>
      </c>
      <c r="B83" s="1993"/>
      <c r="C83" s="1993"/>
      <c r="D83" s="1993"/>
      <c r="F83" s="1994"/>
      <c r="G83" s="1994"/>
      <c r="H83" s="1994"/>
      <c r="I83" s="1994"/>
    </row>
    <row r="84" spans="1:9" ht="15.75" thickBot="1" x14ac:dyDescent="0.3">
      <c r="A84" s="1979" t="s">
        <v>551</v>
      </c>
      <c r="B84" s="1993"/>
      <c r="C84" s="1993"/>
      <c r="D84" s="1993"/>
      <c r="F84" s="1994"/>
      <c r="G84" s="1994"/>
      <c r="H84" s="1995" t="s">
        <v>161</v>
      </c>
      <c r="I84" s="1994"/>
    </row>
    <row r="85" spans="1:9" ht="25.5" thickTop="1" thickBot="1" x14ac:dyDescent="0.25">
      <c r="A85" s="1996" t="s">
        <v>162</v>
      </c>
      <c r="B85" s="1997" t="s">
        <v>761</v>
      </c>
      <c r="C85" s="1997" t="s">
        <v>377</v>
      </c>
      <c r="D85" s="1998" t="s">
        <v>164</v>
      </c>
      <c r="E85" s="1999" t="s">
        <v>632</v>
      </c>
      <c r="F85" s="1999" t="s">
        <v>633</v>
      </c>
      <c r="G85" s="2000" t="s">
        <v>882</v>
      </c>
      <c r="H85" s="2001" t="s">
        <v>883</v>
      </c>
      <c r="I85" s="1994"/>
    </row>
    <row r="86" spans="1:9" ht="14.25" thickTop="1" thickBot="1" x14ac:dyDescent="0.25">
      <c r="A86" s="2002">
        <v>1</v>
      </c>
      <c r="B86" s="2003">
        <v>2</v>
      </c>
      <c r="C86" s="2003">
        <v>3</v>
      </c>
      <c r="D86" s="2003">
        <v>5</v>
      </c>
      <c r="E86" s="2004">
        <v>6</v>
      </c>
      <c r="F86" s="2004">
        <v>7</v>
      </c>
      <c r="G86" s="2005">
        <v>8</v>
      </c>
      <c r="H86" s="2021" t="s">
        <v>762</v>
      </c>
      <c r="I86" s="1994"/>
    </row>
    <row r="87" spans="1:9" ht="30.75" thickTop="1" x14ac:dyDescent="0.2">
      <c r="A87" s="2012">
        <v>3299</v>
      </c>
      <c r="B87" s="2013">
        <v>5336</v>
      </c>
      <c r="C87" s="2013">
        <v>32133030</v>
      </c>
      <c r="D87" s="2014" t="s">
        <v>1263</v>
      </c>
      <c r="E87" s="2010">
        <v>0</v>
      </c>
      <c r="F87" s="2010">
        <v>286</v>
      </c>
      <c r="G87" s="2022">
        <v>269</v>
      </c>
      <c r="H87" s="2011">
        <f>G87/F87*100</f>
        <v>94.055944055944053</v>
      </c>
      <c r="I87" s="1994"/>
    </row>
    <row r="88" spans="1:9" ht="30.75" thickBot="1" x14ac:dyDescent="0.25">
      <c r="A88" s="2012">
        <v>3299</v>
      </c>
      <c r="B88" s="2013">
        <v>5336</v>
      </c>
      <c r="C88" s="2013">
        <v>32533030</v>
      </c>
      <c r="D88" s="2014" t="s">
        <v>1263</v>
      </c>
      <c r="E88" s="2015">
        <v>0</v>
      </c>
      <c r="F88" s="2015">
        <v>1618</v>
      </c>
      <c r="G88" s="2023">
        <v>1523</v>
      </c>
      <c r="H88" s="2016">
        <f>G88/F88*100</f>
        <v>94.128553770086526</v>
      </c>
      <c r="I88" s="1994"/>
    </row>
    <row r="89" spans="1:9" ht="30.75" hidden="1" thickBot="1" x14ac:dyDescent="0.25">
      <c r="A89" s="2012">
        <v>3299</v>
      </c>
      <c r="B89" s="2013">
        <v>6351</v>
      </c>
      <c r="C89" s="2013">
        <v>32133006</v>
      </c>
      <c r="D89" s="2014" t="s">
        <v>1277</v>
      </c>
      <c r="E89" s="2015">
        <v>0</v>
      </c>
      <c r="F89" s="2015"/>
      <c r="G89" s="2023"/>
      <c r="H89" s="2016" t="e">
        <f>G89/F89*100</f>
        <v>#DIV/0!</v>
      </c>
      <c r="I89" s="1994"/>
    </row>
    <row r="90" spans="1:9" ht="30.75" hidden="1" thickBot="1" x14ac:dyDescent="0.25">
      <c r="A90" s="2012">
        <v>3299</v>
      </c>
      <c r="B90" s="2013">
        <v>6351</v>
      </c>
      <c r="C90" s="2013">
        <v>32533006</v>
      </c>
      <c r="D90" s="2014" t="s">
        <v>1277</v>
      </c>
      <c r="E90" s="2015">
        <v>0</v>
      </c>
      <c r="F90" s="2015"/>
      <c r="G90" s="2023"/>
      <c r="H90" s="2016" t="e">
        <f>G90/F90*100</f>
        <v>#DIV/0!</v>
      </c>
      <c r="I90" s="1994"/>
    </row>
    <row r="91" spans="1:9" ht="16.5" thickTop="1" thickBot="1" x14ac:dyDescent="0.3">
      <c r="A91" s="2024" t="s">
        <v>763</v>
      </c>
      <c r="B91" s="2025"/>
      <c r="C91" s="2025"/>
      <c r="D91" s="2026"/>
      <c r="E91" s="2019">
        <f>SUM(E87:E90)</f>
        <v>0</v>
      </c>
      <c r="F91" s="2019">
        <f>SUM(F87:F90)</f>
        <v>1904</v>
      </c>
      <c r="G91" s="2019">
        <f>SUM(G87:G90)</f>
        <v>1792</v>
      </c>
      <c r="H91" s="2020">
        <f>G91/F91*100</f>
        <v>94.117647058823522</v>
      </c>
      <c r="I91" s="1994"/>
    </row>
    <row r="92" spans="1:9" ht="15.75" thickTop="1" x14ac:dyDescent="0.25">
      <c r="A92" s="2171"/>
      <c r="B92" s="2171"/>
      <c r="C92" s="2171"/>
      <c r="D92" s="2171"/>
      <c r="E92" s="2060"/>
      <c r="F92" s="2060"/>
      <c r="G92" s="2060"/>
      <c r="H92" s="2061"/>
      <c r="I92" s="1994"/>
    </row>
    <row r="93" spans="1:9" ht="15" x14ac:dyDescent="0.25">
      <c r="A93" s="1979" t="s">
        <v>1553</v>
      </c>
      <c r="B93" s="1993"/>
      <c r="C93" s="1993"/>
      <c r="D93" s="1993"/>
      <c r="F93" s="1994"/>
      <c r="G93" s="1994"/>
      <c r="H93" s="1994"/>
      <c r="I93" s="1994"/>
    </row>
    <row r="94" spans="1:9" ht="15.75" thickBot="1" x14ac:dyDescent="0.3">
      <c r="A94" s="1979" t="s">
        <v>1270</v>
      </c>
      <c r="B94" s="1993"/>
      <c r="C94" s="1993"/>
      <c r="D94" s="1993"/>
      <c r="F94" s="1994"/>
      <c r="G94" s="1994"/>
      <c r="H94" s="1995" t="s">
        <v>161</v>
      </c>
      <c r="I94" s="1994"/>
    </row>
    <row r="95" spans="1:9" ht="25.5" thickTop="1" thickBot="1" x14ac:dyDescent="0.25">
      <c r="A95" s="1996" t="s">
        <v>162</v>
      </c>
      <c r="B95" s="1997" t="s">
        <v>761</v>
      </c>
      <c r="C95" s="1997" t="s">
        <v>377</v>
      </c>
      <c r="D95" s="1998" t="s">
        <v>164</v>
      </c>
      <c r="E95" s="1999" t="s">
        <v>632</v>
      </c>
      <c r="F95" s="1999" t="s">
        <v>633</v>
      </c>
      <c r="G95" s="2000" t="s">
        <v>882</v>
      </c>
      <c r="H95" s="2001" t="s">
        <v>883</v>
      </c>
      <c r="I95" s="1994"/>
    </row>
    <row r="96" spans="1:9" ht="14.25" thickTop="1" thickBot="1" x14ac:dyDescent="0.25">
      <c r="A96" s="2002">
        <v>1</v>
      </c>
      <c r="B96" s="2003">
        <v>2</v>
      </c>
      <c r="C96" s="2003">
        <v>3</v>
      </c>
      <c r="D96" s="2003">
        <v>5</v>
      </c>
      <c r="E96" s="2004">
        <v>6</v>
      </c>
      <c r="F96" s="2004">
        <v>7</v>
      </c>
      <c r="G96" s="2005">
        <v>8</v>
      </c>
      <c r="H96" s="2021" t="s">
        <v>762</v>
      </c>
      <c r="I96" s="1994"/>
    </row>
    <row r="97" spans="1:9" ht="30.75" thickTop="1" x14ac:dyDescent="0.2">
      <c r="A97" s="2012">
        <v>3299</v>
      </c>
      <c r="B97" s="2013">
        <v>5336</v>
      </c>
      <c r="C97" s="2013">
        <v>32133030</v>
      </c>
      <c r="D97" s="2014" t="s">
        <v>1263</v>
      </c>
      <c r="E97" s="2010">
        <v>0</v>
      </c>
      <c r="F97" s="2010">
        <v>34</v>
      </c>
      <c r="G97" s="2022">
        <v>34</v>
      </c>
      <c r="H97" s="2011">
        <f>G97/F97*100</f>
        <v>100</v>
      </c>
      <c r="I97" s="1994"/>
    </row>
    <row r="98" spans="1:9" ht="30.75" thickBot="1" x14ac:dyDescent="0.25">
      <c r="A98" s="2012">
        <v>3299</v>
      </c>
      <c r="B98" s="2013">
        <v>5336</v>
      </c>
      <c r="C98" s="2013">
        <v>32533030</v>
      </c>
      <c r="D98" s="2014" t="s">
        <v>1263</v>
      </c>
      <c r="E98" s="2015">
        <v>0</v>
      </c>
      <c r="F98" s="2015">
        <v>192</v>
      </c>
      <c r="G98" s="2023">
        <v>192</v>
      </c>
      <c r="H98" s="2016">
        <f>G98/F98*100</f>
        <v>100</v>
      </c>
      <c r="I98" s="1994"/>
    </row>
    <row r="99" spans="1:9" ht="30.75" hidden="1" thickBot="1" x14ac:dyDescent="0.25">
      <c r="A99" s="2012">
        <v>3299</v>
      </c>
      <c r="B99" s="2013">
        <v>6351</v>
      </c>
      <c r="C99" s="2013">
        <v>32133006</v>
      </c>
      <c r="D99" s="2014" t="s">
        <v>1277</v>
      </c>
      <c r="E99" s="2015">
        <v>0</v>
      </c>
      <c r="F99" s="2015">
        <v>0</v>
      </c>
      <c r="G99" s="2023">
        <v>0</v>
      </c>
      <c r="H99" s="2016" t="e">
        <f>G99/F99*100</f>
        <v>#DIV/0!</v>
      </c>
      <c r="I99" s="1994"/>
    </row>
    <row r="100" spans="1:9" ht="30.75" hidden="1" thickBot="1" x14ac:dyDescent="0.25">
      <c r="A100" s="2012">
        <v>3299</v>
      </c>
      <c r="B100" s="2013">
        <v>6351</v>
      </c>
      <c r="C100" s="2013">
        <v>32533006</v>
      </c>
      <c r="D100" s="2014" t="s">
        <v>1277</v>
      </c>
      <c r="E100" s="2015">
        <v>0</v>
      </c>
      <c r="F100" s="2015">
        <v>0</v>
      </c>
      <c r="G100" s="2023">
        <v>0</v>
      </c>
      <c r="H100" s="2016" t="e">
        <f>G100/F100*100</f>
        <v>#DIV/0!</v>
      </c>
      <c r="I100" s="1994"/>
    </row>
    <row r="101" spans="1:9" ht="16.5" thickTop="1" thickBot="1" x14ac:dyDescent="0.3">
      <c r="A101" s="2024" t="s">
        <v>763</v>
      </c>
      <c r="B101" s="2025"/>
      <c r="C101" s="2025"/>
      <c r="D101" s="2026"/>
      <c r="E101" s="2019">
        <f>SUM(E97:E100)</f>
        <v>0</v>
      </c>
      <c r="F101" s="2019">
        <f>SUM(F97:F100)</f>
        <v>226</v>
      </c>
      <c r="G101" s="2019">
        <f>SUM(G97:G100)</f>
        <v>226</v>
      </c>
      <c r="H101" s="2020">
        <f>G101/F101*100</f>
        <v>100</v>
      </c>
      <c r="I101" s="1994"/>
    </row>
    <row r="102" spans="1:9" ht="13.5" thickTop="1" x14ac:dyDescent="0.2">
      <c r="A102" s="1993"/>
      <c r="B102" s="1993"/>
      <c r="C102" s="1993"/>
      <c r="E102" s="1994"/>
      <c r="F102" s="1994"/>
      <c r="G102" s="1994"/>
      <c r="I102" s="1994"/>
    </row>
    <row r="103" spans="1:9" ht="15" x14ac:dyDescent="0.25">
      <c r="A103" s="1979" t="s">
        <v>1009</v>
      </c>
      <c r="B103" s="1993"/>
      <c r="C103" s="1993"/>
      <c r="D103" s="1993"/>
      <c r="F103" s="1994"/>
      <c r="G103" s="1994"/>
      <c r="H103" s="1994"/>
      <c r="I103" s="1994"/>
    </row>
    <row r="104" spans="1:9" ht="15.75" thickBot="1" x14ac:dyDescent="0.3">
      <c r="A104" s="1979" t="s">
        <v>1272</v>
      </c>
      <c r="B104" s="1993"/>
      <c r="C104" s="1993"/>
      <c r="D104" s="1993"/>
      <c r="F104" s="1994"/>
      <c r="G104" s="1994"/>
      <c r="H104" s="1995" t="s">
        <v>161</v>
      </c>
      <c r="I104" s="1994"/>
    </row>
    <row r="105" spans="1:9" ht="25.5" thickTop="1" thickBot="1" x14ac:dyDescent="0.25">
      <c r="A105" s="1996" t="s">
        <v>162</v>
      </c>
      <c r="B105" s="1997" t="s">
        <v>761</v>
      </c>
      <c r="C105" s="1997" t="s">
        <v>377</v>
      </c>
      <c r="D105" s="1998" t="s">
        <v>164</v>
      </c>
      <c r="E105" s="1999" t="s">
        <v>632</v>
      </c>
      <c r="F105" s="1999" t="s">
        <v>633</v>
      </c>
      <c r="G105" s="2000" t="s">
        <v>882</v>
      </c>
      <c r="H105" s="2001" t="s">
        <v>883</v>
      </c>
      <c r="I105" s="1994"/>
    </row>
    <row r="106" spans="1:9" ht="14.25" thickTop="1" thickBot="1" x14ac:dyDescent="0.25">
      <c r="A106" s="2002">
        <v>1</v>
      </c>
      <c r="B106" s="2003">
        <v>2</v>
      </c>
      <c r="C106" s="2003">
        <v>3</v>
      </c>
      <c r="D106" s="2003">
        <v>5</v>
      </c>
      <c r="E106" s="2004">
        <v>6</v>
      </c>
      <c r="F106" s="2004">
        <v>7</v>
      </c>
      <c r="G106" s="2005">
        <v>8</v>
      </c>
      <c r="H106" s="2021" t="s">
        <v>762</v>
      </c>
      <c r="I106" s="1994"/>
    </row>
    <row r="107" spans="1:9" ht="30.75" thickTop="1" x14ac:dyDescent="0.2">
      <c r="A107" s="2012">
        <v>3299</v>
      </c>
      <c r="B107" s="2013">
        <v>5336</v>
      </c>
      <c r="C107" s="2013">
        <v>32133030</v>
      </c>
      <c r="D107" s="2014" t="s">
        <v>1263</v>
      </c>
      <c r="E107" s="2010">
        <v>0</v>
      </c>
      <c r="F107" s="2010">
        <v>23</v>
      </c>
      <c r="G107" s="2022">
        <v>23</v>
      </c>
      <c r="H107" s="2011">
        <f>G107/F107*100</f>
        <v>100</v>
      </c>
      <c r="I107" s="1994"/>
    </row>
    <row r="108" spans="1:9" ht="30.75" thickBot="1" x14ac:dyDescent="0.25">
      <c r="A108" s="2012">
        <v>3299</v>
      </c>
      <c r="B108" s="2013">
        <v>5336</v>
      </c>
      <c r="C108" s="2013">
        <v>32533030</v>
      </c>
      <c r="D108" s="2014" t="s">
        <v>1263</v>
      </c>
      <c r="E108" s="2015">
        <v>0</v>
      </c>
      <c r="F108" s="2015">
        <v>131</v>
      </c>
      <c r="G108" s="2023">
        <v>131</v>
      </c>
      <c r="H108" s="2016">
        <f>G108/F108*100</f>
        <v>100</v>
      </c>
      <c r="I108" s="1994"/>
    </row>
    <row r="109" spans="1:9" ht="30.75" hidden="1" thickBot="1" x14ac:dyDescent="0.25">
      <c r="A109" s="2012">
        <v>3299</v>
      </c>
      <c r="B109" s="2013">
        <v>6351</v>
      </c>
      <c r="C109" s="2013">
        <v>32133006</v>
      </c>
      <c r="D109" s="2014" t="s">
        <v>1277</v>
      </c>
      <c r="E109" s="2015">
        <v>0</v>
      </c>
      <c r="F109" s="2015">
        <v>0</v>
      </c>
      <c r="G109" s="2023">
        <v>0</v>
      </c>
      <c r="H109" s="2016" t="e">
        <f>G109/F109*100</f>
        <v>#DIV/0!</v>
      </c>
      <c r="I109" s="1994"/>
    </row>
    <row r="110" spans="1:9" ht="30.75" hidden="1" thickBot="1" x14ac:dyDescent="0.25">
      <c r="A110" s="2012">
        <v>3299</v>
      </c>
      <c r="B110" s="2013">
        <v>6351</v>
      </c>
      <c r="C110" s="2013">
        <v>32533006</v>
      </c>
      <c r="D110" s="2014" t="s">
        <v>1277</v>
      </c>
      <c r="E110" s="2015">
        <v>0</v>
      </c>
      <c r="F110" s="2015">
        <v>0</v>
      </c>
      <c r="G110" s="2023">
        <v>0</v>
      </c>
      <c r="H110" s="2016" t="e">
        <f>G110/F110*100</f>
        <v>#DIV/0!</v>
      </c>
      <c r="I110" s="1994"/>
    </row>
    <row r="111" spans="1:9" ht="16.5" thickTop="1" thickBot="1" x14ac:dyDescent="0.3">
      <c r="A111" s="2024" t="s">
        <v>763</v>
      </c>
      <c r="B111" s="2025"/>
      <c r="C111" s="2025"/>
      <c r="D111" s="2026"/>
      <c r="E111" s="2019">
        <f>SUM(E107:E110)</f>
        <v>0</v>
      </c>
      <c r="F111" s="2019">
        <f>SUM(F107:F110)</f>
        <v>154</v>
      </c>
      <c r="G111" s="2019">
        <f>SUM(G107:G110)</f>
        <v>154</v>
      </c>
      <c r="H111" s="2020">
        <f>G111/F111*100</f>
        <v>100</v>
      </c>
      <c r="I111" s="1994"/>
    </row>
    <row r="112" spans="1:9" ht="13.5" thickTop="1" x14ac:dyDescent="0.2">
      <c r="A112" s="1993"/>
      <c r="B112" s="1993"/>
      <c r="C112" s="1993"/>
      <c r="E112" s="1994"/>
      <c r="F112" s="1994"/>
      <c r="G112" s="1994"/>
      <c r="I112" s="1994"/>
    </row>
    <row r="113" spans="1:9" ht="15" x14ac:dyDescent="0.25">
      <c r="A113" s="1979" t="s">
        <v>1625</v>
      </c>
      <c r="B113" s="1993"/>
      <c r="C113" s="1993"/>
      <c r="D113" s="1993"/>
      <c r="F113" s="1994"/>
      <c r="G113" s="1994"/>
      <c r="H113" s="1994"/>
      <c r="I113" s="1994"/>
    </row>
    <row r="114" spans="1:9" ht="15.75" thickBot="1" x14ac:dyDescent="0.3">
      <c r="A114" s="1979" t="s">
        <v>993</v>
      </c>
      <c r="B114" s="1993"/>
      <c r="C114" s="1993"/>
      <c r="D114" s="1993"/>
      <c r="F114" s="1994"/>
      <c r="G114" s="1994"/>
      <c r="H114" s="1995" t="s">
        <v>161</v>
      </c>
      <c r="I114" s="1994"/>
    </row>
    <row r="115" spans="1:9" ht="25.5" thickTop="1" thickBot="1" x14ac:dyDescent="0.25">
      <c r="A115" s="1996" t="s">
        <v>162</v>
      </c>
      <c r="B115" s="1997" t="s">
        <v>761</v>
      </c>
      <c r="C115" s="1997" t="s">
        <v>377</v>
      </c>
      <c r="D115" s="1998" t="s">
        <v>164</v>
      </c>
      <c r="E115" s="1999" t="s">
        <v>632</v>
      </c>
      <c r="F115" s="1999" t="s">
        <v>633</v>
      </c>
      <c r="G115" s="2000" t="s">
        <v>882</v>
      </c>
      <c r="H115" s="2001" t="s">
        <v>883</v>
      </c>
      <c r="I115" s="1994"/>
    </row>
    <row r="116" spans="1:9" ht="14.25" thickTop="1" thickBot="1" x14ac:dyDescent="0.25">
      <c r="A116" s="2002">
        <v>1</v>
      </c>
      <c r="B116" s="2003">
        <v>2</v>
      </c>
      <c r="C116" s="2003">
        <v>3</v>
      </c>
      <c r="D116" s="2003">
        <v>5</v>
      </c>
      <c r="E116" s="2004">
        <v>6</v>
      </c>
      <c r="F116" s="2004">
        <v>7</v>
      </c>
      <c r="G116" s="2005">
        <v>8</v>
      </c>
      <c r="H116" s="2021" t="s">
        <v>762</v>
      </c>
      <c r="I116" s="1994"/>
    </row>
    <row r="117" spans="1:9" ht="30.75" thickTop="1" x14ac:dyDescent="0.2">
      <c r="A117" s="2012">
        <v>3299</v>
      </c>
      <c r="B117" s="2013">
        <v>5336</v>
      </c>
      <c r="C117" s="2013">
        <v>32133030</v>
      </c>
      <c r="D117" s="2014" t="s">
        <v>1263</v>
      </c>
      <c r="E117" s="2010">
        <v>0</v>
      </c>
      <c r="F117" s="2010">
        <v>564</v>
      </c>
      <c r="G117" s="2022">
        <v>544</v>
      </c>
      <c r="H117" s="2011">
        <f>G117/F117*100</f>
        <v>96.453900709219852</v>
      </c>
      <c r="I117" s="1994"/>
    </row>
    <row r="118" spans="1:9" ht="30" x14ac:dyDescent="0.2">
      <c r="A118" s="2012">
        <v>3299</v>
      </c>
      <c r="B118" s="2013">
        <v>5336</v>
      </c>
      <c r="C118" s="2013">
        <v>32533030</v>
      </c>
      <c r="D118" s="2014" t="s">
        <v>1263</v>
      </c>
      <c r="E118" s="2015">
        <v>0</v>
      </c>
      <c r="F118" s="2015">
        <v>3195</v>
      </c>
      <c r="G118" s="2023">
        <v>3081</v>
      </c>
      <c r="H118" s="2016">
        <f>G118/F118*100</f>
        <v>96.431924882629104</v>
      </c>
      <c r="I118" s="1994"/>
    </row>
    <row r="119" spans="1:9" ht="30" x14ac:dyDescent="0.2">
      <c r="A119" s="2012">
        <v>3299</v>
      </c>
      <c r="B119" s="2013">
        <v>6351</v>
      </c>
      <c r="C119" s="2013">
        <v>32133926</v>
      </c>
      <c r="D119" s="2014" t="s">
        <v>1277</v>
      </c>
      <c r="E119" s="2015">
        <v>0</v>
      </c>
      <c r="F119" s="2015">
        <v>12</v>
      </c>
      <c r="G119" s="2023">
        <v>12</v>
      </c>
      <c r="H119" s="2016">
        <f>G119/F119*100</f>
        <v>100</v>
      </c>
      <c r="I119" s="1994"/>
    </row>
    <row r="120" spans="1:9" ht="30.75" thickBot="1" x14ac:dyDescent="0.25">
      <c r="A120" s="2012">
        <v>3299</v>
      </c>
      <c r="B120" s="2013">
        <v>6351</v>
      </c>
      <c r="C120" s="2013">
        <v>32533926</v>
      </c>
      <c r="D120" s="2014" t="s">
        <v>1277</v>
      </c>
      <c r="E120" s="2015">
        <v>0</v>
      </c>
      <c r="F120" s="2015">
        <v>68</v>
      </c>
      <c r="G120" s="2023">
        <v>68</v>
      </c>
      <c r="H120" s="2016">
        <f>G120/F120*100</f>
        <v>100</v>
      </c>
      <c r="I120" s="1994"/>
    </row>
    <row r="121" spans="1:9" ht="16.5" thickTop="1" thickBot="1" x14ac:dyDescent="0.3">
      <c r="A121" s="2024" t="s">
        <v>763</v>
      </c>
      <c r="B121" s="2025"/>
      <c r="C121" s="2025"/>
      <c r="D121" s="2026"/>
      <c r="E121" s="2019">
        <f>SUM(E117:E120)</f>
        <v>0</v>
      </c>
      <c r="F121" s="2019">
        <f>SUM(F117:F120)</f>
        <v>3839</v>
      </c>
      <c r="G121" s="2019">
        <f>SUM(G117:G120)</f>
        <v>3705</v>
      </c>
      <c r="H121" s="2020">
        <f>G121/F121*100</f>
        <v>96.509507684292785</v>
      </c>
      <c r="I121" s="1994"/>
    </row>
    <row r="122" spans="1:9" ht="13.5" thickTop="1" x14ac:dyDescent="0.2"/>
    <row r="123" spans="1:9" ht="15" x14ac:dyDescent="0.25">
      <c r="A123" s="1979" t="s">
        <v>1554</v>
      </c>
      <c r="B123" s="1993"/>
      <c r="C123" s="1993"/>
      <c r="D123" s="1993"/>
      <c r="F123" s="1994"/>
      <c r="G123" s="1994"/>
      <c r="H123" s="1994"/>
      <c r="I123" s="1994"/>
    </row>
    <row r="124" spans="1:9" ht="15.75" thickBot="1" x14ac:dyDescent="0.3">
      <c r="A124" s="1979" t="s">
        <v>554</v>
      </c>
      <c r="B124" s="1993"/>
      <c r="C124" s="1993"/>
      <c r="D124" s="1993"/>
      <c r="F124" s="1994"/>
      <c r="G124" s="1994"/>
      <c r="H124" s="1995" t="s">
        <v>161</v>
      </c>
      <c r="I124" s="1994"/>
    </row>
    <row r="125" spans="1:9" ht="25.5" thickTop="1" thickBot="1" x14ac:dyDescent="0.25">
      <c r="A125" s="1996" t="s">
        <v>162</v>
      </c>
      <c r="B125" s="1997" t="s">
        <v>761</v>
      </c>
      <c r="C125" s="1997" t="s">
        <v>377</v>
      </c>
      <c r="D125" s="1998" t="s">
        <v>164</v>
      </c>
      <c r="E125" s="1999" t="s">
        <v>632</v>
      </c>
      <c r="F125" s="1999" t="s">
        <v>633</v>
      </c>
      <c r="G125" s="2000" t="s">
        <v>882</v>
      </c>
      <c r="H125" s="2001" t="s">
        <v>883</v>
      </c>
      <c r="I125" s="1994"/>
    </row>
    <row r="126" spans="1:9" ht="14.25" thickTop="1" thickBot="1" x14ac:dyDescent="0.25">
      <c r="A126" s="2002">
        <v>1</v>
      </c>
      <c r="B126" s="2003">
        <v>2</v>
      </c>
      <c r="C126" s="2003">
        <v>3</v>
      </c>
      <c r="D126" s="2003">
        <v>5</v>
      </c>
      <c r="E126" s="2004">
        <v>6</v>
      </c>
      <c r="F126" s="2004">
        <v>7</v>
      </c>
      <c r="G126" s="2005">
        <v>8</v>
      </c>
      <c r="H126" s="2021" t="s">
        <v>762</v>
      </c>
      <c r="I126" s="1994"/>
    </row>
    <row r="127" spans="1:9" ht="30.75" thickTop="1" x14ac:dyDescent="0.2">
      <c r="A127" s="2012">
        <v>3299</v>
      </c>
      <c r="B127" s="2013">
        <v>5336</v>
      </c>
      <c r="C127" s="2013">
        <v>32133030</v>
      </c>
      <c r="D127" s="2014" t="s">
        <v>1263</v>
      </c>
      <c r="E127" s="2010">
        <v>0</v>
      </c>
      <c r="F127" s="2010">
        <v>283</v>
      </c>
      <c r="G127" s="2022">
        <v>190</v>
      </c>
      <c r="H127" s="2011">
        <f>G127/F127*100</f>
        <v>67.137809187279146</v>
      </c>
      <c r="I127" s="1994"/>
    </row>
    <row r="128" spans="1:9" ht="30" x14ac:dyDescent="0.2">
      <c r="A128" s="2012">
        <v>3299</v>
      </c>
      <c r="B128" s="2013">
        <v>5336</v>
      </c>
      <c r="C128" s="2013">
        <v>32533030</v>
      </c>
      <c r="D128" s="2014" t="s">
        <v>1263</v>
      </c>
      <c r="E128" s="2015">
        <v>0</v>
      </c>
      <c r="F128" s="2015">
        <v>1606</v>
      </c>
      <c r="G128" s="2023">
        <v>1074</v>
      </c>
      <c r="H128" s="2016">
        <f>G128/F128*100</f>
        <v>66.874221668742223</v>
      </c>
      <c r="I128" s="1994"/>
    </row>
    <row r="129" spans="1:9" ht="30" x14ac:dyDescent="0.2">
      <c r="A129" s="2012">
        <v>3299</v>
      </c>
      <c r="B129" s="2013">
        <v>6351</v>
      </c>
      <c r="C129" s="2013">
        <v>32133926</v>
      </c>
      <c r="D129" s="2014" t="s">
        <v>1277</v>
      </c>
      <c r="E129" s="2015">
        <v>0</v>
      </c>
      <c r="F129" s="2015">
        <v>28</v>
      </c>
      <c r="G129" s="2023">
        <v>26</v>
      </c>
      <c r="H129" s="2016">
        <f>G129/F129*100</f>
        <v>92.857142857142861</v>
      </c>
      <c r="I129" s="1994"/>
    </row>
    <row r="130" spans="1:9" ht="30.75" thickBot="1" x14ac:dyDescent="0.25">
      <c r="A130" s="2012">
        <v>3299</v>
      </c>
      <c r="B130" s="2013">
        <v>6351</v>
      </c>
      <c r="C130" s="2013">
        <v>32533926</v>
      </c>
      <c r="D130" s="2014" t="s">
        <v>1277</v>
      </c>
      <c r="E130" s="2015">
        <v>0</v>
      </c>
      <c r="F130" s="2015">
        <v>157</v>
      </c>
      <c r="G130" s="2023">
        <v>148</v>
      </c>
      <c r="H130" s="2016">
        <f>G130/F130*100</f>
        <v>94.267515923566876</v>
      </c>
      <c r="I130" s="1994"/>
    </row>
    <row r="131" spans="1:9" ht="16.5" thickTop="1" thickBot="1" x14ac:dyDescent="0.3">
      <c r="A131" s="2024" t="s">
        <v>763</v>
      </c>
      <c r="B131" s="2025"/>
      <c r="C131" s="2025"/>
      <c r="D131" s="2026"/>
      <c r="E131" s="2019">
        <f>SUM(E127:E130)</f>
        <v>0</v>
      </c>
      <c r="F131" s="2019">
        <f>SUM(F127:F130)</f>
        <v>2074</v>
      </c>
      <c r="G131" s="2019">
        <f>SUM(G127:G130)</f>
        <v>1438</v>
      </c>
      <c r="H131" s="2020">
        <f>G131/F131*100</f>
        <v>69.334619093539047</v>
      </c>
      <c r="I131" s="1994"/>
    </row>
    <row r="132" spans="1:9" ht="13.5" thickTop="1" x14ac:dyDescent="0.2"/>
    <row r="133" spans="1:9" ht="15" x14ac:dyDescent="0.25">
      <c r="A133" s="1979" t="s">
        <v>1208</v>
      </c>
      <c r="B133" s="1993"/>
      <c r="C133" s="1993"/>
      <c r="D133" s="1993"/>
      <c r="F133" s="1994"/>
      <c r="G133" s="1994"/>
      <c r="H133" s="1994"/>
      <c r="I133" s="1994"/>
    </row>
    <row r="134" spans="1:9" ht="15.75" thickBot="1" x14ac:dyDescent="0.3">
      <c r="A134" s="1979" t="s">
        <v>189</v>
      </c>
      <c r="B134" s="1993"/>
      <c r="C134" s="1993"/>
      <c r="D134" s="1993"/>
      <c r="F134" s="1994"/>
      <c r="G134" s="1994"/>
      <c r="H134" s="1995" t="s">
        <v>161</v>
      </c>
      <c r="I134" s="1994"/>
    </row>
    <row r="135" spans="1:9" ht="25.5" thickTop="1" thickBot="1" x14ac:dyDescent="0.25">
      <c r="A135" s="1996" t="s">
        <v>162</v>
      </c>
      <c r="B135" s="1997" t="s">
        <v>761</v>
      </c>
      <c r="C135" s="1997" t="s">
        <v>377</v>
      </c>
      <c r="D135" s="1998" t="s">
        <v>164</v>
      </c>
      <c r="E135" s="1999" t="s">
        <v>632</v>
      </c>
      <c r="F135" s="1999" t="s">
        <v>633</v>
      </c>
      <c r="G135" s="2000" t="s">
        <v>882</v>
      </c>
      <c r="H135" s="2001" t="s">
        <v>883</v>
      </c>
      <c r="I135" s="1994"/>
    </row>
    <row r="136" spans="1:9" ht="14.25" thickTop="1" thickBot="1" x14ac:dyDescent="0.25">
      <c r="A136" s="2002">
        <v>1</v>
      </c>
      <c r="B136" s="2003">
        <v>2</v>
      </c>
      <c r="C136" s="2003">
        <v>3</v>
      </c>
      <c r="D136" s="2003">
        <v>5</v>
      </c>
      <c r="E136" s="2004">
        <v>6</v>
      </c>
      <c r="F136" s="2004">
        <v>7</v>
      </c>
      <c r="G136" s="2005">
        <v>8</v>
      </c>
      <c r="H136" s="2021" t="s">
        <v>762</v>
      </c>
      <c r="I136" s="1994"/>
    </row>
    <row r="137" spans="1:9" ht="30.75" thickTop="1" x14ac:dyDescent="0.2">
      <c r="A137" s="2012">
        <v>3299</v>
      </c>
      <c r="B137" s="2013">
        <v>5336</v>
      </c>
      <c r="C137" s="2013">
        <v>32133030</v>
      </c>
      <c r="D137" s="2014" t="s">
        <v>1263</v>
      </c>
      <c r="E137" s="2010">
        <v>0</v>
      </c>
      <c r="F137" s="2010">
        <v>78</v>
      </c>
      <c r="G137" s="2022">
        <v>78</v>
      </c>
      <c r="H137" s="2011">
        <f>G137/F137*100</f>
        <v>100</v>
      </c>
      <c r="I137" s="1994"/>
    </row>
    <row r="138" spans="1:9" ht="30.75" thickBot="1" x14ac:dyDescent="0.25">
      <c r="A138" s="2012">
        <v>3299</v>
      </c>
      <c r="B138" s="2013">
        <v>5336</v>
      </c>
      <c r="C138" s="2013">
        <v>32533030</v>
      </c>
      <c r="D138" s="2014" t="s">
        <v>1263</v>
      </c>
      <c r="E138" s="2015">
        <v>0</v>
      </c>
      <c r="F138" s="2015">
        <v>440</v>
      </c>
      <c r="G138" s="2023">
        <v>440</v>
      </c>
      <c r="H138" s="2016">
        <f>G138/F138*100</f>
        <v>100</v>
      </c>
      <c r="I138" s="1994"/>
    </row>
    <row r="139" spans="1:9" ht="30.75" hidden="1" thickBot="1" x14ac:dyDescent="0.25">
      <c r="A139" s="2012">
        <v>3299</v>
      </c>
      <c r="B139" s="2013">
        <v>6351</v>
      </c>
      <c r="C139" s="2013">
        <v>32133926</v>
      </c>
      <c r="D139" s="2014" t="s">
        <v>1277</v>
      </c>
      <c r="E139" s="2015">
        <v>0</v>
      </c>
      <c r="F139" s="2015"/>
      <c r="G139" s="2023"/>
      <c r="H139" s="2016" t="e">
        <f>G139/F139*100</f>
        <v>#DIV/0!</v>
      </c>
      <c r="I139" s="1994"/>
    </row>
    <row r="140" spans="1:9" ht="30.75" hidden="1" thickBot="1" x14ac:dyDescent="0.25">
      <c r="A140" s="2012">
        <v>3299</v>
      </c>
      <c r="B140" s="2013">
        <v>6351</v>
      </c>
      <c r="C140" s="2013">
        <v>32533926</v>
      </c>
      <c r="D140" s="2014" t="s">
        <v>1277</v>
      </c>
      <c r="E140" s="2015">
        <v>0</v>
      </c>
      <c r="F140" s="2015"/>
      <c r="G140" s="2023"/>
      <c r="H140" s="2016" t="e">
        <f>G140/F140*100</f>
        <v>#DIV/0!</v>
      </c>
      <c r="I140" s="1994"/>
    </row>
    <row r="141" spans="1:9" ht="16.5" thickTop="1" thickBot="1" x14ac:dyDescent="0.3">
      <c r="A141" s="2024" t="s">
        <v>763</v>
      </c>
      <c r="B141" s="2025"/>
      <c r="C141" s="2025"/>
      <c r="D141" s="2026"/>
      <c r="E141" s="2019">
        <f>SUM(E137:E140)</f>
        <v>0</v>
      </c>
      <c r="F141" s="2019">
        <f>SUM(F137:F140)</f>
        <v>518</v>
      </c>
      <c r="G141" s="2019">
        <f>SUM(G137:G140)</f>
        <v>518</v>
      </c>
      <c r="H141" s="2020">
        <f>G141/F141*100</f>
        <v>100</v>
      </c>
      <c r="I141" s="1994"/>
    </row>
    <row r="142" spans="1:9" ht="13.5" thickTop="1" x14ac:dyDescent="0.2"/>
    <row r="143" spans="1:9" ht="15" x14ac:dyDescent="0.25">
      <c r="A143" s="1979" t="s">
        <v>52</v>
      </c>
      <c r="B143" s="1993"/>
      <c r="C143" s="1993"/>
      <c r="D143" s="1993"/>
      <c r="F143" s="1994"/>
      <c r="G143" s="1994"/>
      <c r="H143" s="1994"/>
      <c r="I143" s="1994"/>
    </row>
    <row r="144" spans="1:9" ht="15.75" thickBot="1" x14ac:dyDescent="0.3">
      <c r="A144" s="1979" t="s">
        <v>555</v>
      </c>
      <c r="B144" s="1993"/>
      <c r="C144" s="1993"/>
      <c r="D144" s="1993"/>
      <c r="F144" s="1994"/>
      <c r="G144" s="1994"/>
      <c r="H144" s="1995" t="s">
        <v>161</v>
      </c>
      <c r="I144" s="1994"/>
    </row>
    <row r="145" spans="1:9" ht="25.5" thickTop="1" thickBot="1" x14ac:dyDescent="0.25">
      <c r="A145" s="1996" t="s">
        <v>162</v>
      </c>
      <c r="B145" s="1997" t="s">
        <v>761</v>
      </c>
      <c r="C145" s="1997" t="s">
        <v>377</v>
      </c>
      <c r="D145" s="1998" t="s">
        <v>164</v>
      </c>
      <c r="E145" s="1999" t="s">
        <v>632</v>
      </c>
      <c r="F145" s="1999" t="s">
        <v>633</v>
      </c>
      <c r="G145" s="2000" t="s">
        <v>882</v>
      </c>
      <c r="H145" s="2001" t="s">
        <v>883</v>
      </c>
      <c r="I145" s="1994"/>
    </row>
    <row r="146" spans="1:9" ht="14.25" thickTop="1" thickBot="1" x14ac:dyDescent="0.25">
      <c r="A146" s="2002">
        <v>1</v>
      </c>
      <c r="B146" s="2003">
        <v>2</v>
      </c>
      <c r="C146" s="2003">
        <v>3</v>
      </c>
      <c r="D146" s="2003">
        <v>5</v>
      </c>
      <c r="E146" s="2004">
        <v>6</v>
      </c>
      <c r="F146" s="2004">
        <v>7</v>
      </c>
      <c r="G146" s="2005">
        <v>8</v>
      </c>
      <c r="H146" s="2021" t="s">
        <v>762</v>
      </c>
      <c r="I146" s="1994"/>
    </row>
    <row r="147" spans="1:9" ht="30.75" thickTop="1" x14ac:dyDescent="0.2">
      <c r="A147" s="2012">
        <v>3299</v>
      </c>
      <c r="B147" s="2013">
        <v>5336</v>
      </c>
      <c r="C147" s="2013">
        <v>32133030</v>
      </c>
      <c r="D147" s="2014" t="s">
        <v>1263</v>
      </c>
      <c r="E147" s="2010">
        <v>0</v>
      </c>
      <c r="F147" s="2010">
        <v>263</v>
      </c>
      <c r="G147" s="2022">
        <v>144</v>
      </c>
      <c r="H147" s="2011">
        <f>G147/F147*100</f>
        <v>54.752851711026615</v>
      </c>
      <c r="I147" s="1994"/>
    </row>
    <row r="148" spans="1:9" ht="30.75" thickBot="1" x14ac:dyDescent="0.25">
      <c r="A148" s="2012">
        <v>3299</v>
      </c>
      <c r="B148" s="2013">
        <v>5336</v>
      </c>
      <c r="C148" s="2013">
        <v>32533030</v>
      </c>
      <c r="D148" s="2014" t="s">
        <v>1263</v>
      </c>
      <c r="E148" s="2015">
        <v>0</v>
      </c>
      <c r="F148" s="2015">
        <v>1487</v>
      </c>
      <c r="G148" s="2023">
        <v>814</v>
      </c>
      <c r="H148" s="2016">
        <f>G148/F148*100</f>
        <v>54.741089441829182</v>
      </c>
      <c r="I148" s="1994"/>
    </row>
    <row r="149" spans="1:9" ht="30.75" hidden="1" thickBot="1" x14ac:dyDescent="0.25">
      <c r="A149" s="2012">
        <v>3299</v>
      </c>
      <c r="B149" s="2013">
        <v>6351</v>
      </c>
      <c r="C149" s="2013">
        <v>32133926</v>
      </c>
      <c r="D149" s="2014" t="s">
        <v>1277</v>
      </c>
      <c r="E149" s="2015">
        <v>0</v>
      </c>
      <c r="F149" s="2015">
        <v>0</v>
      </c>
      <c r="G149" s="2023">
        <v>0</v>
      </c>
      <c r="H149" s="2016" t="e">
        <f>G149/F149*100</f>
        <v>#DIV/0!</v>
      </c>
      <c r="I149" s="1994"/>
    </row>
    <row r="150" spans="1:9" ht="30.75" hidden="1" thickBot="1" x14ac:dyDescent="0.25">
      <c r="A150" s="2012">
        <v>3299</v>
      </c>
      <c r="B150" s="2013">
        <v>6351</v>
      </c>
      <c r="C150" s="2013">
        <v>32533926</v>
      </c>
      <c r="D150" s="2014" t="s">
        <v>1277</v>
      </c>
      <c r="E150" s="2015">
        <v>0</v>
      </c>
      <c r="F150" s="2015">
        <v>0</v>
      </c>
      <c r="G150" s="2023">
        <v>0</v>
      </c>
      <c r="H150" s="2016" t="e">
        <f>G150/F150*100</f>
        <v>#DIV/0!</v>
      </c>
      <c r="I150" s="1994"/>
    </row>
    <row r="151" spans="1:9" ht="16.5" thickTop="1" thickBot="1" x14ac:dyDescent="0.3">
      <c r="A151" s="2024" t="s">
        <v>763</v>
      </c>
      <c r="B151" s="2025"/>
      <c r="C151" s="2025"/>
      <c r="D151" s="2026"/>
      <c r="E151" s="2019">
        <f>SUM(E147:E150)</f>
        <v>0</v>
      </c>
      <c r="F151" s="2019">
        <f>SUM(F147:F150)</f>
        <v>1750</v>
      </c>
      <c r="G151" s="2019">
        <f>SUM(G147:G150)</f>
        <v>958</v>
      </c>
      <c r="H151" s="2020">
        <f>G151/F151*100</f>
        <v>54.74285714285714</v>
      </c>
      <c r="I151" s="1994"/>
    </row>
    <row r="152" spans="1:9" ht="13.5" thickTop="1" x14ac:dyDescent="0.2"/>
    <row r="153" spans="1:9" ht="15" x14ac:dyDescent="0.25">
      <c r="A153" s="1979" t="s">
        <v>1616</v>
      </c>
      <c r="B153" s="1993"/>
      <c r="C153" s="1993"/>
      <c r="D153" s="1993"/>
      <c r="F153" s="1994"/>
      <c r="G153" s="1994"/>
      <c r="H153" s="1994"/>
      <c r="I153" s="1994"/>
    </row>
    <row r="154" spans="1:9" ht="15.75" thickBot="1" x14ac:dyDescent="0.3">
      <c r="A154" s="1979" t="s">
        <v>191</v>
      </c>
      <c r="B154" s="1993"/>
      <c r="C154" s="1993"/>
      <c r="D154" s="1993"/>
      <c r="F154" s="1994"/>
      <c r="G154" s="1994"/>
      <c r="H154" s="1995" t="s">
        <v>161</v>
      </c>
      <c r="I154" s="1994"/>
    </row>
    <row r="155" spans="1:9" ht="25.5" thickTop="1" thickBot="1" x14ac:dyDescent="0.25">
      <c r="A155" s="1996" t="s">
        <v>162</v>
      </c>
      <c r="B155" s="1997" t="s">
        <v>761</v>
      </c>
      <c r="C155" s="1997" t="s">
        <v>377</v>
      </c>
      <c r="D155" s="1998" t="s">
        <v>164</v>
      </c>
      <c r="E155" s="1999" t="s">
        <v>632</v>
      </c>
      <c r="F155" s="1999" t="s">
        <v>633</v>
      </c>
      <c r="G155" s="2000" t="s">
        <v>882</v>
      </c>
      <c r="H155" s="2001" t="s">
        <v>883</v>
      </c>
      <c r="I155" s="1994"/>
    </row>
    <row r="156" spans="1:9" ht="14.25" thickTop="1" thickBot="1" x14ac:dyDescent="0.25">
      <c r="A156" s="2002">
        <v>1</v>
      </c>
      <c r="B156" s="2003">
        <v>2</v>
      </c>
      <c r="C156" s="2003">
        <v>3</v>
      </c>
      <c r="D156" s="2003">
        <v>5</v>
      </c>
      <c r="E156" s="2004">
        <v>6</v>
      </c>
      <c r="F156" s="2004">
        <v>7</v>
      </c>
      <c r="G156" s="2005">
        <v>8</v>
      </c>
      <c r="H156" s="2021" t="s">
        <v>762</v>
      </c>
      <c r="I156" s="1994"/>
    </row>
    <row r="157" spans="1:9" ht="30.75" thickTop="1" x14ac:dyDescent="0.2">
      <c r="A157" s="2012">
        <v>3299</v>
      </c>
      <c r="B157" s="2013">
        <v>5336</v>
      </c>
      <c r="C157" s="2013">
        <v>32133030</v>
      </c>
      <c r="D157" s="2014" t="s">
        <v>1263</v>
      </c>
      <c r="E157" s="2010">
        <v>0</v>
      </c>
      <c r="F157" s="2010">
        <v>209</v>
      </c>
      <c r="G157" s="2022">
        <v>198</v>
      </c>
      <c r="H157" s="2011">
        <f>G157/F157*100</f>
        <v>94.73684210526315</v>
      </c>
      <c r="I157" s="1994"/>
    </row>
    <row r="158" spans="1:9" ht="30.75" thickBot="1" x14ac:dyDescent="0.25">
      <c r="A158" s="2012">
        <v>3299</v>
      </c>
      <c r="B158" s="2013">
        <v>5336</v>
      </c>
      <c r="C158" s="2013">
        <v>32533030</v>
      </c>
      <c r="D158" s="2014" t="s">
        <v>1263</v>
      </c>
      <c r="E158" s="2015">
        <v>0</v>
      </c>
      <c r="F158" s="2015">
        <v>1185</v>
      </c>
      <c r="G158" s="2023">
        <v>1119</v>
      </c>
      <c r="H158" s="2016">
        <f>G158/F158*100</f>
        <v>94.430379746835442</v>
      </c>
      <c r="I158" s="1994"/>
    </row>
    <row r="159" spans="1:9" ht="30.75" hidden="1" thickBot="1" x14ac:dyDescent="0.25">
      <c r="A159" s="2012">
        <v>3299</v>
      </c>
      <c r="B159" s="2013">
        <v>6351</v>
      </c>
      <c r="C159" s="2013">
        <v>32133926</v>
      </c>
      <c r="D159" s="2014" t="s">
        <v>1277</v>
      </c>
      <c r="E159" s="2015">
        <v>0</v>
      </c>
      <c r="F159" s="2015">
        <v>0</v>
      </c>
      <c r="G159" s="2023">
        <v>0</v>
      </c>
      <c r="H159" s="2016" t="e">
        <f>G159/F159*100</f>
        <v>#DIV/0!</v>
      </c>
      <c r="I159" s="1994"/>
    </row>
    <row r="160" spans="1:9" ht="30.75" hidden="1" thickBot="1" x14ac:dyDescent="0.25">
      <c r="A160" s="2012">
        <v>3299</v>
      </c>
      <c r="B160" s="2013">
        <v>6351</v>
      </c>
      <c r="C160" s="2013">
        <v>32533926</v>
      </c>
      <c r="D160" s="2014" t="s">
        <v>1277</v>
      </c>
      <c r="E160" s="2015">
        <v>0</v>
      </c>
      <c r="F160" s="2015">
        <v>0</v>
      </c>
      <c r="G160" s="2023">
        <v>0</v>
      </c>
      <c r="H160" s="2016" t="e">
        <f>G160/F160*100</f>
        <v>#DIV/0!</v>
      </c>
      <c r="I160" s="1994"/>
    </row>
    <row r="161" spans="1:9" ht="16.5" thickTop="1" thickBot="1" x14ac:dyDescent="0.3">
      <c r="A161" s="2024" t="s">
        <v>763</v>
      </c>
      <c r="B161" s="2025"/>
      <c r="C161" s="2025"/>
      <c r="D161" s="2026"/>
      <c r="E161" s="2019">
        <f>SUM(E157:E160)</f>
        <v>0</v>
      </c>
      <c r="F161" s="2019">
        <f>SUM(F157:F160)</f>
        <v>1394</v>
      </c>
      <c r="G161" s="2019">
        <f>SUM(G157:G160)</f>
        <v>1317</v>
      </c>
      <c r="H161" s="2020">
        <f>G161/F161*100</f>
        <v>94.476327116212346</v>
      </c>
      <c r="I161" s="1994"/>
    </row>
    <row r="162" spans="1:9" ht="13.5" thickTop="1" x14ac:dyDescent="0.2"/>
    <row r="163" spans="1:9" ht="15" x14ac:dyDescent="0.25">
      <c r="A163" s="1979" t="s">
        <v>518</v>
      </c>
      <c r="B163" s="1993"/>
      <c r="C163" s="1993"/>
      <c r="D163" s="1993"/>
      <c r="F163" s="1994"/>
      <c r="G163" s="1994"/>
      <c r="H163" s="1994"/>
      <c r="I163" s="1994"/>
    </row>
    <row r="164" spans="1:9" ht="15.75" thickBot="1" x14ac:dyDescent="0.3">
      <c r="A164" s="1979" t="s">
        <v>1570</v>
      </c>
      <c r="B164" s="1993"/>
      <c r="C164" s="1993"/>
      <c r="D164" s="1993"/>
      <c r="F164" s="1994"/>
      <c r="G164" s="1994"/>
      <c r="H164" s="1995" t="s">
        <v>161</v>
      </c>
      <c r="I164" s="1994"/>
    </row>
    <row r="165" spans="1:9" ht="25.5" thickTop="1" thickBot="1" x14ac:dyDescent="0.25">
      <c r="A165" s="1996" t="s">
        <v>162</v>
      </c>
      <c r="B165" s="1997" t="s">
        <v>761</v>
      </c>
      <c r="C165" s="1997" t="s">
        <v>377</v>
      </c>
      <c r="D165" s="1998" t="s">
        <v>164</v>
      </c>
      <c r="E165" s="1999" t="s">
        <v>632</v>
      </c>
      <c r="F165" s="1999" t="s">
        <v>633</v>
      </c>
      <c r="G165" s="2000" t="s">
        <v>882</v>
      </c>
      <c r="H165" s="2001" t="s">
        <v>883</v>
      </c>
      <c r="I165" s="1994"/>
    </row>
    <row r="166" spans="1:9" ht="14.25" thickTop="1" thickBot="1" x14ac:dyDescent="0.25">
      <c r="A166" s="2002">
        <v>1</v>
      </c>
      <c r="B166" s="2003">
        <v>2</v>
      </c>
      <c r="C166" s="2003">
        <v>3</v>
      </c>
      <c r="D166" s="2003">
        <v>5</v>
      </c>
      <c r="E166" s="2004">
        <v>6</v>
      </c>
      <c r="F166" s="2004">
        <v>7</v>
      </c>
      <c r="G166" s="2005">
        <v>8</v>
      </c>
      <c r="H166" s="2021" t="s">
        <v>762</v>
      </c>
      <c r="I166" s="1994"/>
    </row>
    <row r="167" spans="1:9" ht="30.75" thickTop="1" x14ac:dyDescent="0.2">
      <c r="A167" s="2012">
        <v>3299</v>
      </c>
      <c r="B167" s="2013">
        <v>5336</v>
      </c>
      <c r="C167" s="2013">
        <v>32133030</v>
      </c>
      <c r="D167" s="2014" t="s">
        <v>1263</v>
      </c>
      <c r="E167" s="2010">
        <v>0</v>
      </c>
      <c r="F167" s="2010">
        <v>277</v>
      </c>
      <c r="G167" s="2022">
        <v>159</v>
      </c>
      <c r="H167" s="2011">
        <f>G167/F167*100</f>
        <v>57.400722021660656</v>
      </c>
      <c r="I167" s="1994"/>
    </row>
    <row r="168" spans="1:9" ht="30.75" thickBot="1" x14ac:dyDescent="0.25">
      <c r="A168" s="2012">
        <v>3299</v>
      </c>
      <c r="B168" s="2013">
        <v>5336</v>
      </c>
      <c r="C168" s="2013">
        <v>32533030</v>
      </c>
      <c r="D168" s="2014" t="s">
        <v>1263</v>
      </c>
      <c r="E168" s="2015">
        <v>0</v>
      </c>
      <c r="F168" s="2015">
        <v>1573</v>
      </c>
      <c r="G168" s="2023">
        <v>901</v>
      </c>
      <c r="H168" s="2016">
        <f>G168/F168*100</f>
        <v>57.27908455181182</v>
      </c>
      <c r="I168" s="1994"/>
    </row>
    <row r="169" spans="1:9" ht="30.75" hidden="1" thickBot="1" x14ac:dyDescent="0.25">
      <c r="A169" s="2012">
        <v>3299</v>
      </c>
      <c r="B169" s="2013">
        <v>6351</v>
      </c>
      <c r="C169" s="2013">
        <v>32133926</v>
      </c>
      <c r="D169" s="2014" t="s">
        <v>1277</v>
      </c>
      <c r="E169" s="2015">
        <v>0</v>
      </c>
      <c r="F169" s="2015">
        <v>0</v>
      </c>
      <c r="G169" s="2023">
        <v>0</v>
      </c>
      <c r="H169" s="2016" t="e">
        <f>G169/F169*100</f>
        <v>#DIV/0!</v>
      </c>
      <c r="I169" s="1994"/>
    </row>
    <row r="170" spans="1:9" ht="30.75" hidden="1" thickBot="1" x14ac:dyDescent="0.25">
      <c r="A170" s="2012">
        <v>3299</v>
      </c>
      <c r="B170" s="2013">
        <v>6351</v>
      </c>
      <c r="C170" s="2013">
        <v>32533926</v>
      </c>
      <c r="D170" s="2014" t="s">
        <v>1277</v>
      </c>
      <c r="E170" s="2015">
        <v>0</v>
      </c>
      <c r="F170" s="2015">
        <v>0</v>
      </c>
      <c r="G170" s="2023">
        <v>0</v>
      </c>
      <c r="H170" s="2016" t="e">
        <f>G170/F170*100</f>
        <v>#DIV/0!</v>
      </c>
      <c r="I170" s="1994"/>
    </row>
    <row r="171" spans="1:9" ht="16.5" thickTop="1" thickBot="1" x14ac:dyDescent="0.3">
      <c r="A171" s="2024" t="s">
        <v>763</v>
      </c>
      <c r="B171" s="2025"/>
      <c r="C171" s="2025"/>
      <c r="D171" s="2026"/>
      <c r="E171" s="2019">
        <f>SUM(E167:E170)</f>
        <v>0</v>
      </c>
      <c r="F171" s="2019">
        <f>SUM(F167:F170)</f>
        <v>1850</v>
      </c>
      <c r="G171" s="2019">
        <f>SUM(G167:G170)</f>
        <v>1060</v>
      </c>
      <c r="H171" s="2020">
        <f>G171/F171*100</f>
        <v>57.297297297297298</v>
      </c>
      <c r="I171" s="1994"/>
    </row>
    <row r="172" spans="1:9" ht="13.5" thickTop="1" x14ac:dyDescent="0.2"/>
    <row r="174" spans="1:9" ht="15" x14ac:dyDescent="0.25">
      <c r="A174" s="1979" t="s">
        <v>1633</v>
      </c>
      <c r="B174" s="1993"/>
      <c r="C174" s="1993"/>
      <c r="D174" s="1993"/>
      <c r="F174" s="1994"/>
      <c r="G174" s="1994"/>
      <c r="H174" s="1994"/>
      <c r="I174" s="1994"/>
    </row>
    <row r="175" spans="1:9" ht="15.75" thickBot="1" x14ac:dyDescent="0.3">
      <c r="A175" s="1979" t="s">
        <v>1555</v>
      </c>
      <c r="B175" s="1993"/>
      <c r="C175" s="1993"/>
      <c r="D175" s="1993"/>
      <c r="F175" s="1994"/>
      <c r="G175" s="1994"/>
      <c r="H175" s="1995" t="s">
        <v>161</v>
      </c>
      <c r="I175" s="1994"/>
    </row>
    <row r="176" spans="1:9" ht="25.5" thickTop="1" thickBot="1" x14ac:dyDescent="0.25">
      <c r="A176" s="1996" t="s">
        <v>162</v>
      </c>
      <c r="B176" s="1997" t="s">
        <v>761</v>
      </c>
      <c r="C176" s="1997" t="s">
        <v>377</v>
      </c>
      <c r="D176" s="1998" t="s">
        <v>164</v>
      </c>
      <c r="E176" s="1999" t="s">
        <v>632</v>
      </c>
      <c r="F176" s="1999" t="s">
        <v>633</v>
      </c>
      <c r="G176" s="2000" t="s">
        <v>882</v>
      </c>
      <c r="H176" s="2001" t="s">
        <v>883</v>
      </c>
      <c r="I176" s="1994"/>
    </row>
    <row r="177" spans="1:9" ht="14.25" thickTop="1" thickBot="1" x14ac:dyDescent="0.25">
      <c r="A177" s="2002">
        <v>1</v>
      </c>
      <c r="B177" s="2003">
        <v>2</v>
      </c>
      <c r="C177" s="2003">
        <v>3</v>
      </c>
      <c r="D177" s="2003">
        <v>5</v>
      </c>
      <c r="E177" s="2004">
        <v>6</v>
      </c>
      <c r="F177" s="2004">
        <v>7</v>
      </c>
      <c r="G177" s="2005">
        <v>8</v>
      </c>
      <c r="H177" s="2021" t="s">
        <v>762</v>
      </c>
      <c r="I177" s="1994"/>
    </row>
    <row r="178" spans="1:9" ht="30.75" thickTop="1" x14ac:dyDescent="0.2">
      <c r="A178" s="2012">
        <v>3299</v>
      </c>
      <c r="B178" s="2013">
        <v>5336</v>
      </c>
      <c r="C178" s="2013">
        <v>32133030</v>
      </c>
      <c r="D178" s="2014" t="s">
        <v>1263</v>
      </c>
      <c r="E178" s="2010">
        <v>0</v>
      </c>
      <c r="F178" s="2010">
        <v>743</v>
      </c>
      <c r="G178" s="2022">
        <v>706</v>
      </c>
      <c r="H178" s="2011">
        <f>G178/F178*100</f>
        <v>95.020188425302834</v>
      </c>
      <c r="I178" s="1994"/>
    </row>
    <row r="179" spans="1:9" ht="30.75" thickBot="1" x14ac:dyDescent="0.25">
      <c r="A179" s="2012">
        <v>3299</v>
      </c>
      <c r="B179" s="2013">
        <v>5336</v>
      </c>
      <c r="C179" s="2013">
        <v>32533030</v>
      </c>
      <c r="D179" s="2014" t="s">
        <v>1263</v>
      </c>
      <c r="E179" s="2015">
        <v>0</v>
      </c>
      <c r="F179" s="2015">
        <v>4214</v>
      </c>
      <c r="G179" s="2023">
        <v>4002</v>
      </c>
      <c r="H179" s="2016">
        <f>G179/F179*100</f>
        <v>94.969150450878033</v>
      </c>
      <c r="I179" s="1994"/>
    </row>
    <row r="180" spans="1:9" ht="30.75" hidden="1" thickBot="1" x14ac:dyDescent="0.25">
      <c r="A180" s="2012">
        <v>3299</v>
      </c>
      <c r="B180" s="2013">
        <v>6351</v>
      </c>
      <c r="C180" s="2013">
        <v>32133926</v>
      </c>
      <c r="D180" s="2014" t="s">
        <v>1277</v>
      </c>
      <c r="E180" s="2015">
        <v>0</v>
      </c>
      <c r="F180" s="2015"/>
      <c r="G180" s="2023"/>
      <c r="H180" s="2016" t="e">
        <f>G180/F180*100</f>
        <v>#DIV/0!</v>
      </c>
      <c r="I180" s="1994"/>
    </row>
    <row r="181" spans="1:9" ht="30.75" hidden="1" thickBot="1" x14ac:dyDescent="0.25">
      <c r="A181" s="2012">
        <v>3299</v>
      </c>
      <c r="B181" s="2013">
        <v>6351</v>
      </c>
      <c r="C181" s="2013">
        <v>32533926</v>
      </c>
      <c r="D181" s="2014" t="s">
        <v>1277</v>
      </c>
      <c r="E181" s="2015">
        <v>0</v>
      </c>
      <c r="F181" s="2015"/>
      <c r="G181" s="2023"/>
      <c r="H181" s="2016" t="e">
        <f>G181/F181*100</f>
        <v>#DIV/0!</v>
      </c>
      <c r="I181" s="1994"/>
    </row>
    <row r="182" spans="1:9" ht="16.5" thickTop="1" thickBot="1" x14ac:dyDescent="0.3">
      <c r="A182" s="2024" t="s">
        <v>763</v>
      </c>
      <c r="B182" s="2025"/>
      <c r="C182" s="2025"/>
      <c r="D182" s="2026"/>
      <c r="E182" s="2019">
        <f>SUM(E178:E181)</f>
        <v>0</v>
      </c>
      <c r="F182" s="2019">
        <f>SUM(F178:F181)</f>
        <v>4957</v>
      </c>
      <c r="G182" s="2019">
        <f>SUM(G178:G181)</f>
        <v>4708</v>
      </c>
      <c r="H182" s="2020">
        <f>G182/F182*100</f>
        <v>94.976800484163803</v>
      </c>
      <c r="I182" s="1994"/>
    </row>
    <row r="183" spans="1:9" ht="13.5" thickTop="1" x14ac:dyDescent="0.2"/>
    <row r="184" spans="1:9" ht="15" x14ac:dyDescent="0.25">
      <c r="A184" s="1979" t="s">
        <v>2026</v>
      </c>
      <c r="B184" s="1993"/>
      <c r="C184" s="1993"/>
      <c r="D184" s="1993"/>
      <c r="F184" s="1994"/>
      <c r="G184" s="1994"/>
      <c r="H184" s="1994"/>
      <c r="I184" s="1994"/>
    </row>
    <row r="185" spans="1:9" ht="15.75" thickBot="1" x14ac:dyDescent="0.3">
      <c r="A185" s="1979" t="s">
        <v>193</v>
      </c>
      <c r="B185" s="1993"/>
      <c r="C185" s="1993"/>
      <c r="D185" s="1993"/>
      <c r="F185" s="1994"/>
      <c r="G185" s="1994"/>
      <c r="H185" s="1995" t="s">
        <v>161</v>
      </c>
      <c r="I185" s="1994"/>
    </row>
    <row r="186" spans="1:9" ht="25.5" thickTop="1" thickBot="1" x14ac:dyDescent="0.25">
      <c r="A186" s="1996" t="s">
        <v>162</v>
      </c>
      <c r="B186" s="1997" t="s">
        <v>761</v>
      </c>
      <c r="C186" s="1997" t="s">
        <v>377</v>
      </c>
      <c r="D186" s="1998" t="s">
        <v>164</v>
      </c>
      <c r="E186" s="1999" t="s">
        <v>632</v>
      </c>
      <c r="F186" s="1999" t="s">
        <v>633</v>
      </c>
      <c r="G186" s="2000" t="s">
        <v>882</v>
      </c>
      <c r="H186" s="2001" t="s">
        <v>883</v>
      </c>
      <c r="I186" s="1994"/>
    </row>
    <row r="187" spans="1:9" ht="14.25" thickTop="1" thickBot="1" x14ac:dyDescent="0.25">
      <c r="A187" s="2002">
        <v>1</v>
      </c>
      <c r="B187" s="2003">
        <v>2</v>
      </c>
      <c r="C187" s="2003">
        <v>3</v>
      </c>
      <c r="D187" s="2003">
        <v>5</v>
      </c>
      <c r="E187" s="2004">
        <v>6</v>
      </c>
      <c r="F187" s="2004">
        <v>7</v>
      </c>
      <c r="G187" s="2005">
        <v>8</v>
      </c>
      <c r="H187" s="2021" t="s">
        <v>762</v>
      </c>
      <c r="I187" s="1994"/>
    </row>
    <row r="188" spans="1:9" ht="30.75" thickTop="1" x14ac:dyDescent="0.2">
      <c r="A188" s="2012">
        <v>3299</v>
      </c>
      <c r="B188" s="2013">
        <v>5336</v>
      </c>
      <c r="C188" s="2013">
        <v>32133030</v>
      </c>
      <c r="D188" s="2014" t="s">
        <v>1263</v>
      </c>
      <c r="E188" s="2010">
        <v>0</v>
      </c>
      <c r="F188" s="2010">
        <v>232</v>
      </c>
      <c r="G188" s="2022">
        <v>185</v>
      </c>
      <c r="H188" s="2011">
        <f>G188/F188*100</f>
        <v>79.741379310344826</v>
      </c>
      <c r="I188" s="1994"/>
    </row>
    <row r="189" spans="1:9" ht="30.75" thickBot="1" x14ac:dyDescent="0.25">
      <c r="A189" s="2012">
        <v>3299</v>
      </c>
      <c r="B189" s="2013">
        <v>5336</v>
      </c>
      <c r="C189" s="2013">
        <v>32533030</v>
      </c>
      <c r="D189" s="2014" t="s">
        <v>1263</v>
      </c>
      <c r="E189" s="2015">
        <v>0</v>
      </c>
      <c r="F189" s="2015">
        <v>1318</v>
      </c>
      <c r="G189" s="2023">
        <v>1047</v>
      </c>
      <c r="H189" s="2016">
        <f>G189/F189*100</f>
        <v>79.438543247344455</v>
      </c>
      <c r="I189" s="1994"/>
    </row>
    <row r="190" spans="1:9" ht="30.75" hidden="1" thickBot="1" x14ac:dyDescent="0.25">
      <c r="A190" s="2012">
        <v>3299</v>
      </c>
      <c r="B190" s="2013">
        <v>6351</v>
      </c>
      <c r="C190" s="2013">
        <v>32133926</v>
      </c>
      <c r="D190" s="2014" t="s">
        <v>1277</v>
      </c>
      <c r="E190" s="2015">
        <v>0</v>
      </c>
      <c r="F190" s="2015"/>
      <c r="G190" s="2023"/>
      <c r="H190" s="2016" t="e">
        <f>G190/F190*100</f>
        <v>#DIV/0!</v>
      </c>
      <c r="I190" s="1994"/>
    </row>
    <row r="191" spans="1:9" ht="30.75" hidden="1" thickBot="1" x14ac:dyDescent="0.25">
      <c r="A191" s="2012">
        <v>3299</v>
      </c>
      <c r="B191" s="2013">
        <v>6351</v>
      </c>
      <c r="C191" s="2013">
        <v>32533926</v>
      </c>
      <c r="D191" s="2014" t="s">
        <v>1277</v>
      </c>
      <c r="E191" s="2015">
        <v>0</v>
      </c>
      <c r="F191" s="2015"/>
      <c r="G191" s="2023"/>
      <c r="H191" s="2016" t="e">
        <f>G191/F191*100</f>
        <v>#DIV/0!</v>
      </c>
      <c r="I191" s="1994"/>
    </row>
    <row r="192" spans="1:9" ht="16.5" thickTop="1" thickBot="1" x14ac:dyDescent="0.3">
      <c r="A192" s="2024" t="s">
        <v>763</v>
      </c>
      <c r="B192" s="2025"/>
      <c r="C192" s="2025"/>
      <c r="D192" s="2026"/>
      <c r="E192" s="2019">
        <f>SUM(E188:E191)</f>
        <v>0</v>
      </c>
      <c r="F192" s="2019">
        <f>SUM(F188:F191)</f>
        <v>1550</v>
      </c>
      <c r="G192" s="2019">
        <f>SUM(G188:G191)</f>
        <v>1232</v>
      </c>
      <c r="H192" s="2020">
        <f>G192/F192*100</f>
        <v>79.483870967741936</v>
      </c>
      <c r="I192" s="1994"/>
    </row>
    <row r="193" spans="1:9" ht="13.5" thickTop="1" x14ac:dyDescent="0.2"/>
    <row r="195" spans="1:9" ht="15" x14ac:dyDescent="0.25">
      <c r="A195" s="1979" t="s">
        <v>294</v>
      </c>
      <c r="B195" s="1993"/>
      <c r="C195" s="1993"/>
      <c r="D195" s="1993"/>
      <c r="F195" s="1994"/>
      <c r="G195" s="1994"/>
      <c r="H195" s="1994"/>
      <c r="I195" s="1994"/>
    </row>
    <row r="196" spans="1:9" ht="15.75" thickBot="1" x14ac:dyDescent="0.3">
      <c r="A196" s="1979" t="s">
        <v>1010</v>
      </c>
      <c r="B196" s="1993"/>
      <c r="C196" s="1993"/>
      <c r="D196" s="1993"/>
      <c r="F196" s="1994"/>
      <c r="G196" s="1994"/>
      <c r="H196" s="1995" t="s">
        <v>161</v>
      </c>
      <c r="I196" s="1994"/>
    </row>
    <row r="197" spans="1:9" ht="25.5" thickTop="1" thickBot="1" x14ac:dyDescent="0.25">
      <c r="A197" s="1996" t="s">
        <v>162</v>
      </c>
      <c r="B197" s="1997" t="s">
        <v>761</v>
      </c>
      <c r="C197" s="1997" t="s">
        <v>377</v>
      </c>
      <c r="D197" s="1998" t="s">
        <v>164</v>
      </c>
      <c r="E197" s="1999" t="s">
        <v>632</v>
      </c>
      <c r="F197" s="1999" t="s">
        <v>633</v>
      </c>
      <c r="G197" s="2000" t="s">
        <v>882</v>
      </c>
      <c r="H197" s="2001" t="s">
        <v>883</v>
      </c>
      <c r="I197" s="1994"/>
    </row>
    <row r="198" spans="1:9" ht="14.25" thickTop="1" thickBot="1" x14ac:dyDescent="0.25">
      <c r="A198" s="2002">
        <v>1</v>
      </c>
      <c r="B198" s="2003">
        <v>2</v>
      </c>
      <c r="C198" s="2003">
        <v>3</v>
      </c>
      <c r="D198" s="2003">
        <v>5</v>
      </c>
      <c r="E198" s="2004">
        <v>6</v>
      </c>
      <c r="F198" s="2004">
        <v>7</v>
      </c>
      <c r="G198" s="2005">
        <v>8</v>
      </c>
      <c r="H198" s="2021" t="s">
        <v>762</v>
      </c>
      <c r="I198" s="1994"/>
    </row>
    <row r="199" spans="1:9" ht="30.75" thickTop="1" x14ac:dyDescent="0.2">
      <c r="A199" s="2012">
        <v>3299</v>
      </c>
      <c r="B199" s="2013">
        <v>5336</v>
      </c>
      <c r="C199" s="2013">
        <v>32133030</v>
      </c>
      <c r="D199" s="2014" t="s">
        <v>1263</v>
      </c>
      <c r="E199" s="2010">
        <v>0</v>
      </c>
      <c r="F199" s="2010">
        <v>303</v>
      </c>
      <c r="G199" s="2022">
        <v>89</v>
      </c>
      <c r="H199" s="2011">
        <f>G199/F199*100</f>
        <v>29.372937293729372</v>
      </c>
      <c r="I199" s="1994"/>
    </row>
    <row r="200" spans="1:9" ht="30.75" thickBot="1" x14ac:dyDescent="0.25">
      <c r="A200" s="2012">
        <v>3299</v>
      </c>
      <c r="B200" s="2013">
        <v>5336</v>
      </c>
      <c r="C200" s="2013">
        <v>32533030</v>
      </c>
      <c r="D200" s="2014" t="s">
        <v>1263</v>
      </c>
      <c r="E200" s="2015">
        <v>0</v>
      </c>
      <c r="F200" s="2015">
        <v>1720</v>
      </c>
      <c r="G200" s="2023">
        <v>504</v>
      </c>
      <c r="H200" s="2016">
        <f>G200/F200*100</f>
        <v>29.302325581395351</v>
      </c>
      <c r="I200" s="1994"/>
    </row>
    <row r="201" spans="1:9" ht="30.75" hidden="1" thickBot="1" x14ac:dyDescent="0.25">
      <c r="A201" s="2012">
        <v>3299</v>
      </c>
      <c r="B201" s="2013">
        <v>6351</v>
      </c>
      <c r="C201" s="2013">
        <v>32133926</v>
      </c>
      <c r="D201" s="2014" t="s">
        <v>1277</v>
      </c>
      <c r="E201" s="2015">
        <v>0</v>
      </c>
      <c r="F201" s="2015"/>
      <c r="G201" s="2023"/>
      <c r="H201" s="2016" t="e">
        <f>G201/F201*100</f>
        <v>#DIV/0!</v>
      </c>
      <c r="I201" s="1994"/>
    </row>
    <row r="202" spans="1:9" ht="30.75" hidden="1" thickBot="1" x14ac:dyDescent="0.25">
      <c r="A202" s="2012">
        <v>3299</v>
      </c>
      <c r="B202" s="2013">
        <v>6351</v>
      </c>
      <c r="C202" s="2013">
        <v>32533926</v>
      </c>
      <c r="D202" s="2014" t="s">
        <v>1277</v>
      </c>
      <c r="E202" s="2015">
        <v>0</v>
      </c>
      <c r="F202" s="2015"/>
      <c r="G202" s="2023"/>
      <c r="H202" s="2016" t="e">
        <f>G202/F202*100</f>
        <v>#DIV/0!</v>
      </c>
      <c r="I202" s="1994"/>
    </row>
    <row r="203" spans="1:9" ht="16.5" thickTop="1" thickBot="1" x14ac:dyDescent="0.3">
      <c r="A203" s="2024" t="s">
        <v>763</v>
      </c>
      <c r="B203" s="2025"/>
      <c r="C203" s="2025"/>
      <c r="D203" s="2026"/>
      <c r="E203" s="2019">
        <f>SUM(E199:E202)</f>
        <v>0</v>
      </c>
      <c r="F203" s="2019">
        <f>SUM(F199:F202)</f>
        <v>2023</v>
      </c>
      <c r="G203" s="2019">
        <f>SUM(G199:G202)</f>
        <v>593</v>
      </c>
      <c r="H203" s="2020">
        <f>G203/F203*100</f>
        <v>29.312901631240734</v>
      </c>
      <c r="I203" s="1994"/>
    </row>
    <row r="204" spans="1:9" ht="13.5" thickTop="1" x14ac:dyDescent="0.2"/>
    <row r="205" spans="1:9" ht="15" x14ac:dyDescent="0.25">
      <c r="A205" s="1979" t="s">
        <v>177</v>
      </c>
      <c r="B205" s="1993"/>
      <c r="C205" s="1993"/>
      <c r="D205" s="1993"/>
      <c r="F205" s="1994"/>
      <c r="G205" s="1994"/>
      <c r="H205" s="1994"/>
      <c r="I205" s="1994"/>
    </row>
    <row r="206" spans="1:9" ht="15.75" thickBot="1" x14ac:dyDescent="0.3">
      <c r="A206" s="1979" t="s">
        <v>1275</v>
      </c>
      <c r="B206" s="1993"/>
      <c r="C206" s="1993"/>
      <c r="D206" s="1993"/>
      <c r="F206" s="1994"/>
      <c r="G206" s="1994"/>
      <c r="H206" s="1995" t="s">
        <v>161</v>
      </c>
      <c r="I206" s="1994"/>
    </row>
    <row r="207" spans="1:9" ht="25.5" thickTop="1" thickBot="1" x14ac:dyDescent="0.25">
      <c r="A207" s="1996" t="s">
        <v>162</v>
      </c>
      <c r="B207" s="1997" t="s">
        <v>761</v>
      </c>
      <c r="C207" s="1997" t="s">
        <v>377</v>
      </c>
      <c r="D207" s="1998" t="s">
        <v>164</v>
      </c>
      <c r="E207" s="1999" t="s">
        <v>632</v>
      </c>
      <c r="F207" s="1999" t="s">
        <v>633</v>
      </c>
      <c r="G207" s="2000" t="s">
        <v>882</v>
      </c>
      <c r="H207" s="2001" t="s">
        <v>883</v>
      </c>
      <c r="I207" s="1994"/>
    </row>
    <row r="208" spans="1:9" ht="14.25" thickTop="1" thickBot="1" x14ac:dyDescent="0.25">
      <c r="A208" s="2002">
        <v>1</v>
      </c>
      <c r="B208" s="2003">
        <v>2</v>
      </c>
      <c r="C208" s="2003">
        <v>3</v>
      </c>
      <c r="D208" s="2003">
        <v>5</v>
      </c>
      <c r="E208" s="2004">
        <v>6</v>
      </c>
      <c r="F208" s="2004">
        <v>7</v>
      </c>
      <c r="G208" s="2005">
        <v>8</v>
      </c>
      <c r="H208" s="2021" t="s">
        <v>762</v>
      </c>
      <c r="I208" s="1994"/>
    </row>
    <row r="209" spans="1:9" ht="30.75" thickTop="1" x14ac:dyDescent="0.2">
      <c r="A209" s="2012">
        <v>3299</v>
      </c>
      <c r="B209" s="2013">
        <v>5336</v>
      </c>
      <c r="C209" s="2013">
        <v>32133030</v>
      </c>
      <c r="D209" s="2014" t="s">
        <v>1263</v>
      </c>
      <c r="E209" s="2010">
        <v>0</v>
      </c>
      <c r="F209" s="2010">
        <v>465</v>
      </c>
      <c r="G209" s="2022">
        <v>169</v>
      </c>
      <c r="H209" s="2011">
        <f>G209/F209*100</f>
        <v>36.344086021505376</v>
      </c>
      <c r="I209" s="1994"/>
    </row>
    <row r="210" spans="1:9" ht="30" x14ac:dyDescent="0.2">
      <c r="A210" s="2012">
        <v>3299</v>
      </c>
      <c r="B210" s="2013">
        <v>5336</v>
      </c>
      <c r="C210" s="2013">
        <v>32533030</v>
      </c>
      <c r="D210" s="2014" t="s">
        <v>1263</v>
      </c>
      <c r="E210" s="2015">
        <v>0</v>
      </c>
      <c r="F210" s="2015">
        <v>2635</v>
      </c>
      <c r="G210" s="2023">
        <v>957</v>
      </c>
      <c r="H210" s="2016">
        <f>G210/F210*100</f>
        <v>36.318785578747622</v>
      </c>
      <c r="I210" s="1994"/>
    </row>
    <row r="211" spans="1:9" ht="30" x14ac:dyDescent="0.2">
      <c r="A211" s="2012">
        <v>3299</v>
      </c>
      <c r="B211" s="2013">
        <v>6351</v>
      </c>
      <c r="C211" s="2013">
        <v>32133926</v>
      </c>
      <c r="D211" s="2014" t="s">
        <v>1277</v>
      </c>
      <c r="E211" s="2015">
        <v>0</v>
      </c>
      <c r="F211" s="2015">
        <v>42</v>
      </c>
      <c r="G211" s="2023">
        <v>16</v>
      </c>
      <c r="H211" s="2016">
        <f>G211/F211*100</f>
        <v>38.095238095238095</v>
      </c>
      <c r="I211" s="1994"/>
    </row>
    <row r="212" spans="1:9" ht="30.75" thickBot="1" x14ac:dyDescent="0.25">
      <c r="A212" s="2012">
        <v>3299</v>
      </c>
      <c r="B212" s="2013">
        <v>6351</v>
      </c>
      <c r="C212" s="2013">
        <v>32533926</v>
      </c>
      <c r="D212" s="2014" t="s">
        <v>1277</v>
      </c>
      <c r="E212" s="2015">
        <v>0</v>
      </c>
      <c r="F212" s="2015">
        <v>238</v>
      </c>
      <c r="G212" s="2023">
        <v>94</v>
      </c>
      <c r="H212" s="2016">
        <f>G212/F212*100</f>
        <v>39.495798319327733</v>
      </c>
      <c r="I212" s="1994"/>
    </row>
    <row r="213" spans="1:9" ht="16.5" thickTop="1" thickBot="1" x14ac:dyDescent="0.3">
      <c r="A213" s="2024" t="s">
        <v>763</v>
      </c>
      <c r="B213" s="2025"/>
      <c r="C213" s="2025"/>
      <c r="D213" s="2026"/>
      <c r="E213" s="2019">
        <f>SUM(E209:E212)</f>
        <v>0</v>
      </c>
      <c r="F213" s="2019">
        <f>SUM(F209:F212)</f>
        <v>3380</v>
      </c>
      <c r="G213" s="2019">
        <f>SUM(G209:G212)</f>
        <v>1236</v>
      </c>
      <c r="H213" s="2020">
        <f>G213/F213*100</f>
        <v>36.568047337278109</v>
      </c>
      <c r="I213" s="1994"/>
    </row>
    <row r="214" spans="1:9" ht="13.5" thickTop="1" x14ac:dyDescent="0.2"/>
    <row r="217" spans="1:9" ht="15" x14ac:dyDescent="0.25">
      <c r="A217" s="1979" t="s">
        <v>1736</v>
      </c>
      <c r="B217" s="1993"/>
      <c r="C217" s="1993"/>
      <c r="D217" s="1993"/>
      <c r="F217" s="1994"/>
      <c r="G217" s="1994"/>
      <c r="H217" s="1994"/>
      <c r="I217" s="1994"/>
    </row>
    <row r="218" spans="1:9" ht="15.75" thickBot="1" x14ac:dyDescent="0.3">
      <c r="A218" s="1979" t="s">
        <v>1276</v>
      </c>
      <c r="B218" s="1993"/>
      <c r="C218" s="1993"/>
      <c r="D218" s="1993"/>
      <c r="F218" s="1994"/>
      <c r="G218" s="1994"/>
      <c r="H218" s="1995" t="s">
        <v>161</v>
      </c>
      <c r="I218" s="1994"/>
    </row>
    <row r="219" spans="1:9" ht="25.5" thickTop="1" thickBot="1" x14ac:dyDescent="0.25">
      <c r="A219" s="1996" t="s">
        <v>162</v>
      </c>
      <c r="B219" s="1997" t="s">
        <v>761</v>
      </c>
      <c r="C219" s="1997" t="s">
        <v>377</v>
      </c>
      <c r="D219" s="1998" t="s">
        <v>164</v>
      </c>
      <c r="E219" s="1999" t="s">
        <v>632</v>
      </c>
      <c r="F219" s="1999" t="s">
        <v>633</v>
      </c>
      <c r="G219" s="2000" t="s">
        <v>882</v>
      </c>
      <c r="H219" s="2001" t="s">
        <v>883</v>
      </c>
      <c r="I219" s="1994"/>
    </row>
    <row r="220" spans="1:9" ht="14.25" thickTop="1" thickBot="1" x14ac:dyDescent="0.25">
      <c r="A220" s="2002">
        <v>1</v>
      </c>
      <c r="B220" s="2003">
        <v>2</v>
      </c>
      <c r="C220" s="2003">
        <v>3</v>
      </c>
      <c r="D220" s="2003">
        <v>5</v>
      </c>
      <c r="E220" s="2004">
        <v>6</v>
      </c>
      <c r="F220" s="2004">
        <v>7</v>
      </c>
      <c r="G220" s="2005">
        <v>8</v>
      </c>
      <c r="H220" s="2021" t="s">
        <v>762</v>
      </c>
      <c r="I220" s="1994"/>
    </row>
    <row r="221" spans="1:9" ht="30.75" thickTop="1" x14ac:dyDescent="0.2">
      <c r="A221" s="2012">
        <v>3299</v>
      </c>
      <c r="B221" s="2013">
        <v>5336</v>
      </c>
      <c r="C221" s="2013">
        <v>32133030</v>
      </c>
      <c r="D221" s="2014" t="s">
        <v>1263</v>
      </c>
      <c r="E221" s="2010">
        <v>0</v>
      </c>
      <c r="F221" s="2010">
        <v>315</v>
      </c>
      <c r="G221" s="2022">
        <v>205</v>
      </c>
      <c r="H221" s="2011">
        <f>G221/F221*100</f>
        <v>65.079365079365076</v>
      </c>
      <c r="I221" s="1994"/>
    </row>
    <row r="222" spans="1:9" ht="30.75" thickBot="1" x14ac:dyDescent="0.25">
      <c r="A222" s="2012">
        <v>3299</v>
      </c>
      <c r="B222" s="2013">
        <v>5336</v>
      </c>
      <c r="C222" s="2013">
        <v>32533030</v>
      </c>
      <c r="D222" s="2014" t="s">
        <v>1263</v>
      </c>
      <c r="E222" s="2015">
        <v>0</v>
      </c>
      <c r="F222" s="2015">
        <v>1786</v>
      </c>
      <c r="G222" s="2023">
        <v>1160</v>
      </c>
      <c r="H222" s="2016">
        <f>G222/F222*100</f>
        <v>64.949608062709956</v>
      </c>
      <c r="I222" s="1994"/>
    </row>
    <row r="223" spans="1:9" ht="30.75" hidden="1" thickBot="1" x14ac:dyDescent="0.25">
      <c r="A223" s="2012">
        <v>3299</v>
      </c>
      <c r="B223" s="2013">
        <v>6351</v>
      </c>
      <c r="C223" s="2013">
        <v>32133926</v>
      </c>
      <c r="D223" s="2014" t="s">
        <v>1277</v>
      </c>
      <c r="E223" s="2015">
        <v>0</v>
      </c>
      <c r="F223" s="2015"/>
      <c r="G223" s="2023"/>
      <c r="H223" s="2016" t="e">
        <f>G223/F223*100</f>
        <v>#DIV/0!</v>
      </c>
      <c r="I223" s="1994"/>
    </row>
    <row r="224" spans="1:9" ht="30.75" hidden="1" thickBot="1" x14ac:dyDescent="0.25">
      <c r="A224" s="2012">
        <v>3299</v>
      </c>
      <c r="B224" s="2013">
        <v>6351</v>
      </c>
      <c r="C224" s="2013">
        <v>32533926</v>
      </c>
      <c r="D224" s="2014" t="s">
        <v>1277</v>
      </c>
      <c r="E224" s="2015">
        <v>0</v>
      </c>
      <c r="F224" s="2015"/>
      <c r="G224" s="2023"/>
      <c r="H224" s="2016" t="e">
        <f>G224/F224*100</f>
        <v>#DIV/0!</v>
      </c>
      <c r="I224" s="1994"/>
    </row>
    <row r="225" spans="1:9" ht="16.5" thickTop="1" thickBot="1" x14ac:dyDescent="0.3">
      <c r="A225" s="2024" t="s">
        <v>763</v>
      </c>
      <c r="B225" s="2025"/>
      <c r="C225" s="2025"/>
      <c r="D225" s="2026"/>
      <c r="E225" s="2019">
        <f>SUM(E221:E224)</f>
        <v>0</v>
      </c>
      <c r="F225" s="2019">
        <f>SUM(F221:F224)</f>
        <v>2101</v>
      </c>
      <c r="G225" s="2019">
        <f>SUM(G221:G224)</f>
        <v>1365</v>
      </c>
      <c r="H225" s="2020">
        <f>G225/F225*100</f>
        <v>64.969062351261314</v>
      </c>
      <c r="I225" s="1994"/>
    </row>
    <row r="226" spans="1:9" ht="13.5" thickTop="1" x14ac:dyDescent="0.2"/>
    <row r="227" spans="1:9" ht="15" x14ac:dyDescent="0.25">
      <c r="A227" s="1979" t="s">
        <v>1737</v>
      </c>
      <c r="B227" s="1993"/>
      <c r="C227" s="1993"/>
      <c r="D227" s="1993"/>
      <c r="F227" s="1994"/>
      <c r="G227" s="1994"/>
      <c r="H227" s="1994"/>
      <c r="I227" s="1994"/>
    </row>
    <row r="228" spans="1:9" ht="15.75" thickBot="1" x14ac:dyDescent="0.3">
      <c r="A228" s="1979" t="s">
        <v>1738</v>
      </c>
      <c r="B228" s="1993"/>
      <c r="C228" s="1993"/>
      <c r="D228" s="1993"/>
      <c r="F228" s="1994"/>
      <c r="G228" s="1994"/>
      <c r="H228" s="1995" t="s">
        <v>161</v>
      </c>
      <c r="I228" s="1994"/>
    </row>
    <row r="229" spans="1:9" ht="25.5" thickTop="1" thickBot="1" x14ac:dyDescent="0.25">
      <c r="A229" s="1996" t="s">
        <v>162</v>
      </c>
      <c r="B229" s="1997" t="s">
        <v>761</v>
      </c>
      <c r="C229" s="1997" t="s">
        <v>377</v>
      </c>
      <c r="D229" s="1998" t="s">
        <v>164</v>
      </c>
      <c r="E229" s="1999" t="s">
        <v>632</v>
      </c>
      <c r="F229" s="1999" t="s">
        <v>633</v>
      </c>
      <c r="G229" s="2000" t="s">
        <v>882</v>
      </c>
      <c r="H229" s="2001" t="s">
        <v>883</v>
      </c>
      <c r="I229" s="1994"/>
    </row>
    <row r="230" spans="1:9" ht="14.25" thickTop="1" thickBot="1" x14ac:dyDescent="0.25">
      <c r="A230" s="2002">
        <v>1</v>
      </c>
      <c r="B230" s="2003">
        <v>2</v>
      </c>
      <c r="C230" s="2003">
        <v>3</v>
      </c>
      <c r="D230" s="2003">
        <v>5</v>
      </c>
      <c r="E230" s="2004">
        <v>6</v>
      </c>
      <c r="F230" s="2004">
        <v>7</v>
      </c>
      <c r="G230" s="2005">
        <v>8</v>
      </c>
      <c r="H230" s="2021" t="s">
        <v>762</v>
      </c>
      <c r="I230" s="1994"/>
    </row>
    <row r="231" spans="1:9" ht="30.75" thickTop="1" x14ac:dyDescent="0.2">
      <c r="A231" s="2012">
        <v>3299</v>
      </c>
      <c r="B231" s="2013">
        <v>5336</v>
      </c>
      <c r="C231" s="2013">
        <v>32133030</v>
      </c>
      <c r="D231" s="2014" t="s">
        <v>1263</v>
      </c>
      <c r="E231" s="2010">
        <v>0</v>
      </c>
      <c r="F231" s="2010">
        <v>161</v>
      </c>
      <c r="G231" s="2022">
        <v>144</v>
      </c>
      <c r="H231" s="2011">
        <f>G231/F231*100</f>
        <v>89.440993788819881</v>
      </c>
      <c r="I231" s="1994"/>
    </row>
    <row r="232" spans="1:9" ht="30.75" thickBot="1" x14ac:dyDescent="0.25">
      <c r="A232" s="2012">
        <v>3299</v>
      </c>
      <c r="B232" s="2013">
        <v>5336</v>
      </c>
      <c r="C232" s="2013">
        <v>32533030</v>
      </c>
      <c r="D232" s="2014" t="s">
        <v>1263</v>
      </c>
      <c r="E232" s="2015">
        <v>0</v>
      </c>
      <c r="F232" s="2015">
        <v>913</v>
      </c>
      <c r="G232" s="2023">
        <v>815</v>
      </c>
      <c r="H232" s="2016">
        <f>G232/F232*100</f>
        <v>89.266155531215773</v>
      </c>
      <c r="I232" s="1994"/>
    </row>
    <row r="233" spans="1:9" ht="30.75" hidden="1" thickBot="1" x14ac:dyDescent="0.25">
      <c r="A233" s="2012">
        <v>3299</v>
      </c>
      <c r="B233" s="2013">
        <v>6351</v>
      </c>
      <c r="C233" s="2013">
        <v>32133926</v>
      </c>
      <c r="D233" s="2014" t="s">
        <v>1277</v>
      </c>
      <c r="E233" s="2015">
        <v>0</v>
      </c>
      <c r="F233" s="2015"/>
      <c r="G233" s="2023"/>
      <c r="H233" s="2016" t="e">
        <f>G233/F233*100</f>
        <v>#DIV/0!</v>
      </c>
      <c r="I233" s="1994"/>
    </row>
    <row r="234" spans="1:9" ht="30.75" hidden="1" thickBot="1" x14ac:dyDescent="0.25">
      <c r="A234" s="2012">
        <v>3299</v>
      </c>
      <c r="B234" s="2013">
        <v>6351</v>
      </c>
      <c r="C234" s="2013">
        <v>32533926</v>
      </c>
      <c r="D234" s="2014" t="s">
        <v>1277</v>
      </c>
      <c r="E234" s="2015">
        <v>0</v>
      </c>
      <c r="F234" s="2015"/>
      <c r="G234" s="2023"/>
      <c r="H234" s="2016" t="e">
        <f>G234/F234*100</f>
        <v>#DIV/0!</v>
      </c>
      <c r="I234" s="1994"/>
    </row>
    <row r="235" spans="1:9" ht="16.5" thickTop="1" thickBot="1" x14ac:dyDescent="0.3">
      <c r="A235" s="2024" t="s">
        <v>763</v>
      </c>
      <c r="B235" s="2025"/>
      <c r="C235" s="2025"/>
      <c r="D235" s="2026"/>
      <c r="E235" s="2019">
        <f>SUM(E231:E234)</f>
        <v>0</v>
      </c>
      <c r="F235" s="2019">
        <f>SUM(F231:F234)</f>
        <v>1074</v>
      </c>
      <c r="G235" s="2019">
        <f>SUM(G231:G234)</f>
        <v>959</v>
      </c>
      <c r="H235" s="2020">
        <f>G235/F235*100</f>
        <v>89.292364990689009</v>
      </c>
      <c r="I235" s="1994"/>
    </row>
    <row r="236" spans="1:9" ht="13.5" thickTop="1" x14ac:dyDescent="0.2"/>
    <row r="237" spans="1:9" ht="15" hidden="1" x14ac:dyDescent="0.25">
      <c r="A237" s="1979" t="s">
        <v>561</v>
      </c>
      <c r="B237" s="1993"/>
      <c r="C237" s="1993"/>
      <c r="D237" s="1993"/>
      <c r="F237" s="1994"/>
      <c r="G237" s="1994"/>
      <c r="H237" s="1994"/>
      <c r="I237" s="1994"/>
    </row>
    <row r="238" spans="1:9" ht="15" hidden="1" x14ac:dyDescent="0.25">
      <c r="A238" s="1979" t="s">
        <v>562</v>
      </c>
      <c r="B238" s="1993"/>
      <c r="C238" s="1993"/>
      <c r="D238" s="1993"/>
      <c r="F238" s="1994"/>
      <c r="G238" s="1994"/>
      <c r="H238" s="1995" t="s">
        <v>161</v>
      </c>
      <c r="I238" s="1994"/>
    </row>
    <row r="239" spans="1:9" ht="25.5" hidden="1" thickTop="1" thickBot="1" x14ac:dyDescent="0.25">
      <c r="A239" s="1996" t="s">
        <v>162</v>
      </c>
      <c r="B239" s="1997" t="s">
        <v>761</v>
      </c>
      <c r="C239" s="1997" t="s">
        <v>377</v>
      </c>
      <c r="D239" s="1998" t="s">
        <v>164</v>
      </c>
      <c r="E239" s="1999" t="s">
        <v>632</v>
      </c>
      <c r="F239" s="1999" t="s">
        <v>633</v>
      </c>
      <c r="G239" s="2000" t="s">
        <v>882</v>
      </c>
      <c r="H239" s="2001" t="s">
        <v>883</v>
      </c>
      <c r="I239" s="1994"/>
    </row>
    <row r="240" spans="1:9" ht="14.25" hidden="1" thickTop="1" thickBot="1" x14ac:dyDescent="0.25">
      <c r="A240" s="2002">
        <v>1</v>
      </c>
      <c r="B240" s="2003">
        <v>2</v>
      </c>
      <c r="C240" s="2003">
        <v>3</v>
      </c>
      <c r="D240" s="2003">
        <v>5</v>
      </c>
      <c r="E240" s="2004">
        <v>6</v>
      </c>
      <c r="F240" s="2004">
        <v>7</v>
      </c>
      <c r="G240" s="2005">
        <v>8</v>
      </c>
      <c r="H240" s="2021" t="s">
        <v>762</v>
      </c>
      <c r="I240" s="1994"/>
    </row>
    <row r="241" spans="1:9" ht="30.75" hidden="1" thickTop="1" x14ac:dyDescent="0.2">
      <c r="A241" s="2012">
        <v>3299</v>
      </c>
      <c r="B241" s="2013">
        <v>5336</v>
      </c>
      <c r="C241" s="2013">
        <v>32133030</v>
      </c>
      <c r="D241" s="2014" t="s">
        <v>1263</v>
      </c>
      <c r="E241" s="2010">
        <v>0</v>
      </c>
      <c r="F241" s="2010"/>
      <c r="G241" s="2022"/>
      <c r="H241" s="2011" t="e">
        <f>G241/F241*100</f>
        <v>#DIV/0!</v>
      </c>
      <c r="I241" s="1994"/>
    </row>
    <row r="242" spans="1:9" ht="30" hidden="1" x14ac:dyDescent="0.2">
      <c r="A242" s="2012">
        <v>3299</v>
      </c>
      <c r="B242" s="2013">
        <v>5336</v>
      </c>
      <c r="C242" s="2013">
        <v>32533030</v>
      </c>
      <c r="D242" s="2014" t="s">
        <v>1263</v>
      </c>
      <c r="E242" s="2015">
        <v>0</v>
      </c>
      <c r="F242" s="2015"/>
      <c r="G242" s="2023"/>
      <c r="H242" s="2016" t="e">
        <f>G242/F242*100</f>
        <v>#DIV/0!</v>
      </c>
      <c r="I242" s="1994"/>
    </row>
    <row r="243" spans="1:9" ht="30" hidden="1" x14ac:dyDescent="0.2">
      <c r="A243" s="2012">
        <v>3299</v>
      </c>
      <c r="B243" s="2013">
        <v>6351</v>
      </c>
      <c r="C243" s="2013">
        <v>32133006</v>
      </c>
      <c r="D243" s="2014" t="s">
        <v>1277</v>
      </c>
      <c r="E243" s="2015">
        <v>0</v>
      </c>
      <c r="F243" s="2015">
        <v>0</v>
      </c>
      <c r="G243" s="2023">
        <v>0</v>
      </c>
      <c r="H243" s="2016" t="e">
        <f>G243/F243*100</f>
        <v>#DIV/0!</v>
      </c>
      <c r="I243" s="1994"/>
    </row>
    <row r="244" spans="1:9" ht="30" hidden="1" x14ac:dyDescent="0.2">
      <c r="A244" s="2012">
        <v>3299</v>
      </c>
      <c r="B244" s="2013">
        <v>6351</v>
      </c>
      <c r="C244" s="2013">
        <v>32533006</v>
      </c>
      <c r="D244" s="2014" t="s">
        <v>1277</v>
      </c>
      <c r="E244" s="2015">
        <v>0</v>
      </c>
      <c r="F244" s="2015">
        <v>0</v>
      </c>
      <c r="G244" s="2023">
        <v>0</v>
      </c>
      <c r="H244" s="2016" t="e">
        <f>G244/F244*100</f>
        <v>#DIV/0!</v>
      </c>
      <c r="I244" s="1994"/>
    </row>
    <row r="245" spans="1:9" ht="16.5" hidden="1" thickTop="1" thickBot="1" x14ac:dyDescent="0.3">
      <c r="A245" s="2024" t="s">
        <v>763</v>
      </c>
      <c r="B245" s="2025"/>
      <c r="C245" s="2025"/>
      <c r="D245" s="2026"/>
      <c r="E245" s="2019">
        <f>SUM(E241:E244)</f>
        <v>0</v>
      </c>
      <c r="F245" s="2019">
        <f>SUM(F241:F244)</f>
        <v>0</v>
      </c>
      <c r="G245" s="2019">
        <f>SUM(G241:G244)</f>
        <v>0</v>
      </c>
      <c r="H245" s="2020" t="e">
        <f>G245/F245*100</f>
        <v>#DIV/0!</v>
      </c>
      <c r="I245" s="1994"/>
    </row>
    <row r="247" spans="1:9" ht="15" hidden="1" x14ac:dyDescent="0.25">
      <c r="A247" s="1979" t="s">
        <v>1450</v>
      </c>
      <c r="B247" s="1993"/>
      <c r="C247" s="1993"/>
      <c r="D247" s="1993"/>
      <c r="F247" s="1994"/>
      <c r="G247" s="1994"/>
      <c r="H247" s="1994"/>
      <c r="I247" s="1994"/>
    </row>
    <row r="248" spans="1:9" ht="15" hidden="1" x14ac:dyDescent="0.25">
      <c r="A248" s="1979" t="s">
        <v>1556</v>
      </c>
      <c r="B248" s="1993"/>
      <c r="C248" s="1993"/>
      <c r="D248" s="1993"/>
      <c r="F248" s="1994"/>
      <c r="G248" s="1994"/>
      <c r="H248" s="1995" t="s">
        <v>161</v>
      </c>
      <c r="I248" s="1994"/>
    </row>
    <row r="249" spans="1:9" ht="25.5" hidden="1" thickTop="1" thickBot="1" x14ac:dyDescent="0.25">
      <c r="A249" s="1996" t="s">
        <v>162</v>
      </c>
      <c r="B249" s="1997" t="s">
        <v>761</v>
      </c>
      <c r="C249" s="1997" t="s">
        <v>377</v>
      </c>
      <c r="D249" s="1998" t="s">
        <v>164</v>
      </c>
      <c r="E249" s="1999" t="s">
        <v>632</v>
      </c>
      <c r="F249" s="1999" t="s">
        <v>633</v>
      </c>
      <c r="G249" s="2000" t="s">
        <v>882</v>
      </c>
      <c r="H249" s="2001" t="s">
        <v>883</v>
      </c>
      <c r="I249" s="1994"/>
    </row>
    <row r="250" spans="1:9" ht="14.25" hidden="1" thickTop="1" thickBot="1" x14ac:dyDescent="0.25">
      <c r="A250" s="2002">
        <v>1</v>
      </c>
      <c r="B250" s="2003">
        <v>2</v>
      </c>
      <c r="C250" s="2003">
        <v>3</v>
      </c>
      <c r="D250" s="2003">
        <v>5</v>
      </c>
      <c r="E250" s="2004">
        <v>6</v>
      </c>
      <c r="F250" s="2004">
        <v>7</v>
      </c>
      <c r="G250" s="2005">
        <v>8</v>
      </c>
      <c r="H250" s="2021" t="s">
        <v>762</v>
      </c>
      <c r="I250" s="1994"/>
    </row>
    <row r="251" spans="1:9" ht="30.75" hidden="1" thickTop="1" x14ac:dyDescent="0.2">
      <c r="A251" s="2012">
        <v>3299</v>
      </c>
      <c r="B251" s="2013">
        <v>5336</v>
      </c>
      <c r="C251" s="2013">
        <v>32133030</v>
      </c>
      <c r="D251" s="2014" t="s">
        <v>1263</v>
      </c>
      <c r="E251" s="2010">
        <v>0</v>
      </c>
      <c r="F251" s="2010"/>
      <c r="G251" s="2022"/>
      <c r="H251" s="2011" t="e">
        <f>G251/F251*100</f>
        <v>#DIV/0!</v>
      </c>
      <c r="I251" s="1994"/>
    </row>
    <row r="252" spans="1:9" ht="30" hidden="1" x14ac:dyDescent="0.2">
      <c r="A252" s="2012">
        <v>3299</v>
      </c>
      <c r="B252" s="2013">
        <v>5336</v>
      </c>
      <c r="C252" s="2013">
        <v>32533030</v>
      </c>
      <c r="D252" s="2014" t="s">
        <v>1263</v>
      </c>
      <c r="E252" s="2015">
        <v>0</v>
      </c>
      <c r="F252" s="2015"/>
      <c r="G252" s="2023"/>
      <c r="H252" s="2016" t="e">
        <f>G252/F252*100</f>
        <v>#DIV/0!</v>
      </c>
      <c r="I252" s="1994"/>
    </row>
    <row r="253" spans="1:9" ht="30" hidden="1" x14ac:dyDescent="0.2">
      <c r="A253" s="2012">
        <v>3299</v>
      </c>
      <c r="B253" s="2013">
        <v>6351</v>
      </c>
      <c r="C253" s="2013">
        <v>32133006</v>
      </c>
      <c r="D253" s="2014" t="s">
        <v>1277</v>
      </c>
      <c r="E253" s="2015">
        <v>0</v>
      </c>
      <c r="F253" s="2015">
        <v>0</v>
      </c>
      <c r="G253" s="2023">
        <v>0</v>
      </c>
      <c r="H253" s="2016" t="e">
        <f>G253/F253*100</f>
        <v>#DIV/0!</v>
      </c>
      <c r="I253" s="1994"/>
    </row>
    <row r="254" spans="1:9" ht="30" hidden="1" x14ac:dyDescent="0.2">
      <c r="A254" s="2012">
        <v>3299</v>
      </c>
      <c r="B254" s="2013">
        <v>6351</v>
      </c>
      <c r="C254" s="2013">
        <v>32533006</v>
      </c>
      <c r="D254" s="2014" t="s">
        <v>1277</v>
      </c>
      <c r="E254" s="2015">
        <v>0</v>
      </c>
      <c r="F254" s="2015">
        <v>0</v>
      </c>
      <c r="G254" s="2023">
        <v>0</v>
      </c>
      <c r="H254" s="2016" t="e">
        <f>G254/F254*100</f>
        <v>#DIV/0!</v>
      </c>
      <c r="I254" s="1994"/>
    </row>
    <row r="255" spans="1:9" ht="16.5" hidden="1" thickTop="1" thickBot="1" x14ac:dyDescent="0.3">
      <c r="A255" s="2024" t="s">
        <v>763</v>
      </c>
      <c r="B255" s="2025"/>
      <c r="C255" s="2025"/>
      <c r="D255" s="2026"/>
      <c r="E255" s="2019">
        <f>SUM(E251:E254)</f>
        <v>0</v>
      </c>
      <c r="F255" s="2019">
        <f>SUM(F251:F254)</f>
        <v>0</v>
      </c>
      <c r="G255" s="2019">
        <f>SUM(G251:G254)</f>
        <v>0</v>
      </c>
      <c r="H255" s="2020" t="e">
        <f>G255/F255*100</f>
        <v>#DIV/0!</v>
      </c>
      <c r="I255" s="1994"/>
    </row>
    <row r="257" spans="1:9" ht="15" x14ac:dyDescent="0.25">
      <c r="A257" s="1979" t="s">
        <v>1557</v>
      </c>
      <c r="B257" s="1993"/>
      <c r="C257" s="1993"/>
      <c r="D257" s="1993"/>
      <c r="F257" s="1994"/>
      <c r="G257" s="1994"/>
      <c r="H257" s="1994"/>
      <c r="I257" s="1994"/>
    </row>
    <row r="258" spans="1:9" ht="15.75" thickBot="1" x14ac:dyDescent="0.3">
      <c r="A258" s="1979" t="s">
        <v>565</v>
      </c>
      <c r="B258" s="1993"/>
      <c r="C258" s="1993"/>
      <c r="D258" s="1993"/>
      <c r="F258" s="1994"/>
      <c r="G258" s="1994"/>
      <c r="H258" s="1995" t="s">
        <v>161</v>
      </c>
      <c r="I258" s="1994"/>
    </row>
    <row r="259" spans="1:9" ht="25.5" thickTop="1" thickBot="1" x14ac:dyDescent="0.25">
      <c r="A259" s="1996" t="s">
        <v>162</v>
      </c>
      <c r="B259" s="1997" t="s">
        <v>761</v>
      </c>
      <c r="C259" s="1997" t="s">
        <v>377</v>
      </c>
      <c r="D259" s="1998" t="s">
        <v>164</v>
      </c>
      <c r="E259" s="1999" t="s">
        <v>632</v>
      </c>
      <c r="F259" s="1999" t="s">
        <v>633</v>
      </c>
      <c r="G259" s="2000" t="s">
        <v>882</v>
      </c>
      <c r="H259" s="2001" t="s">
        <v>883</v>
      </c>
      <c r="I259" s="1994"/>
    </row>
    <row r="260" spans="1:9" ht="14.25" thickTop="1" thickBot="1" x14ac:dyDescent="0.25">
      <c r="A260" s="2002">
        <v>1</v>
      </c>
      <c r="B260" s="2003">
        <v>2</v>
      </c>
      <c r="C260" s="2003">
        <v>3</v>
      </c>
      <c r="D260" s="2003">
        <v>5</v>
      </c>
      <c r="E260" s="2004">
        <v>6</v>
      </c>
      <c r="F260" s="2004">
        <v>7</v>
      </c>
      <c r="G260" s="2005">
        <v>8</v>
      </c>
      <c r="H260" s="2021" t="s">
        <v>762</v>
      </c>
      <c r="I260" s="1994"/>
    </row>
    <row r="261" spans="1:9" ht="30.75" thickTop="1" x14ac:dyDescent="0.2">
      <c r="A261" s="2012">
        <v>3299</v>
      </c>
      <c r="B261" s="2013">
        <v>5336</v>
      </c>
      <c r="C261" s="2013">
        <v>32133030</v>
      </c>
      <c r="D261" s="2014" t="s">
        <v>1263</v>
      </c>
      <c r="E261" s="2010">
        <v>0</v>
      </c>
      <c r="F261" s="2010">
        <v>242</v>
      </c>
      <c r="G261" s="2022">
        <v>226</v>
      </c>
      <c r="H261" s="2011">
        <f>G261/F261*100</f>
        <v>93.388429752066116</v>
      </c>
      <c r="I261" s="1994"/>
    </row>
    <row r="262" spans="1:9" ht="30" x14ac:dyDescent="0.2">
      <c r="A262" s="2012">
        <v>3299</v>
      </c>
      <c r="B262" s="2013">
        <v>5336</v>
      </c>
      <c r="C262" s="2013">
        <v>32533030</v>
      </c>
      <c r="D262" s="2014" t="s">
        <v>1263</v>
      </c>
      <c r="E262" s="2015">
        <v>0</v>
      </c>
      <c r="F262" s="2015">
        <v>1373</v>
      </c>
      <c r="G262" s="2023">
        <v>1282</v>
      </c>
      <c r="H262" s="2016">
        <f>G262/F262*100</f>
        <v>93.372177713037146</v>
      </c>
      <c r="I262" s="1994"/>
    </row>
    <row r="263" spans="1:9" ht="30" x14ac:dyDescent="0.2">
      <c r="A263" s="2012">
        <v>3299</v>
      </c>
      <c r="B263" s="2013">
        <v>6351</v>
      </c>
      <c r="C263" s="2013">
        <v>32133926</v>
      </c>
      <c r="D263" s="2014" t="s">
        <v>1277</v>
      </c>
      <c r="E263" s="2015">
        <v>0</v>
      </c>
      <c r="F263" s="2015">
        <v>34</v>
      </c>
      <c r="G263" s="2023">
        <v>17</v>
      </c>
      <c r="H263" s="2016">
        <f>G263/F263*100</f>
        <v>50</v>
      </c>
      <c r="I263" s="1994"/>
    </row>
    <row r="264" spans="1:9" ht="30.75" thickBot="1" x14ac:dyDescent="0.25">
      <c r="A264" s="2012">
        <v>3299</v>
      </c>
      <c r="B264" s="2013">
        <v>6351</v>
      </c>
      <c r="C264" s="2013">
        <v>32533926</v>
      </c>
      <c r="D264" s="2014" t="s">
        <v>1277</v>
      </c>
      <c r="E264" s="2015">
        <v>0</v>
      </c>
      <c r="F264" s="2015">
        <v>196</v>
      </c>
      <c r="G264" s="2023">
        <v>98</v>
      </c>
      <c r="H264" s="2016">
        <f>G264/F264*100</f>
        <v>50</v>
      </c>
      <c r="I264" s="1994"/>
    </row>
    <row r="265" spans="1:9" ht="16.5" thickTop="1" thickBot="1" x14ac:dyDescent="0.3">
      <c r="A265" s="2024" t="s">
        <v>763</v>
      </c>
      <c r="B265" s="2025"/>
      <c r="C265" s="2025"/>
      <c r="D265" s="2026"/>
      <c r="E265" s="2019">
        <f>SUM(E261:E264)</f>
        <v>0</v>
      </c>
      <c r="F265" s="2019">
        <f>SUM(F261:F264)</f>
        <v>1845</v>
      </c>
      <c r="G265" s="2019">
        <f>SUM(G261:G264)</f>
        <v>1623</v>
      </c>
      <c r="H265" s="2020">
        <f>G265/F265*100</f>
        <v>87.967479674796749</v>
      </c>
      <c r="I265" s="1994"/>
    </row>
    <row r="266" spans="1:9" ht="13.5" thickTop="1" x14ac:dyDescent="0.2"/>
    <row r="267" spans="1:9" ht="15" x14ac:dyDescent="0.25">
      <c r="A267" s="1979" t="s">
        <v>1791</v>
      </c>
      <c r="B267" s="1993"/>
      <c r="C267" s="1993"/>
      <c r="D267" s="1993"/>
      <c r="F267" s="1994"/>
      <c r="G267" s="1994"/>
      <c r="H267" s="1994"/>
      <c r="I267" s="1994"/>
    </row>
    <row r="268" spans="1:9" ht="15.75" thickBot="1" x14ac:dyDescent="0.3">
      <c r="A268" s="1979" t="s">
        <v>1792</v>
      </c>
      <c r="B268" s="1993"/>
      <c r="C268" s="1993"/>
      <c r="D268" s="1993"/>
      <c r="F268" s="1994"/>
      <c r="G268" s="1994"/>
      <c r="H268" s="1995" t="s">
        <v>161</v>
      </c>
      <c r="I268" s="1994"/>
    </row>
    <row r="269" spans="1:9" ht="25.5" thickTop="1" thickBot="1" x14ac:dyDescent="0.25">
      <c r="A269" s="1996" t="s">
        <v>162</v>
      </c>
      <c r="B269" s="1997" t="s">
        <v>761</v>
      </c>
      <c r="C269" s="1997" t="s">
        <v>377</v>
      </c>
      <c r="D269" s="1998" t="s">
        <v>164</v>
      </c>
      <c r="E269" s="1999" t="s">
        <v>632</v>
      </c>
      <c r="F269" s="1999" t="s">
        <v>633</v>
      </c>
      <c r="G269" s="2000" t="s">
        <v>882</v>
      </c>
      <c r="H269" s="2001" t="s">
        <v>883</v>
      </c>
      <c r="I269" s="1994"/>
    </row>
    <row r="270" spans="1:9" ht="14.25" thickTop="1" thickBot="1" x14ac:dyDescent="0.25">
      <c r="A270" s="2002">
        <v>1</v>
      </c>
      <c r="B270" s="2003">
        <v>2</v>
      </c>
      <c r="C270" s="2003">
        <v>3</v>
      </c>
      <c r="D270" s="2003">
        <v>5</v>
      </c>
      <c r="E270" s="2004">
        <v>6</v>
      </c>
      <c r="F270" s="2004">
        <v>7</v>
      </c>
      <c r="G270" s="2005">
        <v>8</v>
      </c>
      <c r="H270" s="2021" t="s">
        <v>762</v>
      </c>
      <c r="I270" s="1994"/>
    </row>
    <row r="271" spans="1:9" ht="30.75" thickTop="1" x14ac:dyDescent="0.2">
      <c r="A271" s="2012">
        <v>3299</v>
      </c>
      <c r="B271" s="2013">
        <v>5336</v>
      </c>
      <c r="C271" s="2013">
        <v>32133030</v>
      </c>
      <c r="D271" s="2014" t="s">
        <v>1263</v>
      </c>
      <c r="E271" s="2010">
        <v>0</v>
      </c>
      <c r="F271" s="2010">
        <v>248</v>
      </c>
      <c r="G271" s="2022">
        <v>134</v>
      </c>
      <c r="H271" s="2011">
        <f>G271/F271*100</f>
        <v>54.032258064516128</v>
      </c>
      <c r="I271" s="1994"/>
    </row>
    <row r="272" spans="1:9" ht="30.75" thickBot="1" x14ac:dyDescent="0.25">
      <c r="A272" s="2012">
        <v>3299</v>
      </c>
      <c r="B272" s="2013">
        <v>5336</v>
      </c>
      <c r="C272" s="2013">
        <v>32533030</v>
      </c>
      <c r="D272" s="2014" t="s">
        <v>1263</v>
      </c>
      <c r="E272" s="2015">
        <v>0</v>
      </c>
      <c r="F272" s="2015">
        <v>1402</v>
      </c>
      <c r="G272" s="2023">
        <v>760</v>
      </c>
      <c r="H272" s="2016">
        <f>G272/F272*100</f>
        <v>54.208273894436523</v>
      </c>
      <c r="I272" s="1994"/>
    </row>
    <row r="273" spans="1:9" ht="30.75" hidden="1" thickBot="1" x14ac:dyDescent="0.25">
      <c r="A273" s="2012">
        <v>3299</v>
      </c>
      <c r="B273" s="2013">
        <v>6351</v>
      </c>
      <c r="C273" s="2013">
        <v>32133006</v>
      </c>
      <c r="D273" s="2014" t="s">
        <v>1277</v>
      </c>
      <c r="E273" s="2015">
        <v>0</v>
      </c>
      <c r="F273" s="2015">
        <v>0</v>
      </c>
      <c r="G273" s="2023">
        <v>0</v>
      </c>
      <c r="H273" s="2016" t="e">
        <f>G273/F273*100</f>
        <v>#DIV/0!</v>
      </c>
      <c r="I273" s="1994"/>
    </row>
    <row r="274" spans="1:9" ht="30.75" hidden="1" thickBot="1" x14ac:dyDescent="0.25">
      <c r="A274" s="2012">
        <v>3299</v>
      </c>
      <c r="B274" s="2013">
        <v>6351</v>
      </c>
      <c r="C274" s="2013">
        <v>32533006</v>
      </c>
      <c r="D274" s="2014" t="s">
        <v>1277</v>
      </c>
      <c r="E274" s="2015">
        <v>0</v>
      </c>
      <c r="F274" s="2015">
        <v>0</v>
      </c>
      <c r="G274" s="2023">
        <v>0</v>
      </c>
      <c r="H274" s="2016" t="e">
        <f>G274/F274*100</f>
        <v>#DIV/0!</v>
      </c>
      <c r="I274" s="1994"/>
    </row>
    <row r="275" spans="1:9" ht="16.5" thickTop="1" thickBot="1" x14ac:dyDescent="0.3">
      <c r="A275" s="2024" t="s">
        <v>763</v>
      </c>
      <c r="B275" s="2025"/>
      <c r="C275" s="2025"/>
      <c r="D275" s="2026"/>
      <c r="E275" s="2019">
        <f>SUM(E271:E274)</f>
        <v>0</v>
      </c>
      <c r="F275" s="2019">
        <f>SUM(F271:F274)</f>
        <v>1650</v>
      </c>
      <c r="G275" s="2019">
        <f>SUM(G271:G274)</f>
        <v>894</v>
      </c>
      <c r="H275" s="2020">
        <f>G275/F275*100</f>
        <v>54.181818181818187</v>
      </c>
      <c r="I275" s="1994"/>
    </row>
    <row r="276" spans="1:9" ht="13.5" thickTop="1" x14ac:dyDescent="0.2"/>
    <row r="277" spans="1:9" ht="15" x14ac:dyDescent="0.25">
      <c r="A277" s="1979" t="s">
        <v>322</v>
      </c>
      <c r="B277" s="1993"/>
      <c r="C277" s="1993"/>
      <c r="D277" s="1993"/>
      <c r="F277" s="1994"/>
      <c r="G277" s="1994"/>
      <c r="H277" s="1994"/>
      <c r="I277" s="1994"/>
    </row>
    <row r="278" spans="1:9" ht="15.75" thickBot="1" x14ac:dyDescent="0.3">
      <c r="A278" s="1979" t="s">
        <v>1739</v>
      </c>
      <c r="B278" s="1993"/>
      <c r="C278" s="1993"/>
      <c r="D278" s="1993"/>
      <c r="F278" s="1994"/>
      <c r="G278" s="1994"/>
      <c r="H278" s="1995" t="s">
        <v>161</v>
      </c>
      <c r="I278" s="1994"/>
    </row>
    <row r="279" spans="1:9" ht="25.5" thickTop="1" thickBot="1" x14ac:dyDescent="0.25">
      <c r="A279" s="1996" t="s">
        <v>162</v>
      </c>
      <c r="B279" s="1997" t="s">
        <v>761</v>
      </c>
      <c r="C279" s="1997" t="s">
        <v>377</v>
      </c>
      <c r="D279" s="1998" t="s">
        <v>164</v>
      </c>
      <c r="E279" s="1999" t="s">
        <v>632</v>
      </c>
      <c r="F279" s="1999" t="s">
        <v>633</v>
      </c>
      <c r="G279" s="2000" t="s">
        <v>882</v>
      </c>
      <c r="H279" s="2001" t="s">
        <v>883</v>
      </c>
      <c r="I279" s="1994"/>
    </row>
    <row r="280" spans="1:9" ht="14.25" thickTop="1" thickBot="1" x14ac:dyDescent="0.25">
      <c r="A280" s="2002">
        <v>1</v>
      </c>
      <c r="B280" s="2003">
        <v>2</v>
      </c>
      <c r="C280" s="2003">
        <v>3</v>
      </c>
      <c r="D280" s="2003">
        <v>5</v>
      </c>
      <c r="E280" s="2004">
        <v>6</v>
      </c>
      <c r="F280" s="2004">
        <v>7</v>
      </c>
      <c r="G280" s="2005">
        <v>8</v>
      </c>
      <c r="H280" s="2021" t="s">
        <v>762</v>
      </c>
      <c r="I280" s="1994"/>
    </row>
    <row r="281" spans="1:9" ht="30.75" thickTop="1" x14ac:dyDescent="0.2">
      <c r="A281" s="2012">
        <v>3299</v>
      </c>
      <c r="B281" s="2013">
        <v>5336</v>
      </c>
      <c r="C281" s="2013">
        <v>32133030</v>
      </c>
      <c r="D281" s="2014" t="s">
        <v>1263</v>
      </c>
      <c r="E281" s="2010">
        <v>0</v>
      </c>
      <c r="F281" s="2010">
        <v>288</v>
      </c>
      <c r="G281" s="2022">
        <v>287</v>
      </c>
      <c r="H281" s="2011">
        <f>G281/F281*100</f>
        <v>99.652777777777786</v>
      </c>
      <c r="I281" s="1994"/>
    </row>
    <row r="282" spans="1:9" ht="30.75" thickBot="1" x14ac:dyDescent="0.25">
      <c r="A282" s="2012">
        <v>3299</v>
      </c>
      <c r="B282" s="2013">
        <v>5336</v>
      </c>
      <c r="C282" s="2013">
        <v>32533030</v>
      </c>
      <c r="D282" s="2014" t="s">
        <v>1263</v>
      </c>
      <c r="E282" s="2015">
        <v>0</v>
      </c>
      <c r="F282" s="2015">
        <v>1633</v>
      </c>
      <c r="G282" s="2023">
        <v>1625</v>
      </c>
      <c r="H282" s="2016">
        <f>G282/F282*100</f>
        <v>99.510104102878145</v>
      </c>
      <c r="I282" s="1994"/>
    </row>
    <row r="283" spans="1:9" ht="30.75" hidden="1" thickBot="1" x14ac:dyDescent="0.25">
      <c r="A283" s="2012">
        <v>3299</v>
      </c>
      <c r="B283" s="2013">
        <v>6351</v>
      </c>
      <c r="C283" s="2013">
        <v>32133006</v>
      </c>
      <c r="D283" s="2014" t="s">
        <v>1277</v>
      </c>
      <c r="E283" s="2015">
        <v>0</v>
      </c>
      <c r="F283" s="2015">
        <v>0</v>
      </c>
      <c r="G283" s="2023">
        <v>0</v>
      </c>
      <c r="H283" s="2016" t="e">
        <f>G283/F283*100</f>
        <v>#DIV/0!</v>
      </c>
      <c r="I283" s="1994"/>
    </row>
    <row r="284" spans="1:9" ht="30.75" hidden="1" thickBot="1" x14ac:dyDescent="0.25">
      <c r="A284" s="2012">
        <v>3299</v>
      </c>
      <c r="B284" s="2013">
        <v>6351</v>
      </c>
      <c r="C284" s="2013">
        <v>32533006</v>
      </c>
      <c r="D284" s="2014" t="s">
        <v>1277</v>
      </c>
      <c r="E284" s="2015">
        <v>0</v>
      </c>
      <c r="F284" s="2015">
        <v>0</v>
      </c>
      <c r="G284" s="2023">
        <v>0</v>
      </c>
      <c r="H284" s="2016" t="e">
        <f>G284/F284*100</f>
        <v>#DIV/0!</v>
      </c>
      <c r="I284" s="1994"/>
    </row>
    <row r="285" spans="1:9" ht="16.5" thickTop="1" thickBot="1" x14ac:dyDescent="0.3">
      <c r="A285" s="2024" t="s">
        <v>763</v>
      </c>
      <c r="B285" s="2025"/>
      <c r="C285" s="2025"/>
      <c r="D285" s="2026"/>
      <c r="E285" s="2019">
        <f>SUM(E281:E284)</f>
        <v>0</v>
      </c>
      <c r="F285" s="2019">
        <f>SUM(F281:F284)</f>
        <v>1921</v>
      </c>
      <c r="G285" s="2019">
        <f>SUM(G281:G284)</f>
        <v>1912</v>
      </c>
      <c r="H285" s="2020">
        <f>G285/F285*100</f>
        <v>99.531494013534612</v>
      </c>
      <c r="I285" s="1994"/>
    </row>
    <row r="286" spans="1:9" ht="13.5" thickTop="1" x14ac:dyDescent="0.2"/>
    <row r="287" spans="1:9" ht="15" x14ac:dyDescent="0.25">
      <c r="A287" s="1979" t="s">
        <v>1740</v>
      </c>
      <c r="B287" s="1993"/>
      <c r="C287" s="1993"/>
      <c r="D287" s="1993"/>
      <c r="F287" s="1994"/>
      <c r="G287" s="1994"/>
      <c r="H287" s="1994"/>
      <c r="I287" s="1994"/>
    </row>
    <row r="288" spans="1:9" ht="15.75" thickBot="1" x14ac:dyDescent="0.3">
      <c r="A288" s="1979" t="s">
        <v>1741</v>
      </c>
      <c r="B288" s="1993"/>
      <c r="C288" s="1993"/>
      <c r="D288" s="1993"/>
      <c r="F288" s="1994"/>
      <c r="G288" s="1994"/>
      <c r="H288" s="1995" t="s">
        <v>161</v>
      </c>
      <c r="I288" s="1994"/>
    </row>
    <row r="289" spans="1:9" ht="25.5" thickTop="1" thickBot="1" x14ac:dyDescent="0.25">
      <c r="A289" s="1996" t="s">
        <v>162</v>
      </c>
      <c r="B289" s="1997" t="s">
        <v>761</v>
      </c>
      <c r="C289" s="1997" t="s">
        <v>377</v>
      </c>
      <c r="D289" s="1998" t="s">
        <v>164</v>
      </c>
      <c r="E289" s="1999" t="s">
        <v>632</v>
      </c>
      <c r="F289" s="1999" t="s">
        <v>633</v>
      </c>
      <c r="G289" s="2000" t="s">
        <v>882</v>
      </c>
      <c r="H289" s="2001" t="s">
        <v>883</v>
      </c>
      <c r="I289" s="1994"/>
    </row>
    <row r="290" spans="1:9" ht="14.25" thickTop="1" thickBot="1" x14ac:dyDescent="0.25">
      <c r="A290" s="2002">
        <v>1</v>
      </c>
      <c r="B290" s="2003">
        <v>2</v>
      </c>
      <c r="C290" s="2003">
        <v>3</v>
      </c>
      <c r="D290" s="2003">
        <v>5</v>
      </c>
      <c r="E290" s="2004">
        <v>6</v>
      </c>
      <c r="F290" s="2004">
        <v>7</v>
      </c>
      <c r="G290" s="2005">
        <v>8</v>
      </c>
      <c r="H290" s="2021" t="s">
        <v>762</v>
      </c>
      <c r="I290" s="1994"/>
    </row>
    <row r="291" spans="1:9" ht="30.75" thickTop="1" x14ac:dyDescent="0.2">
      <c r="A291" s="2012">
        <v>3299</v>
      </c>
      <c r="B291" s="2013">
        <v>5336</v>
      </c>
      <c r="C291" s="2013">
        <v>32133030</v>
      </c>
      <c r="D291" s="2014" t="s">
        <v>1263</v>
      </c>
      <c r="E291" s="2010">
        <v>0</v>
      </c>
      <c r="F291" s="2010">
        <v>111</v>
      </c>
      <c r="G291" s="2022">
        <v>96</v>
      </c>
      <c r="H291" s="2011">
        <f>G291/F291*100</f>
        <v>86.486486486486484</v>
      </c>
      <c r="I291" s="1994"/>
    </row>
    <row r="292" spans="1:9" ht="30.75" thickBot="1" x14ac:dyDescent="0.25">
      <c r="A292" s="2012">
        <v>3299</v>
      </c>
      <c r="B292" s="2013">
        <v>5336</v>
      </c>
      <c r="C292" s="2013">
        <v>32533030</v>
      </c>
      <c r="D292" s="2014" t="s">
        <v>1263</v>
      </c>
      <c r="E292" s="2015">
        <v>0</v>
      </c>
      <c r="F292" s="2015">
        <v>631</v>
      </c>
      <c r="G292" s="2023">
        <v>543</v>
      </c>
      <c r="H292" s="2016">
        <f>G292/F292*100</f>
        <v>86.053882725832011</v>
      </c>
      <c r="I292" s="1994"/>
    </row>
    <row r="293" spans="1:9" ht="30.75" hidden="1" thickBot="1" x14ac:dyDescent="0.25">
      <c r="A293" s="2012">
        <v>3299</v>
      </c>
      <c r="B293" s="2013">
        <v>6351</v>
      </c>
      <c r="C293" s="2013">
        <v>32133006</v>
      </c>
      <c r="D293" s="2014" t="s">
        <v>1277</v>
      </c>
      <c r="E293" s="2015">
        <v>0</v>
      </c>
      <c r="F293" s="2015">
        <v>0</v>
      </c>
      <c r="G293" s="2023">
        <v>0</v>
      </c>
      <c r="H293" s="2016" t="e">
        <f>G293/F293*100</f>
        <v>#DIV/0!</v>
      </c>
      <c r="I293" s="1994"/>
    </row>
    <row r="294" spans="1:9" ht="30.75" hidden="1" thickBot="1" x14ac:dyDescent="0.25">
      <c r="A294" s="2012">
        <v>3299</v>
      </c>
      <c r="B294" s="2013">
        <v>6351</v>
      </c>
      <c r="C294" s="2013">
        <v>32533006</v>
      </c>
      <c r="D294" s="2014" t="s">
        <v>1277</v>
      </c>
      <c r="E294" s="2015">
        <v>0</v>
      </c>
      <c r="F294" s="2015">
        <v>0</v>
      </c>
      <c r="G294" s="2023">
        <v>0</v>
      </c>
      <c r="H294" s="2016" t="e">
        <f>G294/F294*100</f>
        <v>#DIV/0!</v>
      </c>
      <c r="I294" s="1994"/>
    </row>
    <row r="295" spans="1:9" ht="16.5" thickTop="1" thickBot="1" x14ac:dyDescent="0.3">
      <c r="A295" s="2024" t="s">
        <v>763</v>
      </c>
      <c r="B295" s="2025"/>
      <c r="C295" s="2025"/>
      <c r="D295" s="2026"/>
      <c r="E295" s="2019">
        <f>SUM(E291:E294)</f>
        <v>0</v>
      </c>
      <c r="F295" s="2019">
        <f>SUM(F291:F294)</f>
        <v>742</v>
      </c>
      <c r="G295" s="2019">
        <f>SUM(G291:G294)</f>
        <v>639</v>
      </c>
      <c r="H295" s="2020">
        <f>G295/F295*100</f>
        <v>86.118598382749326</v>
      </c>
      <c r="I295" s="1994"/>
    </row>
    <row r="296" spans="1:9" ht="13.5" thickTop="1" x14ac:dyDescent="0.2"/>
    <row r="297" spans="1:9" ht="15" hidden="1" x14ac:dyDescent="0.25">
      <c r="A297" s="1979" t="s">
        <v>996</v>
      </c>
      <c r="B297" s="1993"/>
      <c r="C297" s="1993"/>
      <c r="D297" s="1993"/>
      <c r="F297" s="1994"/>
      <c r="G297" s="1994"/>
      <c r="H297" s="1994"/>
      <c r="I297" s="1994"/>
    </row>
    <row r="298" spans="1:9" ht="15" hidden="1" x14ac:dyDescent="0.25">
      <c r="A298" s="1979" t="s">
        <v>997</v>
      </c>
      <c r="B298" s="1993"/>
      <c r="C298" s="1993"/>
      <c r="D298" s="1993"/>
      <c r="F298" s="1994"/>
      <c r="G298" s="1994"/>
      <c r="H298" s="1995" t="s">
        <v>161</v>
      </c>
      <c r="I298" s="1994"/>
    </row>
    <row r="299" spans="1:9" ht="25.5" hidden="1" thickTop="1" thickBot="1" x14ac:dyDescent="0.25">
      <c r="A299" s="1996" t="s">
        <v>162</v>
      </c>
      <c r="B299" s="1997" t="s">
        <v>761</v>
      </c>
      <c r="C299" s="1997" t="s">
        <v>377</v>
      </c>
      <c r="D299" s="1998" t="s">
        <v>164</v>
      </c>
      <c r="E299" s="1999" t="s">
        <v>632</v>
      </c>
      <c r="F299" s="1999" t="s">
        <v>633</v>
      </c>
      <c r="G299" s="2000" t="s">
        <v>882</v>
      </c>
      <c r="H299" s="2001" t="s">
        <v>883</v>
      </c>
      <c r="I299" s="1994"/>
    </row>
    <row r="300" spans="1:9" ht="14.25" hidden="1" thickTop="1" thickBot="1" x14ac:dyDescent="0.25">
      <c r="A300" s="2002">
        <v>1</v>
      </c>
      <c r="B300" s="2003">
        <v>2</v>
      </c>
      <c r="C300" s="2003">
        <v>3</v>
      </c>
      <c r="D300" s="2003">
        <v>5</v>
      </c>
      <c r="E300" s="2004">
        <v>6</v>
      </c>
      <c r="F300" s="2004">
        <v>7</v>
      </c>
      <c r="G300" s="2005">
        <v>8</v>
      </c>
      <c r="H300" s="2021" t="s">
        <v>762</v>
      </c>
      <c r="I300" s="1994"/>
    </row>
    <row r="301" spans="1:9" ht="30.75" hidden="1" thickTop="1" x14ac:dyDescent="0.2">
      <c r="A301" s="2012">
        <v>3299</v>
      </c>
      <c r="B301" s="2013">
        <v>5336</v>
      </c>
      <c r="C301" s="2013">
        <v>32133030</v>
      </c>
      <c r="D301" s="2014" t="s">
        <v>1263</v>
      </c>
      <c r="E301" s="2010">
        <v>0</v>
      </c>
      <c r="F301" s="2010"/>
      <c r="G301" s="2022"/>
      <c r="H301" s="2011" t="e">
        <f>G301/F301*100</f>
        <v>#DIV/0!</v>
      </c>
      <c r="I301" s="1994"/>
    </row>
    <row r="302" spans="1:9" ht="30" hidden="1" x14ac:dyDescent="0.2">
      <c r="A302" s="2012">
        <v>3299</v>
      </c>
      <c r="B302" s="2013">
        <v>5336</v>
      </c>
      <c r="C302" s="2013">
        <v>32533030</v>
      </c>
      <c r="D302" s="2014" t="s">
        <v>1263</v>
      </c>
      <c r="E302" s="2015">
        <v>0</v>
      </c>
      <c r="F302" s="2015"/>
      <c r="G302" s="2023"/>
      <c r="H302" s="2016" t="e">
        <f>G302/F302*100</f>
        <v>#DIV/0!</v>
      </c>
      <c r="I302" s="1994"/>
    </row>
    <row r="303" spans="1:9" ht="30" hidden="1" x14ac:dyDescent="0.2">
      <c r="A303" s="2012">
        <v>3299</v>
      </c>
      <c r="B303" s="2013">
        <v>6351</v>
      </c>
      <c r="C303" s="2013">
        <v>32133006</v>
      </c>
      <c r="D303" s="2014" t="s">
        <v>1277</v>
      </c>
      <c r="E303" s="2015">
        <v>0</v>
      </c>
      <c r="F303" s="2015">
        <v>0</v>
      </c>
      <c r="G303" s="2023">
        <v>0</v>
      </c>
      <c r="H303" s="2016" t="e">
        <f>G303/F303*100</f>
        <v>#DIV/0!</v>
      </c>
      <c r="I303" s="1994"/>
    </row>
    <row r="304" spans="1:9" ht="30" hidden="1" x14ac:dyDescent="0.2">
      <c r="A304" s="2012">
        <v>3299</v>
      </c>
      <c r="B304" s="2013">
        <v>6351</v>
      </c>
      <c r="C304" s="2013">
        <v>32533006</v>
      </c>
      <c r="D304" s="2014" t="s">
        <v>1277</v>
      </c>
      <c r="E304" s="2015">
        <v>0</v>
      </c>
      <c r="F304" s="2015">
        <v>0</v>
      </c>
      <c r="G304" s="2023">
        <v>0</v>
      </c>
      <c r="H304" s="2016" t="e">
        <f>G304/F304*100</f>
        <v>#DIV/0!</v>
      </c>
      <c r="I304" s="1994"/>
    </row>
    <row r="305" spans="1:9" ht="16.5" hidden="1" thickTop="1" thickBot="1" x14ac:dyDescent="0.3">
      <c r="A305" s="2024" t="s">
        <v>763</v>
      </c>
      <c r="B305" s="2025"/>
      <c r="C305" s="2025"/>
      <c r="D305" s="2026"/>
      <c r="E305" s="2019">
        <f>SUM(E301:E304)</f>
        <v>0</v>
      </c>
      <c r="F305" s="2019">
        <f>SUM(F301:F304)</f>
        <v>0</v>
      </c>
      <c r="G305" s="2019">
        <f>SUM(G301:G304)</f>
        <v>0</v>
      </c>
      <c r="H305" s="2020" t="e">
        <f>G305/F305*100</f>
        <v>#DIV/0!</v>
      </c>
      <c r="I305" s="1994"/>
    </row>
    <row r="307" spans="1:9" ht="15" customHeight="1" x14ac:dyDescent="0.25">
      <c r="A307" s="1979" t="s">
        <v>1742</v>
      </c>
      <c r="B307" s="1993"/>
      <c r="C307" s="1993"/>
      <c r="D307" s="1993"/>
      <c r="F307" s="1994"/>
      <c r="G307" s="1994"/>
      <c r="H307" s="1994"/>
      <c r="I307" s="1994"/>
    </row>
    <row r="308" spans="1:9" ht="15" customHeight="1" thickBot="1" x14ac:dyDescent="0.3">
      <c r="A308" s="1979" t="s">
        <v>1743</v>
      </c>
      <c r="B308" s="1993"/>
      <c r="C308" s="1993"/>
      <c r="D308" s="1993"/>
      <c r="F308" s="1994"/>
      <c r="G308" s="1994"/>
      <c r="H308" s="1995" t="s">
        <v>161</v>
      </c>
      <c r="I308" s="1994"/>
    </row>
    <row r="309" spans="1:9" ht="25.5" customHeight="1" thickTop="1" thickBot="1" x14ac:dyDescent="0.25">
      <c r="A309" s="1996" t="s">
        <v>162</v>
      </c>
      <c r="B309" s="1997" t="s">
        <v>761</v>
      </c>
      <c r="C309" s="1997" t="s">
        <v>377</v>
      </c>
      <c r="D309" s="1998" t="s">
        <v>164</v>
      </c>
      <c r="E309" s="1999" t="s">
        <v>632</v>
      </c>
      <c r="F309" s="1999" t="s">
        <v>633</v>
      </c>
      <c r="G309" s="2000" t="s">
        <v>882</v>
      </c>
      <c r="H309" s="2001" t="s">
        <v>883</v>
      </c>
      <c r="I309" s="1994"/>
    </row>
    <row r="310" spans="1:9" ht="15" customHeight="1" thickTop="1" thickBot="1" x14ac:dyDescent="0.25">
      <c r="A310" s="2002">
        <v>1</v>
      </c>
      <c r="B310" s="2003">
        <v>2</v>
      </c>
      <c r="C310" s="2003">
        <v>3</v>
      </c>
      <c r="D310" s="2003">
        <v>5</v>
      </c>
      <c r="E310" s="2004">
        <v>6</v>
      </c>
      <c r="F310" s="2004">
        <v>7</v>
      </c>
      <c r="G310" s="2005">
        <v>8</v>
      </c>
      <c r="H310" s="2021" t="s">
        <v>762</v>
      </c>
      <c r="I310" s="1994"/>
    </row>
    <row r="311" spans="1:9" ht="42.75" customHeight="1" thickTop="1" x14ac:dyDescent="0.2">
      <c r="A311" s="2012">
        <v>3299</v>
      </c>
      <c r="B311" s="2013">
        <v>5213</v>
      </c>
      <c r="C311" s="2013">
        <v>32133030</v>
      </c>
      <c r="D311" s="2014" t="s">
        <v>1000</v>
      </c>
      <c r="E311" s="2010">
        <v>0</v>
      </c>
      <c r="F311" s="2010">
        <v>206</v>
      </c>
      <c r="G311" s="2022">
        <v>202</v>
      </c>
      <c r="H311" s="2011">
        <f>G311/F311*100</f>
        <v>98.05825242718447</v>
      </c>
      <c r="I311" s="1994"/>
    </row>
    <row r="312" spans="1:9" ht="47.25" customHeight="1" x14ac:dyDescent="0.2">
      <c r="A312" s="2012">
        <v>3299</v>
      </c>
      <c r="B312" s="2013">
        <v>5213</v>
      </c>
      <c r="C312" s="2013">
        <v>32533030</v>
      </c>
      <c r="D312" s="2014" t="s">
        <v>1000</v>
      </c>
      <c r="E312" s="2015">
        <v>0</v>
      </c>
      <c r="F312" s="2015">
        <v>1169</v>
      </c>
      <c r="G312" s="2023">
        <v>1145</v>
      </c>
      <c r="H312" s="2016">
        <f>G312/F312*100</f>
        <v>97.946963216424294</v>
      </c>
      <c r="I312" s="1994"/>
    </row>
    <row r="313" spans="1:9" ht="45" x14ac:dyDescent="0.2">
      <c r="A313" s="2027">
        <v>3299</v>
      </c>
      <c r="B313" s="2028">
        <v>6313</v>
      </c>
      <c r="C313" s="2013">
        <v>32133926</v>
      </c>
      <c r="D313" s="2029" t="s">
        <v>1002</v>
      </c>
      <c r="E313" s="2015">
        <v>0</v>
      </c>
      <c r="F313" s="2015">
        <v>35</v>
      </c>
      <c r="G313" s="2023">
        <v>35</v>
      </c>
      <c r="H313" s="2016">
        <f>G313/F313*100</f>
        <v>100</v>
      </c>
      <c r="I313" s="1994"/>
    </row>
    <row r="314" spans="1:9" ht="45.75" thickBot="1" x14ac:dyDescent="0.25">
      <c r="A314" s="2027">
        <v>3299</v>
      </c>
      <c r="B314" s="2030">
        <v>6313</v>
      </c>
      <c r="C314" s="2031">
        <v>32533926</v>
      </c>
      <c r="D314" s="2032" t="s">
        <v>1002</v>
      </c>
      <c r="E314" s="2015">
        <v>0</v>
      </c>
      <c r="F314" s="2015">
        <v>201</v>
      </c>
      <c r="G314" s="2023">
        <v>199</v>
      </c>
      <c r="H314" s="2016">
        <f>G314/F314*100</f>
        <v>99.00497512437812</v>
      </c>
      <c r="I314" s="1994"/>
    </row>
    <row r="315" spans="1:9" ht="16.5" customHeight="1" thickTop="1" thickBot="1" x14ac:dyDescent="0.3">
      <c r="A315" s="2024" t="s">
        <v>763</v>
      </c>
      <c r="B315" s="2025"/>
      <c r="C315" s="2025"/>
      <c r="D315" s="2026"/>
      <c r="E315" s="2019">
        <f>SUM(E311:E312)</f>
        <v>0</v>
      </c>
      <c r="F315" s="2019">
        <f>SUM(F311:F314)</f>
        <v>1611</v>
      </c>
      <c r="G315" s="2019">
        <f>SUM(G311:G314)</f>
        <v>1581</v>
      </c>
      <c r="H315" s="2020">
        <f>G315/F315*100</f>
        <v>98.137802607076353</v>
      </c>
      <c r="I315" s="1994"/>
    </row>
    <row r="316" spans="1:9" ht="13.5" thickTop="1" x14ac:dyDescent="0.2"/>
    <row r="317" spans="1:9" ht="15" customHeight="1" x14ac:dyDescent="0.25">
      <c r="A317" s="1979" t="s">
        <v>1001</v>
      </c>
      <c r="B317" s="1993"/>
      <c r="C317" s="1993"/>
      <c r="D317" s="1993"/>
      <c r="F317" s="1994"/>
      <c r="G317" s="1994"/>
      <c r="H317" s="1994"/>
      <c r="I317" s="1994"/>
    </row>
    <row r="318" spans="1:9" ht="15" customHeight="1" thickBot="1" x14ac:dyDescent="0.3">
      <c r="A318" s="1979" t="s">
        <v>966</v>
      </c>
      <c r="B318" s="1993"/>
      <c r="C318" s="1993"/>
      <c r="D318" s="1993"/>
      <c r="F318" s="1994"/>
      <c r="G318" s="1994"/>
      <c r="H318" s="1995" t="s">
        <v>161</v>
      </c>
      <c r="I318" s="1994"/>
    </row>
    <row r="319" spans="1:9" ht="25.5" customHeight="1" thickTop="1" thickBot="1" x14ac:dyDescent="0.25">
      <c r="A319" s="1996" t="s">
        <v>162</v>
      </c>
      <c r="B319" s="1997" t="s">
        <v>761</v>
      </c>
      <c r="C319" s="1997" t="s">
        <v>377</v>
      </c>
      <c r="D319" s="1998" t="s">
        <v>164</v>
      </c>
      <c r="E319" s="1999" t="s">
        <v>632</v>
      </c>
      <c r="F319" s="1999" t="s">
        <v>633</v>
      </c>
      <c r="G319" s="2000" t="s">
        <v>882</v>
      </c>
      <c r="H319" s="2001" t="s">
        <v>883</v>
      </c>
      <c r="I319" s="1994"/>
    </row>
    <row r="320" spans="1:9" ht="15" customHeight="1" thickTop="1" thickBot="1" x14ac:dyDescent="0.25">
      <c r="A320" s="2002">
        <v>1</v>
      </c>
      <c r="B320" s="2003">
        <v>2</v>
      </c>
      <c r="C320" s="2003">
        <v>3</v>
      </c>
      <c r="D320" s="2003">
        <v>5</v>
      </c>
      <c r="E320" s="2004">
        <v>6</v>
      </c>
      <c r="F320" s="2004">
        <v>7</v>
      </c>
      <c r="G320" s="2005">
        <v>8</v>
      </c>
      <c r="H320" s="2021" t="s">
        <v>762</v>
      </c>
      <c r="I320" s="1994"/>
    </row>
    <row r="321" spans="1:9" ht="42.75" customHeight="1" thickTop="1" x14ac:dyDescent="0.2">
      <c r="A321" s="2012">
        <v>3299</v>
      </c>
      <c r="B321" s="2013">
        <v>5213</v>
      </c>
      <c r="C321" s="2013">
        <v>32133030</v>
      </c>
      <c r="D321" s="2014" t="s">
        <v>1000</v>
      </c>
      <c r="E321" s="2010">
        <v>0</v>
      </c>
      <c r="F321" s="2010">
        <v>306</v>
      </c>
      <c r="G321" s="2022">
        <v>218</v>
      </c>
      <c r="H321" s="2011">
        <f>G321/F321*100</f>
        <v>71.24183006535948</v>
      </c>
      <c r="I321" s="1994"/>
    </row>
    <row r="322" spans="1:9" ht="47.25" customHeight="1" thickBot="1" x14ac:dyDescent="0.25">
      <c r="A322" s="2012">
        <v>3299</v>
      </c>
      <c r="B322" s="2013">
        <v>5213</v>
      </c>
      <c r="C322" s="2013">
        <v>32533030</v>
      </c>
      <c r="D322" s="2014" t="s">
        <v>1000</v>
      </c>
      <c r="E322" s="2015">
        <v>0</v>
      </c>
      <c r="F322" s="2015">
        <v>1732</v>
      </c>
      <c r="G322" s="2023">
        <v>1238</v>
      </c>
      <c r="H322" s="2016">
        <f>G322/F322*100</f>
        <v>71.47806004618937</v>
      </c>
      <c r="I322" s="1994"/>
    </row>
    <row r="323" spans="1:9" ht="47.25" hidden="1" customHeight="1" x14ac:dyDescent="0.2">
      <c r="A323" s="2027">
        <v>3299</v>
      </c>
      <c r="B323" s="2028">
        <v>6313</v>
      </c>
      <c r="C323" s="2013">
        <v>32133006</v>
      </c>
      <c r="D323" s="2029" t="s">
        <v>1002</v>
      </c>
      <c r="E323" s="2015">
        <v>0</v>
      </c>
      <c r="F323" s="2015">
        <v>0</v>
      </c>
      <c r="G323" s="2023">
        <v>0</v>
      </c>
      <c r="H323" s="2016" t="e">
        <f>G323/F323*100</f>
        <v>#DIV/0!</v>
      </c>
      <c r="I323" s="1994"/>
    </row>
    <row r="324" spans="1:9" ht="47.25" hidden="1" customHeight="1" x14ac:dyDescent="0.2">
      <c r="A324" s="2027">
        <v>3299</v>
      </c>
      <c r="B324" s="2030">
        <v>6313</v>
      </c>
      <c r="C324" s="2031">
        <v>32533006</v>
      </c>
      <c r="D324" s="2032" t="s">
        <v>1002</v>
      </c>
      <c r="E324" s="2015">
        <v>0</v>
      </c>
      <c r="F324" s="2015">
        <v>0</v>
      </c>
      <c r="G324" s="2023">
        <v>0</v>
      </c>
      <c r="H324" s="2016" t="e">
        <f>G324/F324*100</f>
        <v>#DIV/0!</v>
      </c>
      <c r="I324" s="1994"/>
    </row>
    <row r="325" spans="1:9" ht="16.5" customHeight="1" thickTop="1" thickBot="1" x14ac:dyDescent="0.3">
      <c r="A325" s="2024" t="s">
        <v>763</v>
      </c>
      <c r="B325" s="2025"/>
      <c r="C325" s="2025"/>
      <c r="D325" s="2026"/>
      <c r="E325" s="2019">
        <f>SUM(E321:E322)</f>
        <v>0</v>
      </c>
      <c r="F325" s="2019">
        <f>SUM(F321:F324)</f>
        <v>2038</v>
      </c>
      <c r="G325" s="2019">
        <f>SUM(G321:G324)</f>
        <v>1456</v>
      </c>
      <c r="H325" s="2020">
        <f>G325/F325*100</f>
        <v>71.442590775269878</v>
      </c>
      <c r="I325" s="1994"/>
    </row>
    <row r="326" spans="1:9" ht="13.5" thickTop="1" x14ac:dyDescent="0.2"/>
    <row r="327" spans="1:9" ht="15" customHeight="1" x14ac:dyDescent="0.25">
      <c r="A327" s="1979" t="s">
        <v>1744</v>
      </c>
      <c r="B327" s="1993"/>
      <c r="C327" s="1993"/>
      <c r="D327" s="1993"/>
      <c r="F327" s="1994"/>
      <c r="G327" s="1994"/>
      <c r="H327" s="1994"/>
      <c r="I327" s="1994"/>
    </row>
    <row r="328" spans="1:9" ht="15" customHeight="1" thickBot="1" x14ac:dyDescent="0.3">
      <c r="A328" s="1979" t="s">
        <v>86</v>
      </c>
      <c r="B328" s="1993"/>
      <c r="C328" s="1993"/>
      <c r="D328" s="1993"/>
      <c r="F328" s="1994"/>
      <c r="G328" s="1994"/>
      <c r="H328" s="1995" t="s">
        <v>161</v>
      </c>
      <c r="I328" s="1994"/>
    </row>
    <row r="329" spans="1:9" ht="25.5" customHeight="1" thickTop="1" thickBot="1" x14ac:dyDescent="0.25">
      <c r="A329" s="1996" t="s">
        <v>162</v>
      </c>
      <c r="B329" s="1997" t="s">
        <v>761</v>
      </c>
      <c r="C329" s="1997" t="s">
        <v>377</v>
      </c>
      <c r="D329" s="1998" t="s">
        <v>164</v>
      </c>
      <c r="E329" s="1999" t="s">
        <v>632</v>
      </c>
      <c r="F329" s="1999" t="s">
        <v>633</v>
      </c>
      <c r="G329" s="2000" t="s">
        <v>882</v>
      </c>
      <c r="H329" s="2001" t="s">
        <v>883</v>
      </c>
      <c r="I329" s="1994"/>
    </row>
    <row r="330" spans="1:9" ht="15" customHeight="1" thickTop="1" thickBot="1" x14ac:dyDescent="0.25">
      <c r="A330" s="2002">
        <v>1</v>
      </c>
      <c r="B330" s="2003">
        <v>2</v>
      </c>
      <c r="C330" s="2003">
        <v>3</v>
      </c>
      <c r="D330" s="2003">
        <v>5</v>
      </c>
      <c r="E330" s="2004">
        <v>6</v>
      </c>
      <c r="F330" s="2004">
        <v>7</v>
      </c>
      <c r="G330" s="2005">
        <v>8</v>
      </c>
      <c r="H330" s="2021" t="s">
        <v>762</v>
      </c>
      <c r="I330" s="1994"/>
    </row>
    <row r="331" spans="1:9" ht="42.75" customHeight="1" thickTop="1" x14ac:dyDescent="0.2">
      <c r="A331" s="2012">
        <v>3299</v>
      </c>
      <c r="B331" s="2013">
        <v>5213</v>
      </c>
      <c r="C331" s="2013">
        <v>32133030</v>
      </c>
      <c r="D331" s="2014" t="s">
        <v>1000</v>
      </c>
      <c r="E331" s="2010">
        <v>0</v>
      </c>
      <c r="F331" s="2010">
        <v>108</v>
      </c>
      <c r="G331" s="2022">
        <v>105</v>
      </c>
      <c r="H331" s="2011">
        <f>G331/F331*100</f>
        <v>97.222222222222214</v>
      </c>
      <c r="I331" s="1994"/>
    </row>
    <row r="332" spans="1:9" ht="47.25" customHeight="1" thickBot="1" x14ac:dyDescent="0.25">
      <c r="A332" s="2012">
        <v>3299</v>
      </c>
      <c r="B332" s="2013">
        <v>5213</v>
      </c>
      <c r="C332" s="2013">
        <v>32533030</v>
      </c>
      <c r="D332" s="2014" t="s">
        <v>1000</v>
      </c>
      <c r="E332" s="2015">
        <v>0</v>
      </c>
      <c r="F332" s="2015">
        <v>611</v>
      </c>
      <c r="G332" s="2023">
        <v>595</v>
      </c>
      <c r="H332" s="2016">
        <f>G332/F332*100</f>
        <v>97.381342062193127</v>
      </c>
      <c r="I332" s="1994"/>
    </row>
    <row r="333" spans="1:9" ht="47.25" hidden="1" customHeight="1" x14ac:dyDescent="0.2">
      <c r="A333" s="2027">
        <v>3299</v>
      </c>
      <c r="B333" s="2028">
        <v>6313</v>
      </c>
      <c r="C333" s="2013">
        <v>32133006</v>
      </c>
      <c r="D333" s="2029" t="s">
        <v>1002</v>
      </c>
      <c r="E333" s="2015">
        <v>0</v>
      </c>
      <c r="F333" s="2015">
        <v>0</v>
      </c>
      <c r="G333" s="2023">
        <v>0</v>
      </c>
      <c r="H333" s="2016" t="e">
        <f>G333/F333*100</f>
        <v>#DIV/0!</v>
      </c>
      <c r="I333" s="1994"/>
    </row>
    <row r="334" spans="1:9" ht="47.25" hidden="1" customHeight="1" x14ac:dyDescent="0.2">
      <c r="A334" s="2027">
        <v>3299</v>
      </c>
      <c r="B334" s="2030">
        <v>6313</v>
      </c>
      <c r="C334" s="2031">
        <v>32533006</v>
      </c>
      <c r="D334" s="2032" t="s">
        <v>1002</v>
      </c>
      <c r="E334" s="2015">
        <v>0</v>
      </c>
      <c r="F334" s="2015">
        <v>0</v>
      </c>
      <c r="G334" s="2023">
        <v>0</v>
      </c>
      <c r="H334" s="2016" t="e">
        <f>G334/F334*100</f>
        <v>#DIV/0!</v>
      </c>
      <c r="I334" s="1994"/>
    </row>
    <row r="335" spans="1:9" ht="16.5" customHeight="1" thickTop="1" thickBot="1" x14ac:dyDescent="0.3">
      <c r="A335" s="2024" t="s">
        <v>763</v>
      </c>
      <c r="B335" s="2025"/>
      <c r="C335" s="2025"/>
      <c r="D335" s="2026"/>
      <c r="E335" s="2019">
        <f>SUM(E331:E332)</f>
        <v>0</v>
      </c>
      <c r="F335" s="2019">
        <f>SUM(F331:F334)</f>
        <v>719</v>
      </c>
      <c r="G335" s="2019">
        <f>SUM(G331:G334)</f>
        <v>700</v>
      </c>
      <c r="H335" s="2020">
        <f>G335/F335*100</f>
        <v>97.357440890125162</v>
      </c>
      <c r="I335" s="1994"/>
    </row>
    <row r="336" spans="1:9" ht="13.5" thickTop="1" x14ac:dyDescent="0.2"/>
    <row r="337" spans="1:9" ht="15" customHeight="1" x14ac:dyDescent="0.25">
      <c r="A337" s="1979" t="s">
        <v>1558</v>
      </c>
      <c r="B337" s="1993"/>
      <c r="C337" s="1993"/>
      <c r="D337" s="1993"/>
      <c r="F337" s="1994"/>
      <c r="G337" s="1994"/>
      <c r="H337" s="1994"/>
      <c r="I337" s="1994"/>
    </row>
    <row r="338" spans="1:9" ht="15" customHeight="1" thickBot="1" x14ac:dyDescent="0.3">
      <c r="A338" s="1979" t="s">
        <v>967</v>
      </c>
      <c r="B338" s="1993"/>
      <c r="C338" s="1993"/>
      <c r="D338" s="1993"/>
      <c r="F338" s="1994"/>
      <c r="G338" s="1994"/>
      <c r="H338" s="1995" t="s">
        <v>161</v>
      </c>
      <c r="I338" s="1994"/>
    </row>
    <row r="339" spans="1:9" ht="25.5" customHeight="1" thickTop="1" thickBot="1" x14ac:dyDescent="0.25">
      <c r="A339" s="1996" t="s">
        <v>162</v>
      </c>
      <c r="B339" s="1997" t="s">
        <v>761</v>
      </c>
      <c r="C339" s="1997" t="s">
        <v>377</v>
      </c>
      <c r="D339" s="1998" t="s">
        <v>164</v>
      </c>
      <c r="E339" s="1999" t="s">
        <v>632</v>
      </c>
      <c r="F339" s="1999" t="s">
        <v>633</v>
      </c>
      <c r="G339" s="2000" t="s">
        <v>882</v>
      </c>
      <c r="H339" s="2001" t="s">
        <v>883</v>
      </c>
      <c r="I339" s="1994"/>
    </row>
    <row r="340" spans="1:9" ht="15" customHeight="1" thickTop="1" thickBot="1" x14ac:dyDescent="0.25">
      <c r="A340" s="2002">
        <v>1</v>
      </c>
      <c r="B340" s="2003">
        <v>2</v>
      </c>
      <c r="C340" s="2003">
        <v>3</v>
      </c>
      <c r="D340" s="2003">
        <v>5</v>
      </c>
      <c r="E340" s="2004">
        <v>6</v>
      </c>
      <c r="F340" s="2004">
        <v>7</v>
      </c>
      <c r="G340" s="2005">
        <v>8</v>
      </c>
      <c r="H340" s="2021" t="s">
        <v>762</v>
      </c>
      <c r="I340" s="1994"/>
    </row>
    <row r="341" spans="1:9" ht="42.75" customHeight="1" thickTop="1" x14ac:dyDescent="0.2">
      <c r="A341" s="2012">
        <v>3299</v>
      </c>
      <c r="B341" s="2013">
        <v>5213</v>
      </c>
      <c r="C341" s="2013">
        <v>32133030</v>
      </c>
      <c r="D341" s="2014" t="s">
        <v>1000</v>
      </c>
      <c r="E341" s="2010">
        <v>0</v>
      </c>
      <c r="F341" s="2010">
        <v>391</v>
      </c>
      <c r="G341" s="2022">
        <v>278</v>
      </c>
      <c r="H341" s="2011">
        <f>G341/F341*100</f>
        <v>71.099744245524306</v>
      </c>
      <c r="I341" s="1994"/>
    </row>
    <row r="342" spans="1:9" ht="47.25" customHeight="1" thickBot="1" x14ac:dyDescent="0.25">
      <c r="A342" s="2012">
        <v>3299</v>
      </c>
      <c r="B342" s="2013">
        <v>5213</v>
      </c>
      <c r="C342" s="2013">
        <v>32533030</v>
      </c>
      <c r="D342" s="2014" t="s">
        <v>1000</v>
      </c>
      <c r="E342" s="2015">
        <v>0</v>
      </c>
      <c r="F342" s="2015">
        <v>2214</v>
      </c>
      <c r="G342" s="2023">
        <v>1577</v>
      </c>
      <c r="H342" s="2016">
        <f>G342/F342*100</f>
        <v>71.228545618789525</v>
      </c>
      <c r="I342" s="1994"/>
    </row>
    <row r="343" spans="1:9" ht="45.75" hidden="1" thickBot="1" x14ac:dyDescent="0.25">
      <c r="A343" s="2027">
        <v>3299</v>
      </c>
      <c r="B343" s="2028">
        <v>6313</v>
      </c>
      <c r="C343" s="2013">
        <v>32133006</v>
      </c>
      <c r="D343" s="2029" t="s">
        <v>1002</v>
      </c>
      <c r="E343" s="2015">
        <v>0</v>
      </c>
      <c r="F343" s="2015"/>
      <c r="G343" s="2023"/>
      <c r="H343" s="2016" t="e">
        <f>G343/F343*100</f>
        <v>#DIV/0!</v>
      </c>
      <c r="I343" s="1994"/>
    </row>
    <row r="344" spans="1:9" ht="45.75" hidden="1" thickBot="1" x14ac:dyDescent="0.25">
      <c r="A344" s="2027">
        <v>3299</v>
      </c>
      <c r="B344" s="2030">
        <v>6313</v>
      </c>
      <c r="C344" s="2031">
        <v>32533006</v>
      </c>
      <c r="D344" s="2032" t="s">
        <v>1002</v>
      </c>
      <c r="E344" s="2015">
        <v>0</v>
      </c>
      <c r="F344" s="2015"/>
      <c r="G344" s="2023"/>
      <c r="H344" s="2016" t="e">
        <f>G344/F344*100</f>
        <v>#DIV/0!</v>
      </c>
      <c r="I344" s="1994"/>
    </row>
    <row r="345" spans="1:9" ht="16.5" customHeight="1" thickTop="1" thickBot="1" x14ac:dyDescent="0.3">
      <c r="A345" s="2024" t="s">
        <v>763</v>
      </c>
      <c r="B345" s="2025"/>
      <c r="C345" s="2025"/>
      <c r="D345" s="2026"/>
      <c r="E345" s="2019">
        <f>SUM(E341:E342)</f>
        <v>0</v>
      </c>
      <c r="F345" s="2019">
        <f>SUM(F341:F344)</f>
        <v>2605</v>
      </c>
      <c r="G345" s="2019">
        <f>SUM(G341:G344)</f>
        <v>1855</v>
      </c>
      <c r="H345" s="2020">
        <f>G345/F345*100</f>
        <v>71.209213051823411</v>
      </c>
      <c r="I345" s="1994"/>
    </row>
    <row r="346" spans="1:9" ht="13.5" thickTop="1" x14ac:dyDescent="0.2"/>
    <row r="347" spans="1:9" ht="15" x14ac:dyDescent="0.25">
      <c r="A347" s="1979" t="s">
        <v>1559</v>
      </c>
      <c r="B347" s="1993"/>
      <c r="C347" s="1993"/>
      <c r="D347" s="1993"/>
      <c r="F347" s="1994"/>
      <c r="G347" s="1994"/>
      <c r="H347" s="1994"/>
      <c r="I347" s="1994"/>
    </row>
    <row r="348" spans="1:9" ht="15.75" thickBot="1" x14ac:dyDescent="0.3">
      <c r="A348" s="1979" t="s">
        <v>1560</v>
      </c>
      <c r="B348" s="1993"/>
      <c r="C348" s="1993"/>
      <c r="D348" s="1993"/>
      <c r="F348" s="1994"/>
      <c r="G348" s="1994"/>
      <c r="H348" s="1995" t="s">
        <v>161</v>
      </c>
      <c r="I348" s="1994"/>
    </row>
    <row r="349" spans="1:9" ht="25.5" thickTop="1" thickBot="1" x14ac:dyDescent="0.25">
      <c r="A349" s="1996" t="s">
        <v>162</v>
      </c>
      <c r="B349" s="1997" t="s">
        <v>761</v>
      </c>
      <c r="C349" s="1997" t="s">
        <v>377</v>
      </c>
      <c r="D349" s="1998" t="s">
        <v>164</v>
      </c>
      <c r="E349" s="1999" t="s">
        <v>632</v>
      </c>
      <c r="F349" s="1999" t="s">
        <v>633</v>
      </c>
      <c r="G349" s="2000" t="s">
        <v>882</v>
      </c>
      <c r="H349" s="2001" t="s">
        <v>883</v>
      </c>
      <c r="I349" s="1994"/>
    </row>
    <row r="350" spans="1:9" ht="14.25" thickTop="1" thickBot="1" x14ac:dyDescent="0.25">
      <c r="A350" s="2002">
        <v>1</v>
      </c>
      <c r="B350" s="2003">
        <v>2</v>
      </c>
      <c r="C350" s="2003">
        <v>3</v>
      </c>
      <c r="D350" s="2003">
        <v>5</v>
      </c>
      <c r="E350" s="2004">
        <v>6</v>
      </c>
      <c r="F350" s="2004">
        <v>7</v>
      </c>
      <c r="G350" s="2005">
        <v>8</v>
      </c>
      <c r="H350" s="2021" t="s">
        <v>762</v>
      </c>
      <c r="I350" s="1994"/>
    </row>
    <row r="351" spans="1:9" ht="15.75" thickTop="1" x14ac:dyDescent="0.25">
      <c r="A351" s="2033">
        <v>3299</v>
      </c>
      <c r="B351" s="2034">
        <v>5321</v>
      </c>
      <c r="C351" s="2034">
        <v>32133030</v>
      </c>
      <c r="D351" s="2035" t="s">
        <v>1201</v>
      </c>
      <c r="E351" s="2010">
        <v>0</v>
      </c>
      <c r="F351" s="2010">
        <v>147</v>
      </c>
      <c r="G351" s="2022">
        <v>114</v>
      </c>
      <c r="H351" s="2011">
        <f>G351/F351*100</f>
        <v>77.551020408163268</v>
      </c>
      <c r="I351" s="1994"/>
    </row>
    <row r="352" spans="1:9" ht="15.75" thickBot="1" x14ac:dyDescent="0.3">
      <c r="A352" s="2033">
        <v>3299</v>
      </c>
      <c r="B352" s="2034">
        <v>5321</v>
      </c>
      <c r="C352" s="2034">
        <v>32533030</v>
      </c>
      <c r="D352" s="2036" t="s">
        <v>1201</v>
      </c>
      <c r="E352" s="2015">
        <v>0</v>
      </c>
      <c r="F352" s="2015">
        <v>830</v>
      </c>
      <c r="G352" s="2023">
        <v>646</v>
      </c>
      <c r="H352" s="2016">
        <f>G352/F352*100</f>
        <v>77.831325301204828</v>
      </c>
      <c r="I352" s="1994"/>
    </row>
    <row r="353" spans="1:9" ht="15.75" hidden="1" thickBot="1" x14ac:dyDescent="0.3">
      <c r="A353" s="2033">
        <v>3299</v>
      </c>
      <c r="B353" s="2034">
        <v>6341</v>
      </c>
      <c r="C353" s="2034">
        <v>32133926</v>
      </c>
      <c r="D353" s="2035" t="s">
        <v>248</v>
      </c>
      <c r="E353" s="2015">
        <v>0</v>
      </c>
      <c r="F353" s="2015"/>
      <c r="G353" s="2023"/>
      <c r="H353" s="2016" t="e">
        <f>G353/F353*100</f>
        <v>#DIV/0!</v>
      </c>
      <c r="I353" s="1994"/>
    </row>
    <row r="354" spans="1:9" ht="15.75" hidden="1" thickBot="1" x14ac:dyDescent="0.3">
      <c r="A354" s="2037">
        <v>3299</v>
      </c>
      <c r="B354" s="2038">
        <v>6341</v>
      </c>
      <c r="C354" s="2038">
        <v>32533926</v>
      </c>
      <c r="D354" s="2035" t="s">
        <v>248</v>
      </c>
      <c r="E354" s="2015">
        <v>0</v>
      </c>
      <c r="F354" s="2015"/>
      <c r="G354" s="2023"/>
      <c r="H354" s="2016" t="e">
        <f>G354/F354*100</f>
        <v>#DIV/0!</v>
      </c>
      <c r="I354" s="1994"/>
    </row>
    <row r="355" spans="1:9" ht="16.5" thickTop="1" thickBot="1" x14ac:dyDescent="0.3">
      <c r="A355" s="2024" t="s">
        <v>763</v>
      </c>
      <c r="B355" s="2025"/>
      <c r="C355" s="2025"/>
      <c r="D355" s="2026"/>
      <c r="E355" s="2019">
        <f>SUM(E351:E354)</f>
        <v>0</v>
      </c>
      <c r="F355" s="2019">
        <f>SUM(F351:F354)</f>
        <v>977</v>
      </c>
      <c r="G355" s="2019">
        <f>SUM(G351:G354)</f>
        <v>760</v>
      </c>
      <c r="H355" s="2020">
        <f>G355/F355*100</f>
        <v>77.78915046059366</v>
      </c>
      <c r="I355" s="1994"/>
    </row>
    <row r="356" spans="1:9" ht="13.5" thickTop="1" x14ac:dyDescent="0.2"/>
    <row r="357" spans="1:9" ht="15" x14ac:dyDescent="0.25">
      <c r="A357" s="1979" t="s">
        <v>1394</v>
      </c>
      <c r="B357" s="1993"/>
      <c r="C357" s="1993"/>
      <c r="D357" s="1993"/>
      <c r="F357" s="1994"/>
      <c r="G357" s="1994"/>
      <c r="H357" s="1994"/>
      <c r="I357" s="1994"/>
    </row>
    <row r="358" spans="1:9" ht="15.75" thickBot="1" x14ac:dyDescent="0.3">
      <c r="A358" s="1979" t="s">
        <v>1393</v>
      </c>
      <c r="B358" s="1993"/>
      <c r="C358" s="1993"/>
      <c r="D358" s="1993"/>
      <c r="F358" s="1994"/>
      <c r="G358" s="1994"/>
      <c r="H358" s="1995" t="s">
        <v>161</v>
      </c>
      <c r="I358" s="1994"/>
    </row>
    <row r="359" spans="1:9" ht="25.5" thickTop="1" thickBot="1" x14ac:dyDescent="0.25">
      <c r="A359" s="1996" t="s">
        <v>162</v>
      </c>
      <c r="B359" s="1997" t="s">
        <v>761</v>
      </c>
      <c r="C359" s="1997" t="s">
        <v>377</v>
      </c>
      <c r="D359" s="1998" t="s">
        <v>164</v>
      </c>
      <c r="E359" s="1999" t="s">
        <v>632</v>
      </c>
      <c r="F359" s="1999" t="s">
        <v>633</v>
      </c>
      <c r="G359" s="2000" t="s">
        <v>882</v>
      </c>
      <c r="H359" s="2001" t="s">
        <v>883</v>
      </c>
      <c r="I359" s="1994"/>
    </row>
    <row r="360" spans="1:9" ht="14.25" thickTop="1" thickBot="1" x14ac:dyDescent="0.25">
      <c r="A360" s="2002">
        <v>1</v>
      </c>
      <c r="B360" s="2003">
        <v>2</v>
      </c>
      <c r="C360" s="2003">
        <v>3</v>
      </c>
      <c r="D360" s="2003">
        <v>5</v>
      </c>
      <c r="E360" s="2004">
        <v>6</v>
      </c>
      <c r="F360" s="2004">
        <v>7</v>
      </c>
      <c r="G360" s="2005">
        <v>8</v>
      </c>
      <c r="H360" s="2021" t="s">
        <v>762</v>
      </c>
      <c r="I360" s="1994"/>
    </row>
    <row r="361" spans="1:9" ht="15.75" thickTop="1" x14ac:dyDescent="0.25">
      <c r="A361" s="2033">
        <v>3299</v>
      </c>
      <c r="B361" s="2034">
        <v>5321</v>
      </c>
      <c r="C361" s="2034">
        <v>32133030</v>
      </c>
      <c r="D361" s="2035" t="s">
        <v>1201</v>
      </c>
      <c r="E361" s="2010">
        <v>0</v>
      </c>
      <c r="F361" s="2010">
        <v>127</v>
      </c>
      <c r="G361" s="2022">
        <v>127</v>
      </c>
      <c r="H361" s="2011">
        <f>G361/F361*100</f>
        <v>100</v>
      </c>
      <c r="I361" s="1994"/>
    </row>
    <row r="362" spans="1:9" ht="15.75" thickBot="1" x14ac:dyDescent="0.3">
      <c r="A362" s="2033">
        <v>3299</v>
      </c>
      <c r="B362" s="2034">
        <v>5321</v>
      </c>
      <c r="C362" s="2034">
        <v>32533030</v>
      </c>
      <c r="D362" s="2036" t="s">
        <v>1201</v>
      </c>
      <c r="E362" s="2015">
        <v>0</v>
      </c>
      <c r="F362" s="2015">
        <v>719</v>
      </c>
      <c r="G362" s="2023">
        <v>717</v>
      </c>
      <c r="H362" s="2016">
        <f>G362/F362*100</f>
        <v>99.721835883171067</v>
      </c>
      <c r="I362" s="1994"/>
    </row>
    <row r="363" spans="1:9" ht="15.75" hidden="1" thickBot="1" x14ac:dyDescent="0.3">
      <c r="A363" s="2033">
        <v>3299</v>
      </c>
      <c r="B363" s="2034">
        <v>6341</v>
      </c>
      <c r="C363" s="2034">
        <v>32133926</v>
      </c>
      <c r="D363" s="2035" t="s">
        <v>248</v>
      </c>
      <c r="E363" s="2015">
        <v>0</v>
      </c>
      <c r="F363" s="2015"/>
      <c r="G363" s="2023"/>
      <c r="H363" s="2016" t="e">
        <f>G363/F363*100</f>
        <v>#DIV/0!</v>
      </c>
      <c r="I363" s="1994"/>
    </row>
    <row r="364" spans="1:9" ht="15.75" hidden="1" thickBot="1" x14ac:dyDescent="0.3">
      <c r="A364" s="2037">
        <v>3299</v>
      </c>
      <c r="B364" s="2038">
        <v>6341</v>
      </c>
      <c r="C364" s="2038">
        <v>32533926</v>
      </c>
      <c r="D364" s="2035" t="s">
        <v>248</v>
      </c>
      <c r="E364" s="2015">
        <v>0</v>
      </c>
      <c r="F364" s="2015"/>
      <c r="G364" s="2023"/>
      <c r="H364" s="2016" t="e">
        <f>G364/F364*100</f>
        <v>#DIV/0!</v>
      </c>
      <c r="I364" s="1994"/>
    </row>
    <row r="365" spans="1:9" ht="16.5" thickTop="1" thickBot="1" x14ac:dyDescent="0.3">
      <c r="A365" s="2024" t="s">
        <v>763</v>
      </c>
      <c r="B365" s="2025"/>
      <c r="C365" s="2025"/>
      <c r="D365" s="2026"/>
      <c r="E365" s="2019">
        <f>SUM(E361:E364)</f>
        <v>0</v>
      </c>
      <c r="F365" s="2019">
        <f>SUM(F361:F364)</f>
        <v>846</v>
      </c>
      <c r="G365" s="2019">
        <f>SUM(G361:G364)</f>
        <v>844</v>
      </c>
      <c r="H365" s="2020">
        <f>G365/F365*100</f>
        <v>99.763593380614651</v>
      </c>
      <c r="I365" s="1994"/>
    </row>
    <row r="366" spans="1:9" ht="13.5" thickTop="1" x14ac:dyDescent="0.2"/>
    <row r="367" spans="1:9" ht="15" x14ac:dyDescent="0.25">
      <c r="A367" s="1979" t="s">
        <v>1745</v>
      </c>
      <c r="B367" s="1993"/>
      <c r="C367" s="1993"/>
      <c r="D367" s="1993"/>
      <c r="F367" s="1994"/>
      <c r="G367" s="1994"/>
      <c r="H367" s="1994"/>
      <c r="I367" s="1994"/>
    </row>
    <row r="368" spans="1:9" ht="15.75" thickBot="1" x14ac:dyDescent="0.3">
      <c r="A368" s="1979" t="s">
        <v>1746</v>
      </c>
      <c r="B368" s="1993"/>
      <c r="C368" s="1993"/>
      <c r="D368" s="1993"/>
      <c r="F368" s="1994"/>
      <c r="G368" s="1994"/>
      <c r="H368" s="1995" t="s">
        <v>161</v>
      </c>
      <c r="I368" s="1994"/>
    </row>
    <row r="369" spans="1:9" ht="25.5" thickTop="1" thickBot="1" x14ac:dyDescent="0.25">
      <c r="A369" s="1996" t="s">
        <v>162</v>
      </c>
      <c r="B369" s="1997" t="s">
        <v>761</v>
      </c>
      <c r="C369" s="1997" t="s">
        <v>377</v>
      </c>
      <c r="D369" s="1998" t="s">
        <v>164</v>
      </c>
      <c r="E369" s="1999" t="s">
        <v>632</v>
      </c>
      <c r="F369" s="1999" t="s">
        <v>633</v>
      </c>
      <c r="G369" s="2000" t="s">
        <v>882</v>
      </c>
      <c r="H369" s="2001" t="s">
        <v>883</v>
      </c>
      <c r="I369" s="1994"/>
    </row>
    <row r="370" spans="1:9" ht="14.25" thickTop="1" thickBot="1" x14ac:dyDescent="0.25">
      <c r="A370" s="2002">
        <v>1</v>
      </c>
      <c r="B370" s="2003">
        <v>2</v>
      </c>
      <c r="C370" s="2003">
        <v>3</v>
      </c>
      <c r="D370" s="2003">
        <v>5</v>
      </c>
      <c r="E370" s="2004">
        <v>6</v>
      </c>
      <c r="F370" s="2004">
        <v>7</v>
      </c>
      <c r="G370" s="2005">
        <v>8</v>
      </c>
      <c r="H370" s="2021" t="s">
        <v>762</v>
      </c>
      <c r="I370" s="1994"/>
    </row>
    <row r="371" spans="1:9" ht="15.75" thickTop="1" x14ac:dyDescent="0.25">
      <c r="A371" s="2033">
        <v>3299</v>
      </c>
      <c r="B371" s="2034">
        <v>5321</v>
      </c>
      <c r="C371" s="2034">
        <v>32133030</v>
      </c>
      <c r="D371" s="2035" t="s">
        <v>1201</v>
      </c>
      <c r="E371" s="2010">
        <v>0</v>
      </c>
      <c r="F371" s="2010">
        <v>153</v>
      </c>
      <c r="G371" s="2022">
        <v>152</v>
      </c>
      <c r="H371" s="2011">
        <f>G371/F371*100</f>
        <v>99.346405228758172</v>
      </c>
      <c r="I371" s="1994"/>
    </row>
    <row r="372" spans="1:9" ht="15.75" thickBot="1" x14ac:dyDescent="0.3">
      <c r="A372" s="2033">
        <v>3299</v>
      </c>
      <c r="B372" s="2034">
        <v>5321</v>
      </c>
      <c r="C372" s="2034">
        <v>32533030</v>
      </c>
      <c r="D372" s="2036" t="s">
        <v>1201</v>
      </c>
      <c r="E372" s="2015">
        <v>0</v>
      </c>
      <c r="F372" s="2015">
        <v>868</v>
      </c>
      <c r="G372" s="2023">
        <v>859</v>
      </c>
      <c r="H372" s="2016">
        <f>G372/F372*100</f>
        <v>98.963133640552996</v>
      </c>
      <c r="I372" s="1994"/>
    </row>
    <row r="373" spans="1:9" ht="15.75" hidden="1" thickBot="1" x14ac:dyDescent="0.3">
      <c r="A373" s="2033">
        <v>3299</v>
      </c>
      <c r="B373" s="2034">
        <v>6341</v>
      </c>
      <c r="C373" s="2034">
        <v>32133926</v>
      </c>
      <c r="D373" s="2035" t="s">
        <v>248</v>
      </c>
      <c r="E373" s="2015">
        <v>0</v>
      </c>
      <c r="F373" s="2015"/>
      <c r="G373" s="2023"/>
      <c r="H373" s="2016" t="e">
        <f>G373/F373*100</f>
        <v>#DIV/0!</v>
      </c>
      <c r="I373" s="1994"/>
    </row>
    <row r="374" spans="1:9" ht="15.75" hidden="1" thickBot="1" x14ac:dyDescent="0.3">
      <c r="A374" s="2037">
        <v>3299</v>
      </c>
      <c r="B374" s="2038">
        <v>6341</v>
      </c>
      <c r="C374" s="2038">
        <v>32533926</v>
      </c>
      <c r="D374" s="2035" t="s">
        <v>248</v>
      </c>
      <c r="E374" s="2015">
        <v>0</v>
      </c>
      <c r="F374" s="2015"/>
      <c r="G374" s="2023"/>
      <c r="H374" s="2016" t="e">
        <f>G374/F374*100</f>
        <v>#DIV/0!</v>
      </c>
      <c r="I374" s="1994"/>
    </row>
    <row r="375" spans="1:9" ht="16.5" thickTop="1" thickBot="1" x14ac:dyDescent="0.3">
      <c r="A375" s="2024" t="s">
        <v>763</v>
      </c>
      <c r="B375" s="2025"/>
      <c r="C375" s="2025"/>
      <c r="D375" s="2026"/>
      <c r="E375" s="2019">
        <f>SUM(E371:E374)</f>
        <v>0</v>
      </c>
      <c r="F375" s="2019">
        <f>SUM(F371:F374)</f>
        <v>1021</v>
      </c>
      <c r="G375" s="2019">
        <f>SUM(G371:G374)</f>
        <v>1011</v>
      </c>
      <c r="H375" s="2020">
        <f>G375/F375*100</f>
        <v>99.020568070519104</v>
      </c>
      <c r="I375" s="1994"/>
    </row>
    <row r="376" spans="1:9" ht="13.5" thickTop="1" x14ac:dyDescent="0.2"/>
    <row r="377" spans="1:9" ht="15" x14ac:dyDescent="0.25">
      <c r="A377" s="1979" t="s">
        <v>228</v>
      </c>
      <c r="B377" s="1993"/>
      <c r="C377" s="1993"/>
      <c r="D377" s="1993"/>
      <c r="F377" s="1994"/>
      <c r="G377" s="1994"/>
      <c r="H377" s="1994"/>
      <c r="I377" s="1994"/>
    </row>
    <row r="378" spans="1:9" ht="15.75" thickBot="1" x14ac:dyDescent="0.3">
      <c r="A378" s="1979" t="s">
        <v>229</v>
      </c>
      <c r="B378" s="1993"/>
      <c r="C378" s="1993"/>
      <c r="D378" s="1993"/>
      <c r="F378" s="1994"/>
      <c r="G378" s="1994"/>
      <c r="H378" s="1995" t="s">
        <v>161</v>
      </c>
      <c r="I378" s="1994"/>
    </row>
    <row r="379" spans="1:9" ht="25.5" thickTop="1" thickBot="1" x14ac:dyDescent="0.25">
      <c r="A379" s="1996" t="s">
        <v>162</v>
      </c>
      <c r="B379" s="1997" t="s">
        <v>761</v>
      </c>
      <c r="C379" s="1997" t="s">
        <v>377</v>
      </c>
      <c r="D379" s="1998" t="s">
        <v>164</v>
      </c>
      <c r="E379" s="1999" t="s">
        <v>632</v>
      </c>
      <c r="F379" s="1999" t="s">
        <v>633</v>
      </c>
      <c r="G379" s="2000" t="s">
        <v>882</v>
      </c>
      <c r="H379" s="2001" t="s">
        <v>883</v>
      </c>
      <c r="I379" s="1994"/>
    </row>
    <row r="380" spans="1:9" ht="14.25" thickTop="1" thickBot="1" x14ac:dyDescent="0.25">
      <c r="A380" s="2002">
        <v>1</v>
      </c>
      <c r="B380" s="2003">
        <v>2</v>
      </c>
      <c r="C380" s="2003">
        <v>3</v>
      </c>
      <c r="D380" s="2003">
        <v>5</v>
      </c>
      <c r="E380" s="2004">
        <v>6</v>
      </c>
      <c r="F380" s="2004">
        <v>7</v>
      </c>
      <c r="G380" s="2005">
        <v>8</v>
      </c>
      <c r="H380" s="2021" t="s">
        <v>762</v>
      </c>
      <c r="I380" s="1994"/>
    </row>
    <row r="381" spans="1:9" ht="15.75" thickTop="1" x14ac:dyDescent="0.25">
      <c r="A381" s="2033">
        <v>3299</v>
      </c>
      <c r="B381" s="2034">
        <v>5321</v>
      </c>
      <c r="C381" s="2034">
        <v>32133030</v>
      </c>
      <c r="D381" s="2035" t="s">
        <v>1201</v>
      </c>
      <c r="E381" s="2010">
        <v>0</v>
      </c>
      <c r="F381" s="2010">
        <v>49</v>
      </c>
      <c r="G381" s="2022">
        <v>44</v>
      </c>
      <c r="H381" s="2011">
        <f>G381/F381*100</f>
        <v>89.795918367346943</v>
      </c>
      <c r="I381" s="1994"/>
    </row>
    <row r="382" spans="1:9" ht="15.75" thickBot="1" x14ac:dyDescent="0.3">
      <c r="A382" s="2033">
        <v>3299</v>
      </c>
      <c r="B382" s="2034">
        <v>5321</v>
      </c>
      <c r="C382" s="2034">
        <v>32533030</v>
      </c>
      <c r="D382" s="2036" t="s">
        <v>1201</v>
      </c>
      <c r="E382" s="2015">
        <v>0</v>
      </c>
      <c r="F382" s="2015">
        <v>281</v>
      </c>
      <c r="G382" s="2023">
        <v>253</v>
      </c>
      <c r="H382" s="2016">
        <f>G382/F382*100</f>
        <v>90.035587188612098</v>
      </c>
      <c r="I382" s="1994"/>
    </row>
    <row r="383" spans="1:9" ht="15.75" hidden="1" thickBot="1" x14ac:dyDescent="0.3">
      <c r="A383" s="2033">
        <v>3299</v>
      </c>
      <c r="B383" s="2034">
        <v>6341</v>
      </c>
      <c r="C383" s="2034">
        <v>32133926</v>
      </c>
      <c r="D383" s="2035" t="s">
        <v>248</v>
      </c>
      <c r="E383" s="2015">
        <v>0</v>
      </c>
      <c r="F383" s="2015"/>
      <c r="G383" s="2023"/>
      <c r="H383" s="2016" t="e">
        <f>G383/F383*100</f>
        <v>#DIV/0!</v>
      </c>
      <c r="I383" s="1994"/>
    </row>
    <row r="384" spans="1:9" ht="15.75" hidden="1" thickBot="1" x14ac:dyDescent="0.3">
      <c r="A384" s="2037">
        <v>3299</v>
      </c>
      <c r="B384" s="2038">
        <v>6341</v>
      </c>
      <c r="C384" s="2038">
        <v>32533926</v>
      </c>
      <c r="D384" s="2035" t="s">
        <v>248</v>
      </c>
      <c r="E384" s="2015">
        <v>0</v>
      </c>
      <c r="F384" s="2015"/>
      <c r="G384" s="2023"/>
      <c r="H384" s="2016" t="e">
        <f>G384/F384*100</f>
        <v>#DIV/0!</v>
      </c>
      <c r="I384" s="1994"/>
    </row>
    <row r="385" spans="1:9" ht="16.5" thickTop="1" thickBot="1" x14ac:dyDescent="0.3">
      <c r="A385" s="2024" t="s">
        <v>763</v>
      </c>
      <c r="B385" s="2025"/>
      <c r="C385" s="2025"/>
      <c r="D385" s="2026"/>
      <c r="E385" s="2019">
        <f>SUM(E381:E384)</f>
        <v>0</v>
      </c>
      <c r="F385" s="2019">
        <f>SUM(F381:F384)</f>
        <v>330</v>
      </c>
      <c r="G385" s="2019">
        <f>SUM(G381:G384)</f>
        <v>297</v>
      </c>
      <c r="H385" s="2020">
        <f>G385/F385*100</f>
        <v>90</v>
      </c>
      <c r="I385" s="1994"/>
    </row>
    <row r="386" spans="1:9" ht="13.5" thickTop="1" x14ac:dyDescent="0.2"/>
    <row r="387" spans="1:9" ht="15" x14ac:dyDescent="0.25">
      <c r="A387" s="1979" t="s">
        <v>1747</v>
      </c>
      <c r="B387" s="1993"/>
      <c r="C387" s="1993"/>
      <c r="D387" s="1993"/>
      <c r="F387" s="1994"/>
      <c r="G387" s="1994"/>
      <c r="H387" s="1994"/>
      <c r="I387" s="1994"/>
    </row>
    <row r="388" spans="1:9" ht="15.75" thickBot="1" x14ac:dyDescent="0.3">
      <c r="A388" s="1979" t="s">
        <v>1748</v>
      </c>
      <c r="B388" s="1993"/>
      <c r="C388" s="1993"/>
      <c r="D388" s="1993"/>
      <c r="F388" s="1994"/>
      <c r="G388" s="1994"/>
      <c r="H388" s="1995" t="s">
        <v>161</v>
      </c>
      <c r="I388" s="1994"/>
    </row>
    <row r="389" spans="1:9" ht="25.5" thickTop="1" thickBot="1" x14ac:dyDescent="0.25">
      <c r="A389" s="1996" t="s">
        <v>162</v>
      </c>
      <c r="B389" s="1997" t="s">
        <v>761</v>
      </c>
      <c r="C389" s="1997" t="s">
        <v>377</v>
      </c>
      <c r="D389" s="1998" t="s">
        <v>164</v>
      </c>
      <c r="E389" s="1999" t="s">
        <v>632</v>
      </c>
      <c r="F389" s="1999" t="s">
        <v>633</v>
      </c>
      <c r="G389" s="2000" t="s">
        <v>882</v>
      </c>
      <c r="H389" s="2001" t="s">
        <v>883</v>
      </c>
      <c r="I389" s="1994"/>
    </row>
    <row r="390" spans="1:9" ht="14.25" thickTop="1" thickBot="1" x14ac:dyDescent="0.25">
      <c r="A390" s="2002">
        <v>1</v>
      </c>
      <c r="B390" s="2003">
        <v>2</v>
      </c>
      <c r="C390" s="2003">
        <v>3</v>
      </c>
      <c r="D390" s="2003">
        <v>5</v>
      </c>
      <c r="E390" s="2004">
        <v>6</v>
      </c>
      <c r="F390" s="2004">
        <v>7</v>
      </c>
      <c r="G390" s="2005">
        <v>8</v>
      </c>
      <c r="H390" s="2021" t="s">
        <v>762</v>
      </c>
      <c r="I390" s="1994"/>
    </row>
    <row r="391" spans="1:9" ht="15.75" thickTop="1" x14ac:dyDescent="0.25">
      <c r="A391" s="2033">
        <v>3299</v>
      </c>
      <c r="B391" s="2034">
        <v>5321</v>
      </c>
      <c r="C391" s="2034">
        <v>32133030</v>
      </c>
      <c r="D391" s="2035" t="s">
        <v>1201</v>
      </c>
      <c r="E391" s="2010">
        <v>0</v>
      </c>
      <c r="F391" s="2010">
        <v>310</v>
      </c>
      <c r="G391" s="2022">
        <v>251</v>
      </c>
      <c r="H391" s="2011">
        <f>G391/F391*100</f>
        <v>80.967741935483872</v>
      </c>
      <c r="I391" s="1994"/>
    </row>
    <row r="392" spans="1:9" ht="15.75" thickBot="1" x14ac:dyDescent="0.3">
      <c r="A392" s="2033">
        <v>3299</v>
      </c>
      <c r="B392" s="2034">
        <v>5321</v>
      </c>
      <c r="C392" s="2034">
        <v>32533030</v>
      </c>
      <c r="D392" s="2036" t="s">
        <v>1201</v>
      </c>
      <c r="E392" s="2015">
        <v>0</v>
      </c>
      <c r="F392" s="2015">
        <v>1757</v>
      </c>
      <c r="G392" s="2023">
        <v>1421</v>
      </c>
      <c r="H392" s="2016">
        <f>G392/F392*100</f>
        <v>80.876494023904371</v>
      </c>
      <c r="I392" s="1994"/>
    </row>
    <row r="393" spans="1:9" ht="15.75" hidden="1" thickBot="1" x14ac:dyDescent="0.3">
      <c r="A393" s="2033">
        <v>3299</v>
      </c>
      <c r="B393" s="2034">
        <v>6341</v>
      </c>
      <c r="C393" s="2034">
        <v>32133926</v>
      </c>
      <c r="D393" s="2035" t="s">
        <v>248</v>
      </c>
      <c r="E393" s="2015">
        <v>0</v>
      </c>
      <c r="F393" s="2015"/>
      <c r="G393" s="2023"/>
      <c r="H393" s="2016" t="e">
        <f>G393/F393*100</f>
        <v>#DIV/0!</v>
      </c>
      <c r="I393" s="1994"/>
    </row>
    <row r="394" spans="1:9" ht="15.75" hidden="1" thickBot="1" x14ac:dyDescent="0.3">
      <c r="A394" s="2037">
        <v>3299</v>
      </c>
      <c r="B394" s="2038">
        <v>6341</v>
      </c>
      <c r="C394" s="2038">
        <v>32533926</v>
      </c>
      <c r="D394" s="2035" t="s">
        <v>248</v>
      </c>
      <c r="E394" s="2015">
        <v>0</v>
      </c>
      <c r="F394" s="2015"/>
      <c r="G394" s="2023"/>
      <c r="H394" s="2016" t="e">
        <f>G394/F394*100</f>
        <v>#DIV/0!</v>
      </c>
      <c r="I394" s="1994"/>
    </row>
    <row r="395" spans="1:9" ht="16.5" thickTop="1" thickBot="1" x14ac:dyDescent="0.3">
      <c r="A395" s="2024" t="s">
        <v>763</v>
      </c>
      <c r="B395" s="2025"/>
      <c r="C395" s="2025"/>
      <c r="D395" s="2026"/>
      <c r="E395" s="2019">
        <f>SUM(E391:E394)</f>
        <v>0</v>
      </c>
      <c r="F395" s="2019">
        <f>SUM(F391:F394)</f>
        <v>2067</v>
      </c>
      <c r="G395" s="2019">
        <f>SUM(G391:G394)</f>
        <v>1672</v>
      </c>
      <c r="H395" s="2020">
        <f>G395/F395*100</f>
        <v>80.89017900338655</v>
      </c>
      <c r="I395" s="1994"/>
    </row>
    <row r="396" spans="1:9" ht="13.5" thickTop="1" x14ac:dyDescent="0.2"/>
    <row r="397" spans="1:9" ht="15" x14ac:dyDescent="0.25">
      <c r="A397" s="1979" t="s">
        <v>1749</v>
      </c>
      <c r="B397" s="1993"/>
      <c r="C397" s="1993"/>
      <c r="D397" s="1993"/>
      <c r="F397" s="1994"/>
      <c r="G397" s="1994"/>
      <c r="H397" s="1994"/>
      <c r="I397" s="1994"/>
    </row>
    <row r="398" spans="1:9" ht="15.75" thickBot="1" x14ac:dyDescent="0.3">
      <c r="A398" s="1979" t="s">
        <v>1750</v>
      </c>
      <c r="B398" s="1993"/>
      <c r="C398" s="1993"/>
      <c r="D398" s="1993"/>
      <c r="F398" s="1994"/>
      <c r="G398" s="1994"/>
      <c r="H398" s="1995" t="s">
        <v>161</v>
      </c>
      <c r="I398" s="1994"/>
    </row>
    <row r="399" spans="1:9" ht="25.5" thickTop="1" thickBot="1" x14ac:dyDescent="0.25">
      <c r="A399" s="1996" t="s">
        <v>162</v>
      </c>
      <c r="B399" s="1997" t="s">
        <v>761</v>
      </c>
      <c r="C399" s="1997" t="s">
        <v>377</v>
      </c>
      <c r="D399" s="1998" t="s">
        <v>164</v>
      </c>
      <c r="E399" s="1999" t="s">
        <v>632</v>
      </c>
      <c r="F399" s="1999" t="s">
        <v>633</v>
      </c>
      <c r="G399" s="2000" t="s">
        <v>882</v>
      </c>
      <c r="H399" s="2001" t="s">
        <v>883</v>
      </c>
      <c r="I399" s="1994"/>
    </row>
    <row r="400" spans="1:9" ht="14.25" thickTop="1" thickBot="1" x14ac:dyDescent="0.25">
      <c r="A400" s="2002">
        <v>1</v>
      </c>
      <c r="B400" s="2003">
        <v>2</v>
      </c>
      <c r="C400" s="2003">
        <v>3</v>
      </c>
      <c r="D400" s="2003">
        <v>5</v>
      </c>
      <c r="E400" s="2004">
        <v>6</v>
      </c>
      <c r="F400" s="2004">
        <v>7</v>
      </c>
      <c r="G400" s="2005">
        <v>8</v>
      </c>
      <c r="H400" s="2021" t="s">
        <v>762</v>
      </c>
      <c r="I400" s="1994"/>
    </row>
    <row r="401" spans="1:9" ht="15.75" thickTop="1" x14ac:dyDescent="0.25">
      <c r="A401" s="2033">
        <v>3299</v>
      </c>
      <c r="B401" s="2034">
        <v>5321</v>
      </c>
      <c r="C401" s="2034">
        <v>32133030</v>
      </c>
      <c r="D401" s="2035" t="s">
        <v>1201</v>
      </c>
      <c r="E401" s="2010">
        <v>0</v>
      </c>
      <c r="F401" s="2010">
        <v>164</v>
      </c>
      <c r="G401" s="2022">
        <v>140</v>
      </c>
      <c r="H401" s="2011">
        <f>G401/F401*100</f>
        <v>85.365853658536579</v>
      </c>
      <c r="I401" s="1994"/>
    </row>
    <row r="402" spans="1:9" ht="15.75" thickBot="1" x14ac:dyDescent="0.3">
      <c r="A402" s="2033">
        <v>3299</v>
      </c>
      <c r="B402" s="2034">
        <v>5321</v>
      </c>
      <c r="C402" s="2034">
        <v>32533030</v>
      </c>
      <c r="D402" s="2036" t="s">
        <v>1201</v>
      </c>
      <c r="E402" s="2015">
        <v>0</v>
      </c>
      <c r="F402" s="2015">
        <v>928</v>
      </c>
      <c r="G402" s="2023">
        <v>792</v>
      </c>
      <c r="H402" s="2016">
        <f>G402/F402*100</f>
        <v>85.34482758620689</v>
      </c>
      <c r="I402" s="1994"/>
    </row>
    <row r="403" spans="1:9" ht="15.75" hidden="1" thickBot="1" x14ac:dyDescent="0.3">
      <c r="A403" s="2033">
        <v>3299</v>
      </c>
      <c r="B403" s="2034">
        <v>6341</v>
      </c>
      <c r="C403" s="2034">
        <v>32133926</v>
      </c>
      <c r="D403" s="2035" t="s">
        <v>248</v>
      </c>
      <c r="E403" s="2015">
        <v>0</v>
      </c>
      <c r="F403" s="2015"/>
      <c r="G403" s="2023"/>
      <c r="H403" s="2016" t="e">
        <f>G403/F403*100</f>
        <v>#DIV/0!</v>
      </c>
      <c r="I403" s="1994"/>
    </row>
    <row r="404" spans="1:9" ht="15.75" hidden="1" thickBot="1" x14ac:dyDescent="0.3">
      <c r="A404" s="2037">
        <v>3299</v>
      </c>
      <c r="B404" s="2038">
        <v>6341</v>
      </c>
      <c r="C404" s="2038">
        <v>32533926</v>
      </c>
      <c r="D404" s="2035" t="s">
        <v>248</v>
      </c>
      <c r="E404" s="2015">
        <v>0</v>
      </c>
      <c r="F404" s="2015"/>
      <c r="G404" s="2023"/>
      <c r="H404" s="2016" t="e">
        <f>G404/F404*100</f>
        <v>#DIV/0!</v>
      </c>
      <c r="I404" s="1994"/>
    </row>
    <row r="405" spans="1:9" ht="16.5" thickTop="1" thickBot="1" x14ac:dyDescent="0.3">
      <c r="A405" s="2024" t="s">
        <v>763</v>
      </c>
      <c r="B405" s="2025"/>
      <c r="C405" s="2025"/>
      <c r="D405" s="2026"/>
      <c r="E405" s="2019">
        <f>SUM(E401:E404)</f>
        <v>0</v>
      </c>
      <c r="F405" s="2019">
        <f>SUM(F401:F404)</f>
        <v>1092</v>
      </c>
      <c r="G405" s="2019">
        <f>SUM(G401:G404)</f>
        <v>932</v>
      </c>
      <c r="H405" s="2020">
        <f>G405/F405*100</f>
        <v>85.347985347985343</v>
      </c>
      <c r="I405" s="1994"/>
    </row>
    <row r="406" spans="1:9" ht="13.5" thickTop="1" x14ac:dyDescent="0.2"/>
    <row r="407" spans="1:9" ht="15" x14ac:dyDescent="0.25">
      <c r="A407" s="1979" t="s">
        <v>1751</v>
      </c>
      <c r="B407" s="1993"/>
      <c r="C407" s="1993"/>
      <c r="D407" s="1993"/>
      <c r="F407" s="1994"/>
      <c r="G407" s="1994"/>
      <c r="H407" s="1994"/>
      <c r="I407" s="1994"/>
    </row>
    <row r="408" spans="1:9" ht="15.75" thickBot="1" x14ac:dyDescent="0.3">
      <c r="A408" s="1979" t="s">
        <v>1752</v>
      </c>
      <c r="B408" s="1993"/>
      <c r="C408" s="1993"/>
      <c r="D408" s="1993"/>
      <c r="F408" s="1994"/>
      <c r="G408" s="1994"/>
      <c r="H408" s="1995" t="s">
        <v>161</v>
      </c>
      <c r="I408" s="1994"/>
    </row>
    <row r="409" spans="1:9" ht="25.5" thickTop="1" thickBot="1" x14ac:dyDescent="0.25">
      <c r="A409" s="1996" t="s">
        <v>162</v>
      </c>
      <c r="B409" s="1997" t="s">
        <v>761</v>
      </c>
      <c r="C409" s="1997" t="s">
        <v>377</v>
      </c>
      <c r="D409" s="1998" t="s">
        <v>164</v>
      </c>
      <c r="E409" s="1999" t="s">
        <v>632</v>
      </c>
      <c r="F409" s="1999" t="s">
        <v>633</v>
      </c>
      <c r="G409" s="2000" t="s">
        <v>882</v>
      </c>
      <c r="H409" s="2001" t="s">
        <v>883</v>
      </c>
      <c r="I409" s="1994"/>
    </row>
    <row r="410" spans="1:9" ht="14.25" thickTop="1" thickBot="1" x14ac:dyDescent="0.25">
      <c r="A410" s="2002">
        <v>1</v>
      </c>
      <c r="B410" s="2003">
        <v>2</v>
      </c>
      <c r="C410" s="2003">
        <v>3</v>
      </c>
      <c r="D410" s="2003">
        <v>5</v>
      </c>
      <c r="E410" s="2004">
        <v>6</v>
      </c>
      <c r="F410" s="2004">
        <v>7</v>
      </c>
      <c r="G410" s="2005">
        <v>8</v>
      </c>
      <c r="H410" s="2021" t="s">
        <v>762</v>
      </c>
      <c r="I410" s="1994"/>
    </row>
    <row r="411" spans="1:9" ht="15.75" thickTop="1" x14ac:dyDescent="0.25">
      <c r="A411" s="2033">
        <v>3299</v>
      </c>
      <c r="B411" s="2034">
        <v>5321</v>
      </c>
      <c r="C411" s="2034">
        <v>32133030</v>
      </c>
      <c r="D411" s="2035" t="s">
        <v>1201</v>
      </c>
      <c r="E411" s="2010">
        <v>0</v>
      </c>
      <c r="F411" s="2010">
        <v>132</v>
      </c>
      <c r="G411" s="2022">
        <v>100</v>
      </c>
      <c r="H411" s="2011">
        <f>G411/F411*100</f>
        <v>75.757575757575751</v>
      </c>
      <c r="I411" s="1994"/>
    </row>
    <row r="412" spans="1:9" ht="15.75" thickBot="1" x14ac:dyDescent="0.3">
      <c r="A412" s="2033">
        <v>3299</v>
      </c>
      <c r="B412" s="2034">
        <v>5321</v>
      </c>
      <c r="C412" s="2034">
        <v>32533030</v>
      </c>
      <c r="D412" s="2036" t="s">
        <v>1201</v>
      </c>
      <c r="E412" s="2015">
        <v>0</v>
      </c>
      <c r="F412" s="2015">
        <v>748</v>
      </c>
      <c r="G412" s="2023">
        <v>568</v>
      </c>
      <c r="H412" s="2016">
        <f>G412/F412*100</f>
        <v>75.935828877005349</v>
      </c>
      <c r="I412" s="1994"/>
    </row>
    <row r="413" spans="1:9" ht="15.75" hidden="1" thickBot="1" x14ac:dyDescent="0.3">
      <c r="A413" s="2033">
        <v>3299</v>
      </c>
      <c r="B413" s="2034">
        <v>6341</v>
      </c>
      <c r="C413" s="2034">
        <v>32133926</v>
      </c>
      <c r="D413" s="2035" t="s">
        <v>248</v>
      </c>
      <c r="E413" s="2015">
        <v>0</v>
      </c>
      <c r="F413" s="2015"/>
      <c r="G413" s="2023"/>
      <c r="H413" s="2016" t="e">
        <f>G413/F413*100</f>
        <v>#DIV/0!</v>
      </c>
      <c r="I413" s="1994"/>
    </row>
    <row r="414" spans="1:9" ht="15.75" hidden="1" thickBot="1" x14ac:dyDescent="0.3">
      <c r="A414" s="2037">
        <v>3299</v>
      </c>
      <c r="B414" s="2038">
        <v>6341</v>
      </c>
      <c r="C414" s="2038">
        <v>32533926</v>
      </c>
      <c r="D414" s="2035" t="s">
        <v>248</v>
      </c>
      <c r="E414" s="2015">
        <v>0</v>
      </c>
      <c r="F414" s="2015"/>
      <c r="G414" s="2023"/>
      <c r="H414" s="2016" t="e">
        <f>G414/F414*100</f>
        <v>#DIV/0!</v>
      </c>
      <c r="I414" s="1994"/>
    </row>
    <row r="415" spans="1:9" ht="16.5" thickTop="1" thickBot="1" x14ac:dyDescent="0.3">
      <c r="A415" s="2024" t="s">
        <v>763</v>
      </c>
      <c r="B415" s="2025"/>
      <c r="C415" s="2025"/>
      <c r="D415" s="2026"/>
      <c r="E415" s="2019">
        <f>SUM(E411:E414)</f>
        <v>0</v>
      </c>
      <c r="F415" s="2019">
        <f>SUM(F411:F414)</f>
        <v>880</v>
      </c>
      <c r="G415" s="2019">
        <f>SUM(G411:G414)</f>
        <v>668</v>
      </c>
      <c r="H415" s="2020">
        <f>G415/F415*100</f>
        <v>75.909090909090907</v>
      </c>
      <c r="I415" s="1994"/>
    </row>
    <row r="416" spans="1:9" ht="13.5" thickTop="1" x14ac:dyDescent="0.2"/>
    <row r="417" spans="1:9" ht="15" x14ac:dyDescent="0.25">
      <c r="A417" s="1979" t="s">
        <v>1753</v>
      </c>
      <c r="B417" s="1993"/>
      <c r="C417" s="1993"/>
      <c r="D417" s="1993"/>
      <c r="F417" s="1994"/>
      <c r="G417" s="1994"/>
      <c r="H417" s="1994"/>
      <c r="I417" s="1994"/>
    </row>
    <row r="418" spans="1:9" ht="15.75" thickBot="1" x14ac:dyDescent="0.3">
      <c r="A418" s="1979" t="s">
        <v>1754</v>
      </c>
      <c r="B418" s="1993"/>
      <c r="C418" s="1993"/>
      <c r="D418" s="1993"/>
      <c r="F418" s="1994"/>
      <c r="G418" s="1994"/>
      <c r="H418" s="1995" t="s">
        <v>161</v>
      </c>
      <c r="I418" s="1994"/>
    </row>
    <row r="419" spans="1:9" ht="25.5" thickTop="1" thickBot="1" x14ac:dyDescent="0.25">
      <c r="A419" s="1996" t="s">
        <v>162</v>
      </c>
      <c r="B419" s="1997" t="s">
        <v>761</v>
      </c>
      <c r="C419" s="1997" t="s">
        <v>377</v>
      </c>
      <c r="D419" s="1998" t="s">
        <v>164</v>
      </c>
      <c r="E419" s="1999" t="s">
        <v>632</v>
      </c>
      <c r="F419" s="1999" t="s">
        <v>633</v>
      </c>
      <c r="G419" s="2000" t="s">
        <v>882</v>
      </c>
      <c r="H419" s="2001" t="s">
        <v>883</v>
      </c>
      <c r="I419" s="1994"/>
    </row>
    <row r="420" spans="1:9" ht="14.25" thickTop="1" thickBot="1" x14ac:dyDescent="0.25">
      <c r="A420" s="2002">
        <v>1</v>
      </c>
      <c r="B420" s="2003">
        <v>2</v>
      </c>
      <c r="C420" s="2003">
        <v>3</v>
      </c>
      <c r="D420" s="2003">
        <v>5</v>
      </c>
      <c r="E420" s="2004">
        <v>6</v>
      </c>
      <c r="F420" s="2004">
        <v>7</v>
      </c>
      <c r="G420" s="2005">
        <v>8</v>
      </c>
      <c r="H420" s="2021" t="s">
        <v>762</v>
      </c>
      <c r="I420" s="1994"/>
    </row>
    <row r="421" spans="1:9" ht="15.75" thickTop="1" x14ac:dyDescent="0.25">
      <c r="A421" s="2033">
        <v>3299</v>
      </c>
      <c r="B421" s="2034">
        <v>5321</v>
      </c>
      <c r="C421" s="2034">
        <v>32133030</v>
      </c>
      <c r="D421" s="2035" t="s">
        <v>1201</v>
      </c>
      <c r="E421" s="2010">
        <v>0</v>
      </c>
      <c r="F421" s="2010">
        <v>226</v>
      </c>
      <c r="G421" s="2022">
        <v>141</v>
      </c>
      <c r="H421" s="2011">
        <f>G421/F421*100</f>
        <v>62.389380530973447</v>
      </c>
      <c r="I421" s="1994"/>
    </row>
    <row r="422" spans="1:9" ht="15.75" thickBot="1" x14ac:dyDescent="0.3">
      <c r="A422" s="2033">
        <v>3299</v>
      </c>
      <c r="B422" s="2034">
        <v>5321</v>
      </c>
      <c r="C422" s="2034">
        <v>32533030</v>
      </c>
      <c r="D422" s="2036" t="s">
        <v>1201</v>
      </c>
      <c r="E422" s="2015">
        <v>0</v>
      </c>
      <c r="F422" s="2015">
        <v>1284</v>
      </c>
      <c r="G422" s="2023">
        <v>801</v>
      </c>
      <c r="H422" s="2016">
        <f>G422/F422*100</f>
        <v>62.383177570093466</v>
      </c>
      <c r="I422" s="1994"/>
    </row>
    <row r="423" spans="1:9" ht="15.75" hidden="1" thickBot="1" x14ac:dyDescent="0.3">
      <c r="A423" s="2033">
        <v>3299</v>
      </c>
      <c r="B423" s="2034">
        <v>6341</v>
      </c>
      <c r="C423" s="2034">
        <v>32133926</v>
      </c>
      <c r="D423" s="2035" t="s">
        <v>248</v>
      </c>
      <c r="E423" s="2015">
        <v>0</v>
      </c>
      <c r="F423" s="2015"/>
      <c r="G423" s="2023"/>
      <c r="H423" s="2016" t="e">
        <f>G423/F423*100</f>
        <v>#DIV/0!</v>
      </c>
      <c r="I423" s="1994"/>
    </row>
    <row r="424" spans="1:9" ht="15.75" hidden="1" thickBot="1" x14ac:dyDescent="0.3">
      <c r="A424" s="2037">
        <v>3299</v>
      </c>
      <c r="B424" s="2038">
        <v>6341</v>
      </c>
      <c r="C424" s="2038">
        <v>32533926</v>
      </c>
      <c r="D424" s="2035" t="s">
        <v>248</v>
      </c>
      <c r="E424" s="2015">
        <v>0</v>
      </c>
      <c r="F424" s="2015"/>
      <c r="G424" s="2023"/>
      <c r="H424" s="2016" t="e">
        <f>G424/F424*100</f>
        <v>#DIV/0!</v>
      </c>
      <c r="I424" s="1994"/>
    </row>
    <row r="425" spans="1:9" ht="16.5" thickTop="1" thickBot="1" x14ac:dyDescent="0.3">
      <c r="A425" s="2024" t="s">
        <v>763</v>
      </c>
      <c r="B425" s="2025"/>
      <c r="C425" s="2025"/>
      <c r="D425" s="2026"/>
      <c r="E425" s="2019">
        <f>SUM(E421:E424)</f>
        <v>0</v>
      </c>
      <c r="F425" s="2019">
        <f>SUM(F421:F424)</f>
        <v>1510</v>
      </c>
      <c r="G425" s="2019">
        <f>SUM(G421:G424)</f>
        <v>942</v>
      </c>
      <c r="H425" s="2020">
        <f>G425/F425*100</f>
        <v>62.384105960264904</v>
      </c>
      <c r="I425" s="1994"/>
    </row>
    <row r="426" spans="1:9" ht="13.5" thickTop="1" x14ac:dyDescent="0.2"/>
    <row r="427" spans="1:9" ht="15" x14ac:dyDescent="0.25">
      <c r="A427" s="1979" t="s">
        <v>1561</v>
      </c>
      <c r="B427" s="1993"/>
      <c r="C427" s="1993"/>
      <c r="D427" s="1993"/>
      <c r="F427" s="1994"/>
      <c r="G427" s="1994"/>
      <c r="H427" s="1994"/>
      <c r="I427" s="1994"/>
    </row>
    <row r="428" spans="1:9" ht="15.75" thickBot="1" x14ac:dyDescent="0.3">
      <c r="A428" s="1979" t="s">
        <v>1562</v>
      </c>
      <c r="B428" s="1993"/>
      <c r="C428" s="1993"/>
      <c r="D428" s="1993"/>
      <c r="F428" s="1994"/>
      <c r="G428" s="1994"/>
      <c r="H428" s="1995" t="s">
        <v>161</v>
      </c>
      <c r="I428" s="1994"/>
    </row>
    <row r="429" spans="1:9" ht="25.5" thickTop="1" thickBot="1" x14ac:dyDescent="0.25">
      <c r="A429" s="1996" t="s">
        <v>162</v>
      </c>
      <c r="B429" s="1997" t="s">
        <v>761</v>
      </c>
      <c r="C429" s="1997" t="s">
        <v>377</v>
      </c>
      <c r="D429" s="1998" t="s">
        <v>164</v>
      </c>
      <c r="E429" s="1999" t="s">
        <v>632</v>
      </c>
      <c r="F429" s="1999" t="s">
        <v>633</v>
      </c>
      <c r="G429" s="2000" t="s">
        <v>882</v>
      </c>
      <c r="H429" s="2001" t="s">
        <v>883</v>
      </c>
      <c r="I429" s="1994"/>
    </row>
    <row r="430" spans="1:9" ht="14.25" thickTop="1" thickBot="1" x14ac:dyDescent="0.25">
      <c r="A430" s="2002">
        <v>1</v>
      </c>
      <c r="B430" s="2003">
        <v>2</v>
      </c>
      <c r="C430" s="2003">
        <v>3</v>
      </c>
      <c r="D430" s="2003">
        <v>5</v>
      </c>
      <c r="E430" s="2004">
        <v>6</v>
      </c>
      <c r="F430" s="2004">
        <v>7</v>
      </c>
      <c r="G430" s="2005">
        <v>8</v>
      </c>
      <c r="H430" s="2021" t="s">
        <v>762</v>
      </c>
      <c r="I430" s="1994"/>
    </row>
    <row r="431" spans="1:9" ht="15.75" thickTop="1" x14ac:dyDescent="0.25">
      <c r="A431" s="2033">
        <v>3299</v>
      </c>
      <c r="B431" s="2034">
        <v>5321</v>
      </c>
      <c r="C431" s="2034">
        <v>32133030</v>
      </c>
      <c r="D431" s="2035" t="s">
        <v>1201</v>
      </c>
      <c r="E431" s="2010">
        <v>0</v>
      </c>
      <c r="F431" s="2010">
        <v>87</v>
      </c>
      <c r="G431" s="2022">
        <v>85</v>
      </c>
      <c r="H431" s="2011">
        <f>G431/F431*100</f>
        <v>97.701149425287355</v>
      </c>
      <c r="I431" s="1994"/>
    </row>
    <row r="432" spans="1:9" ht="15.75" thickBot="1" x14ac:dyDescent="0.3">
      <c r="A432" s="2033">
        <v>3299</v>
      </c>
      <c r="B432" s="2034">
        <v>5321</v>
      </c>
      <c r="C432" s="2034">
        <v>32533030</v>
      </c>
      <c r="D432" s="2036" t="s">
        <v>1201</v>
      </c>
      <c r="E432" s="2015">
        <v>0</v>
      </c>
      <c r="F432" s="2015">
        <v>495</v>
      </c>
      <c r="G432" s="2023">
        <v>484</v>
      </c>
      <c r="H432" s="2016">
        <f>G432/F432*100</f>
        <v>97.777777777777771</v>
      </c>
      <c r="I432" s="1994"/>
    </row>
    <row r="433" spans="1:9" ht="15.75" hidden="1" thickBot="1" x14ac:dyDescent="0.3">
      <c r="A433" s="2033">
        <v>3299</v>
      </c>
      <c r="B433" s="2034">
        <v>6341</v>
      </c>
      <c r="C433" s="2034">
        <v>32133926</v>
      </c>
      <c r="D433" s="2035" t="s">
        <v>248</v>
      </c>
      <c r="E433" s="2015">
        <v>0</v>
      </c>
      <c r="F433" s="2015"/>
      <c r="G433" s="2023"/>
      <c r="H433" s="2016" t="e">
        <f>G433/F433*100</f>
        <v>#DIV/0!</v>
      </c>
      <c r="I433" s="1994"/>
    </row>
    <row r="434" spans="1:9" ht="15.75" hidden="1" thickBot="1" x14ac:dyDescent="0.3">
      <c r="A434" s="2037">
        <v>3299</v>
      </c>
      <c r="B434" s="2038">
        <v>6341</v>
      </c>
      <c r="C434" s="2038">
        <v>32533926</v>
      </c>
      <c r="D434" s="2035" t="s">
        <v>248</v>
      </c>
      <c r="E434" s="2015">
        <v>0</v>
      </c>
      <c r="F434" s="2015"/>
      <c r="G434" s="2023"/>
      <c r="H434" s="2016" t="e">
        <f>G434/F434*100</f>
        <v>#DIV/0!</v>
      </c>
      <c r="I434" s="1994"/>
    </row>
    <row r="435" spans="1:9" ht="16.5" thickTop="1" thickBot="1" x14ac:dyDescent="0.3">
      <c r="A435" s="2024" t="s">
        <v>763</v>
      </c>
      <c r="B435" s="2025"/>
      <c r="C435" s="2025"/>
      <c r="D435" s="2026"/>
      <c r="E435" s="2019">
        <f>SUM(E431:E434)</f>
        <v>0</v>
      </c>
      <c r="F435" s="2019">
        <f>SUM(F431:F434)</f>
        <v>582</v>
      </c>
      <c r="G435" s="2019">
        <f>SUM(G431:G434)</f>
        <v>569</v>
      </c>
      <c r="H435" s="2020">
        <f>G435/F435*100</f>
        <v>97.766323024054984</v>
      </c>
      <c r="I435" s="1994"/>
    </row>
    <row r="436" spans="1:9" ht="13.5" thickTop="1" x14ac:dyDescent="0.2"/>
    <row r="437" spans="1:9" ht="15" x14ac:dyDescent="0.25">
      <c r="A437" s="1979" t="s">
        <v>1755</v>
      </c>
      <c r="B437" s="1993"/>
      <c r="C437" s="1993"/>
      <c r="D437" s="1993"/>
      <c r="F437" s="1994"/>
      <c r="G437" s="1994"/>
      <c r="H437" s="1994"/>
      <c r="I437" s="1994"/>
    </row>
    <row r="438" spans="1:9" ht="15.75" thickBot="1" x14ac:dyDescent="0.3">
      <c r="A438" s="1979" t="s">
        <v>1145</v>
      </c>
      <c r="B438" s="1993"/>
      <c r="C438" s="1993"/>
      <c r="D438" s="1993"/>
      <c r="F438" s="1994"/>
      <c r="G438" s="1994"/>
      <c r="H438" s="1995" t="s">
        <v>161</v>
      </c>
      <c r="I438" s="1994"/>
    </row>
    <row r="439" spans="1:9" ht="25.5" thickTop="1" thickBot="1" x14ac:dyDescent="0.25">
      <c r="A439" s="1996" t="s">
        <v>162</v>
      </c>
      <c r="B439" s="1997" t="s">
        <v>761</v>
      </c>
      <c r="C439" s="1997" t="s">
        <v>377</v>
      </c>
      <c r="D439" s="1998" t="s">
        <v>164</v>
      </c>
      <c r="E439" s="1999" t="s">
        <v>632</v>
      </c>
      <c r="F439" s="1999" t="s">
        <v>633</v>
      </c>
      <c r="G439" s="2000" t="s">
        <v>882</v>
      </c>
      <c r="H439" s="2001" t="s">
        <v>883</v>
      </c>
      <c r="I439" s="1994"/>
    </row>
    <row r="440" spans="1:9" ht="14.25" thickTop="1" thickBot="1" x14ac:dyDescent="0.25">
      <c r="A440" s="2002">
        <v>1</v>
      </c>
      <c r="B440" s="2003">
        <v>2</v>
      </c>
      <c r="C440" s="2003">
        <v>3</v>
      </c>
      <c r="D440" s="2003">
        <v>5</v>
      </c>
      <c r="E440" s="2004">
        <v>6</v>
      </c>
      <c r="F440" s="2004">
        <v>7</v>
      </c>
      <c r="G440" s="2005">
        <v>8</v>
      </c>
      <c r="H440" s="2021" t="s">
        <v>762</v>
      </c>
      <c r="I440" s="1994"/>
    </row>
    <row r="441" spans="1:9" ht="15.75" thickTop="1" x14ac:dyDescent="0.25">
      <c r="A441" s="2033">
        <v>3299</v>
      </c>
      <c r="B441" s="2034">
        <v>5321</v>
      </c>
      <c r="C441" s="2034">
        <v>32133030</v>
      </c>
      <c r="D441" s="2035" t="s">
        <v>1201</v>
      </c>
      <c r="E441" s="2010">
        <v>0</v>
      </c>
      <c r="F441" s="2010">
        <v>286</v>
      </c>
      <c r="G441" s="2022">
        <v>236</v>
      </c>
      <c r="H441" s="2011">
        <f>G441/F441*100</f>
        <v>82.51748251748252</v>
      </c>
      <c r="I441" s="1994"/>
    </row>
    <row r="442" spans="1:9" ht="15.75" thickBot="1" x14ac:dyDescent="0.3">
      <c r="A442" s="2033">
        <v>3299</v>
      </c>
      <c r="B442" s="2034">
        <v>5321</v>
      </c>
      <c r="C442" s="2034">
        <v>32533030</v>
      </c>
      <c r="D442" s="2036" t="s">
        <v>1201</v>
      </c>
      <c r="E442" s="2015">
        <v>0</v>
      </c>
      <c r="F442" s="2015">
        <v>1624</v>
      </c>
      <c r="G442" s="2023">
        <v>1337</v>
      </c>
      <c r="H442" s="2016">
        <f>G442/F442*100</f>
        <v>82.327586206896555</v>
      </c>
      <c r="I442" s="1994"/>
    </row>
    <row r="443" spans="1:9" ht="15.75" hidden="1" thickBot="1" x14ac:dyDescent="0.3">
      <c r="A443" s="2033">
        <v>3299</v>
      </c>
      <c r="B443" s="2034">
        <v>6341</v>
      </c>
      <c r="C443" s="2034">
        <v>32133926</v>
      </c>
      <c r="D443" s="2035" t="s">
        <v>248</v>
      </c>
      <c r="E443" s="2015">
        <v>0</v>
      </c>
      <c r="F443" s="2015"/>
      <c r="G443" s="2023"/>
      <c r="H443" s="2016" t="e">
        <f>G443/F443*100</f>
        <v>#DIV/0!</v>
      </c>
      <c r="I443" s="1994"/>
    </row>
    <row r="444" spans="1:9" ht="15.75" hidden="1" thickBot="1" x14ac:dyDescent="0.3">
      <c r="A444" s="2037">
        <v>3299</v>
      </c>
      <c r="B444" s="2038">
        <v>6341</v>
      </c>
      <c r="C444" s="2038">
        <v>32533926</v>
      </c>
      <c r="D444" s="2035" t="s">
        <v>248</v>
      </c>
      <c r="E444" s="2015">
        <v>0</v>
      </c>
      <c r="F444" s="2015"/>
      <c r="G444" s="2023"/>
      <c r="H444" s="2016" t="e">
        <f>G444/F444*100</f>
        <v>#DIV/0!</v>
      </c>
      <c r="I444" s="1994"/>
    </row>
    <row r="445" spans="1:9" ht="16.5" thickTop="1" thickBot="1" x14ac:dyDescent="0.3">
      <c r="A445" s="2024" t="s">
        <v>763</v>
      </c>
      <c r="B445" s="2025"/>
      <c r="C445" s="2025"/>
      <c r="D445" s="2026"/>
      <c r="E445" s="2019">
        <f>SUM(E441:E444)</f>
        <v>0</v>
      </c>
      <c r="F445" s="2019">
        <f>SUM(F441:F444)</f>
        <v>1910</v>
      </c>
      <c r="G445" s="2019">
        <f>SUM(G441:G444)</f>
        <v>1573</v>
      </c>
      <c r="H445" s="2020">
        <f>G445/F445*100</f>
        <v>82.356020942408378</v>
      </c>
      <c r="I445" s="1994"/>
    </row>
    <row r="446" spans="1:9" ht="13.5" thickTop="1" x14ac:dyDescent="0.2"/>
    <row r="447" spans="1:9" ht="15" x14ac:dyDescent="0.25">
      <c r="A447" s="1979" t="s">
        <v>1563</v>
      </c>
      <c r="B447" s="1993"/>
      <c r="C447" s="1993"/>
      <c r="D447" s="1993"/>
      <c r="F447" s="1994"/>
      <c r="G447" s="1994"/>
      <c r="H447" s="1994"/>
      <c r="I447" s="1994"/>
    </row>
    <row r="448" spans="1:9" ht="15.75" thickBot="1" x14ac:dyDescent="0.3">
      <c r="A448" s="1979" t="s">
        <v>1564</v>
      </c>
      <c r="B448" s="1993"/>
      <c r="C448" s="1993"/>
      <c r="D448" s="1993"/>
      <c r="F448" s="1994"/>
      <c r="G448" s="1994"/>
      <c r="H448" s="1995" t="s">
        <v>161</v>
      </c>
      <c r="I448" s="1994"/>
    </row>
    <row r="449" spans="1:12" ht="25.5" thickTop="1" thickBot="1" x14ac:dyDescent="0.25">
      <c r="A449" s="1996" t="s">
        <v>162</v>
      </c>
      <c r="B449" s="1997" t="s">
        <v>761</v>
      </c>
      <c r="C449" s="1997" t="s">
        <v>377</v>
      </c>
      <c r="D449" s="1998" t="s">
        <v>164</v>
      </c>
      <c r="E449" s="1999" t="s">
        <v>632</v>
      </c>
      <c r="F449" s="1999" t="s">
        <v>633</v>
      </c>
      <c r="G449" s="2000" t="s">
        <v>882</v>
      </c>
      <c r="H449" s="2001" t="s">
        <v>883</v>
      </c>
      <c r="I449" s="1994"/>
    </row>
    <row r="450" spans="1:12" ht="14.25" thickTop="1" thickBot="1" x14ac:dyDescent="0.25">
      <c r="A450" s="2002">
        <v>1</v>
      </c>
      <c r="B450" s="2003">
        <v>2</v>
      </c>
      <c r="C450" s="2003">
        <v>3</v>
      </c>
      <c r="D450" s="2003">
        <v>5</v>
      </c>
      <c r="E450" s="2004">
        <v>6</v>
      </c>
      <c r="F450" s="2004">
        <v>7</v>
      </c>
      <c r="G450" s="2005">
        <v>8</v>
      </c>
      <c r="H450" s="2021" t="s">
        <v>762</v>
      </c>
      <c r="I450" s="1994"/>
    </row>
    <row r="451" spans="1:12" ht="30.75" hidden="1" thickTop="1" x14ac:dyDescent="0.25">
      <c r="A451" s="2012">
        <v>3299</v>
      </c>
      <c r="B451" s="2013">
        <v>5221</v>
      </c>
      <c r="C451" s="2013">
        <v>32133030</v>
      </c>
      <c r="D451" s="2039" t="s">
        <v>1317</v>
      </c>
      <c r="E451" s="2010">
        <v>0</v>
      </c>
      <c r="F451" s="2010">
        <v>0</v>
      </c>
      <c r="G451" s="2022">
        <v>0</v>
      </c>
      <c r="H451" s="2011" t="e">
        <f>G451/F451*100</f>
        <v>#DIV/0!</v>
      </c>
      <c r="I451" s="1994"/>
    </row>
    <row r="452" spans="1:12" ht="15.75" thickTop="1" x14ac:dyDescent="0.25">
      <c r="A452" s="2033">
        <v>3299</v>
      </c>
      <c r="B452" s="2034">
        <v>5321</v>
      </c>
      <c r="C452" s="2034">
        <v>32133030</v>
      </c>
      <c r="D452" s="2036" t="s">
        <v>1201</v>
      </c>
      <c r="E452" s="2015">
        <v>0</v>
      </c>
      <c r="F452" s="2015">
        <v>64</v>
      </c>
      <c r="G452" s="2023">
        <v>55</v>
      </c>
      <c r="H452" s="2016">
        <f>G452/F452*100</f>
        <v>85.9375</v>
      </c>
      <c r="I452" s="1994"/>
    </row>
    <row r="453" spans="1:12" ht="15.75" thickBot="1" x14ac:dyDescent="0.3">
      <c r="A453" s="2033">
        <v>3299</v>
      </c>
      <c r="B453" s="2034">
        <v>5321</v>
      </c>
      <c r="C453" s="2034">
        <v>32533030</v>
      </c>
      <c r="D453" s="2036" t="s">
        <v>1201</v>
      </c>
      <c r="E453" s="2015">
        <v>0</v>
      </c>
      <c r="F453" s="2015">
        <v>361</v>
      </c>
      <c r="G453" s="2023">
        <v>311</v>
      </c>
      <c r="H453" s="2016">
        <f>G453/F453*100</f>
        <v>86.149584487534625</v>
      </c>
      <c r="I453" s="1994"/>
    </row>
    <row r="454" spans="1:12" ht="15.75" hidden="1" thickBot="1" x14ac:dyDescent="0.3">
      <c r="A454" s="2037">
        <v>3299</v>
      </c>
      <c r="B454" s="2038">
        <v>6341</v>
      </c>
      <c r="C454" s="2038">
        <v>32533926</v>
      </c>
      <c r="D454" s="2035" t="s">
        <v>248</v>
      </c>
      <c r="E454" s="2015">
        <v>0</v>
      </c>
      <c r="F454" s="2015">
        <v>0</v>
      </c>
      <c r="G454" s="2023">
        <v>0</v>
      </c>
      <c r="H454" s="2016" t="e">
        <f>G454/F454*100</f>
        <v>#DIV/0!</v>
      </c>
      <c r="I454" s="1994"/>
    </row>
    <row r="455" spans="1:12" ht="16.5" thickTop="1" thickBot="1" x14ac:dyDescent="0.3">
      <c r="A455" s="2024" t="s">
        <v>763</v>
      </c>
      <c r="B455" s="2025"/>
      <c r="C455" s="2025"/>
      <c r="D455" s="2026"/>
      <c r="E455" s="2019">
        <f>SUM(E451:E454)</f>
        <v>0</v>
      </c>
      <c r="F455" s="2019">
        <f>SUM(F451:F454)</f>
        <v>425</v>
      </c>
      <c r="G455" s="2019">
        <f>SUM(G451:G454)</f>
        <v>366</v>
      </c>
      <c r="H455" s="2020">
        <f>G455/F455*100</f>
        <v>86.117647058823536</v>
      </c>
      <c r="I455" s="1994"/>
    </row>
    <row r="456" spans="1:12" ht="13.5" thickTop="1" x14ac:dyDescent="0.2"/>
    <row r="460" spans="1:12" ht="16.5" x14ac:dyDescent="0.25">
      <c r="A460" s="2040" t="s">
        <v>465</v>
      </c>
      <c r="B460" s="2041"/>
      <c r="C460" s="2042"/>
      <c r="D460" s="2043"/>
      <c r="E460" s="2044">
        <f>SUM(E461:E463)</f>
        <v>0</v>
      </c>
      <c r="F460" s="2044">
        <f>F461+F462+F463+F464</f>
        <v>79589</v>
      </c>
      <c r="G460" s="2044">
        <f>G461+G462+G463+G464</f>
        <v>130154</v>
      </c>
      <c r="H460" s="2045">
        <f>G460/F460*100</f>
        <v>163.53264898415608</v>
      </c>
      <c r="J460" s="2046">
        <f>J461+J462+J463</f>
        <v>0</v>
      </c>
      <c r="K460" s="2046">
        <f>K461+K462+K463</f>
        <v>79588926.75</v>
      </c>
      <c r="L460" s="2046">
        <f>L461+L462+L463</f>
        <v>130154018.58</v>
      </c>
    </row>
    <row r="461" spans="1:12" ht="15" x14ac:dyDescent="0.2">
      <c r="A461" s="2047" t="s">
        <v>263</v>
      </c>
      <c r="B461" s="2048"/>
      <c r="C461" s="2049"/>
      <c r="D461" s="2050"/>
      <c r="E461" s="2051">
        <f>E10+E11+E12+E13+E14+E15+E16+E17+E18+E19+E20+E21+E29+E37+E38+E47+E48+E57+E58+E67+E68+E77+E78+E87+E88+E97+E98+E107+E108+E117+E118+E127+E128+E137+E138+E147+E148+E157+E158+E167+E168+E178+E179+E188+E189+E199+E200+E209+E210+E221+E222+E231+E232+E261+E262+E271+E272+E281+E282+E291+E292+E311+E312+E321+E322+E331+E332+E341+E342+E351+E352+E361+E362+E371+E372+E381+E382+E391+E392+E401+E402+E411+E412+E421+E422+E431+E432+E441+E442+E452+E453</f>
        <v>0</v>
      </c>
      <c r="F461" s="2051">
        <f t="shared" ref="F461:G461" si="2">F10+F11+F12+F13+F14+F15+F16+F17+F18+F19+F20+F21+F29+F37+F38+F47+F48+F57+F58+F67+F68+F77+F78+F87+F88+F97+F98+F107+F108+F117+F118+F127+F128+F137+F138+F147+F148+F157+F158+F167+F168+F178+F179+F188+F189+F199+F200+F209+F210+F221+F222+F231+F232+F261+F262+F271+F272+F281+F282+F291+F292+F311+F312+F321+F322+F331+F332+F341+F342+F351+F352+F361+F362+F371+F372+F381+F382+F391+F392+F401+F402+F411+F412+F421+F422+F431+F432+F441+F442+F452+F453</f>
        <v>78112</v>
      </c>
      <c r="G461" s="2051">
        <f t="shared" si="2"/>
        <v>59600</v>
      </c>
      <c r="H461" s="2052">
        <f>G461/F461*100</f>
        <v>76.300696435886934</v>
      </c>
      <c r="J461" s="2053">
        <v>0</v>
      </c>
      <c r="K461" s="2053">
        <v>78111971.189999998</v>
      </c>
      <c r="L461" s="2053">
        <v>59600585.75</v>
      </c>
    </row>
    <row r="462" spans="1:12" ht="15" x14ac:dyDescent="0.2">
      <c r="A462" s="2047" t="s">
        <v>264</v>
      </c>
      <c r="B462" s="2054"/>
      <c r="C462" s="2049"/>
      <c r="D462" s="2055"/>
      <c r="E462" s="2051">
        <f>E22+E23+E24+E25+E26+E27+E119+E120+E129+E130+E211+E212+E263+E264+E313+E314</f>
        <v>0</v>
      </c>
      <c r="F462" s="2051">
        <f t="shared" ref="F462:G462" si="3">F22+F23+F24+F25+F26+F27+F119+F120+F129+F130+F211+F212+F263+F264+F313+F314</f>
        <v>1477</v>
      </c>
      <c r="G462" s="2051">
        <f t="shared" si="3"/>
        <v>1012</v>
      </c>
      <c r="H462" s="2052">
        <f>G462/F462*100</f>
        <v>68.517264725795542</v>
      </c>
      <c r="J462" s="2053">
        <v>0</v>
      </c>
      <c r="K462" s="2053">
        <v>1476955.56</v>
      </c>
      <c r="L462" s="2053">
        <v>1011867.22</v>
      </c>
    </row>
    <row r="463" spans="1:12" ht="15" x14ac:dyDescent="0.2">
      <c r="A463" s="2047" t="s">
        <v>466</v>
      </c>
      <c r="B463" s="2054"/>
      <c r="C463" s="2049"/>
      <c r="D463" s="2055"/>
      <c r="E463" s="2051">
        <f>E28</f>
        <v>0</v>
      </c>
      <c r="F463" s="2051">
        <f>F28</f>
        <v>0</v>
      </c>
      <c r="G463" s="2051">
        <f>G28</f>
        <v>69542</v>
      </c>
      <c r="H463" s="2052">
        <v>0</v>
      </c>
      <c r="J463" s="2053">
        <v>0</v>
      </c>
      <c r="K463" s="2053">
        <v>0</v>
      </c>
      <c r="L463" s="2053">
        <v>69541565.609999999</v>
      </c>
    </row>
    <row r="464" spans="1:12" ht="15" x14ac:dyDescent="0.2">
      <c r="A464" s="2047"/>
      <c r="B464" s="2054"/>
      <c r="C464" s="2049"/>
      <c r="D464" s="2055"/>
      <c r="E464" s="2051"/>
      <c r="F464" s="2051"/>
      <c r="G464" s="2051"/>
      <c r="H464" s="2056"/>
    </row>
    <row r="465" spans="1:8" ht="57.75" customHeight="1" thickBot="1" x14ac:dyDescent="0.4">
      <c r="A465" s="2754" t="s">
        <v>1415</v>
      </c>
      <c r="B465" s="2755"/>
      <c r="C465" s="2755"/>
      <c r="D465" s="2755"/>
      <c r="E465" s="2057">
        <f>SUM(E460)</f>
        <v>0</v>
      </c>
      <c r="F465" s="2057">
        <f>SUM(F460)</f>
        <v>79589</v>
      </c>
      <c r="G465" s="2057">
        <f>SUM(G460)</f>
        <v>130154</v>
      </c>
      <c r="H465" s="2058">
        <f>(G465/F465)*100</f>
        <v>163.53264898415608</v>
      </c>
    </row>
    <row r="466" spans="1:8" ht="13.5" thickTop="1" x14ac:dyDescent="0.2"/>
  </sheetData>
  <mergeCells count="2">
    <mergeCell ref="A30:D30"/>
    <mergeCell ref="A465:D465"/>
  </mergeCells>
  <pageMargins left="0.70866141732283472" right="0.70866141732283472" top="0.78740157480314965" bottom="0.78740157480314965" header="0.31496062992125984" footer="0.31496062992125984"/>
  <pageSetup paperSize="9" scale="65" firstPageNumber="157" orientation="portrait" useFirstPageNumber="1" r:id="rId1"/>
  <headerFooter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7" manualBreakCount="7">
    <brk id="52" max="7" man="1"/>
    <brk id="111" max="7" man="1"/>
    <brk id="161" max="7" man="1"/>
    <brk id="225" max="7" man="1"/>
    <brk id="295" max="7" man="1"/>
    <brk id="365" max="7" man="1"/>
    <brk id="436" max="7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27"/>
  <sheetViews>
    <sheetView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5.5703125" style="1986" customWidth="1"/>
    <col min="2" max="2" width="6.7109375" style="1986" customWidth="1"/>
    <col min="3" max="3" width="8.85546875" style="1986" customWidth="1"/>
    <col min="4" max="4" width="47.85546875" style="1986" customWidth="1"/>
    <col min="5" max="5" width="12.85546875" style="1986" customWidth="1"/>
    <col min="6" max="6" width="15.5703125" style="1986" customWidth="1"/>
    <col min="7" max="7" width="15.85546875" style="1986" customWidth="1"/>
    <col min="8" max="8" width="8.42578125" style="1986" customWidth="1"/>
    <col min="9" max="11" width="9.140625" style="1986"/>
    <col min="12" max="12" width="18.42578125" style="1986" customWidth="1"/>
    <col min="13" max="13" width="16" style="1986" bestFit="1" customWidth="1"/>
    <col min="14" max="256" width="9.140625" style="1986"/>
    <col min="257" max="257" width="4.7109375" style="1986" customWidth="1"/>
    <col min="258" max="258" width="6.7109375" style="1986" customWidth="1"/>
    <col min="259" max="259" width="8.85546875" style="1986" customWidth="1"/>
    <col min="260" max="260" width="47.85546875" style="1986" customWidth="1"/>
    <col min="261" max="261" width="12.85546875" style="1986" customWidth="1"/>
    <col min="262" max="262" width="15.5703125" style="1986" customWidth="1"/>
    <col min="263" max="263" width="15.85546875" style="1986" customWidth="1"/>
    <col min="264" max="264" width="6.42578125" style="1986" customWidth="1"/>
    <col min="265" max="267" width="9.140625" style="1986"/>
    <col min="268" max="268" width="18.42578125" style="1986" customWidth="1"/>
    <col min="269" max="269" width="16" style="1986" bestFit="1" customWidth="1"/>
    <col min="270" max="512" width="9.140625" style="1986"/>
    <col min="513" max="513" width="4.7109375" style="1986" customWidth="1"/>
    <col min="514" max="514" width="6.7109375" style="1986" customWidth="1"/>
    <col min="515" max="515" width="8.85546875" style="1986" customWidth="1"/>
    <col min="516" max="516" width="47.85546875" style="1986" customWidth="1"/>
    <col min="517" max="517" width="12.85546875" style="1986" customWidth="1"/>
    <col min="518" max="518" width="15.5703125" style="1986" customWidth="1"/>
    <col min="519" max="519" width="15.85546875" style="1986" customWidth="1"/>
    <col min="520" max="520" width="6.42578125" style="1986" customWidth="1"/>
    <col min="521" max="523" width="9.140625" style="1986"/>
    <col min="524" max="524" width="18.42578125" style="1986" customWidth="1"/>
    <col min="525" max="525" width="16" style="1986" bestFit="1" customWidth="1"/>
    <col min="526" max="768" width="9.140625" style="1986"/>
    <col min="769" max="769" width="4.7109375" style="1986" customWidth="1"/>
    <col min="770" max="770" width="6.7109375" style="1986" customWidth="1"/>
    <col min="771" max="771" width="8.85546875" style="1986" customWidth="1"/>
    <col min="772" max="772" width="47.85546875" style="1986" customWidth="1"/>
    <col min="773" max="773" width="12.85546875" style="1986" customWidth="1"/>
    <col min="774" max="774" width="15.5703125" style="1986" customWidth="1"/>
    <col min="775" max="775" width="15.85546875" style="1986" customWidth="1"/>
    <col min="776" max="776" width="6.42578125" style="1986" customWidth="1"/>
    <col min="777" max="779" width="9.140625" style="1986"/>
    <col min="780" max="780" width="18.42578125" style="1986" customWidth="1"/>
    <col min="781" max="781" width="16" style="1986" bestFit="1" customWidth="1"/>
    <col min="782" max="1024" width="9.140625" style="1986"/>
    <col min="1025" max="1025" width="4.7109375" style="1986" customWidth="1"/>
    <col min="1026" max="1026" width="6.7109375" style="1986" customWidth="1"/>
    <col min="1027" max="1027" width="8.85546875" style="1986" customWidth="1"/>
    <col min="1028" max="1028" width="47.85546875" style="1986" customWidth="1"/>
    <col min="1029" max="1029" width="12.85546875" style="1986" customWidth="1"/>
    <col min="1030" max="1030" width="15.5703125" style="1986" customWidth="1"/>
    <col min="1031" max="1031" width="15.85546875" style="1986" customWidth="1"/>
    <col min="1032" max="1032" width="6.42578125" style="1986" customWidth="1"/>
    <col min="1033" max="1035" width="9.140625" style="1986"/>
    <col min="1036" max="1036" width="18.42578125" style="1986" customWidth="1"/>
    <col min="1037" max="1037" width="16" style="1986" bestFit="1" customWidth="1"/>
    <col min="1038" max="1280" width="9.140625" style="1986"/>
    <col min="1281" max="1281" width="4.7109375" style="1986" customWidth="1"/>
    <col min="1282" max="1282" width="6.7109375" style="1986" customWidth="1"/>
    <col min="1283" max="1283" width="8.85546875" style="1986" customWidth="1"/>
    <col min="1284" max="1284" width="47.85546875" style="1986" customWidth="1"/>
    <col min="1285" max="1285" width="12.85546875" style="1986" customWidth="1"/>
    <col min="1286" max="1286" width="15.5703125" style="1986" customWidth="1"/>
    <col min="1287" max="1287" width="15.85546875" style="1986" customWidth="1"/>
    <col min="1288" max="1288" width="6.42578125" style="1986" customWidth="1"/>
    <col min="1289" max="1291" width="9.140625" style="1986"/>
    <col min="1292" max="1292" width="18.42578125" style="1986" customWidth="1"/>
    <col min="1293" max="1293" width="16" style="1986" bestFit="1" customWidth="1"/>
    <col min="1294" max="1536" width="9.140625" style="1986"/>
    <col min="1537" max="1537" width="4.7109375" style="1986" customWidth="1"/>
    <col min="1538" max="1538" width="6.7109375" style="1986" customWidth="1"/>
    <col min="1539" max="1539" width="8.85546875" style="1986" customWidth="1"/>
    <col min="1540" max="1540" width="47.85546875" style="1986" customWidth="1"/>
    <col min="1541" max="1541" width="12.85546875" style="1986" customWidth="1"/>
    <col min="1542" max="1542" width="15.5703125" style="1986" customWidth="1"/>
    <col min="1543" max="1543" width="15.85546875" style="1986" customWidth="1"/>
    <col min="1544" max="1544" width="6.42578125" style="1986" customWidth="1"/>
    <col min="1545" max="1547" width="9.140625" style="1986"/>
    <col min="1548" max="1548" width="18.42578125" style="1986" customWidth="1"/>
    <col min="1549" max="1549" width="16" style="1986" bestFit="1" customWidth="1"/>
    <col min="1550" max="1792" width="9.140625" style="1986"/>
    <col min="1793" max="1793" width="4.7109375" style="1986" customWidth="1"/>
    <col min="1794" max="1794" width="6.7109375" style="1986" customWidth="1"/>
    <col min="1795" max="1795" width="8.85546875" style="1986" customWidth="1"/>
    <col min="1796" max="1796" width="47.85546875" style="1986" customWidth="1"/>
    <col min="1797" max="1797" width="12.85546875" style="1986" customWidth="1"/>
    <col min="1798" max="1798" width="15.5703125" style="1986" customWidth="1"/>
    <col min="1799" max="1799" width="15.85546875" style="1986" customWidth="1"/>
    <col min="1800" max="1800" width="6.42578125" style="1986" customWidth="1"/>
    <col min="1801" max="1803" width="9.140625" style="1986"/>
    <col min="1804" max="1804" width="18.42578125" style="1986" customWidth="1"/>
    <col min="1805" max="1805" width="16" style="1986" bestFit="1" customWidth="1"/>
    <col min="1806" max="2048" width="9.140625" style="1986"/>
    <col min="2049" max="2049" width="4.7109375" style="1986" customWidth="1"/>
    <col min="2050" max="2050" width="6.7109375" style="1986" customWidth="1"/>
    <col min="2051" max="2051" width="8.85546875" style="1986" customWidth="1"/>
    <col min="2052" max="2052" width="47.85546875" style="1986" customWidth="1"/>
    <col min="2053" max="2053" width="12.85546875" style="1986" customWidth="1"/>
    <col min="2054" max="2054" width="15.5703125" style="1986" customWidth="1"/>
    <col min="2055" max="2055" width="15.85546875" style="1986" customWidth="1"/>
    <col min="2056" max="2056" width="6.42578125" style="1986" customWidth="1"/>
    <col min="2057" max="2059" width="9.140625" style="1986"/>
    <col min="2060" max="2060" width="18.42578125" style="1986" customWidth="1"/>
    <col min="2061" max="2061" width="16" style="1986" bestFit="1" customWidth="1"/>
    <col min="2062" max="2304" width="9.140625" style="1986"/>
    <col min="2305" max="2305" width="4.7109375" style="1986" customWidth="1"/>
    <col min="2306" max="2306" width="6.7109375" style="1986" customWidth="1"/>
    <col min="2307" max="2307" width="8.85546875" style="1986" customWidth="1"/>
    <col min="2308" max="2308" width="47.85546875" style="1986" customWidth="1"/>
    <col min="2309" max="2309" width="12.85546875" style="1986" customWidth="1"/>
    <col min="2310" max="2310" width="15.5703125" style="1986" customWidth="1"/>
    <col min="2311" max="2311" width="15.85546875" style="1986" customWidth="1"/>
    <col min="2312" max="2312" width="6.42578125" style="1986" customWidth="1"/>
    <col min="2313" max="2315" width="9.140625" style="1986"/>
    <col min="2316" max="2316" width="18.42578125" style="1986" customWidth="1"/>
    <col min="2317" max="2317" width="16" style="1986" bestFit="1" customWidth="1"/>
    <col min="2318" max="2560" width="9.140625" style="1986"/>
    <col min="2561" max="2561" width="4.7109375" style="1986" customWidth="1"/>
    <col min="2562" max="2562" width="6.7109375" style="1986" customWidth="1"/>
    <col min="2563" max="2563" width="8.85546875" style="1986" customWidth="1"/>
    <col min="2564" max="2564" width="47.85546875" style="1986" customWidth="1"/>
    <col min="2565" max="2565" width="12.85546875" style="1986" customWidth="1"/>
    <col min="2566" max="2566" width="15.5703125" style="1986" customWidth="1"/>
    <col min="2567" max="2567" width="15.85546875" style="1986" customWidth="1"/>
    <col min="2568" max="2568" width="6.42578125" style="1986" customWidth="1"/>
    <col min="2569" max="2571" width="9.140625" style="1986"/>
    <col min="2572" max="2572" width="18.42578125" style="1986" customWidth="1"/>
    <col min="2573" max="2573" width="16" style="1986" bestFit="1" customWidth="1"/>
    <col min="2574" max="2816" width="9.140625" style="1986"/>
    <col min="2817" max="2817" width="4.7109375" style="1986" customWidth="1"/>
    <col min="2818" max="2818" width="6.7109375" style="1986" customWidth="1"/>
    <col min="2819" max="2819" width="8.85546875" style="1986" customWidth="1"/>
    <col min="2820" max="2820" width="47.85546875" style="1986" customWidth="1"/>
    <col min="2821" max="2821" width="12.85546875" style="1986" customWidth="1"/>
    <col min="2822" max="2822" width="15.5703125" style="1986" customWidth="1"/>
    <col min="2823" max="2823" width="15.85546875" style="1986" customWidth="1"/>
    <col min="2824" max="2824" width="6.42578125" style="1986" customWidth="1"/>
    <col min="2825" max="2827" width="9.140625" style="1986"/>
    <col min="2828" max="2828" width="18.42578125" style="1986" customWidth="1"/>
    <col min="2829" max="2829" width="16" style="1986" bestFit="1" customWidth="1"/>
    <col min="2830" max="3072" width="9.140625" style="1986"/>
    <col min="3073" max="3073" width="4.7109375" style="1986" customWidth="1"/>
    <col min="3074" max="3074" width="6.7109375" style="1986" customWidth="1"/>
    <col min="3075" max="3075" width="8.85546875" style="1986" customWidth="1"/>
    <col min="3076" max="3076" width="47.85546875" style="1986" customWidth="1"/>
    <col min="3077" max="3077" width="12.85546875" style="1986" customWidth="1"/>
    <col min="3078" max="3078" width="15.5703125" style="1986" customWidth="1"/>
    <col min="3079" max="3079" width="15.85546875" style="1986" customWidth="1"/>
    <col min="3080" max="3080" width="6.42578125" style="1986" customWidth="1"/>
    <col min="3081" max="3083" width="9.140625" style="1986"/>
    <col min="3084" max="3084" width="18.42578125" style="1986" customWidth="1"/>
    <col min="3085" max="3085" width="16" style="1986" bestFit="1" customWidth="1"/>
    <col min="3086" max="3328" width="9.140625" style="1986"/>
    <col min="3329" max="3329" width="4.7109375" style="1986" customWidth="1"/>
    <col min="3330" max="3330" width="6.7109375" style="1986" customWidth="1"/>
    <col min="3331" max="3331" width="8.85546875" style="1986" customWidth="1"/>
    <col min="3332" max="3332" width="47.85546875" style="1986" customWidth="1"/>
    <col min="3333" max="3333" width="12.85546875" style="1986" customWidth="1"/>
    <col min="3334" max="3334" width="15.5703125" style="1986" customWidth="1"/>
    <col min="3335" max="3335" width="15.85546875" style="1986" customWidth="1"/>
    <col min="3336" max="3336" width="6.42578125" style="1986" customWidth="1"/>
    <col min="3337" max="3339" width="9.140625" style="1986"/>
    <col min="3340" max="3340" width="18.42578125" style="1986" customWidth="1"/>
    <col min="3341" max="3341" width="16" style="1986" bestFit="1" customWidth="1"/>
    <col min="3342" max="3584" width="9.140625" style="1986"/>
    <col min="3585" max="3585" width="4.7109375" style="1986" customWidth="1"/>
    <col min="3586" max="3586" width="6.7109375" style="1986" customWidth="1"/>
    <col min="3587" max="3587" width="8.85546875" style="1986" customWidth="1"/>
    <col min="3588" max="3588" width="47.85546875" style="1986" customWidth="1"/>
    <col min="3589" max="3589" width="12.85546875" style="1986" customWidth="1"/>
    <col min="3590" max="3590" width="15.5703125" style="1986" customWidth="1"/>
    <col min="3591" max="3591" width="15.85546875" style="1986" customWidth="1"/>
    <col min="3592" max="3592" width="6.42578125" style="1986" customWidth="1"/>
    <col min="3593" max="3595" width="9.140625" style="1986"/>
    <col min="3596" max="3596" width="18.42578125" style="1986" customWidth="1"/>
    <col min="3597" max="3597" width="16" style="1986" bestFit="1" customWidth="1"/>
    <col min="3598" max="3840" width="9.140625" style="1986"/>
    <col min="3841" max="3841" width="4.7109375" style="1986" customWidth="1"/>
    <col min="3842" max="3842" width="6.7109375" style="1986" customWidth="1"/>
    <col min="3843" max="3843" width="8.85546875" style="1986" customWidth="1"/>
    <col min="3844" max="3844" width="47.85546875" style="1986" customWidth="1"/>
    <col min="3845" max="3845" width="12.85546875" style="1986" customWidth="1"/>
    <col min="3846" max="3846" width="15.5703125" style="1986" customWidth="1"/>
    <col min="3847" max="3847" width="15.85546875" style="1986" customWidth="1"/>
    <col min="3848" max="3848" width="6.42578125" style="1986" customWidth="1"/>
    <col min="3849" max="3851" width="9.140625" style="1986"/>
    <col min="3852" max="3852" width="18.42578125" style="1986" customWidth="1"/>
    <col min="3853" max="3853" width="16" style="1986" bestFit="1" customWidth="1"/>
    <col min="3854" max="4096" width="9.140625" style="1986"/>
    <col min="4097" max="4097" width="4.7109375" style="1986" customWidth="1"/>
    <col min="4098" max="4098" width="6.7109375" style="1986" customWidth="1"/>
    <col min="4099" max="4099" width="8.85546875" style="1986" customWidth="1"/>
    <col min="4100" max="4100" width="47.85546875" style="1986" customWidth="1"/>
    <col min="4101" max="4101" width="12.85546875" style="1986" customWidth="1"/>
    <col min="4102" max="4102" width="15.5703125" style="1986" customWidth="1"/>
    <col min="4103" max="4103" width="15.85546875" style="1986" customWidth="1"/>
    <col min="4104" max="4104" width="6.42578125" style="1986" customWidth="1"/>
    <col min="4105" max="4107" width="9.140625" style="1986"/>
    <col min="4108" max="4108" width="18.42578125" style="1986" customWidth="1"/>
    <col min="4109" max="4109" width="16" style="1986" bestFit="1" customWidth="1"/>
    <col min="4110" max="4352" width="9.140625" style="1986"/>
    <col min="4353" max="4353" width="4.7109375" style="1986" customWidth="1"/>
    <col min="4354" max="4354" width="6.7109375" style="1986" customWidth="1"/>
    <col min="4355" max="4355" width="8.85546875" style="1986" customWidth="1"/>
    <col min="4356" max="4356" width="47.85546875" style="1986" customWidth="1"/>
    <col min="4357" max="4357" width="12.85546875" style="1986" customWidth="1"/>
    <col min="4358" max="4358" width="15.5703125" style="1986" customWidth="1"/>
    <col min="4359" max="4359" width="15.85546875" style="1986" customWidth="1"/>
    <col min="4360" max="4360" width="6.42578125" style="1986" customWidth="1"/>
    <col min="4361" max="4363" width="9.140625" style="1986"/>
    <col min="4364" max="4364" width="18.42578125" style="1986" customWidth="1"/>
    <col min="4365" max="4365" width="16" style="1986" bestFit="1" customWidth="1"/>
    <col min="4366" max="4608" width="9.140625" style="1986"/>
    <col min="4609" max="4609" width="4.7109375" style="1986" customWidth="1"/>
    <col min="4610" max="4610" width="6.7109375" style="1986" customWidth="1"/>
    <col min="4611" max="4611" width="8.85546875" style="1986" customWidth="1"/>
    <col min="4612" max="4612" width="47.85546875" style="1986" customWidth="1"/>
    <col min="4613" max="4613" width="12.85546875" style="1986" customWidth="1"/>
    <col min="4614" max="4614" width="15.5703125" style="1986" customWidth="1"/>
    <col min="4615" max="4615" width="15.85546875" style="1986" customWidth="1"/>
    <col min="4616" max="4616" width="6.42578125" style="1986" customWidth="1"/>
    <col min="4617" max="4619" width="9.140625" style="1986"/>
    <col min="4620" max="4620" width="18.42578125" style="1986" customWidth="1"/>
    <col min="4621" max="4621" width="16" style="1986" bestFit="1" customWidth="1"/>
    <col min="4622" max="4864" width="9.140625" style="1986"/>
    <col min="4865" max="4865" width="4.7109375" style="1986" customWidth="1"/>
    <col min="4866" max="4866" width="6.7109375" style="1986" customWidth="1"/>
    <col min="4867" max="4867" width="8.85546875" style="1986" customWidth="1"/>
    <col min="4868" max="4868" width="47.85546875" style="1986" customWidth="1"/>
    <col min="4869" max="4869" width="12.85546875" style="1986" customWidth="1"/>
    <col min="4870" max="4870" width="15.5703125" style="1986" customWidth="1"/>
    <col min="4871" max="4871" width="15.85546875" style="1986" customWidth="1"/>
    <col min="4872" max="4872" width="6.42578125" style="1986" customWidth="1"/>
    <col min="4873" max="4875" width="9.140625" style="1986"/>
    <col min="4876" max="4876" width="18.42578125" style="1986" customWidth="1"/>
    <col min="4877" max="4877" width="16" style="1986" bestFit="1" customWidth="1"/>
    <col min="4878" max="5120" width="9.140625" style="1986"/>
    <col min="5121" max="5121" width="4.7109375" style="1986" customWidth="1"/>
    <col min="5122" max="5122" width="6.7109375" style="1986" customWidth="1"/>
    <col min="5123" max="5123" width="8.85546875" style="1986" customWidth="1"/>
    <col min="5124" max="5124" width="47.85546875" style="1986" customWidth="1"/>
    <col min="5125" max="5125" width="12.85546875" style="1986" customWidth="1"/>
    <col min="5126" max="5126" width="15.5703125" style="1986" customWidth="1"/>
    <col min="5127" max="5127" width="15.85546875" style="1986" customWidth="1"/>
    <col min="5128" max="5128" width="6.42578125" style="1986" customWidth="1"/>
    <col min="5129" max="5131" width="9.140625" style="1986"/>
    <col min="5132" max="5132" width="18.42578125" style="1986" customWidth="1"/>
    <col min="5133" max="5133" width="16" style="1986" bestFit="1" customWidth="1"/>
    <col min="5134" max="5376" width="9.140625" style="1986"/>
    <col min="5377" max="5377" width="4.7109375" style="1986" customWidth="1"/>
    <col min="5378" max="5378" width="6.7109375" style="1986" customWidth="1"/>
    <col min="5379" max="5379" width="8.85546875" style="1986" customWidth="1"/>
    <col min="5380" max="5380" width="47.85546875" style="1986" customWidth="1"/>
    <col min="5381" max="5381" width="12.85546875" style="1986" customWidth="1"/>
    <col min="5382" max="5382" width="15.5703125" style="1986" customWidth="1"/>
    <col min="5383" max="5383" width="15.85546875" style="1986" customWidth="1"/>
    <col min="5384" max="5384" width="6.42578125" style="1986" customWidth="1"/>
    <col min="5385" max="5387" width="9.140625" style="1986"/>
    <col min="5388" max="5388" width="18.42578125" style="1986" customWidth="1"/>
    <col min="5389" max="5389" width="16" style="1986" bestFit="1" customWidth="1"/>
    <col min="5390" max="5632" width="9.140625" style="1986"/>
    <col min="5633" max="5633" width="4.7109375" style="1986" customWidth="1"/>
    <col min="5634" max="5634" width="6.7109375" style="1986" customWidth="1"/>
    <col min="5635" max="5635" width="8.85546875" style="1986" customWidth="1"/>
    <col min="5636" max="5636" width="47.85546875" style="1986" customWidth="1"/>
    <col min="5637" max="5637" width="12.85546875" style="1986" customWidth="1"/>
    <col min="5638" max="5638" width="15.5703125" style="1986" customWidth="1"/>
    <col min="5639" max="5639" width="15.85546875" style="1986" customWidth="1"/>
    <col min="5640" max="5640" width="6.42578125" style="1986" customWidth="1"/>
    <col min="5641" max="5643" width="9.140625" style="1986"/>
    <col min="5644" max="5644" width="18.42578125" style="1986" customWidth="1"/>
    <col min="5645" max="5645" width="16" style="1986" bestFit="1" customWidth="1"/>
    <col min="5646" max="5888" width="9.140625" style="1986"/>
    <col min="5889" max="5889" width="4.7109375" style="1986" customWidth="1"/>
    <col min="5890" max="5890" width="6.7109375" style="1986" customWidth="1"/>
    <col min="5891" max="5891" width="8.85546875" style="1986" customWidth="1"/>
    <col min="5892" max="5892" width="47.85546875" style="1986" customWidth="1"/>
    <col min="5893" max="5893" width="12.85546875" style="1986" customWidth="1"/>
    <col min="5894" max="5894" width="15.5703125" style="1986" customWidth="1"/>
    <col min="5895" max="5895" width="15.85546875" style="1986" customWidth="1"/>
    <col min="5896" max="5896" width="6.42578125" style="1986" customWidth="1"/>
    <col min="5897" max="5899" width="9.140625" style="1986"/>
    <col min="5900" max="5900" width="18.42578125" style="1986" customWidth="1"/>
    <col min="5901" max="5901" width="16" style="1986" bestFit="1" customWidth="1"/>
    <col min="5902" max="6144" width="9.140625" style="1986"/>
    <col min="6145" max="6145" width="4.7109375" style="1986" customWidth="1"/>
    <col min="6146" max="6146" width="6.7109375" style="1986" customWidth="1"/>
    <col min="6147" max="6147" width="8.85546875" style="1986" customWidth="1"/>
    <col min="6148" max="6148" width="47.85546875" style="1986" customWidth="1"/>
    <col min="6149" max="6149" width="12.85546875" style="1986" customWidth="1"/>
    <col min="6150" max="6150" width="15.5703125" style="1986" customWidth="1"/>
    <col min="6151" max="6151" width="15.85546875" style="1986" customWidth="1"/>
    <col min="6152" max="6152" width="6.42578125" style="1986" customWidth="1"/>
    <col min="6153" max="6155" width="9.140625" style="1986"/>
    <col min="6156" max="6156" width="18.42578125" style="1986" customWidth="1"/>
    <col min="6157" max="6157" width="16" style="1986" bestFit="1" customWidth="1"/>
    <col min="6158" max="6400" width="9.140625" style="1986"/>
    <col min="6401" max="6401" width="4.7109375" style="1986" customWidth="1"/>
    <col min="6402" max="6402" width="6.7109375" style="1986" customWidth="1"/>
    <col min="6403" max="6403" width="8.85546875" style="1986" customWidth="1"/>
    <col min="6404" max="6404" width="47.85546875" style="1986" customWidth="1"/>
    <col min="6405" max="6405" width="12.85546875" style="1986" customWidth="1"/>
    <col min="6406" max="6406" width="15.5703125" style="1986" customWidth="1"/>
    <col min="6407" max="6407" width="15.85546875" style="1986" customWidth="1"/>
    <col min="6408" max="6408" width="6.42578125" style="1986" customWidth="1"/>
    <col min="6409" max="6411" width="9.140625" style="1986"/>
    <col min="6412" max="6412" width="18.42578125" style="1986" customWidth="1"/>
    <col min="6413" max="6413" width="16" style="1986" bestFit="1" customWidth="1"/>
    <col min="6414" max="6656" width="9.140625" style="1986"/>
    <col min="6657" max="6657" width="4.7109375" style="1986" customWidth="1"/>
    <col min="6658" max="6658" width="6.7109375" style="1986" customWidth="1"/>
    <col min="6659" max="6659" width="8.85546875" style="1986" customWidth="1"/>
    <col min="6660" max="6660" width="47.85546875" style="1986" customWidth="1"/>
    <col min="6661" max="6661" width="12.85546875" style="1986" customWidth="1"/>
    <col min="6662" max="6662" width="15.5703125" style="1986" customWidth="1"/>
    <col min="6663" max="6663" width="15.85546875" style="1986" customWidth="1"/>
    <col min="6664" max="6664" width="6.42578125" style="1986" customWidth="1"/>
    <col min="6665" max="6667" width="9.140625" style="1986"/>
    <col min="6668" max="6668" width="18.42578125" style="1986" customWidth="1"/>
    <col min="6669" max="6669" width="16" style="1986" bestFit="1" customWidth="1"/>
    <col min="6670" max="6912" width="9.140625" style="1986"/>
    <col min="6913" max="6913" width="4.7109375" style="1986" customWidth="1"/>
    <col min="6914" max="6914" width="6.7109375" style="1986" customWidth="1"/>
    <col min="6915" max="6915" width="8.85546875" style="1986" customWidth="1"/>
    <col min="6916" max="6916" width="47.85546875" style="1986" customWidth="1"/>
    <col min="6917" max="6917" width="12.85546875" style="1986" customWidth="1"/>
    <col min="6918" max="6918" width="15.5703125" style="1986" customWidth="1"/>
    <col min="6919" max="6919" width="15.85546875" style="1986" customWidth="1"/>
    <col min="6920" max="6920" width="6.42578125" style="1986" customWidth="1"/>
    <col min="6921" max="6923" width="9.140625" style="1986"/>
    <col min="6924" max="6924" width="18.42578125" style="1986" customWidth="1"/>
    <col min="6925" max="6925" width="16" style="1986" bestFit="1" customWidth="1"/>
    <col min="6926" max="7168" width="9.140625" style="1986"/>
    <col min="7169" max="7169" width="4.7109375" style="1986" customWidth="1"/>
    <col min="7170" max="7170" width="6.7109375" style="1986" customWidth="1"/>
    <col min="7171" max="7171" width="8.85546875" style="1986" customWidth="1"/>
    <col min="7172" max="7172" width="47.85546875" style="1986" customWidth="1"/>
    <col min="7173" max="7173" width="12.85546875" style="1986" customWidth="1"/>
    <col min="7174" max="7174" width="15.5703125" style="1986" customWidth="1"/>
    <col min="7175" max="7175" width="15.85546875" style="1986" customWidth="1"/>
    <col min="7176" max="7176" width="6.42578125" style="1986" customWidth="1"/>
    <col min="7177" max="7179" width="9.140625" style="1986"/>
    <col min="7180" max="7180" width="18.42578125" style="1986" customWidth="1"/>
    <col min="7181" max="7181" width="16" style="1986" bestFit="1" customWidth="1"/>
    <col min="7182" max="7424" width="9.140625" style="1986"/>
    <col min="7425" max="7425" width="4.7109375" style="1986" customWidth="1"/>
    <col min="7426" max="7426" width="6.7109375" style="1986" customWidth="1"/>
    <col min="7427" max="7427" width="8.85546875" style="1986" customWidth="1"/>
    <col min="7428" max="7428" width="47.85546875" style="1986" customWidth="1"/>
    <col min="7429" max="7429" width="12.85546875" style="1986" customWidth="1"/>
    <col min="7430" max="7430" width="15.5703125" style="1986" customWidth="1"/>
    <col min="7431" max="7431" width="15.85546875" style="1986" customWidth="1"/>
    <col min="7432" max="7432" width="6.42578125" style="1986" customWidth="1"/>
    <col min="7433" max="7435" width="9.140625" style="1986"/>
    <col min="7436" max="7436" width="18.42578125" style="1986" customWidth="1"/>
    <col min="7437" max="7437" width="16" style="1986" bestFit="1" customWidth="1"/>
    <col min="7438" max="7680" width="9.140625" style="1986"/>
    <col min="7681" max="7681" width="4.7109375" style="1986" customWidth="1"/>
    <col min="7682" max="7682" width="6.7109375" style="1986" customWidth="1"/>
    <col min="7683" max="7683" width="8.85546875" style="1986" customWidth="1"/>
    <col min="7684" max="7684" width="47.85546875" style="1986" customWidth="1"/>
    <col min="7685" max="7685" width="12.85546875" style="1986" customWidth="1"/>
    <col min="7686" max="7686" width="15.5703125" style="1986" customWidth="1"/>
    <col min="7687" max="7687" width="15.85546875" style="1986" customWidth="1"/>
    <col min="7688" max="7688" width="6.42578125" style="1986" customWidth="1"/>
    <col min="7689" max="7691" width="9.140625" style="1986"/>
    <col min="7692" max="7692" width="18.42578125" style="1986" customWidth="1"/>
    <col min="7693" max="7693" width="16" style="1986" bestFit="1" customWidth="1"/>
    <col min="7694" max="7936" width="9.140625" style="1986"/>
    <col min="7937" max="7937" width="4.7109375" style="1986" customWidth="1"/>
    <col min="7938" max="7938" width="6.7109375" style="1986" customWidth="1"/>
    <col min="7939" max="7939" width="8.85546875" style="1986" customWidth="1"/>
    <col min="7940" max="7940" width="47.85546875" style="1986" customWidth="1"/>
    <col min="7941" max="7941" width="12.85546875" style="1986" customWidth="1"/>
    <col min="7942" max="7942" width="15.5703125" style="1986" customWidth="1"/>
    <col min="7943" max="7943" width="15.85546875" style="1986" customWidth="1"/>
    <col min="7944" max="7944" width="6.42578125" style="1986" customWidth="1"/>
    <col min="7945" max="7947" width="9.140625" style="1986"/>
    <col min="7948" max="7948" width="18.42578125" style="1986" customWidth="1"/>
    <col min="7949" max="7949" width="16" style="1986" bestFit="1" customWidth="1"/>
    <col min="7950" max="8192" width="9.140625" style="1986"/>
    <col min="8193" max="8193" width="4.7109375" style="1986" customWidth="1"/>
    <col min="8194" max="8194" width="6.7109375" style="1986" customWidth="1"/>
    <col min="8195" max="8195" width="8.85546875" style="1986" customWidth="1"/>
    <col min="8196" max="8196" width="47.85546875" style="1986" customWidth="1"/>
    <col min="8197" max="8197" width="12.85546875" style="1986" customWidth="1"/>
    <col min="8198" max="8198" width="15.5703125" style="1986" customWidth="1"/>
    <col min="8199" max="8199" width="15.85546875" style="1986" customWidth="1"/>
    <col min="8200" max="8200" width="6.42578125" style="1986" customWidth="1"/>
    <col min="8201" max="8203" width="9.140625" style="1986"/>
    <col min="8204" max="8204" width="18.42578125" style="1986" customWidth="1"/>
    <col min="8205" max="8205" width="16" style="1986" bestFit="1" customWidth="1"/>
    <col min="8206" max="8448" width="9.140625" style="1986"/>
    <col min="8449" max="8449" width="4.7109375" style="1986" customWidth="1"/>
    <col min="8450" max="8450" width="6.7109375" style="1986" customWidth="1"/>
    <col min="8451" max="8451" width="8.85546875" style="1986" customWidth="1"/>
    <col min="8452" max="8452" width="47.85546875" style="1986" customWidth="1"/>
    <col min="8453" max="8453" width="12.85546875" style="1986" customWidth="1"/>
    <col min="8454" max="8454" width="15.5703125" style="1986" customWidth="1"/>
    <col min="8455" max="8455" width="15.85546875" style="1986" customWidth="1"/>
    <col min="8456" max="8456" width="6.42578125" style="1986" customWidth="1"/>
    <col min="8457" max="8459" width="9.140625" style="1986"/>
    <col min="8460" max="8460" width="18.42578125" style="1986" customWidth="1"/>
    <col min="8461" max="8461" width="16" style="1986" bestFit="1" customWidth="1"/>
    <col min="8462" max="8704" width="9.140625" style="1986"/>
    <col min="8705" max="8705" width="4.7109375" style="1986" customWidth="1"/>
    <col min="8706" max="8706" width="6.7109375" style="1986" customWidth="1"/>
    <col min="8707" max="8707" width="8.85546875" style="1986" customWidth="1"/>
    <col min="8708" max="8708" width="47.85546875" style="1986" customWidth="1"/>
    <col min="8709" max="8709" width="12.85546875" style="1986" customWidth="1"/>
    <col min="8710" max="8710" width="15.5703125" style="1986" customWidth="1"/>
    <col min="8711" max="8711" width="15.85546875" style="1986" customWidth="1"/>
    <col min="8712" max="8712" width="6.42578125" style="1986" customWidth="1"/>
    <col min="8713" max="8715" width="9.140625" style="1986"/>
    <col min="8716" max="8716" width="18.42578125" style="1986" customWidth="1"/>
    <col min="8717" max="8717" width="16" style="1986" bestFit="1" customWidth="1"/>
    <col min="8718" max="8960" width="9.140625" style="1986"/>
    <col min="8961" max="8961" width="4.7109375" style="1986" customWidth="1"/>
    <col min="8962" max="8962" width="6.7109375" style="1986" customWidth="1"/>
    <col min="8963" max="8963" width="8.85546875" style="1986" customWidth="1"/>
    <col min="8964" max="8964" width="47.85546875" style="1986" customWidth="1"/>
    <col min="8965" max="8965" width="12.85546875" style="1986" customWidth="1"/>
    <col min="8966" max="8966" width="15.5703125" style="1986" customWidth="1"/>
    <col min="8967" max="8967" width="15.85546875" style="1986" customWidth="1"/>
    <col min="8968" max="8968" width="6.42578125" style="1986" customWidth="1"/>
    <col min="8969" max="8971" width="9.140625" style="1986"/>
    <col min="8972" max="8972" width="18.42578125" style="1986" customWidth="1"/>
    <col min="8973" max="8973" width="16" style="1986" bestFit="1" customWidth="1"/>
    <col min="8974" max="9216" width="9.140625" style="1986"/>
    <col min="9217" max="9217" width="4.7109375" style="1986" customWidth="1"/>
    <col min="9218" max="9218" width="6.7109375" style="1986" customWidth="1"/>
    <col min="9219" max="9219" width="8.85546875" style="1986" customWidth="1"/>
    <col min="9220" max="9220" width="47.85546875" style="1986" customWidth="1"/>
    <col min="9221" max="9221" width="12.85546875" style="1986" customWidth="1"/>
    <col min="9222" max="9222" width="15.5703125" style="1986" customWidth="1"/>
    <col min="9223" max="9223" width="15.85546875" style="1986" customWidth="1"/>
    <col min="9224" max="9224" width="6.42578125" style="1986" customWidth="1"/>
    <col min="9225" max="9227" width="9.140625" style="1986"/>
    <col min="9228" max="9228" width="18.42578125" style="1986" customWidth="1"/>
    <col min="9229" max="9229" width="16" style="1986" bestFit="1" customWidth="1"/>
    <col min="9230" max="9472" width="9.140625" style="1986"/>
    <col min="9473" max="9473" width="4.7109375" style="1986" customWidth="1"/>
    <col min="9474" max="9474" width="6.7109375" style="1986" customWidth="1"/>
    <col min="9475" max="9475" width="8.85546875" style="1986" customWidth="1"/>
    <col min="9476" max="9476" width="47.85546875" style="1986" customWidth="1"/>
    <col min="9477" max="9477" width="12.85546875" style="1986" customWidth="1"/>
    <col min="9478" max="9478" width="15.5703125" style="1986" customWidth="1"/>
    <col min="9479" max="9479" width="15.85546875" style="1986" customWidth="1"/>
    <col min="9480" max="9480" width="6.42578125" style="1986" customWidth="1"/>
    <col min="9481" max="9483" width="9.140625" style="1986"/>
    <col min="9484" max="9484" width="18.42578125" style="1986" customWidth="1"/>
    <col min="9485" max="9485" width="16" style="1986" bestFit="1" customWidth="1"/>
    <col min="9486" max="9728" width="9.140625" style="1986"/>
    <col min="9729" max="9729" width="4.7109375" style="1986" customWidth="1"/>
    <col min="9730" max="9730" width="6.7109375" style="1986" customWidth="1"/>
    <col min="9731" max="9731" width="8.85546875" style="1986" customWidth="1"/>
    <col min="9732" max="9732" width="47.85546875" style="1986" customWidth="1"/>
    <col min="9733" max="9733" width="12.85546875" style="1986" customWidth="1"/>
    <col min="9734" max="9734" width="15.5703125" style="1986" customWidth="1"/>
    <col min="9735" max="9735" width="15.85546875" style="1986" customWidth="1"/>
    <col min="9736" max="9736" width="6.42578125" style="1986" customWidth="1"/>
    <col min="9737" max="9739" width="9.140625" style="1986"/>
    <col min="9740" max="9740" width="18.42578125" style="1986" customWidth="1"/>
    <col min="9741" max="9741" width="16" style="1986" bestFit="1" customWidth="1"/>
    <col min="9742" max="9984" width="9.140625" style="1986"/>
    <col min="9985" max="9985" width="4.7109375" style="1986" customWidth="1"/>
    <col min="9986" max="9986" width="6.7109375" style="1986" customWidth="1"/>
    <col min="9987" max="9987" width="8.85546875" style="1986" customWidth="1"/>
    <col min="9988" max="9988" width="47.85546875" style="1986" customWidth="1"/>
    <col min="9989" max="9989" width="12.85546875" style="1986" customWidth="1"/>
    <col min="9990" max="9990" width="15.5703125" style="1986" customWidth="1"/>
    <col min="9991" max="9991" width="15.85546875" style="1986" customWidth="1"/>
    <col min="9992" max="9992" width="6.42578125" style="1986" customWidth="1"/>
    <col min="9993" max="9995" width="9.140625" style="1986"/>
    <col min="9996" max="9996" width="18.42578125" style="1986" customWidth="1"/>
    <col min="9997" max="9997" width="16" style="1986" bestFit="1" customWidth="1"/>
    <col min="9998" max="10240" width="9.140625" style="1986"/>
    <col min="10241" max="10241" width="4.7109375" style="1986" customWidth="1"/>
    <col min="10242" max="10242" width="6.7109375" style="1986" customWidth="1"/>
    <col min="10243" max="10243" width="8.85546875" style="1986" customWidth="1"/>
    <col min="10244" max="10244" width="47.85546875" style="1986" customWidth="1"/>
    <col min="10245" max="10245" width="12.85546875" style="1986" customWidth="1"/>
    <col min="10246" max="10246" width="15.5703125" style="1986" customWidth="1"/>
    <col min="10247" max="10247" width="15.85546875" style="1986" customWidth="1"/>
    <col min="10248" max="10248" width="6.42578125" style="1986" customWidth="1"/>
    <col min="10249" max="10251" width="9.140625" style="1986"/>
    <col min="10252" max="10252" width="18.42578125" style="1986" customWidth="1"/>
    <col min="10253" max="10253" width="16" style="1986" bestFit="1" customWidth="1"/>
    <col min="10254" max="10496" width="9.140625" style="1986"/>
    <col min="10497" max="10497" width="4.7109375" style="1986" customWidth="1"/>
    <col min="10498" max="10498" width="6.7109375" style="1986" customWidth="1"/>
    <col min="10499" max="10499" width="8.85546875" style="1986" customWidth="1"/>
    <col min="10500" max="10500" width="47.85546875" style="1986" customWidth="1"/>
    <col min="10501" max="10501" width="12.85546875" style="1986" customWidth="1"/>
    <col min="10502" max="10502" width="15.5703125" style="1986" customWidth="1"/>
    <col min="10503" max="10503" width="15.85546875" style="1986" customWidth="1"/>
    <col min="10504" max="10504" width="6.42578125" style="1986" customWidth="1"/>
    <col min="10505" max="10507" width="9.140625" style="1986"/>
    <col min="10508" max="10508" width="18.42578125" style="1986" customWidth="1"/>
    <col min="10509" max="10509" width="16" style="1986" bestFit="1" customWidth="1"/>
    <col min="10510" max="10752" width="9.140625" style="1986"/>
    <col min="10753" max="10753" width="4.7109375" style="1986" customWidth="1"/>
    <col min="10754" max="10754" width="6.7109375" style="1986" customWidth="1"/>
    <col min="10755" max="10755" width="8.85546875" style="1986" customWidth="1"/>
    <col min="10756" max="10756" width="47.85546875" style="1986" customWidth="1"/>
    <col min="10757" max="10757" width="12.85546875" style="1986" customWidth="1"/>
    <col min="10758" max="10758" width="15.5703125" style="1986" customWidth="1"/>
    <col min="10759" max="10759" width="15.85546875" style="1986" customWidth="1"/>
    <col min="10760" max="10760" width="6.42578125" style="1986" customWidth="1"/>
    <col min="10761" max="10763" width="9.140625" style="1986"/>
    <col min="10764" max="10764" width="18.42578125" style="1986" customWidth="1"/>
    <col min="10765" max="10765" width="16" style="1986" bestFit="1" customWidth="1"/>
    <col min="10766" max="11008" width="9.140625" style="1986"/>
    <col min="11009" max="11009" width="4.7109375" style="1986" customWidth="1"/>
    <col min="11010" max="11010" width="6.7109375" style="1986" customWidth="1"/>
    <col min="11011" max="11011" width="8.85546875" style="1986" customWidth="1"/>
    <col min="11012" max="11012" width="47.85546875" style="1986" customWidth="1"/>
    <col min="11013" max="11013" width="12.85546875" style="1986" customWidth="1"/>
    <col min="11014" max="11014" width="15.5703125" style="1986" customWidth="1"/>
    <col min="11015" max="11015" width="15.85546875" style="1986" customWidth="1"/>
    <col min="11016" max="11016" width="6.42578125" style="1986" customWidth="1"/>
    <col min="11017" max="11019" width="9.140625" style="1986"/>
    <col min="11020" max="11020" width="18.42578125" style="1986" customWidth="1"/>
    <col min="11021" max="11021" width="16" style="1986" bestFit="1" customWidth="1"/>
    <col min="11022" max="11264" width="9.140625" style="1986"/>
    <col min="11265" max="11265" width="4.7109375" style="1986" customWidth="1"/>
    <col min="11266" max="11266" width="6.7109375" style="1986" customWidth="1"/>
    <col min="11267" max="11267" width="8.85546875" style="1986" customWidth="1"/>
    <col min="11268" max="11268" width="47.85546875" style="1986" customWidth="1"/>
    <col min="11269" max="11269" width="12.85546875" style="1986" customWidth="1"/>
    <col min="11270" max="11270" width="15.5703125" style="1986" customWidth="1"/>
    <col min="11271" max="11271" width="15.85546875" style="1986" customWidth="1"/>
    <col min="11272" max="11272" width="6.42578125" style="1986" customWidth="1"/>
    <col min="11273" max="11275" width="9.140625" style="1986"/>
    <col min="11276" max="11276" width="18.42578125" style="1986" customWidth="1"/>
    <col min="11277" max="11277" width="16" style="1986" bestFit="1" customWidth="1"/>
    <col min="11278" max="11520" width="9.140625" style="1986"/>
    <col min="11521" max="11521" width="4.7109375" style="1986" customWidth="1"/>
    <col min="11522" max="11522" width="6.7109375" style="1986" customWidth="1"/>
    <col min="11523" max="11523" width="8.85546875" style="1986" customWidth="1"/>
    <col min="11524" max="11524" width="47.85546875" style="1986" customWidth="1"/>
    <col min="11525" max="11525" width="12.85546875" style="1986" customWidth="1"/>
    <col min="11526" max="11526" width="15.5703125" style="1986" customWidth="1"/>
    <col min="11527" max="11527" width="15.85546875" style="1986" customWidth="1"/>
    <col min="11528" max="11528" width="6.42578125" style="1986" customWidth="1"/>
    <col min="11529" max="11531" width="9.140625" style="1986"/>
    <col min="11532" max="11532" width="18.42578125" style="1986" customWidth="1"/>
    <col min="11533" max="11533" width="16" style="1986" bestFit="1" customWidth="1"/>
    <col min="11534" max="11776" width="9.140625" style="1986"/>
    <col min="11777" max="11777" width="4.7109375" style="1986" customWidth="1"/>
    <col min="11778" max="11778" width="6.7109375" style="1986" customWidth="1"/>
    <col min="11779" max="11779" width="8.85546875" style="1986" customWidth="1"/>
    <col min="11780" max="11780" width="47.85546875" style="1986" customWidth="1"/>
    <col min="11781" max="11781" width="12.85546875" style="1986" customWidth="1"/>
    <col min="11782" max="11782" width="15.5703125" style="1986" customWidth="1"/>
    <col min="11783" max="11783" width="15.85546875" style="1986" customWidth="1"/>
    <col min="11784" max="11784" width="6.42578125" style="1986" customWidth="1"/>
    <col min="11785" max="11787" width="9.140625" style="1986"/>
    <col min="11788" max="11788" width="18.42578125" style="1986" customWidth="1"/>
    <col min="11789" max="11789" width="16" style="1986" bestFit="1" customWidth="1"/>
    <col min="11790" max="12032" width="9.140625" style="1986"/>
    <col min="12033" max="12033" width="4.7109375" style="1986" customWidth="1"/>
    <col min="12034" max="12034" width="6.7109375" style="1986" customWidth="1"/>
    <col min="12035" max="12035" width="8.85546875" style="1986" customWidth="1"/>
    <col min="12036" max="12036" width="47.85546875" style="1986" customWidth="1"/>
    <col min="12037" max="12037" width="12.85546875" style="1986" customWidth="1"/>
    <col min="12038" max="12038" width="15.5703125" style="1986" customWidth="1"/>
    <col min="12039" max="12039" width="15.85546875" style="1986" customWidth="1"/>
    <col min="12040" max="12040" width="6.42578125" style="1986" customWidth="1"/>
    <col min="12041" max="12043" width="9.140625" style="1986"/>
    <col min="12044" max="12044" width="18.42578125" style="1986" customWidth="1"/>
    <col min="12045" max="12045" width="16" style="1986" bestFit="1" customWidth="1"/>
    <col min="12046" max="12288" width="9.140625" style="1986"/>
    <col min="12289" max="12289" width="4.7109375" style="1986" customWidth="1"/>
    <col min="12290" max="12290" width="6.7109375" style="1986" customWidth="1"/>
    <col min="12291" max="12291" width="8.85546875" style="1986" customWidth="1"/>
    <col min="12292" max="12292" width="47.85546875" style="1986" customWidth="1"/>
    <col min="12293" max="12293" width="12.85546875" style="1986" customWidth="1"/>
    <col min="12294" max="12294" width="15.5703125" style="1986" customWidth="1"/>
    <col min="12295" max="12295" width="15.85546875" style="1986" customWidth="1"/>
    <col min="12296" max="12296" width="6.42578125" style="1986" customWidth="1"/>
    <col min="12297" max="12299" width="9.140625" style="1986"/>
    <col min="12300" max="12300" width="18.42578125" style="1986" customWidth="1"/>
    <col min="12301" max="12301" width="16" style="1986" bestFit="1" customWidth="1"/>
    <col min="12302" max="12544" width="9.140625" style="1986"/>
    <col min="12545" max="12545" width="4.7109375" style="1986" customWidth="1"/>
    <col min="12546" max="12546" width="6.7109375" style="1986" customWidth="1"/>
    <col min="12547" max="12547" width="8.85546875" style="1986" customWidth="1"/>
    <col min="12548" max="12548" width="47.85546875" style="1986" customWidth="1"/>
    <col min="12549" max="12549" width="12.85546875" style="1986" customWidth="1"/>
    <col min="12550" max="12550" width="15.5703125" style="1986" customWidth="1"/>
    <col min="12551" max="12551" width="15.85546875" style="1986" customWidth="1"/>
    <col min="12552" max="12552" width="6.42578125" style="1986" customWidth="1"/>
    <col min="12553" max="12555" width="9.140625" style="1986"/>
    <col min="12556" max="12556" width="18.42578125" style="1986" customWidth="1"/>
    <col min="12557" max="12557" width="16" style="1986" bestFit="1" customWidth="1"/>
    <col min="12558" max="12800" width="9.140625" style="1986"/>
    <col min="12801" max="12801" width="4.7109375" style="1986" customWidth="1"/>
    <col min="12802" max="12802" width="6.7109375" style="1986" customWidth="1"/>
    <col min="12803" max="12803" width="8.85546875" style="1986" customWidth="1"/>
    <col min="12804" max="12804" width="47.85546875" style="1986" customWidth="1"/>
    <col min="12805" max="12805" width="12.85546875" style="1986" customWidth="1"/>
    <col min="12806" max="12806" width="15.5703125" style="1986" customWidth="1"/>
    <col min="12807" max="12807" width="15.85546875" style="1986" customWidth="1"/>
    <col min="12808" max="12808" width="6.42578125" style="1986" customWidth="1"/>
    <col min="12809" max="12811" width="9.140625" style="1986"/>
    <col min="12812" max="12812" width="18.42578125" style="1986" customWidth="1"/>
    <col min="12813" max="12813" width="16" style="1986" bestFit="1" customWidth="1"/>
    <col min="12814" max="13056" width="9.140625" style="1986"/>
    <col min="13057" max="13057" width="4.7109375" style="1986" customWidth="1"/>
    <col min="13058" max="13058" width="6.7109375" style="1986" customWidth="1"/>
    <col min="13059" max="13059" width="8.85546875" style="1986" customWidth="1"/>
    <col min="13060" max="13060" width="47.85546875" style="1986" customWidth="1"/>
    <col min="13061" max="13061" width="12.85546875" style="1986" customWidth="1"/>
    <col min="13062" max="13062" width="15.5703125" style="1986" customWidth="1"/>
    <col min="13063" max="13063" width="15.85546875" style="1986" customWidth="1"/>
    <col min="13064" max="13064" width="6.42578125" style="1986" customWidth="1"/>
    <col min="13065" max="13067" width="9.140625" style="1986"/>
    <col min="13068" max="13068" width="18.42578125" style="1986" customWidth="1"/>
    <col min="13069" max="13069" width="16" style="1986" bestFit="1" customWidth="1"/>
    <col min="13070" max="13312" width="9.140625" style="1986"/>
    <col min="13313" max="13313" width="4.7109375" style="1986" customWidth="1"/>
    <col min="13314" max="13314" width="6.7109375" style="1986" customWidth="1"/>
    <col min="13315" max="13315" width="8.85546875" style="1986" customWidth="1"/>
    <col min="13316" max="13316" width="47.85546875" style="1986" customWidth="1"/>
    <col min="13317" max="13317" width="12.85546875" style="1986" customWidth="1"/>
    <col min="13318" max="13318" width="15.5703125" style="1986" customWidth="1"/>
    <col min="13319" max="13319" width="15.85546875" style="1986" customWidth="1"/>
    <col min="13320" max="13320" width="6.42578125" style="1986" customWidth="1"/>
    <col min="13321" max="13323" width="9.140625" style="1986"/>
    <col min="13324" max="13324" width="18.42578125" style="1986" customWidth="1"/>
    <col min="13325" max="13325" width="16" style="1986" bestFit="1" customWidth="1"/>
    <col min="13326" max="13568" width="9.140625" style="1986"/>
    <col min="13569" max="13569" width="4.7109375" style="1986" customWidth="1"/>
    <col min="13570" max="13570" width="6.7109375" style="1986" customWidth="1"/>
    <col min="13571" max="13571" width="8.85546875" style="1986" customWidth="1"/>
    <col min="13572" max="13572" width="47.85546875" style="1986" customWidth="1"/>
    <col min="13573" max="13573" width="12.85546875" style="1986" customWidth="1"/>
    <col min="13574" max="13574" width="15.5703125" style="1986" customWidth="1"/>
    <col min="13575" max="13575" width="15.85546875" style="1986" customWidth="1"/>
    <col min="13576" max="13576" width="6.42578125" style="1986" customWidth="1"/>
    <col min="13577" max="13579" width="9.140625" style="1986"/>
    <col min="13580" max="13580" width="18.42578125" style="1986" customWidth="1"/>
    <col min="13581" max="13581" width="16" style="1986" bestFit="1" customWidth="1"/>
    <col min="13582" max="13824" width="9.140625" style="1986"/>
    <col min="13825" max="13825" width="4.7109375" style="1986" customWidth="1"/>
    <col min="13826" max="13826" width="6.7109375" style="1986" customWidth="1"/>
    <col min="13827" max="13827" width="8.85546875" style="1986" customWidth="1"/>
    <col min="13828" max="13828" width="47.85546875" style="1986" customWidth="1"/>
    <col min="13829" max="13829" width="12.85546875" style="1986" customWidth="1"/>
    <col min="13830" max="13830" width="15.5703125" style="1986" customWidth="1"/>
    <col min="13831" max="13831" width="15.85546875" style="1986" customWidth="1"/>
    <col min="13832" max="13832" width="6.42578125" style="1986" customWidth="1"/>
    <col min="13833" max="13835" width="9.140625" style="1986"/>
    <col min="13836" max="13836" width="18.42578125" style="1986" customWidth="1"/>
    <col min="13837" max="13837" width="16" style="1986" bestFit="1" customWidth="1"/>
    <col min="13838" max="14080" width="9.140625" style="1986"/>
    <col min="14081" max="14081" width="4.7109375" style="1986" customWidth="1"/>
    <col min="14082" max="14082" width="6.7109375" style="1986" customWidth="1"/>
    <col min="14083" max="14083" width="8.85546875" style="1986" customWidth="1"/>
    <col min="14084" max="14084" width="47.85546875" style="1986" customWidth="1"/>
    <col min="14085" max="14085" width="12.85546875" style="1986" customWidth="1"/>
    <col min="14086" max="14086" width="15.5703125" style="1986" customWidth="1"/>
    <col min="14087" max="14087" width="15.85546875" style="1986" customWidth="1"/>
    <col min="14088" max="14088" width="6.42578125" style="1986" customWidth="1"/>
    <col min="14089" max="14091" width="9.140625" style="1986"/>
    <col min="14092" max="14092" width="18.42578125" style="1986" customWidth="1"/>
    <col min="14093" max="14093" width="16" style="1986" bestFit="1" customWidth="1"/>
    <col min="14094" max="14336" width="9.140625" style="1986"/>
    <col min="14337" max="14337" width="4.7109375" style="1986" customWidth="1"/>
    <col min="14338" max="14338" width="6.7109375" style="1986" customWidth="1"/>
    <col min="14339" max="14339" width="8.85546875" style="1986" customWidth="1"/>
    <col min="14340" max="14340" width="47.85546875" style="1986" customWidth="1"/>
    <col min="14341" max="14341" width="12.85546875" style="1986" customWidth="1"/>
    <col min="14342" max="14342" width="15.5703125" style="1986" customWidth="1"/>
    <col min="14343" max="14343" width="15.85546875" style="1986" customWidth="1"/>
    <col min="14344" max="14344" width="6.42578125" style="1986" customWidth="1"/>
    <col min="14345" max="14347" width="9.140625" style="1986"/>
    <col min="14348" max="14348" width="18.42578125" style="1986" customWidth="1"/>
    <col min="14349" max="14349" width="16" style="1986" bestFit="1" customWidth="1"/>
    <col min="14350" max="14592" width="9.140625" style="1986"/>
    <col min="14593" max="14593" width="4.7109375" style="1986" customWidth="1"/>
    <col min="14594" max="14594" width="6.7109375" style="1986" customWidth="1"/>
    <col min="14595" max="14595" width="8.85546875" style="1986" customWidth="1"/>
    <col min="14596" max="14596" width="47.85546875" style="1986" customWidth="1"/>
    <col min="14597" max="14597" width="12.85546875" style="1986" customWidth="1"/>
    <col min="14598" max="14598" width="15.5703125" style="1986" customWidth="1"/>
    <col min="14599" max="14599" width="15.85546875" style="1986" customWidth="1"/>
    <col min="14600" max="14600" width="6.42578125" style="1986" customWidth="1"/>
    <col min="14601" max="14603" width="9.140625" style="1986"/>
    <col min="14604" max="14604" width="18.42578125" style="1986" customWidth="1"/>
    <col min="14605" max="14605" width="16" style="1986" bestFit="1" customWidth="1"/>
    <col min="14606" max="14848" width="9.140625" style="1986"/>
    <col min="14849" max="14849" width="4.7109375" style="1986" customWidth="1"/>
    <col min="14850" max="14850" width="6.7109375" style="1986" customWidth="1"/>
    <col min="14851" max="14851" width="8.85546875" style="1986" customWidth="1"/>
    <col min="14852" max="14852" width="47.85546875" style="1986" customWidth="1"/>
    <col min="14853" max="14853" width="12.85546875" style="1986" customWidth="1"/>
    <col min="14854" max="14854" width="15.5703125" style="1986" customWidth="1"/>
    <col min="14855" max="14855" width="15.85546875" style="1986" customWidth="1"/>
    <col min="14856" max="14856" width="6.42578125" style="1986" customWidth="1"/>
    <col min="14857" max="14859" width="9.140625" style="1986"/>
    <col min="14860" max="14860" width="18.42578125" style="1986" customWidth="1"/>
    <col min="14861" max="14861" width="16" style="1986" bestFit="1" customWidth="1"/>
    <col min="14862" max="15104" width="9.140625" style="1986"/>
    <col min="15105" max="15105" width="4.7109375" style="1986" customWidth="1"/>
    <col min="15106" max="15106" width="6.7109375" style="1986" customWidth="1"/>
    <col min="15107" max="15107" width="8.85546875" style="1986" customWidth="1"/>
    <col min="15108" max="15108" width="47.85546875" style="1986" customWidth="1"/>
    <col min="15109" max="15109" width="12.85546875" style="1986" customWidth="1"/>
    <col min="15110" max="15110" width="15.5703125" style="1986" customWidth="1"/>
    <col min="15111" max="15111" width="15.85546875" style="1986" customWidth="1"/>
    <col min="15112" max="15112" width="6.42578125" style="1986" customWidth="1"/>
    <col min="15113" max="15115" width="9.140625" style="1986"/>
    <col min="15116" max="15116" width="18.42578125" style="1986" customWidth="1"/>
    <col min="15117" max="15117" width="16" style="1986" bestFit="1" customWidth="1"/>
    <col min="15118" max="15360" width="9.140625" style="1986"/>
    <col min="15361" max="15361" width="4.7109375" style="1986" customWidth="1"/>
    <col min="15362" max="15362" width="6.7109375" style="1986" customWidth="1"/>
    <col min="15363" max="15363" width="8.85546875" style="1986" customWidth="1"/>
    <col min="15364" max="15364" width="47.85546875" style="1986" customWidth="1"/>
    <col min="15365" max="15365" width="12.85546875" style="1986" customWidth="1"/>
    <col min="15366" max="15366" width="15.5703125" style="1986" customWidth="1"/>
    <col min="15367" max="15367" width="15.85546875" style="1986" customWidth="1"/>
    <col min="15368" max="15368" width="6.42578125" style="1986" customWidth="1"/>
    <col min="15369" max="15371" width="9.140625" style="1986"/>
    <col min="15372" max="15372" width="18.42578125" style="1986" customWidth="1"/>
    <col min="15373" max="15373" width="16" style="1986" bestFit="1" customWidth="1"/>
    <col min="15374" max="15616" width="9.140625" style="1986"/>
    <col min="15617" max="15617" width="4.7109375" style="1986" customWidth="1"/>
    <col min="15618" max="15618" width="6.7109375" style="1986" customWidth="1"/>
    <col min="15619" max="15619" width="8.85546875" style="1986" customWidth="1"/>
    <col min="15620" max="15620" width="47.85546875" style="1986" customWidth="1"/>
    <col min="15621" max="15621" width="12.85546875" style="1986" customWidth="1"/>
    <col min="15622" max="15622" width="15.5703125" style="1986" customWidth="1"/>
    <col min="15623" max="15623" width="15.85546875" style="1986" customWidth="1"/>
    <col min="15624" max="15624" width="6.42578125" style="1986" customWidth="1"/>
    <col min="15625" max="15627" width="9.140625" style="1986"/>
    <col min="15628" max="15628" width="18.42578125" style="1986" customWidth="1"/>
    <col min="15629" max="15629" width="16" style="1986" bestFit="1" customWidth="1"/>
    <col min="15630" max="15872" width="9.140625" style="1986"/>
    <col min="15873" max="15873" width="4.7109375" style="1986" customWidth="1"/>
    <col min="15874" max="15874" width="6.7109375" style="1986" customWidth="1"/>
    <col min="15875" max="15875" width="8.85546875" style="1986" customWidth="1"/>
    <col min="15876" max="15876" width="47.85546875" style="1986" customWidth="1"/>
    <col min="15877" max="15877" width="12.85546875" style="1986" customWidth="1"/>
    <col min="15878" max="15878" width="15.5703125" style="1986" customWidth="1"/>
    <col min="15879" max="15879" width="15.85546875" style="1986" customWidth="1"/>
    <col min="15880" max="15880" width="6.42578125" style="1986" customWidth="1"/>
    <col min="15881" max="15883" width="9.140625" style="1986"/>
    <col min="15884" max="15884" width="18.42578125" style="1986" customWidth="1"/>
    <col min="15885" max="15885" width="16" style="1986" bestFit="1" customWidth="1"/>
    <col min="15886" max="16128" width="9.140625" style="1986"/>
    <col min="16129" max="16129" width="4.7109375" style="1986" customWidth="1"/>
    <col min="16130" max="16130" width="6.7109375" style="1986" customWidth="1"/>
    <col min="16131" max="16131" width="8.85546875" style="1986" customWidth="1"/>
    <col min="16132" max="16132" width="47.85546875" style="1986" customWidth="1"/>
    <col min="16133" max="16133" width="12.85546875" style="1986" customWidth="1"/>
    <col min="16134" max="16134" width="15.5703125" style="1986" customWidth="1"/>
    <col min="16135" max="16135" width="15.85546875" style="1986" customWidth="1"/>
    <col min="16136" max="16136" width="6.42578125" style="1986" customWidth="1"/>
    <col min="16137" max="16139" width="9.140625" style="1986"/>
    <col min="16140" max="16140" width="18.42578125" style="1986" customWidth="1"/>
    <col min="16141" max="16141" width="16" style="1986" bestFit="1" customWidth="1"/>
    <col min="16142" max="16384" width="9.140625" style="1986"/>
  </cols>
  <sheetData>
    <row r="1" spans="1:8" ht="18.75" thickBot="1" x14ac:dyDescent="0.3">
      <c r="A1" s="1980" t="s">
        <v>1401</v>
      </c>
      <c r="B1" s="1981"/>
      <c r="C1" s="1982"/>
      <c r="D1" s="1983"/>
      <c r="E1" s="1984"/>
      <c r="F1" s="1983"/>
      <c r="G1" s="1985"/>
      <c r="H1" s="1980"/>
    </row>
    <row r="2" spans="1:8" ht="18" x14ac:dyDescent="0.25">
      <c r="A2" s="1987"/>
      <c r="B2" s="1988"/>
      <c r="C2" s="1988"/>
      <c r="D2" s="1988"/>
      <c r="E2" s="1988"/>
      <c r="F2" s="1988"/>
      <c r="G2" s="1988"/>
      <c r="H2" s="1989" t="s">
        <v>1400</v>
      </c>
    </row>
    <row r="3" spans="1:8" ht="18" x14ac:dyDescent="0.25">
      <c r="A3" s="1990" t="s">
        <v>367</v>
      </c>
      <c r="B3" s="1988"/>
      <c r="C3" s="1991" t="s">
        <v>347</v>
      </c>
      <c r="D3" s="1988"/>
      <c r="E3" s="1988"/>
      <c r="F3" s="1988"/>
      <c r="G3" s="1988"/>
      <c r="H3" s="1989"/>
    </row>
    <row r="4" spans="1:8" ht="18" x14ac:dyDescent="0.25">
      <c r="A4" s="1987"/>
      <c r="B4" s="1988"/>
      <c r="C4" s="1991" t="s">
        <v>348</v>
      </c>
      <c r="D4" s="1988"/>
      <c r="E4" s="1988"/>
      <c r="F4" s="1988"/>
      <c r="G4" s="1988"/>
      <c r="H4" s="1989"/>
    </row>
    <row r="5" spans="1:8" ht="18" x14ac:dyDescent="0.25">
      <c r="A5" s="1992" t="s">
        <v>1399</v>
      </c>
      <c r="B5" s="1988"/>
      <c r="C5" s="1988"/>
      <c r="D5" s="1988"/>
      <c r="E5" s="1988"/>
      <c r="F5" s="1988"/>
      <c r="G5" s="1988"/>
      <c r="H5" s="1989"/>
    </row>
    <row r="6" spans="1:8" x14ac:dyDescent="0.2">
      <c r="A6" s="1993"/>
      <c r="B6" s="1993"/>
      <c r="C6" s="1993"/>
      <c r="E6" s="1994"/>
      <c r="F6" s="1994"/>
      <c r="G6" s="1994"/>
    </row>
    <row r="7" spans="1:8" ht="15.75" thickBot="1" x14ac:dyDescent="0.3">
      <c r="A7" s="1979" t="s">
        <v>250</v>
      </c>
      <c r="B7" s="1993"/>
      <c r="C7" s="1993"/>
      <c r="E7" s="1994"/>
      <c r="F7" s="1994"/>
      <c r="G7" s="1994"/>
      <c r="H7" s="1995" t="s">
        <v>161</v>
      </c>
    </row>
    <row r="8" spans="1:8" ht="25.5" thickTop="1" thickBot="1" x14ac:dyDescent="0.25">
      <c r="A8" s="1809" t="s">
        <v>162</v>
      </c>
      <c r="B8" s="1810" t="s">
        <v>761</v>
      </c>
      <c r="C8" s="1810" t="s">
        <v>377</v>
      </c>
      <c r="D8" s="1811" t="s">
        <v>164</v>
      </c>
      <c r="E8" s="1833" t="s">
        <v>632</v>
      </c>
      <c r="F8" s="1833" t="s">
        <v>633</v>
      </c>
      <c r="G8" s="1834" t="s">
        <v>882</v>
      </c>
      <c r="H8" s="1835" t="s">
        <v>883</v>
      </c>
    </row>
    <row r="9" spans="1:8" ht="14.25" thickTop="1" thickBot="1" x14ac:dyDescent="0.25">
      <c r="A9" s="1643">
        <v>1</v>
      </c>
      <c r="B9" s="1642">
        <v>2</v>
      </c>
      <c r="C9" s="1642">
        <v>3</v>
      </c>
      <c r="D9" s="1642">
        <v>4</v>
      </c>
      <c r="E9" s="1641">
        <v>5</v>
      </c>
      <c r="F9" s="1641">
        <v>6</v>
      </c>
      <c r="G9" s="1877">
        <v>7</v>
      </c>
      <c r="H9" s="1901" t="s">
        <v>61</v>
      </c>
    </row>
    <row r="10" spans="1:8" ht="45.75" thickTop="1" x14ac:dyDescent="0.2">
      <c r="A10" s="2007">
        <v>3299</v>
      </c>
      <c r="B10" s="2008">
        <v>5213</v>
      </c>
      <c r="C10" s="2008">
        <v>32133030</v>
      </c>
      <c r="D10" s="2009" t="s">
        <v>1038</v>
      </c>
      <c r="E10" s="2010">
        <v>0</v>
      </c>
      <c r="F10" s="2010">
        <v>417</v>
      </c>
      <c r="G10" s="2010">
        <v>306</v>
      </c>
      <c r="H10" s="2011">
        <f t="shared" ref="H10:H28" si="0">G10/F10*100</f>
        <v>73.381294964028783</v>
      </c>
    </row>
    <row r="11" spans="1:8" ht="45" x14ac:dyDescent="0.2">
      <c r="A11" s="2012">
        <v>3299</v>
      </c>
      <c r="B11" s="2013">
        <v>5213</v>
      </c>
      <c r="C11" s="2013">
        <v>32533030</v>
      </c>
      <c r="D11" s="2014" t="s">
        <v>1038</v>
      </c>
      <c r="E11" s="2015">
        <v>0</v>
      </c>
      <c r="F11" s="2015">
        <v>2365</v>
      </c>
      <c r="G11" s="2015">
        <v>1733</v>
      </c>
      <c r="H11" s="2016">
        <f t="shared" si="0"/>
        <v>73.276955602537001</v>
      </c>
    </row>
    <row r="12" spans="1:8" ht="30" x14ac:dyDescent="0.2">
      <c r="A12" s="2012">
        <v>3299</v>
      </c>
      <c r="B12" s="2013">
        <v>5221</v>
      </c>
      <c r="C12" s="2013">
        <v>32133030</v>
      </c>
      <c r="D12" s="2014" t="s">
        <v>1317</v>
      </c>
      <c r="E12" s="2015">
        <v>0</v>
      </c>
      <c r="F12" s="2015">
        <v>318</v>
      </c>
      <c r="G12" s="2015">
        <v>307</v>
      </c>
      <c r="H12" s="2016">
        <f t="shared" si="0"/>
        <v>96.540880503144649</v>
      </c>
    </row>
    <row r="13" spans="1:8" ht="30" x14ac:dyDescent="0.2">
      <c r="A13" s="2012">
        <v>3299</v>
      </c>
      <c r="B13" s="2013">
        <v>5221</v>
      </c>
      <c r="C13" s="2013">
        <v>32533030</v>
      </c>
      <c r="D13" s="2014" t="s">
        <v>1317</v>
      </c>
      <c r="E13" s="2015">
        <v>0</v>
      </c>
      <c r="F13" s="2015">
        <v>1802</v>
      </c>
      <c r="G13" s="2015">
        <v>1739</v>
      </c>
      <c r="H13" s="2016">
        <f t="shared" si="0"/>
        <v>96.503884572697004</v>
      </c>
    </row>
    <row r="14" spans="1:8" ht="15" x14ac:dyDescent="0.2">
      <c r="A14" s="2012">
        <v>3299</v>
      </c>
      <c r="B14" s="2013">
        <v>5222</v>
      </c>
      <c r="C14" s="2013">
        <v>32133030</v>
      </c>
      <c r="D14" s="2014" t="s">
        <v>1731</v>
      </c>
      <c r="E14" s="2015">
        <v>0</v>
      </c>
      <c r="F14" s="2015">
        <v>115</v>
      </c>
      <c r="G14" s="2015">
        <v>102</v>
      </c>
      <c r="H14" s="2016">
        <f t="shared" si="0"/>
        <v>88.695652173913047</v>
      </c>
    </row>
    <row r="15" spans="1:8" ht="15" x14ac:dyDescent="0.2">
      <c r="A15" s="2012">
        <v>3299</v>
      </c>
      <c r="B15" s="2013">
        <v>5222</v>
      </c>
      <c r="C15" s="2013">
        <v>32533030</v>
      </c>
      <c r="D15" s="2014" t="s">
        <v>1731</v>
      </c>
      <c r="E15" s="2015">
        <v>0</v>
      </c>
      <c r="F15" s="2015">
        <v>651</v>
      </c>
      <c r="G15" s="2015">
        <v>580</v>
      </c>
      <c r="H15" s="2016">
        <f t="shared" si="0"/>
        <v>89.093701996927805</v>
      </c>
    </row>
    <row r="16" spans="1:8" ht="15" x14ac:dyDescent="0.2">
      <c r="A16" s="2012">
        <v>3299</v>
      </c>
      <c r="B16" s="2013">
        <v>5332</v>
      </c>
      <c r="C16" s="2017">
        <v>32133030</v>
      </c>
      <c r="D16" s="2014" t="s">
        <v>619</v>
      </c>
      <c r="E16" s="2015">
        <v>0</v>
      </c>
      <c r="F16" s="2015">
        <v>186</v>
      </c>
      <c r="G16" s="2015">
        <v>136</v>
      </c>
      <c r="H16" s="2016">
        <f t="shared" si="0"/>
        <v>73.118279569892479</v>
      </c>
    </row>
    <row r="17" spans="1:9" ht="15" x14ac:dyDescent="0.2">
      <c r="A17" s="2012">
        <v>3299</v>
      </c>
      <c r="B17" s="2013">
        <v>5332</v>
      </c>
      <c r="C17" s="2017">
        <v>32533030</v>
      </c>
      <c r="D17" s="2014" t="s">
        <v>619</v>
      </c>
      <c r="E17" s="2015">
        <v>0</v>
      </c>
      <c r="F17" s="2015">
        <v>1056</v>
      </c>
      <c r="G17" s="2015">
        <v>771</v>
      </c>
      <c r="H17" s="2016">
        <f t="shared" si="0"/>
        <v>73.01136363636364</v>
      </c>
    </row>
    <row r="18" spans="1:9" ht="15" customHeight="1" x14ac:dyDescent="0.2">
      <c r="A18" s="2012">
        <v>3299</v>
      </c>
      <c r="B18" s="2013">
        <v>5901</v>
      </c>
      <c r="C18" s="2017">
        <v>32133030</v>
      </c>
      <c r="D18" s="2014" t="s">
        <v>602</v>
      </c>
      <c r="E18" s="2015">
        <v>0</v>
      </c>
      <c r="F18" s="2015">
        <v>386</v>
      </c>
      <c r="G18" s="2015">
        <v>0</v>
      </c>
      <c r="H18" s="2016">
        <f t="shared" si="0"/>
        <v>0</v>
      </c>
    </row>
    <row r="19" spans="1:9" ht="15" x14ac:dyDescent="0.2">
      <c r="A19" s="2012">
        <v>3299</v>
      </c>
      <c r="B19" s="2013">
        <v>5901</v>
      </c>
      <c r="C19" s="2017">
        <v>32533030</v>
      </c>
      <c r="D19" s="2014" t="s">
        <v>602</v>
      </c>
      <c r="E19" s="2015">
        <v>0</v>
      </c>
      <c r="F19" s="2015">
        <v>2190</v>
      </c>
      <c r="G19" s="2015">
        <v>0</v>
      </c>
      <c r="H19" s="2016">
        <f t="shared" si="0"/>
        <v>0</v>
      </c>
    </row>
    <row r="20" spans="1:9" ht="45" hidden="1" x14ac:dyDescent="0.2">
      <c r="A20" s="2012">
        <v>3299</v>
      </c>
      <c r="B20" s="2013">
        <v>6313</v>
      </c>
      <c r="C20" s="2017">
        <v>32133006</v>
      </c>
      <c r="D20" s="2014" t="s">
        <v>547</v>
      </c>
      <c r="E20" s="2015">
        <v>0</v>
      </c>
      <c r="F20" s="2015">
        <v>0</v>
      </c>
      <c r="G20" s="2015">
        <v>0</v>
      </c>
      <c r="H20" s="2016" t="e">
        <f t="shared" si="0"/>
        <v>#DIV/0!</v>
      </c>
    </row>
    <row r="21" spans="1:9" ht="45" hidden="1" x14ac:dyDescent="0.2">
      <c r="A21" s="2012">
        <v>3299</v>
      </c>
      <c r="B21" s="2013">
        <v>6313</v>
      </c>
      <c r="C21" s="2017">
        <v>32533006</v>
      </c>
      <c r="D21" s="2014" t="s">
        <v>547</v>
      </c>
      <c r="E21" s="2015">
        <v>0</v>
      </c>
      <c r="F21" s="2015">
        <v>0</v>
      </c>
      <c r="G21" s="2015">
        <v>0</v>
      </c>
      <c r="H21" s="2016" t="e">
        <f t="shared" si="0"/>
        <v>#DIV/0!</v>
      </c>
    </row>
    <row r="22" spans="1:9" ht="30" hidden="1" x14ac:dyDescent="0.2">
      <c r="A22" s="2012">
        <v>3299</v>
      </c>
      <c r="B22" s="2013">
        <v>6323</v>
      </c>
      <c r="C22" s="2017">
        <v>32133006</v>
      </c>
      <c r="D22" s="2014" t="s">
        <v>548</v>
      </c>
      <c r="E22" s="2015">
        <v>0</v>
      </c>
      <c r="F22" s="2015">
        <v>0</v>
      </c>
      <c r="G22" s="2015">
        <v>0</v>
      </c>
      <c r="H22" s="2016" t="e">
        <f t="shared" si="0"/>
        <v>#DIV/0!</v>
      </c>
    </row>
    <row r="23" spans="1:9" ht="30" hidden="1" x14ac:dyDescent="0.2">
      <c r="A23" s="2012">
        <v>3299</v>
      </c>
      <c r="B23" s="2013">
        <v>6323</v>
      </c>
      <c r="C23" s="2017">
        <v>32533006</v>
      </c>
      <c r="D23" s="2014" t="s">
        <v>548</v>
      </c>
      <c r="E23" s="2015">
        <v>0</v>
      </c>
      <c r="F23" s="2015">
        <v>0</v>
      </c>
      <c r="G23" s="2015">
        <v>0</v>
      </c>
      <c r="H23" s="2016" t="e">
        <f t="shared" si="0"/>
        <v>#DIV/0!</v>
      </c>
    </row>
    <row r="24" spans="1:9" ht="15" customHeight="1" x14ac:dyDescent="0.2">
      <c r="A24" s="2012">
        <v>3299</v>
      </c>
      <c r="B24" s="2013">
        <v>6901</v>
      </c>
      <c r="C24" s="2017">
        <v>32133926</v>
      </c>
      <c r="D24" s="2014" t="s">
        <v>428</v>
      </c>
      <c r="E24" s="2015">
        <v>0</v>
      </c>
      <c r="F24" s="2015">
        <v>75</v>
      </c>
      <c r="G24" s="2015">
        <v>0</v>
      </c>
      <c r="H24" s="2016">
        <f t="shared" si="0"/>
        <v>0</v>
      </c>
    </row>
    <row r="25" spans="1:9" ht="15" customHeight="1" x14ac:dyDescent="0.2">
      <c r="A25" s="2012">
        <v>3299</v>
      </c>
      <c r="B25" s="2013">
        <v>6901</v>
      </c>
      <c r="C25" s="2017">
        <v>32533926</v>
      </c>
      <c r="D25" s="2014" t="s">
        <v>428</v>
      </c>
      <c r="E25" s="2015">
        <v>0</v>
      </c>
      <c r="F25" s="2015">
        <v>425</v>
      </c>
      <c r="G25" s="2015">
        <v>0</v>
      </c>
      <c r="H25" s="2016">
        <f t="shared" si="0"/>
        <v>0</v>
      </c>
    </row>
    <row r="26" spans="1:9" ht="15" customHeight="1" x14ac:dyDescent="0.2">
      <c r="A26" s="2012">
        <v>6402</v>
      </c>
      <c r="B26" s="2013">
        <v>5363</v>
      </c>
      <c r="C26" s="2017">
        <v>19</v>
      </c>
      <c r="D26" s="2014" t="s">
        <v>1542</v>
      </c>
      <c r="E26" s="2015">
        <v>0</v>
      </c>
      <c r="F26" s="2015">
        <v>53</v>
      </c>
      <c r="G26" s="2015">
        <v>48</v>
      </c>
      <c r="H26" s="2016">
        <f t="shared" si="0"/>
        <v>90.566037735849065</v>
      </c>
    </row>
    <row r="27" spans="1:9" ht="15.75" thickBot="1" x14ac:dyDescent="0.25">
      <c r="A27" s="2012">
        <v>6330</v>
      </c>
      <c r="B27" s="2013">
        <v>5345</v>
      </c>
      <c r="C27" s="2017">
        <v>0</v>
      </c>
      <c r="D27" s="2014" t="s">
        <v>767</v>
      </c>
      <c r="E27" s="2015">
        <v>0</v>
      </c>
      <c r="F27" s="2015">
        <v>0</v>
      </c>
      <c r="G27" s="2015">
        <v>6169</v>
      </c>
      <c r="H27" s="2018">
        <v>0</v>
      </c>
    </row>
    <row r="28" spans="1:9" ht="16.5" thickTop="1" thickBot="1" x14ac:dyDescent="0.3">
      <c r="A28" s="2751" t="s">
        <v>763</v>
      </c>
      <c r="B28" s="2752"/>
      <c r="C28" s="2752"/>
      <c r="D28" s="2752"/>
      <c r="E28" s="1818">
        <f>SUM(E10:E27)</f>
        <v>0</v>
      </c>
      <c r="F28" s="1818">
        <f>SUM(F10:F27)</f>
        <v>10039</v>
      </c>
      <c r="G28" s="1818">
        <f t="shared" ref="G28" si="1">SUM(G10:G27)</f>
        <v>11891</v>
      </c>
      <c r="H28" s="1822">
        <f t="shared" si="0"/>
        <v>118.44805259487995</v>
      </c>
    </row>
    <row r="29" spans="1:9" ht="15.75" thickTop="1" x14ac:dyDescent="0.25">
      <c r="A29" s="2059"/>
      <c r="B29" s="2059"/>
      <c r="C29" s="2059"/>
      <c r="D29" s="2059"/>
      <c r="E29" s="2060"/>
      <c r="F29" s="2060"/>
      <c r="G29" s="2060"/>
      <c r="H29" s="2061"/>
    </row>
    <row r="30" spans="1:9" ht="15" x14ac:dyDescent="0.25">
      <c r="A30" s="1979" t="s">
        <v>1565</v>
      </c>
      <c r="B30" s="1993"/>
      <c r="C30" s="1993"/>
      <c r="D30" s="1993"/>
      <c r="F30" s="1994"/>
      <c r="G30" s="1994"/>
      <c r="H30" s="1994"/>
      <c r="I30" s="1994"/>
    </row>
    <row r="31" spans="1:9" ht="15.75" thickBot="1" x14ac:dyDescent="0.3">
      <c r="A31" s="1979" t="s">
        <v>991</v>
      </c>
      <c r="B31" s="1993"/>
      <c r="C31" s="1993"/>
      <c r="D31" s="1993"/>
      <c r="F31" s="1994"/>
      <c r="G31" s="1994"/>
      <c r="H31" s="1995" t="s">
        <v>161</v>
      </c>
      <c r="I31" s="1994"/>
    </row>
    <row r="32" spans="1:9" ht="25.5" thickTop="1" thickBot="1" x14ac:dyDescent="0.25">
      <c r="A32" s="1996" t="s">
        <v>162</v>
      </c>
      <c r="B32" s="1997" t="s">
        <v>761</v>
      </c>
      <c r="C32" s="1997" t="s">
        <v>377</v>
      </c>
      <c r="D32" s="1998" t="s">
        <v>164</v>
      </c>
      <c r="E32" s="1999" t="s">
        <v>632</v>
      </c>
      <c r="F32" s="1999" t="s">
        <v>633</v>
      </c>
      <c r="G32" s="2000" t="s">
        <v>882</v>
      </c>
      <c r="H32" s="2001" t="s">
        <v>883</v>
      </c>
      <c r="I32" s="1994"/>
    </row>
    <row r="33" spans="1:9" ht="14.25" thickTop="1" thickBot="1" x14ac:dyDescent="0.25">
      <c r="A33" s="2002">
        <v>1</v>
      </c>
      <c r="B33" s="2003">
        <v>2</v>
      </c>
      <c r="C33" s="2003">
        <v>3</v>
      </c>
      <c r="D33" s="2003">
        <v>5</v>
      </c>
      <c r="E33" s="2004">
        <v>6</v>
      </c>
      <c r="F33" s="2004">
        <v>7</v>
      </c>
      <c r="G33" s="2005">
        <v>8</v>
      </c>
      <c r="H33" s="2021" t="s">
        <v>762</v>
      </c>
      <c r="I33" s="1994"/>
    </row>
    <row r="34" spans="1:9" ht="30.75" thickTop="1" x14ac:dyDescent="0.2">
      <c r="A34" s="2012">
        <v>3299</v>
      </c>
      <c r="B34" s="2013">
        <v>5336</v>
      </c>
      <c r="C34" s="2013">
        <v>32133030</v>
      </c>
      <c r="D34" s="2014" t="s">
        <v>1263</v>
      </c>
      <c r="E34" s="2010">
        <v>0</v>
      </c>
      <c r="F34" s="2010">
        <v>21</v>
      </c>
      <c r="G34" s="2022">
        <v>21</v>
      </c>
      <c r="H34" s="2011">
        <f>G34/F34*100</f>
        <v>100</v>
      </c>
      <c r="I34" s="1994"/>
    </row>
    <row r="35" spans="1:9" ht="30.75" thickBot="1" x14ac:dyDescent="0.25">
      <c r="A35" s="2012">
        <v>3299</v>
      </c>
      <c r="B35" s="2013">
        <v>5336</v>
      </c>
      <c r="C35" s="2013">
        <v>32533030</v>
      </c>
      <c r="D35" s="2014" t="s">
        <v>1263</v>
      </c>
      <c r="E35" s="2015">
        <v>0</v>
      </c>
      <c r="F35" s="2015">
        <v>117</v>
      </c>
      <c r="G35" s="2023">
        <v>117</v>
      </c>
      <c r="H35" s="2016">
        <f>G35/F35*100</f>
        <v>100</v>
      </c>
      <c r="I35" s="1994"/>
    </row>
    <row r="36" spans="1:9" ht="30.75" hidden="1" thickBot="1" x14ac:dyDescent="0.25">
      <c r="A36" s="2012">
        <v>3299</v>
      </c>
      <c r="B36" s="2013">
        <v>6351</v>
      </c>
      <c r="C36" s="2013">
        <v>32133006</v>
      </c>
      <c r="D36" s="2014" t="s">
        <v>1277</v>
      </c>
      <c r="E36" s="2015">
        <v>0</v>
      </c>
      <c r="F36" s="2015">
        <v>0</v>
      </c>
      <c r="G36" s="2023">
        <v>0</v>
      </c>
      <c r="H36" s="2016" t="e">
        <f>G36/F36*100</f>
        <v>#DIV/0!</v>
      </c>
      <c r="I36" s="1994"/>
    </row>
    <row r="37" spans="1:9" ht="30.75" hidden="1" thickBot="1" x14ac:dyDescent="0.25">
      <c r="A37" s="2012">
        <v>3299</v>
      </c>
      <c r="B37" s="2013">
        <v>6351</v>
      </c>
      <c r="C37" s="2013">
        <v>32533006</v>
      </c>
      <c r="D37" s="2014" t="s">
        <v>1277</v>
      </c>
      <c r="E37" s="2015">
        <v>0</v>
      </c>
      <c r="F37" s="2015">
        <v>0</v>
      </c>
      <c r="G37" s="2023">
        <v>0</v>
      </c>
      <c r="H37" s="2016" t="e">
        <f>G37/F37*100</f>
        <v>#DIV/0!</v>
      </c>
      <c r="I37" s="1994"/>
    </row>
    <row r="38" spans="1:9" ht="16.5" thickTop="1" thickBot="1" x14ac:dyDescent="0.3">
      <c r="A38" s="2024" t="s">
        <v>763</v>
      </c>
      <c r="B38" s="2025"/>
      <c r="C38" s="2025"/>
      <c r="D38" s="2026"/>
      <c r="E38" s="2019">
        <f>SUM(E34:E37)</f>
        <v>0</v>
      </c>
      <c r="F38" s="2019">
        <f>SUM(F34:F37)</f>
        <v>138</v>
      </c>
      <c r="G38" s="2019">
        <f>SUM(G34:G37)</f>
        <v>138</v>
      </c>
      <c r="H38" s="2020">
        <f>G38/F38*100</f>
        <v>100</v>
      </c>
      <c r="I38" s="1994"/>
    </row>
    <row r="39" spans="1:9" ht="15.75" thickTop="1" x14ac:dyDescent="0.25">
      <c r="A39" s="2059"/>
      <c r="B39" s="2059"/>
      <c r="C39" s="2059"/>
      <c r="D39" s="2059"/>
      <c r="E39" s="2060"/>
      <c r="F39" s="2060"/>
      <c r="G39" s="2060"/>
      <c r="H39" s="2061"/>
    </row>
    <row r="40" spans="1:9" ht="15" x14ac:dyDescent="0.25">
      <c r="A40" s="1979" t="s">
        <v>1566</v>
      </c>
      <c r="B40" s="1993"/>
      <c r="C40" s="1993"/>
      <c r="D40" s="1993"/>
      <c r="F40" s="1994"/>
      <c r="G40" s="1994"/>
      <c r="H40" s="1994"/>
      <c r="I40" s="1994"/>
    </row>
    <row r="41" spans="1:9" ht="15.75" thickBot="1" x14ac:dyDescent="0.3">
      <c r="A41" s="1979" t="s">
        <v>992</v>
      </c>
      <c r="B41" s="1993"/>
      <c r="C41" s="1993"/>
      <c r="D41" s="1993"/>
      <c r="F41" s="1994"/>
      <c r="G41" s="1994"/>
      <c r="H41" s="1995" t="s">
        <v>161</v>
      </c>
      <c r="I41" s="1994"/>
    </row>
    <row r="42" spans="1:9" ht="25.5" thickTop="1" thickBot="1" x14ac:dyDescent="0.25">
      <c r="A42" s="1996" t="s">
        <v>162</v>
      </c>
      <c r="B42" s="1997" t="s">
        <v>761</v>
      </c>
      <c r="C42" s="1997" t="s">
        <v>377</v>
      </c>
      <c r="D42" s="1998" t="s">
        <v>164</v>
      </c>
      <c r="E42" s="1999" t="s">
        <v>632</v>
      </c>
      <c r="F42" s="1999" t="s">
        <v>633</v>
      </c>
      <c r="G42" s="2000" t="s">
        <v>882</v>
      </c>
      <c r="H42" s="2001" t="s">
        <v>883</v>
      </c>
      <c r="I42" s="1994"/>
    </row>
    <row r="43" spans="1:9" ht="14.25" thickTop="1" thickBot="1" x14ac:dyDescent="0.25">
      <c r="A43" s="2002">
        <v>1</v>
      </c>
      <c r="B43" s="2003">
        <v>2</v>
      </c>
      <c r="C43" s="2003">
        <v>3</v>
      </c>
      <c r="D43" s="2003">
        <v>5</v>
      </c>
      <c r="E43" s="2004">
        <v>6</v>
      </c>
      <c r="F43" s="2004">
        <v>7</v>
      </c>
      <c r="G43" s="2005">
        <v>8</v>
      </c>
      <c r="H43" s="2021" t="s">
        <v>762</v>
      </c>
      <c r="I43" s="1994"/>
    </row>
    <row r="44" spans="1:9" ht="30.75" thickTop="1" x14ac:dyDescent="0.2">
      <c r="A44" s="2012">
        <v>3299</v>
      </c>
      <c r="B44" s="2013">
        <v>5336</v>
      </c>
      <c r="C44" s="2013">
        <v>32133030</v>
      </c>
      <c r="D44" s="2014" t="s">
        <v>1263</v>
      </c>
      <c r="E44" s="2010">
        <v>0</v>
      </c>
      <c r="F44" s="2010">
        <v>344</v>
      </c>
      <c r="G44" s="2022">
        <v>306</v>
      </c>
      <c r="H44" s="2011">
        <f>G44/F44*100</f>
        <v>88.95348837209302</v>
      </c>
      <c r="I44" s="1994"/>
    </row>
    <row r="45" spans="1:9" ht="30.75" thickBot="1" x14ac:dyDescent="0.25">
      <c r="A45" s="2012">
        <v>3299</v>
      </c>
      <c r="B45" s="2013">
        <v>5336</v>
      </c>
      <c r="C45" s="2013">
        <v>32533030</v>
      </c>
      <c r="D45" s="2014" t="s">
        <v>1263</v>
      </c>
      <c r="E45" s="2015">
        <v>0</v>
      </c>
      <c r="F45" s="2015">
        <v>1947</v>
      </c>
      <c r="G45" s="2023">
        <v>1736</v>
      </c>
      <c r="H45" s="2016">
        <f>G45/F45*100</f>
        <v>89.162814586543405</v>
      </c>
      <c r="I45" s="1994"/>
    </row>
    <row r="46" spans="1:9" ht="30.75" hidden="1" thickBot="1" x14ac:dyDescent="0.25">
      <c r="A46" s="2012">
        <v>3299</v>
      </c>
      <c r="B46" s="2013">
        <v>6351</v>
      </c>
      <c r="C46" s="2013">
        <v>32133006</v>
      </c>
      <c r="D46" s="2014" t="s">
        <v>1277</v>
      </c>
      <c r="E46" s="2015">
        <v>0</v>
      </c>
      <c r="F46" s="2015">
        <v>0</v>
      </c>
      <c r="G46" s="2023">
        <v>0</v>
      </c>
      <c r="H46" s="2016" t="e">
        <f>G46/F46*100</f>
        <v>#DIV/0!</v>
      </c>
      <c r="I46" s="1994"/>
    </row>
    <row r="47" spans="1:9" ht="30.75" hidden="1" thickBot="1" x14ac:dyDescent="0.25">
      <c r="A47" s="2012">
        <v>3299</v>
      </c>
      <c r="B47" s="2013">
        <v>6351</v>
      </c>
      <c r="C47" s="2013">
        <v>32533006</v>
      </c>
      <c r="D47" s="2014" t="s">
        <v>1277</v>
      </c>
      <c r="E47" s="2015">
        <v>0</v>
      </c>
      <c r="F47" s="2015">
        <v>0</v>
      </c>
      <c r="G47" s="2023">
        <v>0</v>
      </c>
      <c r="H47" s="2016" t="e">
        <f>G47/F47*100</f>
        <v>#DIV/0!</v>
      </c>
      <c r="I47" s="1994"/>
    </row>
    <row r="48" spans="1:9" ht="16.5" thickTop="1" thickBot="1" x14ac:dyDescent="0.3">
      <c r="A48" s="2024" t="s">
        <v>763</v>
      </c>
      <c r="B48" s="2025"/>
      <c r="C48" s="2025"/>
      <c r="D48" s="2026"/>
      <c r="E48" s="2019">
        <f>SUM(E44:E47)</f>
        <v>0</v>
      </c>
      <c r="F48" s="2019">
        <f>SUM(F44:F47)</f>
        <v>2291</v>
      </c>
      <c r="G48" s="2019">
        <f>SUM(G44:G47)</f>
        <v>2042</v>
      </c>
      <c r="H48" s="2020">
        <f>G48/F48*100</f>
        <v>89.131383675250987</v>
      </c>
      <c r="I48" s="1994"/>
    </row>
    <row r="49" spans="1:9" ht="15.75" thickTop="1" x14ac:dyDescent="0.25">
      <c r="A49" s="2059"/>
      <c r="B49" s="2059"/>
      <c r="C49" s="2059"/>
      <c r="D49" s="2059"/>
      <c r="E49" s="2060"/>
      <c r="F49" s="2060"/>
      <c r="G49" s="2060"/>
      <c r="H49" s="2061"/>
    </row>
    <row r="50" spans="1:9" ht="15" x14ac:dyDescent="0.25">
      <c r="A50" s="1979" t="s">
        <v>1552</v>
      </c>
      <c r="B50" s="1993"/>
      <c r="C50" s="1993"/>
      <c r="D50" s="1993"/>
      <c r="F50" s="1994"/>
      <c r="G50" s="1994"/>
      <c r="H50" s="1994"/>
      <c r="I50" s="1994"/>
    </row>
    <row r="51" spans="1:9" ht="15.75" thickBot="1" x14ac:dyDescent="0.3">
      <c r="A51" s="1979" t="s">
        <v>1266</v>
      </c>
      <c r="B51" s="1993"/>
      <c r="C51" s="1993"/>
      <c r="D51" s="1993"/>
      <c r="F51" s="1994"/>
      <c r="G51" s="1994"/>
      <c r="H51" s="1995" t="s">
        <v>161</v>
      </c>
      <c r="I51" s="1994"/>
    </row>
    <row r="52" spans="1:9" ht="25.5" thickTop="1" thickBot="1" x14ac:dyDescent="0.25">
      <c r="A52" s="1996" t="s">
        <v>162</v>
      </c>
      <c r="B52" s="1997" t="s">
        <v>761</v>
      </c>
      <c r="C52" s="1997" t="s">
        <v>377</v>
      </c>
      <c r="D52" s="1998" t="s">
        <v>164</v>
      </c>
      <c r="E52" s="1999" t="s">
        <v>632</v>
      </c>
      <c r="F52" s="1999" t="s">
        <v>633</v>
      </c>
      <c r="G52" s="2000" t="s">
        <v>882</v>
      </c>
      <c r="H52" s="2001" t="s">
        <v>883</v>
      </c>
      <c r="I52" s="1994"/>
    </row>
    <row r="53" spans="1:9" ht="14.25" thickTop="1" thickBot="1" x14ac:dyDescent="0.25">
      <c r="A53" s="2002">
        <v>1</v>
      </c>
      <c r="B53" s="2003">
        <v>2</v>
      </c>
      <c r="C53" s="2003">
        <v>3</v>
      </c>
      <c r="D53" s="2003">
        <v>5</v>
      </c>
      <c r="E53" s="2004">
        <v>6</v>
      </c>
      <c r="F53" s="2004">
        <v>7</v>
      </c>
      <c r="G53" s="2005">
        <v>8</v>
      </c>
      <c r="H53" s="2021" t="s">
        <v>762</v>
      </c>
      <c r="I53" s="1994"/>
    </row>
    <row r="54" spans="1:9" ht="30.75" thickTop="1" x14ac:dyDescent="0.2">
      <c r="A54" s="2012">
        <v>3299</v>
      </c>
      <c r="B54" s="2013">
        <v>5336</v>
      </c>
      <c r="C54" s="2013">
        <v>32133030</v>
      </c>
      <c r="D54" s="2014" t="s">
        <v>1263</v>
      </c>
      <c r="E54" s="2010">
        <v>0</v>
      </c>
      <c r="F54" s="2010">
        <v>57</v>
      </c>
      <c r="G54" s="2022">
        <v>50</v>
      </c>
      <c r="H54" s="2011">
        <f>G54/F54*100</f>
        <v>87.719298245614027</v>
      </c>
      <c r="I54" s="1994"/>
    </row>
    <row r="55" spans="1:9" ht="30.75" thickBot="1" x14ac:dyDescent="0.25">
      <c r="A55" s="2012">
        <v>3299</v>
      </c>
      <c r="B55" s="2013">
        <v>5336</v>
      </c>
      <c r="C55" s="2013">
        <v>32533030</v>
      </c>
      <c r="D55" s="2014" t="s">
        <v>1263</v>
      </c>
      <c r="E55" s="2015">
        <v>0</v>
      </c>
      <c r="F55" s="2015">
        <v>324</v>
      </c>
      <c r="G55" s="2023">
        <v>283</v>
      </c>
      <c r="H55" s="2016">
        <f>G55/F55*100</f>
        <v>87.345679012345684</v>
      </c>
      <c r="I55" s="1994"/>
    </row>
    <row r="56" spans="1:9" ht="30.75" hidden="1" thickBot="1" x14ac:dyDescent="0.25">
      <c r="A56" s="2012">
        <v>3299</v>
      </c>
      <c r="B56" s="2013">
        <v>6351</v>
      </c>
      <c r="C56" s="2013">
        <v>32133006</v>
      </c>
      <c r="D56" s="2014" t="s">
        <v>1277</v>
      </c>
      <c r="E56" s="2015">
        <v>0</v>
      </c>
      <c r="F56" s="2015">
        <v>0</v>
      </c>
      <c r="G56" s="2023">
        <v>0</v>
      </c>
      <c r="H56" s="2016" t="e">
        <f>G56/F56*100</f>
        <v>#DIV/0!</v>
      </c>
      <c r="I56" s="1994"/>
    </row>
    <row r="57" spans="1:9" ht="30.75" hidden="1" thickBot="1" x14ac:dyDescent="0.25">
      <c r="A57" s="2012">
        <v>3299</v>
      </c>
      <c r="B57" s="2013">
        <v>6351</v>
      </c>
      <c r="C57" s="2013">
        <v>32533006</v>
      </c>
      <c r="D57" s="2014" t="s">
        <v>1277</v>
      </c>
      <c r="E57" s="2015">
        <v>0</v>
      </c>
      <c r="F57" s="2015">
        <v>0</v>
      </c>
      <c r="G57" s="2023">
        <v>0</v>
      </c>
      <c r="H57" s="2016" t="e">
        <f>G57/F57*100</f>
        <v>#DIV/0!</v>
      </c>
      <c r="I57" s="1994"/>
    </row>
    <row r="58" spans="1:9" ht="16.5" thickTop="1" thickBot="1" x14ac:dyDescent="0.3">
      <c r="A58" s="2024" t="s">
        <v>763</v>
      </c>
      <c r="B58" s="2025"/>
      <c r="C58" s="2025"/>
      <c r="D58" s="2026"/>
      <c r="E58" s="2019">
        <f>SUM(E54:E57)</f>
        <v>0</v>
      </c>
      <c r="F58" s="2019">
        <f>SUM(F54:F57)</f>
        <v>381</v>
      </c>
      <c r="G58" s="2019">
        <f>SUM(G54:G57)</f>
        <v>333</v>
      </c>
      <c r="H58" s="2020">
        <f>G58/F58*100</f>
        <v>87.4015748031496</v>
      </c>
      <c r="I58" s="1994"/>
    </row>
    <row r="59" spans="1:9" ht="15.75" thickTop="1" x14ac:dyDescent="0.25">
      <c r="A59" s="2059"/>
      <c r="B59" s="2059"/>
      <c r="C59" s="2059"/>
      <c r="D59" s="2059"/>
      <c r="E59" s="2060"/>
      <c r="F59" s="2060"/>
      <c r="G59" s="2060"/>
      <c r="H59" s="2061"/>
    </row>
    <row r="60" spans="1:9" ht="15" x14ac:dyDescent="0.25">
      <c r="A60" s="1979" t="s">
        <v>1567</v>
      </c>
      <c r="B60" s="1993"/>
      <c r="C60" s="1993"/>
      <c r="D60" s="1993"/>
      <c r="F60" s="1994"/>
      <c r="G60" s="1994"/>
      <c r="H60" s="1994"/>
      <c r="I60" s="1994"/>
    </row>
    <row r="61" spans="1:9" ht="15.75" thickBot="1" x14ac:dyDescent="0.3">
      <c r="A61" s="1979" t="s">
        <v>1144</v>
      </c>
      <c r="B61" s="1993"/>
      <c r="C61" s="1993"/>
      <c r="D61" s="1993"/>
      <c r="F61" s="1994"/>
      <c r="G61" s="1994"/>
      <c r="H61" s="1995" t="s">
        <v>161</v>
      </c>
      <c r="I61" s="1994"/>
    </row>
    <row r="62" spans="1:9" ht="25.5" thickTop="1" thickBot="1" x14ac:dyDescent="0.25">
      <c r="A62" s="1996" t="s">
        <v>162</v>
      </c>
      <c r="B62" s="1997" t="s">
        <v>761</v>
      </c>
      <c r="C62" s="1997" t="s">
        <v>377</v>
      </c>
      <c r="D62" s="1998" t="s">
        <v>164</v>
      </c>
      <c r="E62" s="1999" t="s">
        <v>632</v>
      </c>
      <c r="F62" s="1999" t="s">
        <v>633</v>
      </c>
      <c r="G62" s="2000" t="s">
        <v>882</v>
      </c>
      <c r="H62" s="2001" t="s">
        <v>883</v>
      </c>
      <c r="I62" s="1994"/>
    </row>
    <row r="63" spans="1:9" ht="14.25" thickTop="1" thickBot="1" x14ac:dyDescent="0.25">
      <c r="A63" s="2002">
        <v>1</v>
      </c>
      <c r="B63" s="2003">
        <v>2</v>
      </c>
      <c r="C63" s="2003">
        <v>3</v>
      </c>
      <c r="D63" s="2003">
        <v>5</v>
      </c>
      <c r="E63" s="2004">
        <v>6</v>
      </c>
      <c r="F63" s="2004">
        <v>7</v>
      </c>
      <c r="G63" s="2005">
        <v>8</v>
      </c>
      <c r="H63" s="2021" t="s">
        <v>762</v>
      </c>
      <c r="I63" s="1994"/>
    </row>
    <row r="64" spans="1:9" ht="30.75" thickTop="1" x14ac:dyDescent="0.2">
      <c r="A64" s="2012">
        <v>3299</v>
      </c>
      <c r="B64" s="2013">
        <v>5336</v>
      </c>
      <c r="C64" s="2013">
        <v>32133030</v>
      </c>
      <c r="D64" s="2014" t="s">
        <v>1263</v>
      </c>
      <c r="E64" s="2010">
        <v>0</v>
      </c>
      <c r="F64" s="2010">
        <v>43</v>
      </c>
      <c r="G64" s="2022">
        <v>0</v>
      </c>
      <c r="H64" s="2011">
        <f>G64/F64*100</f>
        <v>0</v>
      </c>
      <c r="I64" s="1994"/>
    </row>
    <row r="65" spans="1:9" ht="30.75" thickBot="1" x14ac:dyDescent="0.25">
      <c r="A65" s="2012">
        <v>3299</v>
      </c>
      <c r="B65" s="2013">
        <v>5336</v>
      </c>
      <c r="C65" s="2013">
        <v>32533030</v>
      </c>
      <c r="D65" s="2014" t="s">
        <v>1263</v>
      </c>
      <c r="E65" s="2015">
        <v>0</v>
      </c>
      <c r="F65" s="2015">
        <v>246</v>
      </c>
      <c r="G65" s="2023">
        <v>0</v>
      </c>
      <c r="H65" s="2016">
        <f>G65/F65*100</f>
        <v>0</v>
      </c>
      <c r="I65" s="1994"/>
    </row>
    <row r="66" spans="1:9" ht="30.75" hidden="1" thickBot="1" x14ac:dyDescent="0.25">
      <c r="A66" s="2012">
        <v>3299</v>
      </c>
      <c r="B66" s="2013">
        <v>6351</v>
      </c>
      <c r="C66" s="2013">
        <v>32133006</v>
      </c>
      <c r="D66" s="2014" t="s">
        <v>1277</v>
      </c>
      <c r="E66" s="2015">
        <v>0</v>
      </c>
      <c r="F66" s="2015">
        <v>0</v>
      </c>
      <c r="G66" s="2023">
        <v>0</v>
      </c>
      <c r="H66" s="2016" t="e">
        <f>G66/F66*100</f>
        <v>#DIV/0!</v>
      </c>
      <c r="I66" s="1994"/>
    </row>
    <row r="67" spans="1:9" ht="30.75" hidden="1" thickBot="1" x14ac:dyDescent="0.25">
      <c r="A67" s="2012">
        <v>3299</v>
      </c>
      <c r="B67" s="2013">
        <v>6351</v>
      </c>
      <c r="C67" s="2013">
        <v>32533006</v>
      </c>
      <c r="D67" s="2014" t="s">
        <v>1277</v>
      </c>
      <c r="E67" s="2015">
        <v>0</v>
      </c>
      <c r="F67" s="2015">
        <v>0</v>
      </c>
      <c r="G67" s="2023">
        <v>0</v>
      </c>
      <c r="H67" s="2016" t="e">
        <f>G67/F67*100</f>
        <v>#DIV/0!</v>
      </c>
      <c r="I67" s="1994"/>
    </row>
    <row r="68" spans="1:9" ht="16.5" thickTop="1" thickBot="1" x14ac:dyDescent="0.3">
      <c r="A68" s="2024" t="s">
        <v>763</v>
      </c>
      <c r="B68" s="2025"/>
      <c r="C68" s="2025"/>
      <c r="D68" s="2026"/>
      <c r="E68" s="2019">
        <f>SUM(E64:E67)</f>
        <v>0</v>
      </c>
      <c r="F68" s="2019">
        <f>SUM(F64:F67)</f>
        <v>289</v>
      </c>
      <c r="G68" s="2019">
        <f>SUM(G64:G67)</f>
        <v>0</v>
      </c>
      <c r="H68" s="2020">
        <f>G68/F68*100</f>
        <v>0</v>
      </c>
      <c r="I68" s="1994"/>
    </row>
    <row r="69" spans="1:9" ht="15.75" thickTop="1" x14ac:dyDescent="0.25">
      <c r="A69" s="2059"/>
      <c r="B69" s="2059"/>
      <c r="C69" s="2059"/>
      <c r="D69" s="2059"/>
      <c r="E69" s="2060"/>
      <c r="F69" s="2060"/>
      <c r="G69" s="2060"/>
      <c r="H69" s="2061"/>
    </row>
    <row r="70" spans="1:9" ht="15" x14ac:dyDescent="0.25">
      <c r="A70" s="1979" t="s">
        <v>1619</v>
      </c>
      <c r="B70" s="1993"/>
      <c r="C70" s="1993"/>
      <c r="D70" s="1993"/>
      <c r="F70" s="1994"/>
      <c r="G70" s="1994"/>
      <c r="H70" s="1994"/>
      <c r="I70" s="1994"/>
    </row>
    <row r="71" spans="1:9" ht="15.75" thickBot="1" x14ac:dyDescent="0.3">
      <c r="A71" s="1979" t="s">
        <v>869</v>
      </c>
      <c r="B71" s="1993"/>
      <c r="C71" s="1993"/>
      <c r="D71" s="1993"/>
      <c r="F71" s="1994"/>
      <c r="G71" s="1994"/>
      <c r="H71" s="1995" t="s">
        <v>161</v>
      </c>
      <c r="I71" s="1994"/>
    </row>
    <row r="72" spans="1:9" ht="25.5" thickTop="1" thickBot="1" x14ac:dyDescent="0.25">
      <c r="A72" s="1996" t="s">
        <v>162</v>
      </c>
      <c r="B72" s="1997" t="s">
        <v>761</v>
      </c>
      <c r="C72" s="1997" t="s">
        <v>377</v>
      </c>
      <c r="D72" s="1998" t="s">
        <v>164</v>
      </c>
      <c r="E72" s="1999" t="s">
        <v>632</v>
      </c>
      <c r="F72" s="1999" t="s">
        <v>633</v>
      </c>
      <c r="G72" s="2000" t="s">
        <v>882</v>
      </c>
      <c r="H72" s="2001" t="s">
        <v>883</v>
      </c>
      <c r="I72" s="1994"/>
    </row>
    <row r="73" spans="1:9" ht="14.25" thickTop="1" thickBot="1" x14ac:dyDescent="0.25">
      <c r="A73" s="2002">
        <v>1</v>
      </c>
      <c r="B73" s="2003">
        <v>2</v>
      </c>
      <c r="C73" s="2003">
        <v>3</v>
      </c>
      <c r="D73" s="2003">
        <v>5</v>
      </c>
      <c r="E73" s="2004">
        <v>6</v>
      </c>
      <c r="F73" s="2004">
        <v>7</v>
      </c>
      <c r="G73" s="2005">
        <v>8</v>
      </c>
      <c r="H73" s="2021" t="s">
        <v>762</v>
      </c>
      <c r="I73" s="1994"/>
    </row>
    <row r="74" spans="1:9" ht="30.75" thickTop="1" x14ac:dyDescent="0.2">
      <c r="A74" s="2012">
        <v>3299</v>
      </c>
      <c r="B74" s="2013">
        <v>5336</v>
      </c>
      <c r="C74" s="2013">
        <v>32133030</v>
      </c>
      <c r="D74" s="2014" t="s">
        <v>1263</v>
      </c>
      <c r="E74" s="2010">
        <v>0</v>
      </c>
      <c r="F74" s="2010">
        <v>376</v>
      </c>
      <c r="G74" s="2022">
        <v>295</v>
      </c>
      <c r="H74" s="2011">
        <f>G74/F74*100</f>
        <v>78.457446808510639</v>
      </c>
      <c r="I74" s="1994"/>
    </row>
    <row r="75" spans="1:9" ht="30.75" thickBot="1" x14ac:dyDescent="0.25">
      <c r="A75" s="2012">
        <v>3299</v>
      </c>
      <c r="B75" s="2013">
        <v>5336</v>
      </c>
      <c r="C75" s="2013">
        <v>32533030</v>
      </c>
      <c r="D75" s="2014" t="s">
        <v>1263</v>
      </c>
      <c r="E75" s="2015">
        <v>0</v>
      </c>
      <c r="F75" s="2015">
        <v>2129</v>
      </c>
      <c r="G75" s="2023">
        <v>1671</v>
      </c>
      <c r="H75" s="2016">
        <f>G75/F75*100</f>
        <v>78.487552841709714</v>
      </c>
      <c r="I75" s="1994"/>
    </row>
    <row r="76" spans="1:9" ht="30.75" hidden="1" thickBot="1" x14ac:dyDescent="0.25">
      <c r="A76" s="2012">
        <v>3299</v>
      </c>
      <c r="B76" s="2013">
        <v>6351</v>
      </c>
      <c r="C76" s="2013">
        <v>32133006</v>
      </c>
      <c r="D76" s="2014" t="s">
        <v>1277</v>
      </c>
      <c r="E76" s="2015">
        <v>0</v>
      </c>
      <c r="F76" s="2015">
        <v>0</v>
      </c>
      <c r="G76" s="2023">
        <v>0</v>
      </c>
      <c r="H76" s="2016" t="e">
        <f>G76/F76*100</f>
        <v>#DIV/0!</v>
      </c>
      <c r="I76" s="1994"/>
    </row>
    <row r="77" spans="1:9" ht="30.75" hidden="1" thickBot="1" x14ac:dyDescent="0.25">
      <c r="A77" s="2012">
        <v>3299</v>
      </c>
      <c r="B77" s="2013">
        <v>6351</v>
      </c>
      <c r="C77" s="2013">
        <v>32533006</v>
      </c>
      <c r="D77" s="2014" t="s">
        <v>1277</v>
      </c>
      <c r="E77" s="2015">
        <v>0</v>
      </c>
      <c r="F77" s="2015">
        <v>0</v>
      </c>
      <c r="G77" s="2023">
        <v>0</v>
      </c>
      <c r="H77" s="2016" t="e">
        <f>G77/F77*100</f>
        <v>#DIV/0!</v>
      </c>
      <c r="I77" s="1994"/>
    </row>
    <row r="78" spans="1:9" ht="16.5" thickTop="1" thickBot="1" x14ac:dyDescent="0.3">
      <c r="A78" s="2024" t="s">
        <v>763</v>
      </c>
      <c r="B78" s="2025"/>
      <c r="C78" s="2025"/>
      <c r="D78" s="2026"/>
      <c r="E78" s="2019">
        <f>SUM(E74:E77)</f>
        <v>0</v>
      </c>
      <c r="F78" s="2019">
        <f>SUM(F74:F77)</f>
        <v>2505</v>
      </c>
      <c r="G78" s="2019">
        <f>SUM(G74:G77)</f>
        <v>1966</v>
      </c>
      <c r="H78" s="2020">
        <f>G78/F78*100</f>
        <v>78.483033932135726</v>
      </c>
      <c r="I78" s="1994"/>
    </row>
    <row r="79" spans="1:9" ht="15.75" thickTop="1" x14ac:dyDescent="0.25">
      <c r="A79" s="2059"/>
      <c r="B79" s="2059"/>
      <c r="C79" s="2059"/>
      <c r="D79" s="2059"/>
      <c r="E79" s="2060"/>
      <c r="F79" s="2060"/>
      <c r="G79" s="2060"/>
      <c r="H79" s="2061"/>
    </row>
    <row r="80" spans="1:9" ht="15" x14ac:dyDescent="0.25">
      <c r="A80" s="1979" t="s">
        <v>228</v>
      </c>
      <c r="B80" s="1993"/>
      <c r="C80" s="1993"/>
      <c r="D80" s="1993"/>
      <c r="F80" s="1994"/>
      <c r="G80" s="1994"/>
      <c r="H80" s="1994"/>
      <c r="I80" s="1994"/>
    </row>
    <row r="81" spans="1:9" ht="15.75" thickBot="1" x14ac:dyDescent="0.3">
      <c r="A81" s="1979" t="s">
        <v>229</v>
      </c>
      <c r="B81" s="1993"/>
      <c r="C81" s="1993"/>
      <c r="D81" s="1993"/>
      <c r="F81" s="1994"/>
      <c r="G81" s="1994"/>
      <c r="H81" s="1995" t="s">
        <v>161</v>
      </c>
      <c r="I81" s="1994"/>
    </row>
    <row r="82" spans="1:9" ht="25.5" thickTop="1" thickBot="1" x14ac:dyDescent="0.25">
      <c r="A82" s="1996" t="s">
        <v>162</v>
      </c>
      <c r="B82" s="1997" t="s">
        <v>761</v>
      </c>
      <c r="C82" s="1997" t="s">
        <v>377</v>
      </c>
      <c r="D82" s="1998" t="s">
        <v>164</v>
      </c>
      <c r="E82" s="1999" t="s">
        <v>632</v>
      </c>
      <c r="F82" s="1999" t="s">
        <v>633</v>
      </c>
      <c r="G82" s="2000" t="s">
        <v>882</v>
      </c>
      <c r="H82" s="2001" t="s">
        <v>883</v>
      </c>
      <c r="I82" s="1994"/>
    </row>
    <row r="83" spans="1:9" ht="14.25" thickTop="1" thickBot="1" x14ac:dyDescent="0.25">
      <c r="A83" s="2002">
        <v>1</v>
      </c>
      <c r="B83" s="2003">
        <v>2</v>
      </c>
      <c r="C83" s="2003">
        <v>3</v>
      </c>
      <c r="D83" s="2003">
        <v>5</v>
      </c>
      <c r="E83" s="2004">
        <v>6</v>
      </c>
      <c r="F83" s="2004">
        <v>7</v>
      </c>
      <c r="G83" s="2005">
        <v>8</v>
      </c>
      <c r="H83" s="2021" t="s">
        <v>762</v>
      </c>
      <c r="I83" s="1994"/>
    </row>
    <row r="84" spans="1:9" ht="15.75" thickTop="1" x14ac:dyDescent="0.25">
      <c r="A84" s="2033">
        <v>3299</v>
      </c>
      <c r="B84" s="2034">
        <v>5321</v>
      </c>
      <c r="C84" s="2034">
        <v>32133030</v>
      </c>
      <c r="D84" s="2036" t="s">
        <v>1201</v>
      </c>
      <c r="E84" s="2015">
        <v>0</v>
      </c>
      <c r="F84" s="2015">
        <v>68</v>
      </c>
      <c r="G84" s="2023">
        <v>47</v>
      </c>
      <c r="H84" s="2016">
        <f>G84/F84*100</f>
        <v>69.117647058823522</v>
      </c>
      <c r="I84" s="1994"/>
    </row>
    <row r="85" spans="1:9" ht="15.75" thickBot="1" x14ac:dyDescent="0.3">
      <c r="A85" s="2033">
        <v>3299</v>
      </c>
      <c r="B85" s="2034">
        <v>5321</v>
      </c>
      <c r="C85" s="2034">
        <v>32533030</v>
      </c>
      <c r="D85" s="2036" t="s">
        <v>1201</v>
      </c>
      <c r="E85" s="2015">
        <v>0</v>
      </c>
      <c r="F85" s="2015">
        <v>387</v>
      </c>
      <c r="G85" s="2023">
        <v>267</v>
      </c>
      <c r="H85" s="2016">
        <f>G85/F85*100</f>
        <v>68.992248062015506</v>
      </c>
      <c r="I85" s="1994"/>
    </row>
    <row r="86" spans="1:9" ht="15.75" hidden="1" thickBot="1" x14ac:dyDescent="0.3">
      <c r="A86" s="2037">
        <v>3299</v>
      </c>
      <c r="B86" s="2038">
        <v>6341</v>
      </c>
      <c r="C86" s="2038">
        <v>32533926</v>
      </c>
      <c r="D86" s="2035" t="s">
        <v>248</v>
      </c>
      <c r="E86" s="2015">
        <v>0</v>
      </c>
      <c r="F86" s="2015">
        <v>0</v>
      </c>
      <c r="G86" s="2023">
        <v>0</v>
      </c>
      <c r="H86" s="2016" t="e">
        <f>G86/F86*100</f>
        <v>#DIV/0!</v>
      </c>
      <c r="I86" s="1994"/>
    </row>
    <row r="87" spans="1:9" ht="16.5" thickTop="1" thickBot="1" x14ac:dyDescent="0.3">
      <c r="A87" s="2024" t="s">
        <v>763</v>
      </c>
      <c r="B87" s="2025"/>
      <c r="C87" s="2025"/>
      <c r="D87" s="2026"/>
      <c r="E87" s="2019">
        <f>SUM(E84:E86)</f>
        <v>0</v>
      </c>
      <c r="F87" s="2019">
        <f>SUM(F84:F86)</f>
        <v>455</v>
      </c>
      <c r="G87" s="2019">
        <f>SUM(G84:G86)</f>
        <v>314</v>
      </c>
      <c r="H87" s="2020">
        <f>G87/F87*100</f>
        <v>69.010989010989007</v>
      </c>
      <c r="I87" s="1994"/>
    </row>
    <row r="88" spans="1:9" ht="15.75" thickTop="1" x14ac:dyDescent="0.25">
      <c r="A88" s="2059"/>
      <c r="B88" s="2059"/>
      <c r="C88" s="2059"/>
      <c r="D88" s="2059"/>
      <c r="E88" s="2060"/>
      <c r="F88" s="2060"/>
      <c r="G88" s="2060"/>
      <c r="H88" s="2061"/>
    </row>
    <row r="89" spans="1:9" ht="15" x14ac:dyDescent="0.25">
      <c r="A89" s="1979" t="s">
        <v>1756</v>
      </c>
      <c r="B89" s="1993"/>
      <c r="C89" s="1993"/>
      <c r="D89" s="1993"/>
      <c r="F89" s="1994"/>
      <c r="G89" s="1994"/>
      <c r="H89" s="1994"/>
      <c r="I89" s="1994"/>
    </row>
    <row r="90" spans="1:9" ht="15.75" thickBot="1" x14ac:dyDescent="0.3">
      <c r="A90" s="1979" t="s">
        <v>982</v>
      </c>
      <c r="B90" s="1993"/>
      <c r="C90" s="1993"/>
      <c r="D90" s="1993"/>
      <c r="F90" s="1994"/>
      <c r="G90" s="1994"/>
      <c r="H90" s="1995" t="s">
        <v>161</v>
      </c>
      <c r="I90" s="1994"/>
    </row>
    <row r="91" spans="1:9" ht="25.5" thickTop="1" thickBot="1" x14ac:dyDescent="0.25">
      <c r="A91" s="1996" t="s">
        <v>162</v>
      </c>
      <c r="B91" s="1997" t="s">
        <v>761</v>
      </c>
      <c r="C91" s="1997" t="s">
        <v>377</v>
      </c>
      <c r="D91" s="1998" t="s">
        <v>164</v>
      </c>
      <c r="E91" s="1999" t="s">
        <v>632</v>
      </c>
      <c r="F91" s="1999" t="s">
        <v>633</v>
      </c>
      <c r="G91" s="2000" t="s">
        <v>882</v>
      </c>
      <c r="H91" s="2001" t="s">
        <v>883</v>
      </c>
      <c r="I91" s="1994"/>
    </row>
    <row r="92" spans="1:9" ht="14.25" thickTop="1" thickBot="1" x14ac:dyDescent="0.25">
      <c r="A92" s="2002">
        <v>1</v>
      </c>
      <c r="B92" s="2003">
        <v>2</v>
      </c>
      <c r="C92" s="2003">
        <v>3</v>
      </c>
      <c r="D92" s="2003">
        <v>5</v>
      </c>
      <c r="E92" s="2004">
        <v>6</v>
      </c>
      <c r="F92" s="2004">
        <v>7</v>
      </c>
      <c r="G92" s="2005">
        <v>8</v>
      </c>
      <c r="H92" s="2021" t="s">
        <v>762</v>
      </c>
      <c r="I92" s="1994"/>
    </row>
    <row r="93" spans="1:9" ht="15.75" thickTop="1" x14ac:dyDescent="0.25">
      <c r="A93" s="2033">
        <v>3299</v>
      </c>
      <c r="B93" s="2034">
        <v>5321</v>
      </c>
      <c r="C93" s="2034">
        <v>32133030</v>
      </c>
      <c r="D93" s="2036" t="s">
        <v>1201</v>
      </c>
      <c r="E93" s="2015">
        <v>0</v>
      </c>
      <c r="F93" s="2015">
        <v>126</v>
      </c>
      <c r="G93" s="2023">
        <v>16</v>
      </c>
      <c r="H93" s="2016">
        <f>G93/F93*100</f>
        <v>12.698412698412698</v>
      </c>
      <c r="I93" s="1994"/>
    </row>
    <row r="94" spans="1:9" ht="15.75" thickBot="1" x14ac:dyDescent="0.3">
      <c r="A94" s="2033">
        <v>3299</v>
      </c>
      <c r="B94" s="2034">
        <v>5321</v>
      </c>
      <c r="C94" s="2034">
        <v>32533030</v>
      </c>
      <c r="D94" s="2036" t="s">
        <v>1201</v>
      </c>
      <c r="E94" s="2015">
        <v>0</v>
      </c>
      <c r="F94" s="2015">
        <v>711</v>
      </c>
      <c r="G94" s="2023">
        <v>90</v>
      </c>
      <c r="H94" s="2016">
        <f>G94/F94*100</f>
        <v>12.658227848101266</v>
      </c>
      <c r="I94" s="1994"/>
    </row>
    <row r="95" spans="1:9" ht="15.75" hidden="1" thickBot="1" x14ac:dyDescent="0.3">
      <c r="A95" s="2037">
        <v>3299</v>
      </c>
      <c r="B95" s="2038">
        <v>6341</v>
      </c>
      <c r="C95" s="2038">
        <v>32533926</v>
      </c>
      <c r="D95" s="2035" t="s">
        <v>248</v>
      </c>
      <c r="E95" s="2015">
        <v>0</v>
      </c>
      <c r="F95" s="2015">
        <v>0</v>
      </c>
      <c r="G95" s="2023">
        <v>0</v>
      </c>
      <c r="H95" s="2016" t="e">
        <f>G95/F95*100</f>
        <v>#DIV/0!</v>
      </c>
      <c r="I95" s="1994"/>
    </row>
    <row r="96" spans="1:9" ht="16.5" thickTop="1" thickBot="1" x14ac:dyDescent="0.3">
      <c r="A96" s="2024" t="s">
        <v>763</v>
      </c>
      <c r="B96" s="2025"/>
      <c r="C96" s="2025"/>
      <c r="D96" s="2026"/>
      <c r="E96" s="2019">
        <f>SUM(E93:E95)</f>
        <v>0</v>
      </c>
      <c r="F96" s="2019">
        <f>SUM(F93:F95)</f>
        <v>837</v>
      </c>
      <c r="G96" s="2019">
        <f>SUM(G93:G95)</f>
        <v>106</v>
      </c>
      <c r="H96" s="2020">
        <f>G96/F96*100</f>
        <v>12.664277180406213</v>
      </c>
      <c r="I96" s="1994"/>
    </row>
    <row r="97" spans="1:9" ht="15.75" thickTop="1" x14ac:dyDescent="0.25">
      <c r="A97" s="2059"/>
      <c r="B97" s="2059"/>
      <c r="C97" s="2059"/>
      <c r="D97" s="2059"/>
      <c r="E97" s="2060"/>
      <c r="F97" s="2060"/>
      <c r="G97" s="2060"/>
      <c r="H97" s="2061"/>
    </row>
    <row r="98" spans="1:9" ht="15" x14ac:dyDescent="0.25">
      <c r="A98" s="1979" t="s">
        <v>1568</v>
      </c>
      <c r="B98" s="1993"/>
      <c r="C98" s="1993"/>
      <c r="D98" s="1993"/>
      <c r="F98" s="1994"/>
      <c r="G98" s="1994"/>
      <c r="H98" s="1994"/>
      <c r="I98" s="1994"/>
    </row>
    <row r="99" spans="1:9" ht="15.75" thickBot="1" x14ac:dyDescent="0.3">
      <c r="A99" s="1979" t="s">
        <v>1569</v>
      </c>
      <c r="B99" s="1993"/>
      <c r="C99" s="1993"/>
      <c r="D99" s="1993"/>
      <c r="F99" s="1994"/>
      <c r="G99" s="1994"/>
      <c r="H99" s="1995" t="s">
        <v>161</v>
      </c>
      <c r="I99" s="1994"/>
    </row>
    <row r="100" spans="1:9" ht="25.5" thickTop="1" thickBot="1" x14ac:dyDescent="0.25">
      <c r="A100" s="1996" t="s">
        <v>162</v>
      </c>
      <c r="B100" s="1997" t="s">
        <v>761</v>
      </c>
      <c r="C100" s="1997" t="s">
        <v>377</v>
      </c>
      <c r="D100" s="1998" t="s">
        <v>164</v>
      </c>
      <c r="E100" s="1999" t="s">
        <v>632</v>
      </c>
      <c r="F100" s="1999" t="s">
        <v>633</v>
      </c>
      <c r="G100" s="2000" t="s">
        <v>882</v>
      </c>
      <c r="H100" s="2001" t="s">
        <v>883</v>
      </c>
      <c r="I100" s="1994"/>
    </row>
    <row r="101" spans="1:9" ht="14.25" thickTop="1" thickBot="1" x14ac:dyDescent="0.25">
      <c r="A101" s="2002">
        <v>1</v>
      </c>
      <c r="B101" s="2003">
        <v>2</v>
      </c>
      <c r="C101" s="2003">
        <v>3</v>
      </c>
      <c r="D101" s="2003">
        <v>5</v>
      </c>
      <c r="E101" s="2004">
        <v>6</v>
      </c>
      <c r="F101" s="2004">
        <v>7</v>
      </c>
      <c r="G101" s="2005">
        <v>8</v>
      </c>
      <c r="H101" s="2021" t="s">
        <v>762</v>
      </c>
      <c r="I101" s="1994"/>
    </row>
    <row r="102" spans="1:9" ht="15.75" thickTop="1" x14ac:dyDescent="0.25">
      <c r="A102" s="2033">
        <v>3299</v>
      </c>
      <c r="B102" s="2034">
        <v>5321</v>
      </c>
      <c r="C102" s="2034">
        <v>32133030</v>
      </c>
      <c r="D102" s="2036" t="s">
        <v>1201</v>
      </c>
      <c r="E102" s="2015">
        <v>0</v>
      </c>
      <c r="F102" s="2015">
        <v>106</v>
      </c>
      <c r="G102" s="2023">
        <v>92</v>
      </c>
      <c r="H102" s="2016">
        <f>G102/F102*100</f>
        <v>86.79245283018868</v>
      </c>
      <c r="I102" s="1994"/>
    </row>
    <row r="103" spans="1:9" ht="15.75" thickBot="1" x14ac:dyDescent="0.3">
      <c r="A103" s="2033">
        <v>3299</v>
      </c>
      <c r="B103" s="2034">
        <v>5321</v>
      </c>
      <c r="C103" s="2034">
        <v>32533030</v>
      </c>
      <c r="D103" s="2036" t="s">
        <v>1201</v>
      </c>
      <c r="E103" s="2015">
        <v>0</v>
      </c>
      <c r="F103" s="2015">
        <v>600</v>
      </c>
      <c r="G103" s="2023">
        <v>519</v>
      </c>
      <c r="H103" s="2016">
        <f>G103/F103*100</f>
        <v>86.5</v>
      </c>
      <c r="I103" s="1994"/>
    </row>
    <row r="104" spans="1:9" ht="15.75" hidden="1" thickBot="1" x14ac:dyDescent="0.3">
      <c r="A104" s="2037">
        <v>3299</v>
      </c>
      <c r="B104" s="2038">
        <v>6341</v>
      </c>
      <c r="C104" s="2038">
        <v>32533926</v>
      </c>
      <c r="D104" s="2035" t="s">
        <v>248</v>
      </c>
      <c r="E104" s="2015">
        <v>0</v>
      </c>
      <c r="F104" s="2015">
        <v>0</v>
      </c>
      <c r="G104" s="2023">
        <v>0</v>
      </c>
      <c r="H104" s="2016" t="e">
        <f>G104/F104*100</f>
        <v>#DIV/0!</v>
      </c>
      <c r="I104" s="1994"/>
    </row>
    <row r="105" spans="1:9" ht="16.5" thickTop="1" thickBot="1" x14ac:dyDescent="0.3">
      <c r="A105" s="2024" t="s">
        <v>763</v>
      </c>
      <c r="B105" s="2025"/>
      <c r="C105" s="2025"/>
      <c r="D105" s="2026"/>
      <c r="E105" s="2019">
        <f>SUM(E102:E104)</f>
        <v>0</v>
      </c>
      <c r="F105" s="2019">
        <f>SUM(F102:F104)</f>
        <v>706</v>
      </c>
      <c r="G105" s="2019">
        <f>SUM(G102:G104)</f>
        <v>611</v>
      </c>
      <c r="H105" s="2020">
        <f>G105/F105*100</f>
        <v>86.543909348441929</v>
      </c>
      <c r="I105" s="1994"/>
    </row>
    <row r="106" spans="1:9" ht="15.75" thickTop="1" x14ac:dyDescent="0.25">
      <c r="A106" s="2059"/>
      <c r="B106" s="2059"/>
      <c r="C106" s="2059"/>
      <c r="D106" s="2059"/>
      <c r="E106" s="2060"/>
      <c r="F106" s="2060"/>
      <c r="G106" s="2060"/>
      <c r="H106" s="2061"/>
    </row>
    <row r="107" spans="1:9" ht="15" x14ac:dyDescent="0.25">
      <c r="A107" s="1979" t="s">
        <v>985</v>
      </c>
      <c r="B107" s="1993"/>
      <c r="C107" s="1993"/>
      <c r="D107" s="1993"/>
      <c r="F107" s="1994"/>
      <c r="G107" s="1994"/>
      <c r="H107" s="1994"/>
      <c r="I107" s="1994"/>
    </row>
    <row r="108" spans="1:9" ht="15.75" thickBot="1" x14ac:dyDescent="0.3">
      <c r="A108" s="1979" t="s">
        <v>986</v>
      </c>
      <c r="B108" s="1993"/>
      <c r="C108" s="1993"/>
      <c r="D108" s="1993"/>
      <c r="F108" s="1994"/>
      <c r="G108" s="1994"/>
      <c r="H108" s="1995" t="s">
        <v>161</v>
      </c>
      <c r="I108" s="1994"/>
    </row>
    <row r="109" spans="1:9" ht="25.5" thickTop="1" thickBot="1" x14ac:dyDescent="0.25">
      <c r="A109" s="1996" t="s">
        <v>162</v>
      </c>
      <c r="B109" s="1997" t="s">
        <v>761</v>
      </c>
      <c r="C109" s="1997" t="s">
        <v>377</v>
      </c>
      <c r="D109" s="1998" t="s">
        <v>164</v>
      </c>
      <c r="E109" s="1999" t="s">
        <v>632</v>
      </c>
      <c r="F109" s="1999" t="s">
        <v>633</v>
      </c>
      <c r="G109" s="2000" t="s">
        <v>882</v>
      </c>
      <c r="H109" s="2001" t="s">
        <v>883</v>
      </c>
      <c r="I109" s="1994"/>
    </row>
    <row r="110" spans="1:9" ht="14.25" thickTop="1" thickBot="1" x14ac:dyDescent="0.25">
      <c r="A110" s="2002">
        <v>1</v>
      </c>
      <c r="B110" s="2003">
        <v>2</v>
      </c>
      <c r="C110" s="2003">
        <v>3</v>
      </c>
      <c r="D110" s="2003">
        <v>5</v>
      </c>
      <c r="E110" s="2004">
        <v>6</v>
      </c>
      <c r="F110" s="2004">
        <v>7</v>
      </c>
      <c r="G110" s="2005">
        <v>8</v>
      </c>
      <c r="H110" s="2021" t="s">
        <v>762</v>
      </c>
      <c r="I110" s="1994"/>
    </row>
    <row r="111" spans="1:9" ht="15.75" thickTop="1" x14ac:dyDescent="0.25">
      <c r="A111" s="2033">
        <v>3299</v>
      </c>
      <c r="B111" s="2034">
        <v>5321</v>
      </c>
      <c r="C111" s="2034">
        <v>32133030</v>
      </c>
      <c r="D111" s="2036" t="s">
        <v>1201</v>
      </c>
      <c r="E111" s="2015">
        <v>0</v>
      </c>
      <c r="F111" s="2015">
        <v>111</v>
      </c>
      <c r="G111" s="2023">
        <v>111</v>
      </c>
      <c r="H111" s="2016">
        <f>G111/F111*100</f>
        <v>100</v>
      </c>
      <c r="I111" s="1994"/>
    </row>
    <row r="112" spans="1:9" ht="15.75" thickBot="1" x14ac:dyDescent="0.3">
      <c r="A112" s="2033">
        <v>3299</v>
      </c>
      <c r="B112" s="2034">
        <v>5321</v>
      </c>
      <c r="C112" s="2034">
        <v>32533030</v>
      </c>
      <c r="D112" s="2036" t="s">
        <v>1201</v>
      </c>
      <c r="E112" s="2015">
        <v>0</v>
      </c>
      <c r="F112" s="2015">
        <v>629</v>
      </c>
      <c r="G112" s="2023">
        <v>629</v>
      </c>
      <c r="H112" s="2016">
        <f>G112/F112*100</f>
        <v>100</v>
      </c>
      <c r="I112" s="1994"/>
    </row>
    <row r="113" spans="1:13" ht="15.75" hidden="1" thickBot="1" x14ac:dyDescent="0.3">
      <c r="A113" s="2037">
        <v>3299</v>
      </c>
      <c r="B113" s="2038">
        <v>6341</v>
      </c>
      <c r="C113" s="2038">
        <v>32533926</v>
      </c>
      <c r="D113" s="2035" t="s">
        <v>248</v>
      </c>
      <c r="E113" s="2015">
        <v>0</v>
      </c>
      <c r="F113" s="2015">
        <v>0</v>
      </c>
      <c r="G113" s="2023">
        <v>0</v>
      </c>
      <c r="H113" s="2016" t="e">
        <f>G113/F113*100</f>
        <v>#DIV/0!</v>
      </c>
      <c r="I113" s="1994"/>
    </row>
    <row r="114" spans="1:13" ht="16.5" thickTop="1" thickBot="1" x14ac:dyDescent="0.3">
      <c r="A114" s="2024" t="s">
        <v>763</v>
      </c>
      <c r="B114" s="2025"/>
      <c r="C114" s="2025"/>
      <c r="D114" s="2026"/>
      <c r="E114" s="2019">
        <f>SUM(E111:E113)</f>
        <v>0</v>
      </c>
      <c r="F114" s="2019">
        <f>SUM(F111:F113)</f>
        <v>740</v>
      </c>
      <c r="G114" s="2019">
        <f>SUM(G111:G113)</f>
        <v>740</v>
      </c>
      <c r="H114" s="2020">
        <f>G114/F114*100</f>
        <v>100</v>
      </c>
      <c r="I114" s="1994"/>
    </row>
    <row r="115" spans="1:13" ht="15.75" thickTop="1" x14ac:dyDescent="0.25">
      <c r="A115" s="2059"/>
      <c r="B115" s="2059"/>
      <c r="C115" s="2059"/>
      <c r="D115" s="2059"/>
      <c r="E115" s="2060"/>
      <c r="F115" s="2060"/>
      <c r="G115" s="2060"/>
      <c r="H115" s="2061"/>
    </row>
    <row r="116" spans="1:13" ht="15" x14ac:dyDescent="0.25">
      <c r="A116" s="2059"/>
      <c r="B116" s="2059"/>
      <c r="C116" s="2059"/>
      <c r="D116" s="2059"/>
      <c r="E116" s="2060"/>
      <c r="F116" s="2060"/>
      <c r="G116" s="2060"/>
      <c r="H116" s="2061"/>
    </row>
    <row r="117" spans="1:13" hidden="1" x14ac:dyDescent="0.2"/>
    <row r="118" spans="1:13" hidden="1" x14ac:dyDescent="0.2"/>
    <row r="119" spans="1:13" hidden="1" x14ac:dyDescent="0.2"/>
    <row r="121" spans="1:13" ht="16.5" x14ac:dyDescent="0.25">
      <c r="A121" s="2040" t="s">
        <v>465</v>
      </c>
      <c r="B121" s="2041"/>
      <c r="C121" s="2042"/>
      <c r="D121" s="2043"/>
      <c r="E121" s="2044">
        <f>SUM(E122:E124)</f>
        <v>0</v>
      </c>
      <c r="F121" s="2044">
        <f>F122+F123+F124+F125</f>
        <v>18381</v>
      </c>
      <c r="G121" s="2044">
        <f>G122+G123+G124+G125</f>
        <v>18141</v>
      </c>
      <c r="H121" s="2045">
        <f>G121/F121*100</f>
        <v>98.694303900767096</v>
      </c>
      <c r="K121" s="2046">
        <f>K122+K123+K124</f>
        <v>0</v>
      </c>
      <c r="L121" s="2046">
        <f>L122+L123+L124</f>
        <v>18380579.02</v>
      </c>
      <c r="M121" s="2046">
        <f>M122+M123+M124</f>
        <v>18141176.609999999</v>
      </c>
    </row>
    <row r="122" spans="1:13" ht="15" x14ac:dyDescent="0.2">
      <c r="A122" s="2047" t="s">
        <v>263</v>
      </c>
      <c r="B122" s="2048"/>
      <c r="C122" s="2049"/>
      <c r="D122" s="2050"/>
      <c r="E122" s="2051">
        <f>E10+E11+E12+E13+E14+E15+E16+E17+E18+E19+E34+E35+E44+E45+E54+E55+E64+E65+E84+E85+E102+E103+E111+E112+E93+E94+E74+E75+E26</f>
        <v>0</v>
      </c>
      <c r="F122" s="2051">
        <f t="shared" ref="F122:G122" si="2">F10+F11+F12+F13+F14+F15+F16+F17+F18+F19+F34+F35+F44+F45+F54+F55+F64+F65+F84+F85+F102+F103+F111+F112+F93+F94+F74+F75+F26</f>
        <v>17881</v>
      </c>
      <c r="G122" s="2051">
        <f t="shared" si="2"/>
        <v>11972</v>
      </c>
      <c r="H122" s="2052">
        <f>G122/F122*100</f>
        <v>66.953749790280185</v>
      </c>
      <c r="K122" s="2053">
        <v>0</v>
      </c>
      <c r="L122" s="2053">
        <v>17880725.02</v>
      </c>
      <c r="M122" s="2053">
        <v>11972015.16</v>
      </c>
    </row>
    <row r="123" spans="1:13" ht="15" x14ac:dyDescent="0.2">
      <c r="A123" s="2047" t="s">
        <v>264</v>
      </c>
      <c r="B123" s="2054"/>
      <c r="C123" s="2049"/>
      <c r="D123" s="2055"/>
      <c r="E123" s="2051">
        <f>E24+E25</f>
        <v>0</v>
      </c>
      <c r="F123" s="2051">
        <f t="shared" ref="F123:G123" si="3">F24+F25</f>
        <v>500</v>
      </c>
      <c r="G123" s="2051">
        <f t="shared" si="3"/>
        <v>0</v>
      </c>
      <c r="H123" s="2052">
        <f>G123/F123*100</f>
        <v>0</v>
      </c>
      <c r="K123" s="2053">
        <v>0</v>
      </c>
      <c r="L123" s="2053">
        <v>499854</v>
      </c>
      <c r="M123" s="2053">
        <v>0</v>
      </c>
    </row>
    <row r="124" spans="1:13" ht="15" x14ac:dyDescent="0.2">
      <c r="A124" s="2047" t="s">
        <v>466</v>
      </c>
      <c r="B124" s="2054"/>
      <c r="C124" s="2049"/>
      <c r="D124" s="2055"/>
      <c r="E124" s="2051">
        <f>E27</f>
        <v>0</v>
      </c>
      <c r="F124" s="2051">
        <f>F27</f>
        <v>0</v>
      </c>
      <c r="G124" s="2051">
        <f>G27</f>
        <v>6169</v>
      </c>
      <c r="H124" s="2052">
        <v>0</v>
      </c>
      <c r="K124" s="2053">
        <v>0</v>
      </c>
      <c r="L124" s="2053">
        <v>0</v>
      </c>
      <c r="M124" s="2053">
        <v>6169161.4500000002</v>
      </c>
    </row>
    <row r="125" spans="1:13" ht="16.5" customHeight="1" x14ac:dyDescent="0.2">
      <c r="A125" s="2047"/>
      <c r="B125" s="2054"/>
      <c r="C125" s="2049"/>
      <c r="D125" s="2055"/>
      <c r="E125" s="2051"/>
      <c r="F125" s="2051"/>
      <c r="G125" s="2051"/>
      <c r="H125" s="2056"/>
    </row>
    <row r="126" spans="1:13" ht="57.75" customHeight="1" thickBot="1" x14ac:dyDescent="0.4">
      <c r="A126" s="2754" t="s">
        <v>1398</v>
      </c>
      <c r="B126" s="2759"/>
      <c r="C126" s="2759"/>
      <c r="D126" s="2759"/>
      <c r="E126" s="2057">
        <f>SUM(E121)</f>
        <v>0</v>
      </c>
      <c r="F126" s="2057">
        <f>SUM(F121)</f>
        <v>18381</v>
      </c>
      <c r="G126" s="2057">
        <f>SUM(G121)</f>
        <v>18141</v>
      </c>
      <c r="H126" s="2058">
        <f>(G126/F126)*100</f>
        <v>98.694303900767096</v>
      </c>
    </row>
    <row r="127" spans="1:13" ht="13.5" thickTop="1" x14ac:dyDescent="0.2"/>
  </sheetData>
  <mergeCells count="2">
    <mergeCell ref="A28:D28"/>
    <mergeCell ref="A126:D126"/>
  </mergeCells>
  <pageMargins left="0.70866141732283472" right="0.70866141732283472" top="0.78740157480314965" bottom="0.78740157480314965" header="0.31496062992125984" footer="0.31496062992125984"/>
  <pageSetup paperSize="9" scale="70" firstPageNumber="165" orientation="portrait" useFirstPageNumber="1" r:id="rId1"/>
  <headerFooter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1" manualBreakCount="1">
    <brk id="59" max="7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04"/>
  <sheetViews>
    <sheetView view="pageBreakPreview" topLeftCell="B89" zoomScaleNormal="100" zoomScaleSheetLayoutView="100" workbookViewId="0">
      <selection activeCell="I10" sqref="I10"/>
    </sheetView>
  </sheetViews>
  <sheetFormatPr defaultRowHeight="12.75" x14ac:dyDescent="0.2"/>
  <cols>
    <col min="1" max="1" width="5.140625" style="1986" customWidth="1"/>
    <col min="2" max="2" width="6.7109375" style="1986" customWidth="1"/>
    <col min="3" max="3" width="8.85546875" style="1986" customWidth="1"/>
    <col min="4" max="4" width="47.85546875" style="1986" customWidth="1"/>
    <col min="5" max="5" width="12.85546875" style="1986" customWidth="1"/>
    <col min="6" max="6" width="15.5703125" style="1986" customWidth="1"/>
    <col min="7" max="7" width="15.85546875" style="1986" customWidth="1"/>
    <col min="8" max="8" width="8.42578125" style="1986" customWidth="1"/>
    <col min="9" max="10" width="9.140625" style="1986"/>
    <col min="11" max="11" width="18.42578125" style="1986" customWidth="1"/>
    <col min="12" max="12" width="16" style="1986" bestFit="1" customWidth="1"/>
    <col min="13" max="256" width="9.140625" style="1986"/>
    <col min="257" max="257" width="4.7109375" style="1986" customWidth="1"/>
    <col min="258" max="258" width="6.7109375" style="1986" customWidth="1"/>
    <col min="259" max="259" width="8.85546875" style="1986" customWidth="1"/>
    <col min="260" max="260" width="47.85546875" style="1986" customWidth="1"/>
    <col min="261" max="261" width="12.85546875" style="1986" customWidth="1"/>
    <col min="262" max="262" width="15.5703125" style="1986" customWidth="1"/>
    <col min="263" max="263" width="15.85546875" style="1986" customWidth="1"/>
    <col min="264" max="264" width="6.42578125" style="1986" customWidth="1"/>
    <col min="265" max="266" width="9.140625" style="1986"/>
    <col min="267" max="267" width="18.42578125" style="1986" customWidth="1"/>
    <col min="268" max="268" width="16" style="1986" bestFit="1" customWidth="1"/>
    <col min="269" max="512" width="9.140625" style="1986"/>
    <col min="513" max="513" width="4.7109375" style="1986" customWidth="1"/>
    <col min="514" max="514" width="6.7109375" style="1986" customWidth="1"/>
    <col min="515" max="515" width="8.85546875" style="1986" customWidth="1"/>
    <col min="516" max="516" width="47.85546875" style="1986" customWidth="1"/>
    <col min="517" max="517" width="12.85546875" style="1986" customWidth="1"/>
    <col min="518" max="518" width="15.5703125" style="1986" customWidth="1"/>
    <col min="519" max="519" width="15.85546875" style="1986" customWidth="1"/>
    <col min="520" max="520" width="6.42578125" style="1986" customWidth="1"/>
    <col min="521" max="522" width="9.140625" style="1986"/>
    <col min="523" max="523" width="18.42578125" style="1986" customWidth="1"/>
    <col min="524" max="524" width="16" style="1986" bestFit="1" customWidth="1"/>
    <col min="525" max="768" width="9.140625" style="1986"/>
    <col min="769" max="769" width="4.7109375" style="1986" customWidth="1"/>
    <col min="770" max="770" width="6.7109375" style="1986" customWidth="1"/>
    <col min="771" max="771" width="8.85546875" style="1986" customWidth="1"/>
    <col min="772" max="772" width="47.85546875" style="1986" customWidth="1"/>
    <col min="773" max="773" width="12.85546875" style="1986" customWidth="1"/>
    <col min="774" max="774" width="15.5703125" style="1986" customWidth="1"/>
    <col min="775" max="775" width="15.85546875" style="1986" customWidth="1"/>
    <col min="776" max="776" width="6.42578125" style="1986" customWidth="1"/>
    <col min="777" max="778" width="9.140625" style="1986"/>
    <col min="779" max="779" width="18.42578125" style="1986" customWidth="1"/>
    <col min="780" max="780" width="16" style="1986" bestFit="1" customWidth="1"/>
    <col min="781" max="1024" width="9.140625" style="1986"/>
    <col min="1025" max="1025" width="4.7109375" style="1986" customWidth="1"/>
    <col min="1026" max="1026" width="6.7109375" style="1986" customWidth="1"/>
    <col min="1027" max="1027" width="8.85546875" style="1986" customWidth="1"/>
    <col min="1028" max="1028" width="47.85546875" style="1986" customWidth="1"/>
    <col min="1029" max="1029" width="12.85546875" style="1986" customWidth="1"/>
    <col min="1030" max="1030" width="15.5703125" style="1986" customWidth="1"/>
    <col min="1031" max="1031" width="15.85546875" style="1986" customWidth="1"/>
    <col min="1032" max="1032" width="6.42578125" style="1986" customWidth="1"/>
    <col min="1033" max="1034" width="9.140625" style="1986"/>
    <col min="1035" max="1035" width="18.42578125" style="1986" customWidth="1"/>
    <col min="1036" max="1036" width="16" style="1986" bestFit="1" customWidth="1"/>
    <col min="1037" max="1280" width="9.140625" style="1986"/>
    <col min="1281" max="1281" width="4.7109375" style="1986" customWidth="1"/>
    <col min="1282" max="1282" width="6.7109375" style="1986" customWidth="1"/>
    <col min="1283" max="1283" width="8.85546875" style="1986" customWidth="1"/>
    <col min="1284" max="1284" width="47.85546875" style="1986" customWidth="1"/>
    <col min="1285" max="1285" width="12.85546875" style="1986" customWidth="1"/>
    <col min="1286" max="1286" width="15.5703125" style="1986" customWidth="1"/>
    <col min="1287" max="1287" width="15.85546875" style="1986" customWidth="1"/>
    <col min="1288" max="1288" width="6.42578125" style="1986" customWidth="1"/>
    <col min="1289" max="1290" width="9.140625" style="1986"/>
    <col min="1291" max="1291" width="18.42578125" style="1986" customWidth="1"/>
    <col min="1292" max="1292" width="16" style="1986" bestFit="1" customWidth="1"/>
    <col min="1293" max="1536" width="9.140625" style="1986"/>
    <col min="1537" max="1537" width="4.7109375" style="1986" customWidth="1"/>
    <col min="1538" max="1538" width="6.7109375" style="1986" customWidth="1"/>
    <col min="1539" max="1539" width="8.85546875" style="1986" customWidth="1"/>
    <col min="1540" max="1540" width="47.85546875" style="1986" customWidth="1"/>
    <col min="1541" max="1541" width="12.85546875" style="1986" customWidth="1"/>
    <col min="1542" max="1542" width="15.5703125" style="1986" customWidth="1"/>
    <col min="1543" max="1543" width="15.85546875" style="1986" customWidth="1"/>
    <col min="1544" max="1544" width="6.42578125" style="1986" customWidth="1"/>
    <col min="1545" max="1546" width="9.140625" style="1986"/>
    <col min="1547" max="1547" width="18.42578125" style="1986" customWidth="1"/>
    <col min="1548" max="1548" width="16" style="1986" bestFit="1" customWidth="1"/>
    <col min="1549" max="1792" width="9.140625" style="1986"/>
    <col min="1793" max="1793" width="4.7109375" style="1986" customWidth="1"/>
    <col min="1794" max="1794" width="6.7109375" style="1986" customWidth="1"/>
    <col min="1795" max="1795" width="8.85546875" style="1986" customWidth="1"/>
    <col min="1796" max="1796" width="47.85546875" style="1986" customWidth="1"/>
    <col min="1797" max="1797" width="12.85546875" style="1986" customWidth="1"/>
    <col min="1798" max="1798" width="15.5703125" style="1986" customWidth="1"/>
    <col min="1799" max="1799" width="15.85546875" style="1986" customWidth="1"/>
    <col min="1800" max="1800" width="6.42578125" style="1986" customWidth="1"/>
    <col min="1801" max="1802" width="9.140625" style="1986"/>
    <col min="1803" max="1803" width="18.42578125" style="1986" customWidth="1"/>
    <col min="1804" max="1804" width="16" style="1986" bestFit="1" customWidth="1"/>
    <col min="1805" max="2048" width="9.140625" style="1986"/>
    <col min="2049" max="2049" width="4.7109375" style="1986" customWidth="1"/>
    <col min="2050" max="2050" width="6.7109375" style="1986" customWidth="1"/>
    <col min="2051" max="2051" width="8.85546875" style="1986" customWidth="1"/>
    <col min="2052" max="2052" width="47.85546875" style="1986" customWidth="1"/>
    <col min="2053" max="2053" width="12.85546875" style="1986" customWidth="1"/>
    <col min="2054" max="2054" width="15.5703125" style="1986" customWidth="1"/>
    <col min="2055" max="2055" width="15.85546875" style="1986" customWidth="1"/>
    <col min="2056" max="2056" width="6.42578125" style="1986" customWidth="1"/>
    <col min="2057" max="2058" width="9.140625" style="1986"/>
    <col min="2059" max="2059" width="18.42578125" style="1986" customWidth="1"/>
    <col min="2060" max="2060" width="16" style="1986" bestFit="1" customWidth="1"/>
    <col min="2061" max="2304" width="9.140625" style="1986"/>
    <col min="2305" max="2305" width="4.7109375" style="1986" customWidth="1"/>
    <col min="2306" max="2306" width="6.7109375" style="1986" customWidth="1"/>
    <col min="2307" max="2307" width="8.85546875" style="1986" customWidth="1"/>
    <col min="2308" max="2308" width="47.85546875" style="1986" customWidth="1"/>
    <col min="2309" max="2309" width="12.85546875" style="1986" customWidth="1"/>
    <col min="2310" max="2310" width="15.5703125" style="1986" customWidth="1"/>
    <col min="2311" max="2311" width="15.85546875" style="1986" customWidth="1"/>
    <col min="2312" max="2312" width="6.42578125" style="1986" customWidth="1"/>
    <col min="2313" max="2314" width="9.140625" style="1986"/>
    <col min="2315" max="2315" width="18.42578125" style="1986" customWidth="1"/>
    <col min="2316" max="2316" width="16" style="1986" bestFit="1" customWidth="1"/>
    <col min="2317" max="2560" width="9.140625" style="1986"/>
    <col min="2561" max="2561" width="4.7109375" style="1986" customWidth="1"/>
    <col min="2562" max="2562" width="6.7109375" style="1986" customWidth="1"/>
    <col min="2563" max="2563" width="8.85546875" style="1986" customWidth="1"/>
    <col min="2564" max="2564" width="47.85546875" style="1986" customWidth="1"/>
    <col min="2565" max="2565" width="12.85546875" style="1986" customWidth="1"/>
    <col min="2566" max="2566" width="15.5703125" style="1986" customWidth="1"/>
    <col min="2567" max="2567" width="15.85546875" style="1986" customWidth="1"/>
    <col min="2568" max="2568" width="6.42578125" style="1986" customWidth="1"/>
    <col min="2569" max="2570" width="9.140625" style="1986"/>
    <col min="2571" max="2571" width="18.42578125" style="1986" customWidth="1"/>
    <col min="2572" max="2572" width="16" style="1986" bestFit="1" customWidth="1"/>
    <col min="2573" max="2816" width="9.140625" style="1986"/>
    <col min="2817" max="2817" width="4.7109375" style="1986" customWidth="1"/>
    <col min="2818" max="2818" width="6.7109375" style="1986" customWidth="1"/>
    <col min="2819" max="2819" width="8.85546875" style="1986" customWidth="1"/>
    <col min="2820" max="2820" width="47.85546875" style="1986" customWidth="1"/>
    <col min="2821" max="2821" width="12.85546875" style="1986" customWidth="1"/>
    <col min="2822" max="2822" width="15.5703125" style="1986" customWidth="1"/>
    <col min="2823" max="2823" width="15.85546875" style="1986" customWidth="1"/>
    <col min="2824" max="2824" width="6.42578125" style="1986" customWidth="1"/>
    <col min="2825" max="2826" width="9.140625" style="1986"/>
    <col min="2827" max="2827" width="18.42578125" style="1986" customWidth="1"/>
    <col min="2828" max="2828" width="16" style="1986" bestFit="1" customWidth="1"/>
    <col min="2829" max="3072" width="9.140625" style="1986"/>
    <col min="3073" max="3073" width="4.7109375" style="1986" customWidth="1"/>
    <col min="3074" max="3074" width="6.7109375" style="1986" customWidth="1"/>
    <col min="3075" max="3075" width="8.85546875" style="1986" customWidth="1"/>
    <col min="3076" max="3076" width="47.85546875" style="1986" customWidth="1"/>
    <col min="3077" max="3077" width="12.85546875" style="1986" customWidth="1"/>
    <col min="3078" max="3078" width="15.5703125" style="1986" customWidth="1"/>
    <col min="3079" max="3079" width="15.85546875" style="1986" customWidth="1"/>
    <col min="3080" max="3080" width="6.42578125" style="1986" customWidth="1"/>
    <col min="3081" max="3082" width="9.140625" style="1986"/>
    <col min="3083" max="3083" width="18.42578125" style="1986" customWidth="1"/>
    <col min="3084" max="3084" width="16" style="1986" bestFit="1" customWidth="1"/>
    <col min="3085" max="3328" width="9.140625" style="1986"/>
    <col min="3329" max="3329" width="4.7109375" style="1986" customWidth="1"/>
    <col min="3330" max="3330" width="6.7109375" style="1986" customWidth="1"/>
    <col min="3331" max="3331" width="8.85546875" style="1986" customWidth="1"/>
    <col min="3332" max="3332" width="47.85546875" style="1986" customWidth="1"/>
    <col min="3333" max="3333" width="12.85546875" style="1986" customWidth="1"/>
    <col min="3334" max="3334" width="15.5703125" style="1986" customWidth="1"/>
    <col min="3335" max="3335" width="15.85546875" style="1986" customWidth="1"/>
    <col min="3336" max="3336" width="6.42578125" style="1986" customWidth="1"/>
    <col min="3337" max="3338" width="9.140625" style="1986"/>
    <col min="3339" max="3339" width="18.42578125" style="1986" customWidth="1"/>
    <col min="3340" max="3340" width="16" style="1986" bestFit="1" customWidth="1"/>
    <col min="3341" max="3584" width="9.140625" style="1986"/>
    <col min="3585" max="3585" width="4.7109375" style="1986" customWidth="1"/>
    <col min="3586" max="3586" width="6.7109375" style="1986" customWidth="1"/>
    <col min="3587" max="3587" width="8.85546875" style="1986" customWidth="1"/>
    <col min="3588" max="3588" width="47.85546875" style="1986" customWidth="1"/>
    <col min="3589" max="3589" width="12.85546875" style="1986" customWidth="1"/>
    <col min="3590" max="3590" width="15.5703125" style="1986" customWidth="1"/>
    <col min="3591" max="3591" width="15.85546875" style="1986" customWidth="1"/>
    <col min="3592" max="3592" width="6.42578125" style="1986" customWidth="1"/>
    <col min="3593" max="3594" width="9.140625" style="1986"/>
    <col min="3595" max="3595" width="18.42578125" style="1986" customWidth="1"/>
    <col min="3596" max="3596" width="16" style="1986" bestFit="1" customWidth="1"/>
    <col min="3597" max="3840" width="9.140625" style="1986"/>
    <col min="3841" max="3841" width="4.7109375" style="1986" customWidth="1"/>
    <col min="3842" max="3842" width="6.7109375" style="1986" customWidth="1"/>
    <col min="3843" max="3843" width="8.85546875" style="1986" customWidth="1"/>
    <col min="3844" max="3844" width="47.85546875" style="1986" customWidth="1"/>
    <col min="3845" max="3845" width="12.85546875" style="1986" customWidth="1"/>
    <col min="3846" max="3846" width="15.5703125" style="1986" customWidth="1"/>
    <col min="3847" max="3847" width="15.85546875" style="1986" customWidth="1"/>
    <col min="3848" max="3848" width="6.42578125" style="1986" customWidth="1"/>
    <col min="3849" max="3850" width="9.140625" style="1986"/>
    <col min="3851" max="3851" width="18.42578125" style="1986" customWidth="1"/>
    <col min="3852" max="3852" width="16" style="1986" bestFit="1" customWidth="1"/>
    <col min="3853" max="4096" width="9.140625" style="1986"/>
    <col min="4097" max="4097" width="4.7109375" style="1986" customWidth="1"/>
    <col min="4098" max="4098" width="6.7109375" style="1986" customWidth="1"/>
    <col min="4099" max="4099" width="8.85546875" style="1986" customWidth="1"/>
    <col min="4100" max="4100" width="47.85546875" style="1986" customWidth="1"/>
    <col min="4101" max="4101" width="12.85546875" style="1986" customWidth="1"/>
    <col min="4102" max="4102" width="15.5703125" style="1986" customWidth="1"/>
    <col min="4103" max="4103" width="15.85546875" style="1986" customWidth="1"/>
    <col min="4104" max="4104" width="6.42578125" style="1986" customWidth="1"/>
    <col min="4105" max="4106" width="9.140625" style="1986"/>
    <col min="4107" max="4107" width="18.42578125" style="1986" customWidth="1"/>
    <col min="4108" max="4108" width="16" style="1986" bestFit="1" customWidth="1"/>
    <col min="4109" max="4352" width="9.140625" style="1986"/>
    <col min="4353" max="4353" width="4.7109375" style="1986" customWidth="1"/>
    <col min="4354" max="4354" width="6.7109375" style="1986" customWidth="1"/>
    <col min="4355" max="4355" width="8.85546875" style="1986" customWidth="1"/>
    <col min="4356" max="4356" width="47.85546875" style="1986" customWidth="1"/>
    <col min="4357" max="4357" width="12.85546875" style="1986" customWidth="1"/>
    <col min="4358" max="4358" width="15.5703125" style="1986" customWidth="1"/>
    <col min="4359" max="4359" width="15.85546875" style="1986" customWidth="1"/>
    <col min="4360" max="4360" width="6.42578125" style="1986" customWidth="1"/>
    <col min="4361" max="4362" width="9.140625" style="1986"/>
    <col min="4363" max="4363" width="18.42578125" style="1986" customWidth="1"/>
    <col min="4364" max="4364" width="16" style="1986" bestFit="1" customWidth="1"/>
    <col min="4365" max="4608" width="9.140625" style="1986"/>
    <col min="4609" max="4609" width="4.7109375" style="1986" customWidth="1"/>
    <col min="4610" max="4610" width="6.7109375" style="1986" customWidth="1"/>
    <col min="4611" max="4611" width="8.85546875" style="1986" customWidth="1"/>
    <col min="4612" max="4612" width="47.85546875" style="1986" customWidth="1"/>
    <col min="4613" max="4613" width="12.85546875" style="1986" customWidth="1"/>
    <col min="4614" max="4614" width="15.5703125" style="1986" customWidth="1"/>
    <col min="4615" max="4615" width="15.85546875" style="1986" customWidth="1"/>
    <col min="4616" max="4616" width="6.42578125" style="1986" customWidth="1"/>
    <col min="4617" max="4618" width="9.140625" style="1986"/>
    <col min="4619" max="4619" width="18.42578125" style="1986" customWidth="1"/>
    <col min="4620" max="4620" width="16" style="1986" bestFit="1" customWidth="1"/>
    <col min="4621" max="4864" width="9.140625" style="1986"/>
    <col min="4865" max="4865" width="4.7109375" style="1986" customWidth="1"/>
    <col min="4866" max="4866" width="6.7109375" style="1986" customWidth="1"/>
    <col min="4867" max="4867" width="8.85546875" style="1986" customWidth="1"/>
    <col min="4868" max="4868" width="47.85546875" style="1986" customWidth="1"/>
    <col min="4869" max="4869" width="12.85546875" style="1986" customWidth="1"/>
    <col min="4870" max="4870" width="15.5703125" style="1986" customWidth="1"/>
    <col min="4871" max="4871" width="15.85546875" style="1986" customWidth="1"/>
    <col min="4872" max="4872" width="6.42578125" style="1986" customWidth="1"/>
    <col min="4873" max="4874" width="9.140625" style="1986"/>
    <col min="4875" max="4875" width="18.42578125" style="1986" customWidth="1"/>
    <col min="4876" max="4876" width="16" style="1986" bestFit="1" customWidth="1"/>
    <col min="4877" max="5120" width="9.140625" style="1986"/>
    <col min="5121" max="5121" width="4.7109375" style="1986" customWidth="1"/>
    <col min="5122" max="5122" width="6.7109375" style="1986" customWidth="1"/>
    <col min="5123" max="5123" width="8.85546875" style="1986" customWidth="1"/>
    <col min="5124" max="5124" width="47.85546875" style="1986" customWidth="1"/>
    <col min="5125" max="5125" width="12.85546875" style="1986" customWidth="1"/>
    <col min="5126" max="5126" width="15.5703125" style="1986" customWidth="1"/>
    <col min="5127" max="5127" width="15.85546875" style="1986" customWidth="1"/>
    <col min="5128" max="5128" width="6.42578125" style="1986" customWidth="1"/>
    <col min="5129" max="5130" width="9.140625" style="1986"/>
    <col min="5131" max="5131" width="18.42578125" style="1986" customWidth="1"/>
    <col min="5132" max="5132" width="16" style="1986" bestFit="1" customWidth="1"/>
    <col min="5133" max="5376" width="9.140625" style="1986"/>
    <col min="5377" max="5377" width="4.7109375" style="1986" customWidth="1"/>
    <col min="5378" max="5378" width="6.7109375" style="1986" customWidth="1"/>
    <col min="5379" max="5379" width="8.85546875" style="1986" customWidth="1"/>
    <col min="5380" max="5380" width="47.85546875" style="1986" customWidth="1"/>
    <col min="5381" max="5381" width="12.85546875" style="1986" customWidth="1"/>
    <col min="5382" max="5382" width="15.5703125" style="1986" customWidth="1"/>
    <col min="5383" max="5383" width="15.85546875" style="1986" customWidth="1"/>
    <col min="5384" max="5384" width="6.42578125" style="1986" customWidth="1"/>
    <col min="5385" max="5386" width="9.140625" style="1986"/>
    <col min="5387" max="5387" width="18.42578125" style="1986" customWidth="1"/>
    <col min="5388" max="5388" width="16" style="1986" bestFit="1" customWidth="1"/>
    <col min="5389" max="5632" width="9.140625" style="1986"/>
    <col min="5633" max="5633" width="4.7109375" style="1986" customWidth="1"/>
    <col min="5634" max="5634" width="6.7109375" style="1986" customWidth="1"/>
    <col min="5635" max="5635" width="8.85546875" style="1986" customWidth="1"/>
    <col min="5636" max="5636" width="47.85546875" style="1986" customWidth="1"/>
    <col min="5637" max="5637" width="12.85546875" style="1986" customWidth="1"/>
    <col min="5638" max="5638" width="15.5703125" style="1986" customWidth="1"/>
    <col min="5639" max="5639" width="15.85546875" style="1986" customWidth="1"/>
    <col min="5640" max="5640" width="6.42578125" style="1986" customWidth="1"/>
    <col min="5641" max="5642" width="9.140625" style="1986"/>
    <col min="5643" max="5643" width="18.42578125" style="1986" customWidth="1"/>
    <col min="5644" max="5644" width="16" style="1986" bestFit="1" customWidth="1"/>
    <col min="5645" max="5888" width="9.140625" style="1986"/>
    <col min="5889" max="5889" width="4.7109375" style="1986" customWidth="1"/>
    <col min="5890" max="5890" width="6.7109375" style="1986" customWidth="1"/>
    <col min="5891" max="5891" width="8.85546875" style="1986" customWidth="1"/>
    <col min="5892" max="5892" width="47.85546875" style="1986" customWidth="1"/>
    <col min="5893" max="5893" width="12.85546875" style="1986" customWidth="1"/>
    <col min="5894" max="5894" width="15.5703125" style="1986" customWidth="1"/>
    <col min="5895" max="5895" width="15.85546875" style="1986" customWidth="1"/>
    <col min="5896" max="5896" width="6.42578125" style="1986" customWidth="1"/>
    <col min="5897" max="5898" width="9.140625" style="1986"/>
    <col min="5899" max="5899" width="18.42578125" style="1986" customWidth="1"/>
    <col min="5900" max="5900" width="16" style="1986" bestFit="1" customWidth="1"/>
    <col min="5901" max="6144" width="9.140625" style="1986"/>
    <col min="6145" max="6145" width="4.7109375" style="1986" customWidth="1"/>
    <col min="6146" max="6146" width="6.7109375" style="1986" customWidth="1"/>
    <col min="6147" max="6147" width="8.85546875" style="1986" customWidth="1"/>
    <col min="6148" max="6148" width="47.85546875" style="1986" customWidth="1"/>
    <col min="6149" max="6149" width="12.85546875" style="1986" customWidth="1"/>
    <col min="6150" max="6150" width="15.5703125" style="1986" customWidth="1"/>
    <col min="6151" max="6151" width="15.85546875" style="1986" customWidth="1"/>
    <col min="6152" max="6152" width="6.42578125" style="1986" customWidth="1"/>
    <col min="6153" max="6154" width="9.140625" style="1986"/>
    <col min="6155" max="6155" width="18.42578125" style="1986" customWidth="1"/>
    <col min="6156" max="6156" width="16" style="1986" bestFit="1" customWidth="1"/>
    <col min="6157" max="6400" width="9.140625" style="1986"/>
    <col min="6401" max="6401" width="4.7109375" style="1986" customWidth="1"/>
    <col min="6402" max="6402" width="6.7109375" style="1986" customWidth="1"/>
    <col min="6403" max="6403" width="8.85546875" style="1986" customWidth="1"/>
    <col min="6404" max="6404" width="47.85546875" style="1986" customWidth="1"/>
    <col min="6405" max="6405" width="12.85546875" style="1986" customWidth="1"/>
    <col min="6406" max="6406" width="15.5703125" style="1986" customWidth="1"/>
    <col min="6407" max="6407" width="15.85546875" style="1986" customWidth="1"/>
    <col min="6408" max="6408" width="6.42578125" style="1986" customWidth="1"/>
    <col min="6409" max="6410" width="9.140625" style="1986"/>
    <col min="6411" max="6411" width="18.42578125" style="1986" customWidth="1"/>
    <col min="6412" max="6412" width="16" style="1986" bestFit="1" customWidth="1"/>
    <col min="6413" max="6656" width="9.140625" style="1986"/>
    <col min="6657" max="6657" width="4.7109375" style="1986" customWidth="1"/>
    <col min="6658" max="6658" width="6.7109375" style="1986" customWidth="1"/>
    <col min="6659" max="6659" width="8.85546875" style="1986" customWidth="1"/>
    <col min="6660" max="6660" width="47.85546875" style="1986" customWidth="1"/>
    <col min="6661" max="6661" width="12.85546875" style="1986" customWidth="1"/>
    <col min="6662" max="6662" width="15.5703125" style="1986" customWidth="1"/>
    <col min="6663" max="6663" width="15.85546875" style="1986" customWidth="1"/>
    <col min="6664" max="6664" width="6.42578125" style="1986" customWidth="1"/>
    <col min="6665" max="6666" width="9.140625" style="1986"/>
    <col min="6667" max="6667" width="18.42578125" style="1986" customWidth="1"/>
    <col min="6668" max="6668" width="16" style="1986" bestFit="1" customWidth="1"/>
    <col min="6669" max="6912" width="9.140625" style="1986"/>
    <col min="6913" max="6913" width="4.7109375" style="1986" customWidth="1"/>
    <col min="6914" max="6914" width="6.7109375" style="1986" customWidth="1"/>
    <col min="6915" max="6915" width="8.85546875" style="1986" customWidth="1"/>
    <col min="6916" max="6916" width="47.85546875" style="1986" customWidth="1"/>
    <col min="6917" max="6917" width="12.85546875" style="1986" customWidth="1"/>
    <col min="6918" max="6918" width="15.5703125" style="1986" customWidth="1"/>
    <col min="6919" max="6919" width="15.85546875" style="1986" customWidth="1"/>
    <col min="6920" max="6920" width="6.42578125" style="1986" customWidth="1"/>
    <col min="6921" max="6922" width="9.140625" style="1986"/>
    <col min="6923" max="6923" width="18.42578125" style="1986" customWidth="1"/>
    <col min="6924" max="6924" width="16" style="1986" bestFit="1" customWidth="1"/>
    <col min="6925" max="7168" width="9.140625" style="1986"/>
    <col min="7169" max="7169" width="4.7109375" style="1986" customWidth="1"/>
    <col min="7170" max="7170" width="6.7109375" style="1986" customWidth="1"/>
    <col min="7171" max="7171" width="8.85546875" style="1986" customWidth="1"/>
    <col min="7172" max="7172" width="47.85546875" style="1986" customWidth="1"/>
    <col min="7173" max="7173" width="12.85546875" style="1986" customWidth="1"/>
    <col min="7174" max="7174" width="15.5703125" style="1986" customWidth="1"/>
    <col min="7175" max="7175" width="15.85546875" style="1986" customWidth="1"/>
    <col min="7176" max="7176" width="6.42578125" style="1986" customWidth="1"/>
    <col min="7177" max="7178" width="9.140625" style="1986"/>
    <col min="7179" max="7179" width="18.42578125" style="1986" customWidth="1"/>
    <col min="7180" max="7180" width="16" style="1986" bestFit="1" customWidth="1"/>
    <col min="7181" max="7424" width="9.140625" style="1986"/>
    <col min="7425" max="7425" width="4.7109375" style="1986" customWidth="1"/>
    <col min="7426" max="7426" width="6.7109375" style="1986" customWidth="1"/>
    <col min="7427" max="7427" width="8.85546875" style="1986" customWidth="1"/>
    <col min="7428" max="7428" width="47.85546875" style="1986" customWidth="1"/>
    <col min="7429" max="7429" width="12.85546875" style="1986" customWidth="1"/>
    <col min="7430" max="7430" width="15.5703125" style="1986" customWidth="1"/>
    <col min="7431" max="7431" width="15.85546875" style="1986" customWidth="1"/>
    <col min="7432" max="7432" width="6.42578125" style="1986" customWidth="1"/>
    <col min="7433" max="7434" width="9.140625" style="1986"/>
    <col min="7435" max="7435" width="18.42578125" style="1986" customWidth="1"/>
    <col min="7436" max="7436" width="16" style="1986" bestFit="1" customWidth="1"/>
    <col min="7437" max="7680" width="9.140625" style="1986"/>
    <col min="7681" max="7681" width="4.7109375" style="1986" customWidth="1"/>
    <col min="7682" max="7682" width="6.7109375" style="1986" customWidth="1"/>
    <col min="7683" max="7683" width="8.85546875" style="1986" customWidth="1"/>
    <col min="7684" max="7684" width="47.85546875" style="1986" customWidth="1"/>
    <col min="7685" max="7685" width="12.85546875" style="1986" customWidth="1"/>
    <col min="7686" max="7686" width="15.5703125" style="1986" customWidth="1"/>
    <col min="7687" max="7687" width="15.85546875" style="1986" customWidth="1"/>
    <col min="7688" max="7688" width="6.42578125" style="1986" customWidth="1"/>
    <col min="7689" max="7690" width="9.140625" style="1986"/>
    <col min="7691" max="7691" width="18.42578125" style="1986" customWidth="1"/>
    <col min="7692" max="7692" width="16" style="1986" bestFit="1" customWidth="1"/>
    <col min="7693" max="7936" width="9.140625" style="1986"/>
    <col min="7937" max="7937" width="4.7109375" style="1986" customWidth="1"/>
    <col min="7938" max="7938" width="6.7109375" style="1986" customWidth="1"/>
    <col min="7939" max="7939" width="8.85546875" style="1986" customWidth="1"/>
    <col min="7940" max="7940" width="47.85546875" style="1986" customWidth="1"/>
    <col min="7941" max="7941" width="12.85546875" style="1986" customWidth="1"/>
    <col min="7942" max="7942" width="15.5703125" style="1986" customWidth="1"/>
    <col min="7943" max="7943" width="15.85546875" style="1986" customWidth="1"/>
    <col min="7944" max="7944" width="6.42578125" style="1986" customWidth="1"/>
    <col min="7945" max="7946" width="9.140625" style="1986"/>
    <col min="7947" max="7947" width="18.42578125" style="1986" customWidth="1"/>
    <col min="7948" max="7948" width="16" style="1986" bestFit="1" customWidth="1"/>
    <col min="7949" max="8192" width="9.140625" style="1986"/>
    <col min="8193" max="8193" width="4.7109375" style="1986" customWidth="1"/>
    <col min="8194" max="8194" width="6.7109375" style="1986" customWidth="1"/>
    <col min="8195" max="8195" width="8.85546875" style="1986" customWidth="1"/>
    <col min="8196" max="8196" width="47.85546875" style="1986" customWidth="1"/>
    <col min="8197" max="8197" width="12.85546875" style="1986" customWidth="1"/>
    <col min="8198" max="8198" width="15.5703125" style="1986" customWidth="1"/>
    <col min="8199" max="8199" width="15.85546875" style="1986" customWidth="1"/>
    <col min="8200" max="8200" width="6.42578125" style="1986" customWidth="1"/>
    <col min="8201" max="8202" width="9.140625" style="1986"/>
    <col min="8203" max="8203" width="18.42578125" style="1986" customWidth="1"/>
    <col min="8204" max="8204" width="16" style="1986" bestFit="1" customWidth="1"/>
    <col min="8205" max="8448" width="9.140625" style="1986"/>
    <col min="8449" max="8449" width="4.7109375" style="1986" customWidth="1"/>
    <col min="8450" max="8450" width="6.7109375" style="1986" customWidth="1"/>
    <col min="8451" max="8451" width="8.85546875" style="1986" customWidth="1"/>
    <col min="8452" max="8452" width="47.85546875" style="1986" customWidth="1"/>
    <col min="8453" max="8453" width="12.85546875" style="1986" customWidth="1"/>
    <col min="8454" max="8454" width="15.5703125" style="1986" customWidth="1"/>
    <col min="8455" max="8455" width="15.85546875" style="1986" customWidth="1"/>
    <col min="8456" max="8456" width="6.42578125" style="1986" customWidth="1"/>
    <col min="8457" max="8458" width="9.140625" style="1986"/>
    <col min="8459" max="8459" width="18.42578125" style="1986" customWidth="1"/>
    <col min="8460" max="8460" width="16" style="1986" bestFit="1" customWidth="1"/>
    <col min="8461" max="8704" width="9.140625" style="1986"/>
    <col min="8705" max="8705" width="4.7109375" style="1986" customWidth="1"/>
    <col min="8706" max="8706" width="6.7109375" style="1986" customWidth="1"/>
    <col min="8707" max="8707" width="8.85546875" style="1986" customWidth="1"/>
    <col min="8708" max="8708" width="47.85546875" style="1986" customWidth="1"/>
    <col min="8709" max="8709" width="12.85546875" style="1986" customWidth="1"/>
    <col min="8710" max="8710" width="15.5703125" style="1986" customWidth="1"/>
    <col min="8711" max="8711" width="15.85546875" style="1986" customWidth="1"/>
    <col min="8712" max="8712" width="6.42578125" style="1986" customWidth="1"/>
    <col min="8713" max="8714" width="9.140625" style="1986"/>
    <col min="8715" max="8715" width="18.42578125" style="1986" customWidth="1"/>
    <col min="8716" max="8716" width="16" style="1986" bestFit="1" customWidth="1"/>
    <col min="8717" max="8960" width="9.140625" style="1986"/>
    <col min="8961" max="8961" width="4.7109375" style="1986" customWidth="1"/>
    <col min="8962" max="8962" width="6.7109375" style="1986" customWidth="1"/>
    <col min="8963" max="8963" width="8.85546875" style="1986" customWidth="1"/>
    <col min="8964" max="8964" width="47.85546875" style="1986" customWidth="1"/>
    <col min="8965" max="8965" width="12.85546875" style="1986" customWidth="1"/>
    <col min="8966" max="8966" width="15.5703125" style="1986" customWidth="1"/>
    <col min="8967" max="8967" width="15.85546875" style="1986" customWidth="1"/>
    <col min="8968" max="8968" width="6.42578125" style="1986" customWidth="1"/>
    <col min="8969" max="8970" width="9.140625" style="1986"/>
    <col min="8971" max="8971" width="18.42578125" style="1986" customWidth="1"/>
    <col min="8972" max="8972" width="16" style="1986" bestFit="1" customWidth="1"/>
    <col min="8973" max="9216" width="9.140625" style="1986"/>
    <col min="9217" max="9217" width="4.7109375" style="1986" customWidth="1"/>
    <col min="9218" max="9218" width="6.7109375" style="1986" customWidth="1"/>
    <col min="9219" max="9219" width="8.85546875" style="1986" customWidth="1"/>
    <col min="9220" max="9220" width="47.85546875" style="1986" customWidth="1"/>
    <col min="9221" max="9221" width="12.85546875" style="1986" customWidth="1"/>
    <col min="9222" max="9222" width="15.5703125" style="1986" customWidth="1"/>
    <col min="9223" max="9223" width="15.85546875" style="1986" customWidth="1"/>
    <col min="9224" max="9224" width="6.42578125" style="1986" customWidth="1"/>
    <col min="9225" max="9226" width="9.140625" style="1986"/>
    <col min="9227" max="9227" width="18.42578125" style="1986" customWidth="1"/>
    <col min="9228" max="9228" width="16" style="1986" bestFit="1" customWidth="1"/>
    <col min="9229" max="9472" width="9.140625" style="1986"/>
    <col min="9473" max="9473" width="4.7109375" style="1986" customWidth="1"/>
    <col min="9474" max="9474" width="6.7109375" style="1986" customWidth="1"/>
    <col min="9475" max="9475" width="8.85546875" style="1986" customWidth="1"/>
    <col min="9476" max="9476" width="47.85546875" style="1986" customWidth="1"/>
    <col min="9477" max="9477" width="12.85546875" style="1986" customWidth="1"/>
    <col min="9478" max="9478" width="15.5703125" style="1986" customWidth="1"/>
    <col min="9479" max="9479" width="15.85546875" style="1986" customWidth="1"/>
    <col min="9480" max="9480" width="6.42578125" style="1986" customWidth="1"/>
    <col min="9481" max="9482" width="9.140625" style="1986"/>
    <col min="9483" max="9483" width="18.42578125" style="1986" customWidth="1"/>
    <col min="9484" max="9484" width="16" style="1986" bestFit="1" customWidth="1"/>
    <col min="9485" max="9728" width="9.140625" style="1986"/>
    <col min="9729" max="9729" width="4.7109375" style="1986" customWidth="1"/>
    <col min="9730" max="9730" width="6.7109375" style="1986" customWidth="1"/>
    <col min="9731" max="9731" width="8.85546875" style="1986" customWidth="1"/>
    <col min="9732" max="9732" width="47.85546875" style="1986" customWidth="1"/>
    <col min="9733" max="9733" width="12.85546875" style="1986" customWidth="1"/>
    <col min="9734" max="9734" width="15.5703125" style="1986" customWidth="1"/>
    <col min="9735" max="9735" width="15.85546875" style="1986" customWidth="1"/>
    <col min="9736" max="9736" width="6.42578125" style="1986" customWidth="1"/>
    <col min="9737" max="9738" width="9.140625" style="1986"/>
    <col min="9739" max="9739" width="18.42578125" style="1986" customWidth="1"/>
    <col min="9740" max="9740" width="16" style="1986" bestFit="1" customWidth="1"/>
    <col min="9741" max="9984" width="9.140625" style="1986"/>
    <col min="9985" max="9985" width="4.7109375" style="1986" customWidth="1"/>
    <col min="9986" max="9986" width="6.7109375" style="1986" customWidth="1"/>
    <col min="9987" max="9987" width="8.85546875" style="1986" customWidth="1"/>
    <col min="9988" max="9988" width="47.85546875" style="1986" customWidth="1"/>
    <col min="9989" max="9989" width="12.85546875" style="1986" customWidth="1"/>
    <col min="9990" max="9990" width="15.5703125" style="1986" customWidth="1"/>
    <col min="9991" max="9991" width="15.85546875" style="1986" customWidth="1"/>
    <col min="9992" max="9992" width="6.42578125" style="1986" customWidth="1"/>
    <col min="9993" max="9994" width="9.140625" style="1986"/>
    <col min="9995" max="9995" width="18.42578125" style="1986" customWidth="1"/>
    <col min="9996" max="9996" width="16" style="1986" bestFit="1" customWidth="1"/>
    <col min="9997" max="10240" width="9.140625" style="1986"/>
    <col min="10241" max="10241" width="4.7109375" style="1986" customWidth="1"/>
    <col min="10242" max="10242" width="6.7109375" style="1986" customWidth="1"/>
    <col min="10243" max="10243" width="8.85546875" style="1986" customWidth="1"/>
    <col min="10244" max="10244" width="47.85546875" style="1986" customWidth="1"/>
    <col min="10245" max="10245" width="12.85546875" style="1986" customWidth="1"/>
    <col min="10246" max="10246" width="15.5703125" style="1986" customWidth="1"/>
    <col min="10247" max="10247" width="15.85546875" style="1986" customWidth="1"/>
    <col min="10248" max="10248" width="6.42578125" style="1986" customWidth="1"/>
    <col min="10249" max="10250" width="9.140625" style="1986"/>
    <col min="10251" max="10251" width="18.42578125" style="1986" customWidth="1"/>
    <col min="10252" max="10252" width="16" style="1986" bestFit="1" customWidth="1"/>
    <col min="10253" max="10496" width="9.140625" style="1986"/>
    <col min="10497" max="10497" width="4.7109375" style="1986" customWidth="1"/>
    <col min="10498" max="10498" width="6.7109375" style="1986" customWidth="1"/>
    <col min="10499" max="10499" width="8.85546875" style="1986" customWidth="1"/>
    <col min="10500" max="10500" width="47.85546875" style="1986" customWidth="1"/>
    <col min="10501" max="10501" width="12.85546875" style="1986" customWidth="1"/>
    <col min="10502" max="10502" width="15.5703125" style="1986" customWidth="1"/>
    <col min="10503" max="10503" width="15.85546875" style="1986" customWidth="1"/>
    <col min="10504" max="10504" width="6.42578125" style="1986" customWidth="1"/>
    <col min="10505" max="10506" width="9.140625" style="1986"/>
    <col min="10507" max="10507" width="18.42578125" style="1986" customWidth="1"/>
    <col min="10508" max="10508" width="16" style="1986" bestFit="1" customWidth="1"/>
    <col min="10509" max="10752" width="9.140625" style="1986"/>
    <col min="10753" max="10753" width="4.7109375" style="1986" customWidth="1"/>
    <col min="10754" max="10754" width="6.7109375" style="1986" customWidth="1"/>
    <col min="10755" max="10755" width="8.85546875" style="1986" customWidth="1"/>
    <col min="10756" max="10756" width="47.85546875" style="1986" customWidth="1"/>
    <col min="10757" max="10757" width="12.85546875" style="1986" customWidth="1"/>
    <col min="10758" max="10758" width="15.5703125" style="1986" customWidth="1"/>
    <col min="10759" max="10759" width="15.85546875" style="1986" customWidth="1"/>
    <col min="10760" max="10760" width="6.42578125" style="1986" customWidth="1"/>
    <col min="10761" max="10762" width="9.140625" style="1986"/>
    <col min="10763" max="10763" width="18.42578125" style="1986" customWidth="1"/>
    <col min="10764" max="10764" width="16" style="1986" bestFit="1" customWidth="1"/>
    <col min="10765" max="11008" width="9.140625" style="1986"/>
    <col min="11009" max="11009" width="4.7109375" style="1986" customWidth="1"/>
    <col min="11010" max="11010" width="6.7109375" style="1986" customWidth="1"/>
    <col min="11011" max="11011" width="8.85546875" style="1986" customWidth="1"/>
    <col min="11012" max="11012" width="47.85546875" style="1986" customWidth="1"/>
    <col min="11013" max="11013" width="12.85546875" style="1986" customWidth="1"/>
    <col min="11014" max="11014" width="15.5703125" style="1986" customWidth="1"/>
    <col min="11015" max="11015" width="15.85546875" style="1986" customWidth="1"/>
    <col min="11016" max="11016" width="6.42578125" style="1986" customWidth="1"/>
    <col min="11017" max="11018" width="9.140625" style="1986"/>
    <col min="11019" max="11019" width="18.42578125" style="1986" customWidth="1"/>
    <col min="11020" max="11020" width="16" style="1986" bestFit="1" customWidth="1"/>
    <col min="11021" max="11264" width="9.140625" style="1986"/>
    <col min="11265" max="11265" width="4.7109375" style="1986" customWidth="1"/>
    <col min="11266" max="11266" width="6.7109375" style="1986" customWidth="1"/>
    <col min="11267" max="11267" width="8.85546875" style="1986" customWidth="1"/>
    <col min="11268" max="11268" width="47.85546875" style="1986" customWidth="1"/>
    <col min="11269" max="11269" width="12.85546875" style="1986" customWidth="1"/>
    <col min="11270" max="11270" width="15.5703125" style="1986" customWidth="1"/>
    <col min="11271" max="11271" width="15.85546875" style="1986" customWidth="1"/>
    <col min="11272" max="11272" width="6.42578125" style="1986" customWidth="1"/>
    <col min="11273" max="11274" width="9.140625" style="1986"/>
    <col min="11275" max="11275" width="18.42578125" style="1986" customWidth="1"/>
    <col min="11276" max="11276" width="16" style="1986" bestFit="1" customWidth="1"/>
    <col min="11277" max="11520" width="9.140625" style="1986"/>
    <col min="11521" max="11521" width="4.7109375" style="1986" customWidth="1"/>
    <col min="11522" max="11522" width="6.7109375" style="1986" customWidth="1"/>
    <col min="11523" max="11523" width="8.85546875" style="1986" customWidth="1"/>
    <col min="11524" max="11524" width="47.85546875" style="1986" customWidth="1"/>
    <col min="11525" max="11525" width="12.85546875" style="1986" customWidth="1"/>
    <col min="11526" max="11526" width="15.5703125" style="1986" customWidth="1"/>
    <col min="11527" max="11527" width="15.85546875" style="1986" customWidth="1"/>
    <col min="11528" max="11528" width="6.42578125" style="1986" customWidth="1"/>
    <col min="11529" max="11530" width="9.140625" style="1986"/>
    <col min="11531" max="11531" width="18.42578125" style="1986" customWidth="1"/>
    <col min="11532" max="11532" width="16" style="1986" bestFit="1" customWidth="1"/>
    <col min="11533" max="11776" width="9.140625" style="1986"/>
    <col min="11777" max="11777" width="4.7109375" style="1986" customWidth="1"/>
    <col min="11778" max="11778" width="6.7109375" style="1986" customWidth="1"/>
    <col min="11779" max="11779" width="8.85546875" style="1986" customWidth="1"/>
    <col min="11780" max="11780" width="47.85546875" style="1986" customWidth="1"/>
    <col min="11781" max="11781" width="12.85546875" style="1986" customWidth="1"/>
    <col min="11782" max="11782" width="15.5703125" style="1986" customWidth="1"/>
    <col min="11783" max="11783" width="15.85546875" style="1986" customWidth="1"/>
    <col min="11784" max="11784" width="6.42578125" style="1986" customWidth="1"/>
    <col min="11785" max="11786" width="9.140625" style="1986"/>
    <col min="11787" max="11787" width="18.42578125" style="1986" customWidth="1"/>
    <col min="11788" max="11788" width="16" style="1986" bestFit="1" customWidth="1"/>
    <col min="11789" max="12032" width="9.140625" style="1986"/>
    <col min="12033" max="12033" width="4.7109375" style="1986" customWidth="1"/>
    <col min="12034" max="12034" width="6.7109375" style="1986" customWidth="1"/>
    <col min="12035" max="12035" width="8.85546875" style="1986" customWidth="1"/>
    <col min="12036" max="12036" width="47.85546875" style="1986" customWidth="1"/>
    <col min="12037" max="12037" width="12.85546875" style="1986" customWidth="1"/>
    <col min="12038" max="12038" width="15.5703125" style="1986" customWidth="1"/>
    <col min="12039" max="12039" width="15.85546875" style="1986" customWidth="1"/>
    <col min="12040" max="12040" width="6.42578125" style="1986" customWidth="1"/>
    <col min="12041" max="12042" width="9.140625" style="1986"/>
    <col min="12043" max="12043" width="18.42578125" style="1986" customWidth="1"/>
    <col min="12044" max="12044" width="16" style="1986" bestFit="1" customWidth="1"/>
    <col min="12045" max="12288" width="9.140625" style="1986"/>
    <col min="12289" max="12289" width="4.7109375" style="1986" customWidth="1"/>
    <col min="12290" max="12290" width="6.7109375" style="1986" customWidth="1"/>
    <col min="12291" max="12291" width="8.85546875" style="1986" customWidth="1"/>
    <col min="12292" max="12292" width="47.85546875" style="1986" customWidth="1"/>
    <col min="12293" max="12293" width="12.85546875" style="1986" customWidth="1"/>
    <col min="12294" max="12294" width="15.5703125" style="1986" customWidth="1"/>
    <col min="12295" max="12295" width="15.85546875" style="1986" customWidth="1"/>
    <col min="12296" max="12296" width="6.42578125" style="1986" customWidth="1"/>
    <col min="12297" max="12298" width="9.140625" style="1986"/>
    <col min="12299" max="12299" width="18.42578125" style="1986" customWidth="1"/>
    <col min="12300" max="12300" width="16" style="1986" bestFit="1" customWidth="1"/>
    <col min="12301" max="12544" width="9.140625" style="1986"/>
    <col min="12545" max="12545" width="4.7109375" style="1986" customWidth="1"/>
    <col min="12546" max="12546" width="6.7109375" style="1986" customWidth="1"/>
    <col min="12547" max="12547" width="8.85546875" style="1986" customWidth="1"/>
    <col min="12548" max="12548" width="47.85546875" style="1986" customWidth="1"/>
    <col min="12549" max="12549" width="12.85546875" style="1986" customWidth="1"/>
    <col min="12550" max="12550" width="15.5703125" style="1986" customWidth="1"/>
    <col min="12551" max="12551" width="15.85546875" style="1986" customWidth="1"/>
    <col min="12552" max="12552" width="6.42578125" style="1986" customWidth="1"/>
    <col min="12553" max="12554" width="9.140625" style="1986"/>
    <col min="12555" max="12555" width="18.42578125" style="1986" customWidth="1"/>
    <col min="12556" max="12556" width="16" style="1986" bestFit="1" customWidth="1"/>
    <col min="12557" max="12800" width="9.140625" style="1986"/>
    <col min="12801" max="12801" width="4.7109375" style="1986" customWidth="1"/>
    <col min="12802" max="12802" width="6.7109375" style="1986" customWidth="1"/>
    <col min="12803" max="12803" width="8.85546875" style="1986" customWidth="1"/>
    <col min="12804" max="12804" width="47.85546875" style="1986" customWidth="1"/>
    <col min="12805" max="12805" width="12.85546875" style="1986" customWidth="1"/>
    <col min="12806" max="12806" width="15.5703125" style="1986" customWidth="1"/>
    <col min="12807" max="12807" width="15.85546875" style="1986" customWidth="1"/>
    <col min="12808" max="12808" width="6.42578125" style="1986" customWidth="1"/>
    <col min="12809" max="12810" width="9.140625" style="1986"/>
    <col min="12811" max="12811" width="18.42578125" style="1986" customWidth="1"/>
    <col min="12812" max="12812" width="16" style="1986" bestFit="1" customWidth="1"/>
    <col min="12813" max="13056" width="9.140625" style="1986"/>
    <col min="13057" max="13057" width="4.7109375" style="1986" customWidth="1"/>
    <col min="13058" max="13058" width="6.7109375" style="1986" customWidth="1"/>
    <col min="13059" max="13059" width="8.85546875" style="1986" customWidth="1"/>
    <col min="13060" max="13060" width="47.85546875" style="1986" customWidth="1"/>
    <col min="13061" max="13061" width="12.85546875" style="1986" customWidth="1"/>
    <col min="13062" max="13062" width="15.5703125" style="1986" customWidth="1"/>
    <col min="13063" max="13063" width="15.85546875" style="1986" customWidth="1"/>
    <col min="13064" max="13064" width="6.42578125" style="1986" customWidth="1"/>
    <col min="13065" max="13066" width="9.140625" style="1986"/>
    <col min="13067" max="13067" width="18.42578125" style="1986" customWidth="1"/>
    <col min="13068" max="13068" width="16" style="1986" bestFit="1" customWidth="1"/>
    <col min="13069" max="13312" width="9.140625" style="1986"/>
    <col min="13313" max="13313" width="4.7109375" style="1986" customWidth="1"/>
    <col min="13314" max="13314" width="6.7109375" style="1986" customWidth="1"/>
    <col min="13315" max="13315" width="8.85546875" style="1986" customWidth="1"/>
    <col min="13316" max="13316" width="47.85546875" style="1986" customWidth="1"/>
    <col min="13317" max="13317" width="12.85546875" style="1986" customWidth="1"/>
    <col min="13318" max="13318" width="15.5703125" style="1986" customWidth="1"/>
    <col min="13319" max="13319" width="15.85546875" style="1986" customWidth="1"/>
    <col min="13320" max="13320" width="6.42578125" style="1986" customWidth="1"/>
    <col min="13321" max="13322" width="9.140625" style="1986"/>
    <col min="13323" max="13323" width="18.42578125" style="1986" customWidth="1"/>
    <col min="13324" max="13324" width="16" style="1986" bestFit="1" customWidth="1"/>
    <col min="13325" max="13568" width="9.140625" style="1986"/>
    <col min="13569" max="13569" width="4.7109375" style="1986" customWidth="1"/>
    <col min="13570" max="13570" width="6.7109375" style="1986" customWidth="1"/>
    <col min="13571" max="13571" width="8.85546875" style="1986" customWidth="1"/>
    <col min="13572" max="13572" width="47.85546875" style="1986" customWidth="1"/>
    <col min="13573" max="13573" width="12.85546875" style="1986" customWidth="1"/>
    <col min="13574" max="13574" width="15.5703125" style="1986" customWidth="1"/>
    <col min="13575" max="13575" width="15.85546875" style="1986" customWidth="1"/>
    <col min="13576" max="13576" width="6.42578125" style="1986" customWidth="1"/>
    <col min="13577" max="13578" width="9.140625" style="1986"/>
    <col min="13579" max="13579" width="18.42578125" style="1986" customWidth="1"/>
    <col min="13580" max="13580" width="16" style="1986" bestFit="1" customWidth="1"/>
    <col min="13581" max="13824" width="9.140625" style="1986"/>
    <col min="13825" max="13825" width="4.7109375" style="1986" customWidth="1"/>
    <col min="13826" max="13826" width="6.7109375" style="1986" customWidth="1"/>
    <col min="13827" max="13827" width="8.85546875" style="1986" customWidth="1"/>
    <col min="13828" max="13828" width="47.85546875" style="1986" customWidth="1"/>
    <col min="13829" max="13829" width="12.85546875" style="1986" customWidth="1"/>
    <col min="13830" max="13830" width="15.5703125" style="1986" customWidth="1"/>
    <col min="13831" max="13831" width="15.85546875" style="1986" customWidth="1"/>
    <col min="13832" max="13832" width="6.42578125" style="1986" customWidth="1"/>
    <col min="13833" max="13834" width="9.140625" style="1986"/>
    <col min="13835" max="13835" width="18.42578125" style="1986" customWidth="1"/>
    <col min="13836" max="13836" width="16" style="1986" bestFit="1" customWidth="1"/>
    <col min="13837" max="14080" width="9.140625" style="1986"/>
    <col min="14081" max="14081" width="4.7109375" style="1986" customWidth="1"/>
    <col min="14082" max="14082" width="6.7109375" style="1986" customWidth="1"/>
    <col min="14083" max="14083" width="8.85546875" style="1986" customWidth="1"/>
    <col min="14084" max="14084" width="47.85546875" style="1986" customWidth="1"/>
    <col min="14085" max="14085" width="12.85546875" style="1986" customWidth="1"/>
    <col min="14086" max="14086" width="15.5703125" style="1986" customWidth="1"/>
    <col min="14087" max="14087" width="15.85546875" style="1986" customWidth="1"/>
    <col min="14088" max="14088" width="6.42578125" style="1986" customWidth="1"/>
    <col min="14089" max="14090" width="9.140625" style="1986"/>
    <col min="14091" max="14091" width="18.42578125" style="1986" customWidth="1"/>
    <col min="14092" max="14092" width="16" style="1986" bestFit="1" customWidth="1"/>
    <col min="14093" max="14336" width="9.140625" style="1986"/>
    <col min="14337" max="14337" width="4.7109375" style="1986" customWidth="1"/>
    <col min="14338" max="14338" width="6.7109375" style="1986" customWidth="1"/>
    <col min="14339" max="14339" width="8.85546875" style="1986" customWidth="1"/>
    <col min="14340" max="14340" width="47.85546875" style="1986" customWidth="1"/>
    <col min="14341" max="14341" width="12.85546875" style="1986" customWidth="1"/>
    <col min="14342" max="14342" width="15.5703125" style="1986" customWidth="1"/>
    <col min="14343" max="14343" width="15.85546875" style="1986" customWidth="1"/>
    <col min="14344" max="14344" width="6.42578125" style="1986" customWidth="1"/>
    <col min="14345" max="14346" width="9.140625" style="1986"/>
    <col min="14347" max="14347" width="18.42578125" style="1986" customWidth="1"/>
    <col min="14348" max="14348" width="16" style="1986" bestFit="1" customWidth="1"/>
    <col min="14349" max="14592" width="9.140625" style="1986"/>
    <col min="14593" max="14593" width="4.7109375" style="1986" customWidth="1"/>
    <col min="14594" max="14594" width="6.7109375" style="1986" customWidth="1"/>
    <col min="14595" max="14595" width="8.85546875" style="1986" customWidth="1"/>
    <col min="14596" max="14596" width="47.85546875" style="1986" customWidth="1"/>
    <col min="14597" max="14597" width="12.85546875" style="1986" customWidth="1"/>
    <col min="14598" max="14598" width="15.5703125" style="1986" customWidth="1"/>
    <col min="14599" max="14599" width="15.85546875" style="1986" customWidth="1"/>
    <col min="14600" max="14600" width="6.42578125" style="1986" customWidth="1"/>
    <col min="14601" max="14602" width="9.140625" style="1986"/>
    <col min="14603" max="14603" width="18.42578125" style="1986" customWidth="1"/>
    <col min="14604" max="14604" width="16" style="1986" bestFit="1" customWidth="1"/>
    <col min="14605" max="14848" width="9.140625" style="1986"/>
    <col min="14849" max="14849" width="4.7109375" style="1986" customWidth="1"/>
    <col min="14850" max="14850" width="6.7109375" style="1986" customWidth="1"/>
    <col min="14851" max="14851" width="8.85546875" style="1986" customWidth="1"/>
    <col min="14852" max="14852" width="47.85546875" style="1986" customWidth="1"/>
    <col min="14853" max="14853" width="12.85546875" style="1986" customWidth="1"/>
    <col min="14854" max="14854" width="15.5703125" style="1986" customWidth="1"/>
    <col min="14855" max="14855" width="15.85546875" style="1986" customWidth="1"/>
    <col min="14856" max="14856" width="6.42578125" style="1986" customWidth="1"/>
    <col min="14857" max="14858" width="9.140625" style="1986"/>
    <col min="14859" max="14859" width="18.42578125" style="1986" customWidth="1"/>
    <col min="14860" max="14860" width="16" style="1986" bestFit="1" customWidth="1"/>
    <col min="14861" max="15104" width="9.140625" style="1986"/>
    <col min="15105" max="15105" width="4.7109375" style="1986" customWidth="1"/>
    <col min="15106" max="15106" width="6.7109375" style="1986" customWidth="1"/>
    <col min="15107" max="15107" width="8.85546875" style="1986" customWidth="1"/>
    <col min="15108" max="15108" width="47.85546875" style="1986" customWidth="1"/>
    <col min="15109" max="15109" width="12.85546875" style="1986" customWidth="1"/>
    <col min="15110" max="15110" width="15.5703125" style="1986" customWidth="1"/>
    <col min="15111" max="15111" width="15.85546875" style="1986" customWidth="1"/>
    <col min="15112" max="15112" width="6.42578125" style="1986" customWidth="1"/>
    <col min="15113" max="15114" width="9.140625" style="1986"/>
    <col min="15115" max="15115" width="18.42578125" style="1986" customWidth="1"/>
    <col min="15116" max="15116" width="16" style="1986" bestFit="1" customWidth="1"/>
    <col min="15117" max="15360" width="9.140625" style="1986"/>
    <col min="15361" max="15361" width="4.7109375" style="1986" customWidth="1"/>
    <col min="15362" max="15362" width="6.7109375" style="1986" customWidth="1"/>
    <col min="15363" max="15363" width="8.85546875" style="1986" customWidth="1"/>
    <col min="15364" max="15364" width="47.85546875" style="1986" customWidth="1"/>
    <col min="15365" max="15365" width="12.85546875" style="1986" customWidth="1"/>
    <col min="15366" max="15366" width="15.5703125" style="1986" customWidth="1"/>
    <col min="15367" max="15367" width="15.85546875" style="1986" customWidth="1"/>
    <col min="15368" max="15368" width="6.42578125" style="1986" customWidth="1"/>
    <col min="15369" max="15370" width="9.140625" style="1986"/>
    <col min="15371" max="15371" width="18.42578125" style="1986" customWidth="1"/>
    <col min="15372" max="15372" width="16" style="1986" bestFit="1" customWidth="1"/>
    <col min="15373" max="15616" width="9.140625" style="1986"/>
    <col min="15617" max="15617" width="4.7109375" style="1986" customWidth="1"/>
    <col min="15618" max="15618" width="6.7109375" style="1986" customWidth="1"/>
    <col min="15619" max="15619" width="8.85546875" style="1986" customWidth="1"/>
    <col min="15620" max="15620" width="47.85546875" style="1986" customWidth="1"/>
    <col min="15621" max="15621" width="12.85546875" style="1986" customWidth="1"/>
    <col min="15622" max="15622" width="15.5703125" style="1986" customWidth="1"/>
    <col min="15623" max="15623" width="15.85546875" style="1986" customWidth="1"/>
    <col min="15624" max="15624" width="6.42578125" style="1986" customWidth="1"/>
    <col min="15625" max="15626" width="9.140625" style="1986"/>
    <col min="15627" max="15627" width="18.42578125" style="1986" customWidth="1"/>
    <col min="15628" max="15628" width="16" style="1986" bestFit="1" customWidth="1"/>
    <col min="15629" max="15872" width="9.140625" style="1986"/>
    <col min="15873" max="15873" width="4.7109375" style="1986" customWidth="1"/>
    <col min="15874" max="15874" width="6.7109375" style="1986" customWidth="1"/>
    <col min="15875" max="15875" width="8.85546875" style="1986" customWidth="1"/>
    <col min="15876" max="15876" width="47.85546875" style="1986" customWidth="1"/>
    <col min="15877" max="15877" width="12.85546875" style="1986" customWidth="1"/>
    <col min="15878" max="15878" width="15.5703125" style="1986" customWidth="1"/>
    <col min="15879" max="15879" width="15.85546875" style="1986" customWidth="1"/>
    <col min="15880" max="15880" width="6.42578125" style="1986" customWidth="1"/>
    <col min="15881" max="15882" width="9.140625" style="1986"/>
    <col min="15883" max="15883" width="18.42578125" style="1986" customWidth="1"/>
    <col min="15884" max="15884" width="16" style="1986" bestFit="1" customWidth="1"/>
    <col min="15885" max="16128" width="9.140625" style="1986"/>
    <col min="16129" max="16129" width="4.7109375" style="1986" customWidth="1"/>
    <col min="16130" max="16130" width="6.7109375" style="1986" customWidth="1"/>
    <col min="16131" max="16131" width="8.85546875" style="1986" customWidth="1"/>
    <col min="16132" max="16132" width="47.85546875" style="1986" customWidth="1"/>
    <col min="16133" max="16133" width="12.85546875" style="1986" customWidth="1"/>
    <col min="16134" max="16134" width="15.5703125" style="1986" customWidth="1"/>
    <col min="16135" max="16135" width="15.85546875" style="1986" customWidth="1"/>
    <col min="16136" max="16136" width="6.42578125" style="1986" customWidth="1"/>
    <col min="16137" max="16138" width="9.140625" style="1986"/>
    <col min="16139" max="16139" width="18.42578125" style="1986" customWidth="1"/>
    <col min="16140" max="16140" width="16" style="1986" bestFit="1" customWidth="1"/>
    <col min="16141" max="16384" width="9.140625" style="1986"/>
  </cols>
  <sheetData>
    <row r="1" spans="1:8" ht="18.75" thickBot="1" x14ac:dyDescent="0.3">
      <c r="A1" s="1980" t="s">
        <v>1404</v>
      </c>
      <c r="B1" s="1981"/>
      <c r="C1" s="1982"/>
      <c r="D1" s="1983"/>
      <c r="E1" s="1984"/>
      <c r="F1" s="1983"/>
      <c r="G1" s="1985"/>
      <c r="H1" s="1980"/>
    </row>
    <row r="2" spans="1:8" ht="18" x14ac:dyDescent="0.25">
      <c r="A2" s="1987"/>
      <c r="B2" s="1988"/>
      <c r="C2" s="1988"/>
      <c r="D2" s="1988"/>
      <c r="E2" s="1988"/>
      <c r="F2" s="1988"/>
      <c r="G2" s="1988"/>
      <c r="H2" s="1989" t="s">
        <v>1403</v>
      </c>
    </row>
    <row r="3" spans="1:8" ht="18" x14ac:dyDescent="0.25">
      <c r="A3" s="1990" t="s">
        <v>367</v>
      </c>
      <c r="B3" s="1988"/>
      <c r="C3" s="1991" t="s">
        <v>347</v>
      </c>
      <c r="D3" s="1988"/>
      <c r="E3" s="1988"/>
      <c r="F3" s="1988"/>
      <c r="G3" s="1988"/>
      <c r="H3" s="1989"/>
    </row>
    <row r="4" spans="1:8" ht="18" x14ac:dyDescent="0.25">
      <c r="A4" s="1987"/>
      <c r="B4" s="1988"/>
      <c r="C4" s="1991" t="s">
        <v>348</v>
      </c>
      <c r="D4" s="1988"/>
      <c r="E4" s="1988"/>
      <c r="F4" s="1988"/>
      <c r="G4" s="1988"/>
      <c r="H4" s="1989"/>
    </row>
    <row r="5" spans="1:8" ht="18" x14ac:dyDescent="0.25">
      <c r="A5" s="1992" t="s">
        <v>1402</v>
      </c>
      <c r="B5" s="1988"/>
      <c r="C5" s="1988"/>
      <c r="D5" s="1988"/>
      <c r="E5" s="1988"/>
      <c r="F5" s="1988"/>
      <c r="G5" s="1988"/>
      <c r="H5" s="1989"/>
    </row>
    <row r="6" spans="1:8" x14ac:dyDescent="0.2">
      <c r="A6" s="1993"/>
      <c r="B6" s="1993"/>
      <c r="C6" s="1993"/>
      <c r="E6" s="1994"/>
      <c r="F6" s="1994"/>
      <c r="G6" s="1994"/>
    </row>
    <row r="7" spans="1:8" ht="15.75" thickBot="1" x14ac:dyDescent="0.3">
      <c r="A7" s="1979" t="s">
        <v>250</v>
      </c>
      <c r="B7" s="1993"/>
      <c r="C7" s="1993"/>
      <c r="E7" s="1994"/>
      <c r="F7" s="1994"/>
      <c r="G7" s="1994"/>
      <c r="H7" s="1995" t="s">
        <v>161</v>
      </c>
    </row>
    <row r="8" spans="1:8" ht="25.5" thickTop="1" thickBot="1" x14ac:dyDescent="0.25">
      <c r="A8" s="1809" t="s">
        <v>162</v>
      </c>
      <c r="B8" s="1810" t="s">
        <v>761</v>
      </c>
      <c r="C8" s="1810" t="s">
        <v>377</v>
      </c>
      <c r="D8" s="1811" t="s">
        <v>164</v>
      </c>
      <c r="E8" s="1833" t="s">
        <v>632</v>
      </c>
      <c r="F8" s="1833" t="s">
        <v>633</v>
      </c>
      <c r="G8" s="1834" t="s">
        <v>882</v>
      </c>
      <c r="H8" s="1835" t="s">
        <v>883</v>
      </c>
    </row>
    <row r="9" spans="1:8" ht="14.25" thickTop="1" thickBot="1" x14ac:dyDescent="0.25">
      <c r="A9" s="1643">
        <v>1</v>
      </c>
      <c r="B9" s="1642">
        <v>2</v>
      </c>
      <c r="C9" s="1642">
        <v>3</v>
      </c>
      <c r="D9" s="1642">
        <v>4</v>
      </c>
      <c r="E9" s="1641">
        <v>5</v>
      </c>
      <c r="F9" s="1641">
        <v>6</v>
      </c>
      <c r="G9" s="1877">
        <v>7</v>
      </c>
      <c r="H9" s="1901" t="s">
        <v>61</v>
      </c>
    </row>
    <row r="10" spans="1:8" ht="45.75" thickTop="1" x14ac:dyDescent="0.2">
      <c r="A10" s="2007">
        <v>3299</v>
      </c>
      <c r="B10" s="2008">
        <v>5213</v>
      </c>
      <c r="C10" s="2008">
        <v>32133030</v>
      </c>
      <c r="D10" s="2009" t="s">
        <v>1038</v>
      </c>
      <c r="E10" s="2010">
        <v>0</v>
      </c>
      <c r="F10" s="2010">
        <v>937</v>
      </c>
      <c r="G10" s="2010">
        <v>854</v>
      </c>
      <c r="H10" s="2011">
        <f t="shared" ref="H10:H30" si="0">G10/F10*100</f>
        <v>91.141942369263603</v>
      </c>
    </row>
    <row r="11" spans="1:8" ht="45" x14ac:dyDescent="0.2">
      <c r="A11" s="2012">
        <v>3299</v>
      </c>
      <c r="B11" s="2013">
        <v>5213</v>
      </c>
      <c r="C11" s="2013">
        <v>32533030</v>
      </c>
      <c r="D11" s="2014" t="s">
        <v>1038</v>
      </c>
      <c r="E11" s="2015">
        <v>0</v>
      </c>
      <c r="F11" s="2015">
        <v>5309</v>
      </c>
      <c r="G11" s="2015">
        <v>4839</v>
      </c>
      <c r="H11" s="2016">
        <f t="shared" si="0"/>
        <v>91.147108683367861</v>
      </c>
    </row>
    <row r="12" spans="1:8" ht="30" x14ac:dyDescent="0.2">
      <c r="A12" s="2012">
        <v>3299</v>
      </c>
      <c r="B12" s="2013">
        <v>5221</v>
      </c>
      <c r="C12" s="2013">
        <v>32133030</v>
      </c>
      <c r="D12" s="2014" t="s">
        <v>1317</v>
      </c>
      <c r="E12" s="2015">
        <v>0</v>
      </c>
      <c r="F12" s="2015">
        <v>267</v>
      </c>
      <c r="G12" s="2015">
        <v>246</v>
      </c>
      <c r="H12" s="2016">
        <f t="shared" si="0"/>
        <v>92.134831460674164</v>
      </c>
    </row>
    <row r="13" spans="1:8" ht="30" x14ac:dyDescent="0.2">
      <c r="A13" s="2012">
        <v>3299</v>
      </c>
      <c r="B13" s="2013">
        <v>5221</v>
      </c>
      <c r="C13" s="2013">
        <v>32533030</v>
      </c>
      <c r="D13" s="2014" t="s">
        <v>1317</v>
      </c>
      <c r="E13" s="2015">
        <v>0</v>
      </c>
      <c r="F13" s="2015">
        <v>1512</v>
      </c>
      <c r="G13" s="2015">
        <v>1395</v>
      </c>
      <c r="H13" s="2016">
        <f t="shared" si="0"/>
        <v>92.261904761904773</v>
      </c>
    </row>
    <row r="14" spans="1:8" ht="15" x14ac:dyDescent="0.2">
      <c r="A14" s="2012">
        <v>3299</v>
      </c>
      <c r="B14" s="2013">
        <v>5222</v>
      </c>
      <c r="C14" s="2013">
        <v>32133030</v>
      </c>
      <c r="D14" s="2014" t="s">
        <v>1731</v>
      </c>
      <c r="E14" s="2015">
        <v>0</v>
      </c>
      <c r="F14" s="2015">
        <v>193</v>
      </c>
      <c r="G14" s="2015">
        <v>192</v>
      </c>
      <c r="H14" s="2016">
        <f t="shared" si="0"/>
        <v>99.481865284974091</v>
      </c>
    </row>
    <row r="15" spans="1:8" ht="15" x14ac:dyDescent="0.2">
      <c r="A15" s="2012">
        <v>3299</v>
      </c>
      <c r="B15" s="2013">
        <v>5222</v>
      </c>
      <c r="C15" s="2013">
        <v>32533030</v>
      </c>
      <c r="D15" s="2014" t="s">
        <v>1731</v>
      </c>
      <c r="E15" s="2015">
        <v>0</v>
      </c>
      <c r="F15" s="2015">
        <v>1095</v>
      </c>
      <c r="G15" s="2015">
        <v>1090</v>
      </c>
      <c r="H15" s="2016">
        <f t="shared" si="0"/>
        <v>99.543378995433784</v>
      </c>
    </row>
    <row r="16" spans="1:8" ht="15" x14ac:dyDescent="0.2">
      <c r="A16" s="2012">
        <v>3299</v>
      </c>
      <c r="B16" s="2013">
        <v>5332</v>
      </c>
      <c r="C16" s="2017">
        <v>32133030</v>
      </c>
      <c r="D16" s="2014" t="s">
        <v>619</v>
      </c>
      <c r="E16" s="2015">
        <v>0</v>
      </c>
      <c r="F16" s="2015">
        <v>508</v>
      </c>
      <c r="G16" s="2015">
        <v>503</v>
      </c>
      <c r="H16" s="2016">
        <f t="shared" si="0"/>
        <v>99.015748031496059</v>
      </c>
    </row>
    <row r="17" spans="1:9" ht="15" x14ac:dyDescent="0.2">
      <c r="A17" s="2012">
        <v>3299</v>
      </c>
      <c r="B17" s="2013">
        <v>5332</v>
      </c>
      <c r="C17" s="2017">
        <v>32533030</v>
      </c>
      <c r="D17" s="2014" t="s">
        <v>619</v>
      </c>
      <c r="E17" s="2015">
        <v>0</v>
      </c>
      <c r="F17" s="2015">
        <v>2877</v>
      </c>
      <c r="G17" s="2015">
        <v>2848</v>
      </c>
      <c r="H17" s="2016">
        <f t="shared" si="0"/>
        <v>98.992005561348634</v>
      </c>
    </row>
    <row r="18" spans="1:9" ht="30" x14ac:dyDescent="0.2">
      <c r="A18" s="2012">
        <v>3299</v>
      </c>
      <c r="B18" s="2013">
        <v>5339</v>
      </c>
      <c r="C18" s="2017">
        <v>32133030</v>
      </c>
      <c r="D18" s="2014" t="s">
        <v>1757</v>
      </c>
      <c r="E18" s="2015">
        <v>0</v>
      </c>
      <c r="F18" s="2015">
        <v>111</v>
      </c>
      <c r="G18" s="2015">
        <v>109</v>
      </c>
      <c r="H18" s="2016">
        <f t="shared" si="0"/>
        <v>98.198198198198199</v>
      </c>
    </row>
    <row r="19" spans="1:9" ht="30" x14ac:dyDescent="0.2">
      <c r="A19" s="2012">
        <v>3299</v>
      </c>
      <c r="B19" s="2013">
        <v>5339</v>
      </c>
      <c r="C19" s="2017">
        <v>32533030</v>
      </c>
      <c r="D19" s="2014" t="s">
        <v>1757</v>
      </c>
      <c r="E19" s="2015">
        <v>0</v>
      </c>
      <c r="F19" s="2015">
        <v>628</v>
      </c>
      <c r="G19" s="2015">
        <v>616</v>
      </c>
      <c r="H19" s="2016">
        <f t="shared" si="0"/>
        <v>98.089171974522287</v>
      </c>
    </row>
    <row r="20" spans="1:9" ht="15" customHeight="1" x14ac:dyDescent="0.2">
      <c r="A20" s="2012">
        <v>3299</v>
      </c>
      <c r="B20" s="2013">
        <v>5901</v>
      </c>
      <c r="C20" s="2017">
        <v>32133030</v>
      </c>
      <c r="D20" s="2014" t="s">
        <v>602</v>
      </c>
      <c r="E20" s="2015">
        <v>0</v>
      </c>
      <c r="F20" s="2015">
        <v>360</v>
      </c>
      <c r="G20" s="2015">
        <v>0</v>
      </c>
      <c r="H20" s="2016">
        <f t="shared" si="0"/>
        <v>0</v>
      </c>
    </row>
    <row r="21" spans="1:9" ht="15" customHeight="1" x14ac:dyDescent="0.2">
      <c r="A21" s="2012">
        <v>3299</v>
      </c>
      <c r="B21" s="2013">
        <v>5901</v>
      </c>
      <c r="C21" s="2017">
        <v>32533030</v>
      </c>
      <c r="D21" s="2014" t="s">
        <v>602</v>
      </c>
      <c r="E21" s="2015">
        <v>0</v>
      </c>
      <c r="F21" s="2015">
        <v>2039</v>
      </c>
      <c r="G21" s="2015">
        <v>0</v>
      </c>
      <c r="H21" s="2016">
        <f t="shared" si="0"/>
        <v>0</v>
      </c>
    </row>
    <row r="22" spans="1:9" ht="45" hidden="1" x14ac:dyDescent="0.2">
      <c r="A22" s="2012">
        <v>3299</v>
      </c>
      <c r="B22" s="2013">
        <v>6313</v>
      </c>
      <c r="C22" s="2017">
        <v>32133926</v>
      </c>
      <c r="D22" s="2014" t="s">
        <v>547</v>
      </c>
      <c r="E22" s="2015">
        <v>0</v>
      </c>
      <c r="F22" s="2015"/>
      <c r="G22" s="2015"/>
      <c r="H22" s="2016" t="e">
        <f t="shared" si="0"/>
        <v>#DIV/0!</v>
      </c>
    </row>
    <row r="23" spans="1:9" ht="45" hidden="1" x14ac:dyDescent="0.2">
      <c r="A23" s="2012">
        <v>3299</v>
      </c>
      <c r="B23" s="2013">
        <v>6313</v>
      </c>
      <c r="C23" s="2017">
        <v>32533926</v>
      </c>
      <c r="D23" s="2014" t="s">
        <v>547</v>
      </c>
      <c r="E23" s="2015">
        <v>0</v>
      </c>
      <c r="F23" s="2015"/>
      <c r="G23" s="2015"/>
      <c r="H23" s="2016" t="e">
        <f t="shared" si="0"/>
        <v>#DIV/0!</v>
      </c>
    </row>
    <row r="24" spans="1:9" ht="30" hidden="1" x14ac:dyDescent="0.2">
      <c r="A24" s="2012">
        <v>3299</v>
      </c>
      <c r="B24" s="2013">
        <v>6323</v>
      </c>
      <c r="C24" s="2017">
        <v>32133006</v>
      </c>
      <c r="D24" s="2014" t="s">
        <v>548</v>
      </c>
      <c r="E24" s="2015">
        <v>0</v>
      </c>
      <c r="F24" s="2015">
        <v>0</v>
      </c>
      <c r="G24" s="2015">
        <v>0</v>
      </c>
      <c r="H24" s="2016" t="e">
        <f t="shared" si="0"/>
        <v>#DIV/0!</v>
      </c>
    </row>
    <row r="25" spans="1:9" ht="30" hidden="1" x14ac:dyDescent="0.2">
      <c r="A25" s="2012">
        <v>3299</v>
      </c>
      <c r="B25" s="2013">
        <v>6323</v>
      </c>
      <c r="C25" s="2017">
        <v>32533006</v>
      </c>
      <c r="D25" s="2014" t="s">
        <v>548</v>
      </c>
      <c r="E25" s="2015">
        <v>0</v>
      </c>
      <c r="F25" s="2015">
        <v>0</v>
      </c>
      <c r="G25" s="2015">
        <v>0</v>
      </c>
      <c r="H25" s="2016" t="e">
        <f t="shared" si="0"/>
        <v>#DIV/0!</v>
      </c>
    </row>
    <row r="26" spans="1:9" ht="15" customHeight="1" x14ac:dyDescent="0.2">
      <c r="A26" s="2012">
        <v>3299</v>
      </c>
      <c r="B26" s="2013">
        <v>6901</v>
      </c>
      <c r="C26" s="2017">
        <v>32133926</v>
      </c>
      <c r="D26" s="2014" t="s">
        <v>428</v>
      </c>
      <c r="E26" s="2015">
        <v>0</v>
      </c>
      <c r="F26" s="2015">
        <v>43</v>
      </c>
      <c r="G26" s="2015">
        <v>0</v>
      </c>
      <c r="H26" s="2016">
        <f t="shared" si="0"/>
        <v>0</v>
      </c>
    </row>
    <row r="27" spans="1:9" ht="15" customHeight="1" x14ac:dyDescent="0.2">
      <c r="A27" s="2012">
        <v>3299</v>
      </c>
      <c r="B27" s="2013">
        <v>6901</v>
      </c>
      <c r="C27" s="2017">
        <v>32533926</v>
      </c>
      <c r="D27" s="2014" t="s">
        <v>428</v>
      </c>
      <c r="E27" s="2015">
        <v>0</v>
      </c>
      <c r="F27" s="2015">
        <v>243</v>
      </c>
      <c r="G27" s="2015">
        <v>0</v>
      </c>
      <c r="H27" s="2016">
        <f t="shared" si="0"/>
        <v>0</v>
      </c>
    </row>
    <row r="28" spans="1:9" ht="15" customHeight="1" x14ac:dyDescent="0.2">
      <c r="A28" s="2012">
        <v>6402</v>
      </c>
      <c r="B28" s="2013">
        <v>5363</v>
      </c>
      <c r="C28" s="2017">
        <v>19</v>
      </c>
      <c r="D28" s="2014" t="s">
        <v>1542</v>
      </c>
      <c r="E28" s="2015">
        <v>0</v>
      </c>
      <c r="F28" s="2015">
        <v>37</v>
      </c>
      <c r="G28" s="2015">
        <v>33</v>
      </c>
      <c r="H28" s="2016">
        <f t="shared" si="0"/>
        <v>89.189189189189193</v>
      </c>
    </row>
    <row r="29" spans="1:9" ht="15.75" thickBot="1" x14ac:dyDescent="0.25">
      <c r="A29" s="2012">
        <v>6330</v>
      </c>
      <c r="B29" s="2013">
        <v>5345</v>
      </c>
      <c r="C29" s="2017">
        <v>0</v>
      </c>
      <c r="D29" s="2014" t="s">
        <v>767</v>
      </c>
      <c r="E29" s="2015">
        <v>0</v>
      </c>
      <c r="F29" s="2015">
        <v>0</v>
      </c>
      <c r="G29" s="2015">
        <v>19111</v>
      </c>
      <c r="H29" s="2018">
        <v>0</v>
      </c>
    </row>
    <row r="30" spans="1:9" ht="16.5" thickTop="1" thickBot="1" x14ac:dyDescent="0.3">
      <c r="A30" s="2751" t="s">
        <v>763</v>
      </c>
      <c r="B30" s="2752"/>
      <c r="C30" s="2752"/>
      <c r="D30" s="2752"/>
      <c r="E30" s="1818">
        <f>SUM(E10:E27)</f>
        <v>0</v>
      </c>
      <c r="F30" s="1818">
        <f>SUM(F10:F29)</f>
        <v>16159</v>
      </c>
      <c r="G30" s="1818">
        <f>SUM(G10:G29)</f>
        <v>31836</v>
      </c>
      <c r="H30" s="1822">
        <f t="shared" si="0"/>
        <v>197.0171421498855</v>
      </c>
    </row>
    <row r="31" spans="1:9" ht="13.5" thickTop="1" x14ac:dyDescent="0.2"/>
    <row r="32" spans="1:9" ht="15" x14ac:dyDescent="0.25">
      <c r="A32" s="1979" t="s">
        <v>1734</v>
      </c>
      <c r="B32" s="1993"/>
      <c r="C32" s="1993"/>
      <c r="D32" s="1993"/>
      <c r="F32" s="1994"/>
      <c r="G32" s="1994"/>
      <c r="H32" s="1994"/>
      <c r="I32" s="1994"/>
    </row>
    <row r="33" spans="1:9" ht="15.75" thickBot="1" x14ac:dyDescent="0.3">
      <c r="A33" s="1979" t="s">
        <v>1262</v>
      </c>
      <c r="B33" s="1993"/>
      <c r="C33" s="1993"/>
      <c r="D33" s="1993"/>
      <c r="F33" s="1994"/>
      <c r="G33" s="1994"/>
      <c r="H33" s="1995" t="s">
        <v>161</v>
      </c>
      <c r="I33" s="1994"/>
    </row>
    <row r="34" spans="1:9" ht="25.5" thickTop="1" thickBot="1" x14ac:dyDescent="0.25">
      <c r="A34" s="1996" t="s">
        <v>162</v>
      </c>
      <c r="B34" s="1997" t="s">
        <v>761</v>
      </c>
      <c r="C34" s="1997" t="s">
        <v>377</v>
      </c>
      <c r="D34" s="1998" t="s">
        <v>164</v>
      </c>
      <c r="E34" s="1999" t="s">
        <v>632</v>
      </c>
      <c r="F34" s="1999" t="s">
        <v>633</v>
      </c>
      <c r="G34" s="2000" t="s">
        <v>882</v>
      </c>
      <c r="H34" s="2001" t="s">
        <v>883</v>
      </c>
      <c r="I34" s="1994"/>
    </row>
    <row r="35" spans="1:9" ht="14.25" thickTop="1" thickBot="1" x14ac:dyDescent="0.25">
      <c r="A35" s="2002">
        <v>1</v>
      </c>
      <c r="B35" s="2003">
        <v>2</v>
      </c>
      <c r="C35" s="2003">
        <v>3</v>
      </c>
      <c r="D35" s="2003">
        <v>5</v>
      </c>
      <c r="E35" s="2004">
        <v>6</v>
      </c>
      <c r="F35" s="2004">
        <v>7</v>
      </c>
      <c r="G35" s="2005">
        <v>8</v>
      </c>
      <c r="H35" s="2021" t="s">
        <v>762</v>
      </c>
      <c r="I35" s="1994"/>
    </row>
    <row r="36" spans="1:9" ht="30.75" thickTop="1" x14ac:dyDescent="0.2">
      <c r="A36" s="2012">
        <v>3299</v>
      </c>
      <c r="B36" s="2013">
        <v>5336</v>
      </c>
      <c r="C36" s="2013">
        <v>32133030</v>
      </c>
      <c r="D36" s="2014" t="s">
        <v>1263</v>
      </c>
      <c r="E36" s="2010">
        <v>0</v>
      </c>
      <c r="F36" s="2010">
        <v>103</v>
      </c>
      <c r="G36" s="2022">
        <v>103</v>
      </c>
      <c r="H36" s="2011">
        <f>G36/F36*100</f>
        <v>100</v>
      </c>
      <c r="I36" s="1994"/>
    </row>
    <row r="37" spans="1:9" ht="30.75" thickBot="1" x14ac:dyDescent="0.25">
      <c r="A37" s="2012">
        <v>3299</v>
      </c>
      <c r="B37" s="2013">
        <v>5336</v>
      </c>
      <c r="C37" s="2013">
        <v>32533030</v>
      </c>
      <c r="D37" s="2014" t="s">
        <v>1263</v>
      </c>
      <c r="E37" s="2015">
        <v>0</v>
      </c>
      <c r="F37" s="2015">
        <v>582</v>
      </c>
      <c r="G37" s="2023">
        <v>582</v>
      </c>
      <c r="H37" s="2016">
        <f>G37/F37*100</f>
        <v>100</v>
      </c>
      <c r="I37" s="1994"/>
    </row>
    <row r="38" spans="1:9" ht="30.75" hidden="1" thickBot="1" x14ac:dyDescent="0.25">
      <c r="A38" s="2012">
        <v>3299</v>
      </c>
      <c r="B38" s="2013">
        <v>6351</v>
      </c>
      <c r="C38" s="2013">
        <v>32133006</v>
      </c>
      <c r="D38" s="2014" t="s">
        <v>1277</v>
      </c>
      <c r="E38" s="2015">
        <v>0</v>
      </c>
      <c r="F38" s="2015">
        <v>0</v>
      </c>
      <c r="G38" s="2023">
        <v>0</v>
      </c>
      <c r="H38" s="2016" t="e">
        <f>G38/F38*100</f>
        <v>#DIV/0!</v>
      </c>
      <c r="I38" s="1994"/>
    </row>
    <row r="39" spans="1:9" ht="30.75" hidden="1" thickBot="1" x14ac:dyDescent="0.25">
      <c r="A39" s="2012">
        <v>3299</v>
      </c>
      <c r="B39" s="2013">
        <v>6351</v>
      </c>
      <c r="C39" s="2013">
        <v>32533006</v>
      </c>
      <c r="D39" s="2014" t="s">
        <v>1277</v>
      </c>
      <c r="E39" s="2015">
        <v>0</v>
      </c>
      <c r="F39" s="2015">
        <v>0</v>
      </c>
      <c r="G39" s="2023">
        <v>0</v>
      </c>
      <c r="H39" s="2016" t="e">
        <f>G39/F39*100</f>
        <v>#DIV/0!</v>
      </c>
      <c r="I39" s="1994"/>
    </row>
    <row r="40" spans="1:9" ht="16.5" thickTop="1" thickBot="1" x14ac:dyDescent="0.3">
      <c r="A40" s="2024" t="s">
        <v>763</v>
      </c>
      <c r="B40" s="2025"/>
      <c r="C40" s="2025"/>
      <c r="D40" s="2026"/>
      <c r="E40" s="2019">
        <f>SUM(E36:E39)</f>
        <v>0</v>
      </c>
      <c r="F40" s="2019">
        <f>SUM(F36:F39)</f>
        <v>685</v>
      </c>
      <c r="G40" s="2019">
        <f>SUM(G36:G39)</f>
        <v>685</v>
      </c>
      <c r="H40" s="2020">
        <f>G40/F40*100</f>
        <v>100</v>
      </c>
      <c r="I40" s="1994"/>
    </row>
    <row r="41" spans="1:9" ht="13.5" thickTop="1" x14ac:dyDescent="0.2"/>
    <row r="42" spans="1:9" ht="15" x14ac:dyDescent="0.25">
      <c r="A42" s="1979" t="s">
        <v>518</v>
      </c>
      <c r="B42" s="1993"/>
      <c r="C42" s="1993"/>
      <c r="D42" s="1993"/>
      <c r="F42" s="1994"/>
      <c r="G42" s="1994"/>
      <c r="H42" s="1994"/>
      <c r="I42" s="1994"/>
    </row>
    <row r="43" spans="1:9" ht="15.75" thickBot="1" x14ac:dyDescent="0.3">
      <c r="A43" s="1979" t="s">
        <v>1570</v>
      </c>
      <c r="B43" s="1993"/>
      <c r="C43" s="1993"/>
      <c r="D43" s="1993"/>
      <c r="F43" s="1994"/>
      <c r="G43" s="1994"/>
      <c r="H43" s="1995" t="s">
        <v>161</v>
      </c>
      <c r="I43" s="1994"/>
    </row>
    <row r="44" spans="1:9" ht="25.5" thickTop="1" thickBot="1" x14ac:dyDescent="0.25">
      <c r="A44" s="1996" t="s">
        <v>162</v>
      </c>
      <c r="B44" s="1997" t="s">
        <v>761</v>
      </c>
      <c r="C44" s="1997" t="s">
        <v>377</v>
      </c>
      <c r="D44" s="1998" t="s">
        <v>164</v>
      </c>
      <c r="E44" s="1999" t="s">
        <v>632</v>
      </c>
      <c r="F44" s="1999" t="s">
        <v>633</v>
      </c>
      <c r="G44" s="2000" t="s">
        <v>882</v>
      </c>
      <c r="H44" s="2001" t="s">
        <v>883</v>
      </c>
      <c r="I44" s="1994"/>
    </row>
    <row r="45" spans="1:9" ht="14.25" thickTop="1" thickBot="1" x14ac:dyDescent="0.25">
      <c r="A45" s="2002">
        <v>1</v>
      </c>
      <c r="B45" s="2003">
        <v>2</v>
      </c>
      <c r="C45" s="2003">
        <v>3</v>
      </c>
      <c r="D45" s="2003">
        <v>5</v>
      </c>
      <c r="E45" s="2004">
        <v>6</v>
      </c>
      <c r="F45" s="2004">
        <v>7</v>
      </c>
      <c r="G45" s="2005">
        <v>8</v>
      </c>
      <c r="H45" s="2021" t="s">
        <v>762</v>
      </c>
      <c r="I45" s="1994"/>
    </row>
    <row r="46" spans="1:9" ht="30.75" thickTop="1" x14ac:dyDescent="0.2">
      <c r="A46" s="2012">
        <v>3299</v>
      </c>
      <c r="B46" s="2013">
        <v>5336</v>
      </c>
      <c r="C46" s="2013">
        <v>32133030</v>
      </c>
      <c r="D46" s="2014" t="s">
        <v>1263</v>
      </c>
      <c r="E46" s="2010">
        <v>0</v>
      </c>
      <c r="F46" s="2010">
        <v>2</v>
      </c>
      <c r="G46" s="2022">
        <v>2</v>
      </c>
      <c r="H46" s="2011">
        <f>G46/F46*100</f>
        <v>100</v>
      </c>
      <c r="I46" s="1994"/>
    </row>
    <row r="47" spans="1:9" ht="30.75" thickBot="1" x14ac:dyDescent="0.25">
      <c r="A47" s="2012">
        <v>3299</v>
      </c>
      <c r="B47" s="2013">
        <v>5336</v>
      </c>
      <c r="C47" s="2013">
        <v>32533030</v>
      </c>
      <c r="D47" s="2014" t="s">
        <v>1263</v>
      </c>
      <c r="E47" s="2015">
        <v>0</v>
      </c>
      <c r="F47" s="2015">
        <v>10</v>
      </c>
      <c r="G47" s="2023">
        <v>10</v>
      </c>
      <c r="H47" s="2016">
        <f>G47/F47*100</f>
        <v>100</v>
      </c>
      <c r="I47" s="1994"/>
    </row>
    <row r="48" spans="1:9" ht="30.75" hidden="1" thickBot="1" x14ac:dyDescent="0.25">
      <c r="A48" s="2012">
        <v>3299</v>
      </c>
      <c r="B48" s="2013">
        <v>6351</v>
      </c>
      <c r="C48" s="2013">
        <v>32133006</v>
      </c>
      <c r="D48" s="2014" t="s">
        <v>1277</v>
      </c>
      <c r="E48" s="2015">
        <v>0</v>
      </c>
      <c r="F48" s="2015">
        <v>0</v>
      </c>
      <c r="G48" s="2023">
        <v>0</v>
      </c>
      <c r="H48" s="2016" t="e">
        <f>G48/F48*100</f>
        <v>#DIV/0!</v>
      </c>
      <c r="I48" s="1994"/>
    </row>
    <row r="49" spans="1:9" ht="30.75" hidden="1" thickBot="1" x14ac:dyDescent="0.25">
      <c r="A49" s="2012">
        <v>3299</v>
      </c>
      <c r="B49" s="2013">
        <v>6351</v>
      </c>
      <c r="C49" s="2013">
        <v>32533006</v>
      </c>
      <c r="D49" s="2014" t="s">
        <v>1277</v>
      </c>
      <c r="E49" s="2015">
        <v>0</v>
      </c>
      <c r="F49" s="2015">
        <v>0</v>
      </c>
      <c r="G49" s="2023">
        <v>0</v>
      </c>
      <c r="H49" s="2016" t="e">
        <f>G49/F49*100</f>
        <v>#DIV/0!</v>
      </c>
      <c r="I49" s="1994"/>
    </row>
    <row r="50" spans="1:9" ht="16.5" thickTop="1" thickBot="1" x14ac:dyDescent="0.3">
      <c r="A50" s="2024" t="s">
        <v>763</v>
      </c>
      <c r="B50" s="2025"/>
      <c r="C50" s="2025"/>
      <c r="D50" s="2026"/>
      <c r="E50" s="2019">
        <f>SUM(E46:E49)</f>
        <v>0</v>
      </c>
      <c r="F50" s="2019">
        <f>SUM(F46:F49)</f>
        <v>12</v>
      </c>
      <c r="G50" s="2019">
        <f>SUM(G46:G49)</f>
        <v>12</v>
      </c>
      <c r="H50" s="2020">
        <f>G50/F50*100</f>
        <v>100</v>
      </c>
      <c r="I50" s="1994"/>
    </row>
    <row r="51" spans="1:9" ht="13.5" thickTop="1" x14ac:dyDescent="0.2"/>
    <row r="52" spans="1:9" ht="15" x14ac:dyDescent="0.25">
      <c r="A52" s="1979" t="s">
        <v>177</v>
      </c>
      <c r="B52" s="1993"/>
      <c r="C52" s="1993"/>
      <c r="D52" s="1993"/>
      <c r="F52" s="1994"/>
      <c r="G52" s="1994"/>
      <c r="H52" s="1994"/>
      <c r="I52" s="1994"/>
    </row>
    <row r="53" spans="1:9" ht="15.75" thickBot="1" x14ac:dyDescent="0.3">
      <c r="A53" s="1979" t="s">
        <v>1275</v>
      </c>
      <c r="B53" s="1993"/>
      <c r="C53" s="1993"/>
      <c r="D53" s="1993"/>
      <c r="F53" s="1994"/>
      <c r="G53" s="1994"/>
      <c r="H53" s="1995" t="s">
        <v>161</v>
      </c>
      <c r="I53" s="1994"/>
    </row>
    <row r="54" spans="1:9" ht="25.5" thickTop="1" thickBot="1" x14ac:dyDescent="0.25">
      <c r="A54" s="1996" t="s">
        <v>162</v>
      </c>
      <c r="B54" s="1997" t="s">
        <v>761</v>
      </c>
      <c r="C54" s="1997" t="s">
        <v>377</v>
      </c>
      <c r="D54" s="1998" t="s">
        <v>164</v>
      </c>
      <c r="E54" s="1999" t="s">
        <v>632</v>
      </c>
      <c r="F54" s="1999" t="s">
        <v>633</v>
      </c>
      <c r="G54" s="2000" t="s">
        <v>882</v>
      </c>
      <c r="H54" s="2001" t="s">
        <v>883</v>
      </c>
      <c r="I54" s="1994"/>
    </row>
    <row r="55" spans="1:9" ht="14.25" thickTop="1" thickBot="1" x14ac:dyDescent="0.25">
      <c r="A55" s="2002">
        <v>1</v>
      </c>
      <c r="B55" s="2003">
        <v>2</v>
      </c>
      <c r="C55" s="2003">
        <v>3</v>
      </c>
      <c r="D55" s="2003">
        <v>5</v>
      </c>
      <c r="E55" s="2004">
        <v>6</v>
      </c>
      <c r="F55" s="2004">
        <v>7</v>
      </c>
      <c r="G55" s="2005">
        <v>8</v>
      </c>
      <c r="H55" s="2021" t="s">
        <v>762</v>
      </c>
      <c r="I55" s="1994"/>
    </row>
    <row r="56" spans="1:9" ht="30.75" thickTop="1" x14ac:dyDescent="0.2">
      <c r="A56" s="2012">
        <v>3299</v>
      </c>
      <c r="B56" s="2013">
        <v>5336</v>
      </c>
      <c r="C56" s="2013">
        <v>32133030</v>
      </c>
      <c r="D56" s="2014" t="s">
        <v>1263</v>
      </c>
      <c r="E56" s="2010">
        <v>0</v>
      </c>
      <c r="F56" s="2010">
        <v>96</v>
      </c>
      <c r="G56" s="2022">
        <v>94</v>
      </c>
      <c r="H56" s="2011">
        <f>G56/F56*100</f>
        <v>97.916666666666657</v>
      </c>
      <c r="I56" s="1994"/>
    </row>
    <row r="57" spans="1:9" ht="30.75" thickBot="1" x14ac:dyDescent="0.25">
      <c r="A57" s="2012">
        <v>3299</v>
      </c>
      <c r="B57" s="2013">
        <v>5336</v>
      </c>
      <c r="C57" s="2013">
        <v>32533030</v>
      </c>
      <c r="D57" s="2014" t="s">
        <v>1263</v>
      </c>
      <c r="E57" s="2015">
        <v>0</v>
      </c>
      <c r="F57" s="2015">
        <v>543</v>
      </c>
      <c r="G57" s="2023">
        <v>533</v>
      </c>
      <c r="H57" s="2016">
        <f>G57/F57*100</f>
        <v>98.158379373848987</v>
      </c>
      <c r="I57" s="1994"/>
    </row>
    <row r="58" spans="1:9" ht="30.75" hidden="1" thickBot="1" x14ac:dyDescent="0.25">
      <c r="A58" s="2012">
        <v>3299</v>
      </c>
      <c r="B58" s="2013">
        <v>6351</v>
      </c>
      <c r="C58" s="2013">
        <v>32133006</v>
      </c>
      <c r="D58" s="2014" t="s">
        <v>1277</v>
      </c>
      <c r="E58" s="2015">
        <v>0</v>
      </c>
      <c r="F58" s="2015">
        <v>0</v>
      </c>
      <c r="G58" s="2023">
        <v>0</v>
      </c>
      <c r="H58" s="2016" t="e">
        <f>G58/F58*100</f>
        <v>#DIV/0!</v>
      </c>
      <c r="I58" s="1994"/>
    </row>
    <row r="59" spans="1:9" ht="30.75" hidden="1" thickBot="1" x14ac:dyDescent="0.25">
      <c r="A59" s="2012">
        <v>3299</v>
      </c>
      <c r="B59" s="2013">
        <v>6351</v>
      </c>
      <c r="C59" s="2013">
        <v>32533006</v>
      </c>
      <c r="D59" s="2014" t="s">
        <v>1277</v>
      </c>
      <c r="E59" s="2015">
        <v>0</v>
      </c>
      <c r="F59" s="2015">
        <v>0</v>
      </c>
      <c r="G59" s="2023">
        <v>0</v>
      </c>
      <c r="H59" s="2016" t="e">
        <f>G59/F59*100</f>
        <v>#DIV/0!</v>
      </c>
      <c r="I59" s="1994"/>
    </row>
    <row r="60" spans="1:9" ht="16.5" thickTop="1" thickBot="1" x14ac:dyDescent="0.3">
      <c r="A60" s="2024" t="s">
        <v>763</v>
      </c>
      <c r="B60" s="2025"/>
      <c r="C60" s="2025"/>
      <c r="D60" s="2026"/>
      <c r="E60" s="2019">
        <f>SUM(E56:E59)</f>
        <v>0</v>
      </c>
      <c r="F60" s="2019">
        <f>SUM(F56:F59)</f>
        <v>639</v>
      </c>
      <c r="G60" s="2019">
        <f>SUM(G56:G59)</f>
        <v>627</v>
      </c>
      <c r="H60" s="2020">
        <f>G60/F60*100</f>
        <v>98.122065727699521</v>
      </c>
      <c r="I60" s="1994"/>
    </row>
    <row r="61" spans="1:9" ht="13.5" thickTop="1" x14ac:dyDescent="0.2"/>
    <row r="62" spans="1:9" ht="15" x14ac:dyDescent="0.25">
      <c r="A62" s="1979" t="s">
        <v>1758</v>
      </c>
      <c r="B62" s="1993"/>
      <c r="C62" s="1993"/>
      <c r="D62" s="1993"/>
      <c r="F62" s="1994"/>
      <c r="G62" s="1994"/>
      <c r="H62" s="1994"/>
      <c r="I62" s="1994"/>
    </row>
    <row r="63" spans="1:9" ht="15.75" thickBot="1" x14ac:dyDescent="0.3">
      <c r="A63" s="1979" t="s">
        <v>1759</v>
      </c>
      <c r="B63" s="1993"/>
      <c r="C63" s="1993"/>
      <c r="D63" s="1993"/>
      <c r="F63" s="1994"/>
      <c r="G63" s="1994"/>
      <c r="H63" s="1995" t="s">
        <v>161</v>
      </c>
      <c r="I63" s="1994"/>
    </row>
    <row r="64" spans="1:9" ht="25.5" thickTop="1" thickBot="1" x14ac:dyDescent="0.25">
      <c r="A64" s="1996" t="s">
        <v>162</v>
      </c>
      <c r="B64" s="1997" t="s">
        <v>761</v>
      </c>
      <c r="C64" s="1997" t="s">
        <v>377</v>
      </c>
      <c r="D64" s="1998" t="s">
        <v>164</v>
      </c>
      <c r="E64" s="1999" t="s">
        <v>632</v>
      </c>
      <c r="F64" s="1999" t="s">
        <v>633</v>
      </c>
      <c r="G64" s="2000" t="s">
        <v>882</v>
      </c>
      <c r="H64" s="2001" t="s">
        <v>883</v>
      </c>
      <c r="I64" s="1994"/>
    </row>
    <row r="65" spans="1:9" ht="14.25" thickTop="1" thickBot="1" x14ac:dyDescent="0.25">
      <c r="A65" s="2002">
        <v>1</v>
      </c>
      <c r="B65" s="2003">
        <v>2</v>
      </c>
      <c r="C65" s="2003">
        <v>3</v>
      </c>
      <c r="D65" s="2003">
        <v>5</v>
      </c>
      <c r="E65" s="2004">
        <v>6</v>
      </c>
      <c r="F65" s="2004">
        <v>7</v>
      </c>
      <c r="G65" s="2005">
        <v>8</v>
      </c>
      <c r="H65" s="2021" t="s">
        <v>762</v>
      </c>
      <c r="I65" s="1994"/>
    </row>
    <row r="66" spans="1:9" ht="30.75" thickTop="1" x14ac:dyDescent="0.2">
      <c r="A66" s="2012">
        <v>3299</v>
      </c>
      <c r="B66" s="2013">
        <v>5336</v>
      </c>
      <c r="C66" s="2013">
        <v>32133030</v>
      </c>
      <c r="D66" s="2014" t="s">
        <v>1263</v>
      </c>
      <c r="E66" s="2010">
        <v>0</v>
      </c>
      <c r="F66" s="2010">
        <v>101</v>
      </c>
      <c r="G66" s="2022">
        <v>94</v>
      </c>
      <c r="H66" s="2011">
        <f>G66/F66*100</f>
        <v>93.069306930693074</v>
      </c>
      <c r="I66" s="1994"/>
    </row>
    <row r="67" spans="1:9" ht="30" x14ac:dyDescent="0.2">
      <c r="A67" s="2012">
        <v>3299</v>
      </c>
      <c r="B67" s="2013">
        <v>5336</v>
      </c>
      <c r="C67" s="2013">
        <v>32533030</v>
      </c>
      <c r="D67" s="2014" t="s">
        <v>1263</v>
      </c>
      <c r="E67" s="2015">
        <v>0</v>
      </c>
      <c r="F67" s="2015">
        <v>571</v>
      </c>
      <c r="G67" s="2023">
        <v>536</v>
      </c>
      <c r="H67" s="2016">
        <f>G67/F67*100</f>
        <v>93.870402802101566</v>
      </c>
      <c r="I67" s="1994"/>
    </row>
    <row r="68" spans="1:9" ht="30" x14ac:dyDescent="0.2">
      <c r="A68" s="2012">
        <v>3299</v>
      </c>
      <c r="B68" s="2013">
        <v>6351</v>
      </c>
      <c r="C68" s="2013">
        <v>32133926</v>
      </c>
      <c r="D68" s="2014" t="s">
        <v>1277</v>
      </c>
      <c r="E68" s="2015">
        <v>0</v>
      </c>
      <c r="F68" s="2015">
        <v>4</v>
      </c>
      <c r="G68" s="2023">
        <v>4</v>
      </c>
      <c r="H68" s="2016">
        <f>G68/F68*100</f>
        <v>100</v>
      </c>
      <c r="I68" s="1994"/>
    </row>
    <row r="69" spans="1:9" ht="30.75" thickBot="1" x14ac:dyDescent="0.25">
      <c r="A69" s="2012">
        <v>3299</v>
      </c>
      <c r="B69" s="2013">
        <v>6351</v>
      </c>
      <c r="C69" s="2013">
        <v>32533926</v>
      </c>
      <c r="D69" s="2014" t="s">
        <v>1277</v>
      </c>
      <c r="E69" s="2015">
        <v>0</v>
      </c>
      <c r="F69" s="2015">
        <v>25</v>
      </c>
      <c r="G69" s="2023">
        <v>25</v>
      </c>
      <c r="H69" s="2016">
        <f>G69/F69*100</f>
        <v>100</v>
      </c>
      <c r="I69" s="1994"/>
    </row>
    <row r="70" spans="1:9" ht="16.5" thickTop="1" thickBot="1" x14ac:dyDescent="0.3">
      <c r="A70" s="2024" t="s">
        <v>763</v>
      </c>
      <c r="B70" s="2025"/>
      <c r="C70" s="2025"/>
      <c r="D70" s="2026"/>
      <c r="E70" s="2019">
        <f>SUM(E66:E69)</f>
        <v>0</v>
      </c>
      <c r="F70" s="2019">
        <f>SUM(F66:F69)</f>
        <v>701</v>
      </c>
      <c r="G70" s="2019">
        <f>SUM(G66:G69)</f>
        <v>659</v>
      </c>
      <c r="H70" s="2020">
        <f>G70/F70*100</f>
        <v>94.008559201141225</v>
      </c>
      <c r="I70" s="1994"/>
    </row>
    <row r="71" spans="1:9" ht="13.5" thickTop="1" x14ac:dyDescent="0.2"/>
    <row r="72" spans="1:9" ht="15" x14ac:dyDescent="0.25">
      <c r="A72" s="1979" t="s">
        <v>1571</v>
      </c>
      <c r="B72" s="1993"/>
      <c r="C72" s="1993"/>
      <c r="D72" s="1993"/>
      <c r="F72" s="1994"/>
      <c r="G72" s="1994"/>
      <c r="H72" s="1994"/>
      <c r="I72" s="1994"/>
    </row>
    <row r="73" spans="1:9" ht="15.75" thickBot="1" x14ac:dyDescent="0.3">
      <c r="A73" s="1979" t="s">
        <v>869</v>
      </c>
      <c r="B73" s="1993"/>
      <c r="C73" s="1993"/>
      <c r="D73" s="1993"/>
      <c r="F73" s="1994"/>
      <c r="G73" s="1994"/>
      <c r="H73" s="1995" t="s">
        <v>161</v>
      </c>
      <c r="I73" s="1994"/>
    </row>
    <row r="74" spans="1:9" ht="25.5" thickTop="1" thickBot="1" x14ac:dyDescent="0.25">
      <c r="A74" s="1996" t="s">
        <v>162</v>
      </c>
      <c r="B74" s="1997" t="s">
        <v>761</v>
      </c>
      <c r="C74" s="1997" t="s">
        <v>377</v>
      </c>
      <c r="D74" s="1998" t="s">
        <v>164</v>
      </c>
      <c r="E74" s="1999" t="s">
        <v>632</v>
      </c>
      <c r="F74" s="1999" t="s">
        <v>633</v>
      </c>
      <c r="G74" s="2000" t="s">
        <v>882</v>
      </c>
      <c r="H74" s="2001" t="s">
        <v>883</v>
      </c>
      <c r="I74" s="1994"/>
    </row>
    <row r="75" spans="1:9" ht="14.25" thickTop="1" thickBot="1" x14ac:dyDescent="0.25">
      <c r="A75" s="2002">
        <v>1</v>
      </c>
      <c r="B75" s="2003">
        <v>2</v>
      </c>
      <c r="C75" s="2003">
        <v>3</v>
      </c>
      <c r="D75" s="2003">
        <v>5</v>
      </c>
      <c r="E75" s="2004">
        <v>6</v>
      </c>
      <c r="F75" s="2004">
        <v>7</v>
      </c>
      <c r="G75" s="2005">
        <v>8</v>
      </c>
      <c r="H75" s="2021" t="s">
        <v>762</v>
      </c>
      <c r="I75" s="1994"/>
    </row>
    <row r="76" spans="1:9" ht="30.75" thickTop="1" x14ac:dyDescent="0.2">
      <c r="A76" s="2012">
        <v>3299</v>
      </c>
      <c r="B76" s="2013">
        <v>5336</v>
      </c>
      <c r="C76" s="2013">
        <v>32133030</v>
      </c>
      <c r="D76" s="2014" t="s">
        <v>1263</v>
      </c>
      <c r="E76" s="2010">
        <v>0</v>
      </c>
      <c r="F76" s="2010">
        <v>616</v>
      </c>
      <c r="G76" s="2022">
        <v>421</v>
      </c>
      <c r="H76" s="2011">
        <f>G76/F76*100</f>
        <v>68.344155844155836</v>
      </c>
      <c r="I76" s="1994"/>
    </row>
    <row r="77" spans="1:9" ht="30.75" thickBot="1" x14ac:dyDescent="0.25">
      <c r="A77" s="2012">
        <v>3299</v>
      </c>
      <c r="B77" s="2013">
        <v>5336</v>
      </c>
      <c r="C77" s="2013">
        <v>32533030</v>
      </c>
      <c r="D77" s="2014" t="s">
        <v>1263</v>
      </c>
      <c r="E77" s="2015">
        <v>0</v>
      </c>
      <c r="F77" s="2015">
        <v>3493</v>
      </c>
      <c r="G77" s="2023">
        <v>2383</v>
      </c>
      <c r="H77" s="2016">
        <f>G77/F77*100</f>
        <v>68.222158602920118</v>
      </c>
      <c r="I77" s="1994"/>
    </row>
    <row r="78" spans="1:9" ht="30.75" hidden="1" thickBot="1" x14ac:dyDescent="0.25">
      <c r="A78" s="2012">
        <v>3299</v>
      </c>
      <c r="B78" s="2013">
        <v>6351</v>
      </c>
      <c r="C78" s="2013">
        <v>32133006</v>
      </c>
      <c r="D78" s="2014" t="s">
        <v>1277</v>
      </c>
      <c r="E78" s="2015">
        <v>0</v>
      </c>
      <c r="F78" s="2015">
        <v>0</v>
      </c>
      <c r="G78" s="2023">
        <v>0</v>
      </c>
      <c r="H78" s="2016" t="e">
        <f>G78/F78*100</f>
        <v>#DIV/0!</v>
      </c>
      <c r="I78" s="1994"/>
    </row>
    <row r="79" spans="1:9" ht="30.75" hidden="1" thickBot="1" x14ac:dyDescent="0.25">
      <c r="A79" s="2012">
        <v>3299</v>
      </c>
      <c r="B79" s="2013">
        <v>6351</v>
      </c>
      <c r="C79" s="2013">
        <v>32533006</v>
      </c>
      <c r="D79" s="2014" t="s">
        <v>1277</v>
      </c>
      <c r="E79" s="2015">
        <v>0</v>
      </c>
      <c r="F79" s="2015">
        <v>0</v>
      </c>
      <c r="G79" s="2023">
        <v>0</v>
      </c>
      <c r="H79" s="2016" t="e">
        <f>G79/F79*100</f>
        <v>#DIV/0!</v>
      </c>
      <c r="I79" s="1994"/>
    </row>
    <row r="80" spans="1:9" ht="16.5" thickTop="1" thickBot="1" x14ac:dyDescent="0.3">
      <c r="A80" s="2024" t="s">
        <v>763</v>
      </c>
      <c r="B80" s="2025"/>
      <c r="C80" s="2025"/>
      <c r="D80" s="2026"/>
      <c r="E80" s="2019">
        <f>SUM(E76:E79)</f>
        <v>0</v>
      </c>
      <c r="F80" s="2019">
        <f>SUM(F76:F79)</f>
        <v>4109</v>
      </c>
      <c r="G80" s="2019">
        <f>SUM(G76:G79)</f>
        <v>2804</v>
      </c>
      <c r="H80" s="2020">
        <f>G80/F80*100</f>
        <v>68.240447797517646</v>
      </c>
      <c r="I80" s="1994"/>
    </row>
    <row r="81" spans="1:9" ht="13.5" thickTop="1" x14ac:dyDescent="0.2"/>
    <row r="82" spans="1:9" ht="15" x14ac:dyDescent="0.25">
      <c r="A82" s="1979" t="s">
        <v>1760</v>
      </c>
      <c r="B82" s="1993"/>
      <c r="C82" s="1993"/>
      <c r="D82" s="1993"/>
      <c r="F82" s="1994"/>
      <c r="G82" s="1994"/>
      <c r="H82" s="1994"/>
      <c r="I82" s="1994"/>
    </row>
    <row r="83" spans="1:9" ht="15.75" thickBot="1" x14ac:dyDescent="0.3">
      <c r="A83" s="1979" t="s">
        <v>1761</v>
      </c>
      <c r="B83" s="1993"/>
      <c r="C83" s="1993"/>
      <c r="D83" s="1993"/>
      <c r="F83" s="1994"/>
      <c r="G83" s="1994"/>
      <c r="H83" s="1995" t="s">
        <v>161</v>
      </c>
      <c r="I83" s="1994"/>
    </row>
    <row r="84" spans="1:9" ht="25.5" thickTop="1" thickBot="1" x14ac:dyDescent="0.25">
      <c r="A84" s="1996" t="s">
        <v>162</v>
      </c>
      <c r="B84" s="1997" t="s">
        <v>761</v>
      </c>
      <c r="C84" s="1997" t="s">
        <v>377</v>
      </c>
      <c r="D84" s="1998" t="s">
        <v>164</v>
      </c>
      <c r="E84" s="1999" t="s">
        <v>632</v>
      </c>
      <c r="F84" s="1999" t="s">
        <v>633</v>
      </c>
      <c r="G84" s="2000" t="s">
        <v>882</v>
      </c>
      <c r="H84" s="2001" t="s">
        <v>883</v>
      </c>
      <c r="I84" s="1994"/>
    </row>
    <row r="85" spans="1:9" ht="14.25" thickTop="1" thickBot="1" x14ac:dyDescent="0.25">
      <c r="A85" s="2002">
        <v>1</v>
      </c>
      <c r="B85" s="2003">
        <v>2</v>
      </c>
      <c r="C85" s="2003">
        <v>3</v>
      </c>
      <c r="D85" s="2003">
        <v>5</v>
      </c>
      <c r="E85" s="2004">
        <v>6</v>
      </c>
      <c r="F85" s="2004">
        <v>7</v>
      </c>
      <c r="G85" s="2005">
        <v>8</v>
      </c>
      <c r="H85" s="2021" t="s">
        <v>762</v>
      </c>
      <c r="I85" s="1994"/>
    </row>
    <row r="86" spans="1:9" ht="15.75" thickTop="1" x14ac:dyDescent="0.25">
      <c r="A86" s="2033">
        <v>3299</v>
      </c>
      <c r="B86" s="2034">
        <v>5321</v>
      </c>
      <c r="C86" s="2034">
        <v>32133030</v>
      </c>
      <c r="D86" s="2036" t="s">
        <v>1201</v>
      </c>
      <c r="E86" s="2015">
        <v>0</v>
      </c>
      <c r="F86" s="2015">
        <v>144</v>
      </c>
      <c r="G86" s="2023">
        <v>90</v>
      </c>
      <c r="H86" s="2016">
        <f>G86/F86*100</f>
        <v>62.5</v>
      </c>
      <c r="I86" s="1994"/>
    </row>
    <row r="87" spans="1:9" ht="15" x14ac:dyDescent="0.25">
      <c r="A87" s="2033">
        <v>3299</v>
      </c>
      <c r="B87" s="2034">
        <v>5321</v>
      </c>
      <c r="C87" s="2034">
        <v>32533030</v>
      </c>
      <c r="D87" s="2036" t="s">
        <v>1201</v>
      </c>
      <c r="E87" s="2015">
        <v>0</v>
      </c>
      <c r="F87" s="2015">
        <v>819</v>
      </c>
      <c r="G87" s="2023">
        <v>509</v>
      </c>
      <c r="H87" s="2016">
        <f>G87/F87*100</f>
        <v>62.148962148962148</v>
      </c>
      <c r="I87" s="1994"/>
    </row>
    <row r="88" spans="1:9" ht="15" x14ac:dyDescent="0.25">
      <c r="A88" s="2033">
        <v>3299</v>
      </c>
      <c r="B88" s="2034">
        <v>6341</v>
      </c>
      <c r="C88" s="2034">
        <v>32133926</v>
      </c>
      <c r="D88" s="2035" t="s">
        <v>248</v>
      </c>
      <c r="E88" s="2015">
        <v>0</v>
      </c>
      <c r="F88" s="2015">
        <v>11</v>
      </c>
      <c r="G88" s="2023">
        <v>11</v>
      </c>
      <c r="H88" s="2016">
        <f>G88/F88*100</f>
        <v>100</v>
      </c>
      <c r="I88" s="1994"/>
    </row>
    <row r="89" spans="1:9" ht="15.75" thickBot="1" x14ac:dyDescent="0.3">
      <c r="A89" s="2037">
        <v>3299</v>
      </c>
      <c r="B89" s="2038">
        <v>6341</v>
      </c>
      <c r="C89" s="2038">
        <v>32533926</v>
      </c>
      <c r="D89" s="2035" t="s">
        <v>248</v>
      </c>
      <c r="E89" s="2015">
        <v>0</v>
      </c>
      <c r="F89" s="2015">
        <v>61</v>
      </c>
      <c r="G89" s="2023">
        <v>61</v>
      </c>
      <c r="H89" s="2016">
        <f>G89/F89*100</f>
        <v>100</v>
      </c>
      <c r="I89" s="1994"/>
    </row>
    <row r="90" spans="1:9" ht="16.5" thickTop="1" thickBot="1" x14ac:dyDescent="0.3">
      <c r="A90" s="2024" t="s">
        <v>763</v>
      </c>
      <c r="B90" s="2025"/>
      <c r="C90" s="2025"/>
      <c r="D90" s="2026"/>
      <c r="E90" s="2019">
        <f>SUM(E86:E89)</f>
        <v>0</v>
      </c>
      <c r="F90" s="2019">
        <f>SUM(F86:F89)</f>
        <v>1035</v>
      </c>
      <c r="G90" s="2019">
        <f>SUM(G86:G89)</f>
        <v>671</v>
      </c>
      <c r="H90" s="2020">
        <f>G90/F90*100</f>
        <v>64.830917874396135</v>
      </c>
      <c r="I90" s="1994"/>
    </row>
    <row r="91" spans="1:9" ht="13.5" thickTop="1" x14ac:dyDescent="0.2"/>
    <row r="98" spans="1:12" ht="16.5" x14ac:dyDescent="0.25">
      <c r="A98" s="2040" t="s">
        <v>465</v>
      </c>
      <c r="B98" s="2041"/>
      <c r="C98" s="2042"/>
      <c r="D98" s="2043"/>
      <c r="E98" s="2044">
        <f>SUM(E99:E101)</f>
        <v>0</v>
      </c>
      <c r="F98" s="2044">
        <f>F99+F100+F101+F102</f>
        <v>23340</v>
      </c>
      <c r="G98" s="2044">
        <f>G99+G100+G101+G102</f>
        <v>37294</v>
      </c>
      <c r="H98" s="2045">
        <f>G98/F98*100</f>
        <v>159.78577549271637</v>
      </c>
      <c r="J98" s="2046">
        <f>J99+J100+J101</f>
        <v>0</v>
      </c>
      <c r="K98" s="2046">
        <f>K99+K100+K101</f>
        <v>23340345.609999999</v>
      </c>
      <c r="L98" s="2046">
        <f>L99+L100+L101</f>
        <v>37293722.210000001</v>
      </c>
    </row>
    <row r="99" spans="1:12" ht="15" x14ac:dyDescent="0.2">
      <c r="A99" s="2047" t="s">
        <v>263</v>
      </c>
      <c r="B99" s="2048"/>
      <c r="C99" s="2049"/>
      <c r="D99" s="2050"/>
      <c r="E99" s="2051">
        <f>E10+E11+E12+E13+E14+E15+E16+E17+E18+E19+E20+E21+E36+E37+E46+E47+E56+E57+E66+E67+E76+E77+E86+E87+E28</f>
        <v>0</v>
      </c>
      <c r="F99" s="2051">
        <f t="shared" ref="F99:G99" si="1">F10+F11+F12+F13+F14+F15+F16+F17+F18+F19+F20+F21+F36+F37+F46+F47+F56+F57+F66+F67+F76+F77+F86+F87+F28</f>
        <v>22953</v>
      </c>
      <c r="G99" s="2051">
        <f t="shared" si="1"/>
        <v>18082</v>
      </c>
      <c r="H99" s="2052">
        <f>G99/F99*100</f>
        <v>78.778373197403383</v>
      </c>
      <c r="J99" s="2053">
        <v>0</v>
      </c>
      <c r="K99" s="2053">
        <v>22953391.609999999</v>
      </c>
      <c r="L99" s="2053">
        <v>18082107.359999999</v>
      </c>
    </row>
    <row r="100" spans="1:12" ht="15" x14ac:dyDescent="0.2">
      <c r="A100" s="2047" t="s">
        <v>264</v>
      </c>
      <c r="B100" s="2054"/>
      <c r="C100" s="2049"/>
      <c r="D100" s="2055"/>
      <c r="E100" s="2051">
        <f>E22+E23+E26+E27+E68+E69+E88+E89</f>
        <v>0</v>
      </c>
      <c r="F100" s="2051">
        <f>F22+F23+F26+F27+F68+F69+F88+F89</f>
        <v>387</v>
      </c>
      <c r="G100" s="2051">
        <f>G22+G23+G26+G27+G68+G69+G88+G89</f>
        <v>101</v>
      </c>
      <c r="H100" s="2052">
        <f>G100/F100*100</f>
        <v>26.098191214470283</v>
      </c>
      <c r="J100" s="2053">
        <v>0</v>
      </c>
      <c r="K100" s="2053">
        <v>386954</v>
      </c>
      <c r="L100" s="2053">
        <v>100783</v>
      </c>
    </row>
    <row r="101" spans="1:12" ht="15" x14ac:dyDescent="0.2">
      <c r="A101" s="2047" t="s">
        <v>466</v>
      </c>
      <c r="B101" s="2054"/>
      <c r="C101" s="2049"/>
      <c r="D101" s="2055"/>
      <c r="E101" s="2051">
        <f>E29</f>
        <v>0</v>
      </c>
      <c r="F101" s="2051">
        <f>F29</f>
        <v>0</v>
      </c>
      <c r="G101" s="2051">
        <f>G29</f>
        <v>19111</v>
      </c>
      <c r="H101" s="2052">
        <v>0</v>
      </c>
      <c r="J101" s="2053">
        <v>0</v>
      </c>
      <c r="K101" s="2053">
        <v>0</v>
      </c>
      <c r="L101" s="2053">
        <v>19110831.850000001</v>
      </c>
    </row>
    <row r="102" spans="1:12" ht="16.5" customHeight="1" x14ac:dyDescent="0.2">
      <c r="A102" s="2047"/>
      <c r="B102" s="2054"/>
      <c r="C102" s="2049"/>
      <c r="D102" s="2055"/>
      <c r="E102" s="2051"/>
      <c r="F102" s="2051"/>
      <c r="G102" s="2051"/>
      <c r="H102" s="2056"/>
    </row>
    <row r="103" spans="1:12" ht="57.75" customHeight="1" thickBot="1" x14ac:dyDescent="0.4">
      <c r="A103" s="2754" t="s">
        <v>1572</v>
      </c>
      <c r="B103" s="2759"/>
      <c r="C103" s="2759"/>
      <c r="D103" s="2759"/>
      <c r="E103" s="2057">
        <f>SUM(E98)</f>
        <v>0</v>
      </c>
      <c r="F103" s="2057">
        <f>SUM(F98)</f>
        <v>23340</v>
      </c>
      <c r="G103" s="2057">
        <f>SUM(G98)</f>
        <v>37294</v>
      </c>
      <c r="H103" s="2058">
        <f>(G103/F103)*100</f>
        <v>159.78577549271637</v>
      </c>
    </row>
    <row r="104" spans="1:12" ht="13.5" thickTop="1" x14ac:dyDescent="0.2"/>
  </sheetData>
  <mergeCells count="2">
    <mergeCell ref="A30:D30"/>
    <mergeCell ref="A103:D103"/>
  </mergeCells>
  <pageMargins left="0.70866141732283472" right="0.70866141732283472" top="0.78740157480314965" bottom="0.78740157480314965" header="0.31496062992125984" footer="0.31496062992125984"/>
  <pageSetup paperSize="9" scale="70" firstPageNumber="167" orientation="portrait" useFirstPageNumber="1" r:id="rId1"/>
  <headerFooter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1" manualBreakCount="1">
    <brk id="51" max="7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73"/>
  <sheetViews>
    <sheetView view="pageBreakPreview" topLeftCell="A18" zoomScaleNormal="100" zoomScaleSheetLayoutView="100" workbookViewId="0">
      <selection activeCell="I10" sqref="I10"/>
    </sheetView>
  </sheetViews>
  <sheetFormatPr defaultRowHeight="12.75" x14ac:dyDescent="0.2"/>
  <cols>
    <col min="1" max="1" width="5.5703125" style="1986" customWidth="1"/>
    <col min="2" max="2" width="6.7109375" style="1986" customWidth="1"/>
    <col min="3" max="3" width="9.28515625" style="1986" customWidth="1"/>
    <col min="4" max="4" width="47.85546875" style="1986" customWidth="1"/>
    <col min="5" max="5" width="12.85546875" style="1986" customWidth="1"/>
    <col min="6" max="6" width="15.5703125" style="1986" customWidth="1"/>
    <col min="7" max="7" width="15.85546875" style="1986" customWidth="1"/>
    <col min="8" max="8" width="8.7109375" style="1986" customWidth="1"/>
    <col min="9" max="10" width="9.140625" style="1986"/>
    <col min="11" max="12" width="14.7109375" style="1986" bestFit="1" customWidth="1"/>
    <col min="13" max="256" width="9.140625" style="1986"/>
    <col min="257" max="257" width="5.5703125" style="1986" customWidth="1"/>
    <col min="258" max="258" width="6.7109375" style="1986" customWidth="1"/>
    <col min="259" max="259" width="8.85546875" style="1986" customWidth="1"/>
    <col min="260" max="260" width="47.85546875" style="1986" customWidth="1"/>
    <col min="261" max="261" width="12.85546875" style="1986" customWidth="1"/>
    <col min="262" max="262" width="15.5703125" style="1986" customWidth="1"/>
    <col min="263" max="263" width="15.85546875" style="1986" customWidth="1"/>
    <col min="264" max="264" width="6.42578125" style="1986" customWidth="1"/>
    <col min="265" max="266" width="9.140625" style="1986"/>
    <col min="267" max="268" width="14.7109375" style="1986" bestFit="1" customWidth="1"/>
    <col min="269" max="512" width="9.140625" style="1986"/>
    <col min="513" max="513" width="5.5703125" style="1986" customWidth="1"/>
    <col min="514" max="514" width="6.7109375" style="1986" customWidth="1"/>
    <col min="515" max="515" width="8.85546875" style="1986" customWidth="1"/>
    <col min="516" max="516" width="47.85546875" style="1986" customWidth="1"/>
    <col min="517" max="517" width="12.85546875" style="1986" customWidth="1"/>
    <col min="518" max="518" width="15.5703125" style="1986" customWidth="1"/>
    <col min="519" max="519" width="15.85546875" style="1986" customWidth="1"/>
    <col min="520" max="520" width="6.42578125" style="1986" customWidth="1"/>
    <col min="521" max="522" width="9.140625" style="1986"/>
    <col min="523" max="524" width="14.7109375" style="1986" bestFit="1" customWidth="1"/>
    <col min="525" max="768" width="9.140625" style="1986"/>
    <col min="769" max="769" width="5.5703125" style="1986" customWidth="1"/>
    <col min="770" max="770" width="6.7109375" style="1986" customWidth="1"/>
    <col min="771" max="771" width="8.85546875" style="1986" customWidth="1"/>
    <col min="772" max="772" width="47.85546875" style="1986" customWidth="1"/>
    <col min="773" max="773" width="12.85546875" style="1986" customWidth="1"/>
    <col min="774" max="774" width="15.5703125" style="1986" customWidth="1"/>
    <col min="775" max="775" width="15.85546875" style="1986" customWidth="1"/>
    <col min="776" max="776" width="6.42578125" style="1986" customWidth="1"/>
    <col min="777" max="778" width="9.140625" style="1986"/>
    <col min="779" max="780" width="14.7109375" style="1986" bestFit="1" customWidth="1"/>
    <col min="781" max="1024" width="9.140625" style="1986"/>
    <col min="1025" max="1025" width="5.5703125" style="1986" customWidth="1"/>
    <col min="1026" max="1026" width="6.7109375" style="1986" customWidth="1"/>
    <col min="1027" max="1027" width="8.85546875" style="1986" customWidth="1"/>
    <col min="1028" max="1028" width="47.85546875" style="1986" customWidth="1"/>
    <col min="1029" max="1029" width="12.85546875" style="1986" customWidth="1"/>
    <col min="1030" max="1030" width="15.5703125" style="1986" customWidth="1"/>
    <col min="1031" max="1031" width="15.85546875" style="1986" customWidth="1"/>
    <col min="1032" max="1032" width="6.42578125" style="1986" customWidth="1"/>
    <col min="1033" max="1034" width="9.140625" style="1986"/>
    <col min="1035" max="1036" width="14.7109375" style="1986" bestFit="1" customWidth="1"/>
    <col min="1037" max="1280" width="9.140625" style="1986"/>
    <col min="1281" max="1281" width="5.5703125" style="1986" customWidth="1"/>
    <col min="1282" max="1282" width="6.7109375" style="1986" customWidth="1"/>
    <col min="1283" max="1283" width="8.85546875" style="1986" customWidth="1"/>
    <col min="1284" max="1284" width="47.85546875" style="1986" customWidth="1"/>
    <col min="1285" max="1285" width="12.85546875" style="1986" customWidth="1"/>
    <col min="1286" max="1286" width="15.5703125" style="1986" customWidth="1"/>
    <col min="1287" max="1287" width="15.85546875" style="1986" customWidth="1"/>
    <col min="1288" max="1288" width="6.42578125" style="1986" customWidth="1"/>
    <col min="1289" max="1290" width="9.140625" style="1986"/>
    <col min="1291" max="1292" width="14.7109375" style="1986" bestFit="1" customWidth="1"/>
    <col min="1293" max="1536" width="9.140625" style="1986"/>
    <col min="1537" max="1537" width="5.5703125" style="1986" customWidth="1"/>
    <col min="1538" max="1538" width="6.7109375" style="1986" customWidth="1"/>
    <col min="1539" max="1539" width="8.85546875" style="1986" customWidth="1"/>
    <col min="1540" max="1540" width="47.85546875" style="1986" customWidth="1"/>
    <col min="1541" max="1541" width="12.85546875" style="1986" customWidth="1"/>
    <col min="1542" max="1542" width="15.5703125" style="1986" customWidth="1"/>
    <col min="1543" max="1543" width="15.85546875" style="1986" customWidth="1"/>
    <col min="1544" max="1544" width="6.42578125" style="1986" customWidth="1"/>
    <col min="1545" max="1546" width="9.140625" style="1986"/>
    <col min="1547" max="1548" width="14.7109375" style="1986" bestFit="1" customWidth="1"/>
    <col min="1549" max="1792" width="9.140625" style="1986"/>
    <col min="1793" max="1793" width="5.5703125" style="1986" customWidth="1"/>
    <col min="1794" max="1794" width="6.7109375" style="1986" customWidth="1"/>
    <col min="1795" max="1795" width="8.85546875" style="1986" customWidth="1"/>
    <col min="1796" max="1796" width="47.85546875" style="1986" customWidth="1"/>
    <col min="1797" max="1797" width="12.85546875" style="1986" customWidth="1"/>
    <col min="1798" max="1798" width="15.5703125" style="1986" customWidth="1"/>
    <col min="1799" max="1799" width="15.85546875" style="1986" customWidth="1"/>
    <col min="1800" max="1800" width="6.42578125" style="1986" customWidth="1"/>
    <col min="1801" max="1802" width="9.140625" style="1986"/>
    <col min="1803" max="1804" width="14.7109375" style="1986" bestFit="1" customWidth="1"/>
    <col min="1805" max="2048" width="9.140625" style="1986"/>
    <col min="2049" max="2049" width="5.5703125" style="1986" customWidth="1"/>
    <col min="2050" max="2050" width="6.7109375" style="1986" customWidth="1"/>
    <col min="2051" max="2051" width="8.85546875" style="1986" customWidth="1"/>
    <col min="2052" max="2052" width="47.85546875" style="1986" customWidth="1"/>
    <col min="2053" max="2053" width="12.85546875" style="1986" customWidth="1"/>
    <col min="2054" max="2054" width="15.5703125" style="1986" customWidth="1"/>
    <col min="2055" max="2055" width="15.85546875" style="1986" customWidth="1"/>
    <col min="2056" max="2056" width="6.42578125" style="1986" customWidth="1"/>
    <col min="2057" max="2058" width="9.140625" style="1986"/>
    <col min="2059" max="2060" width="14.7109375" style="1986" bestFit="1" customWidth="1"/>
    <col min="2061" max="2304" width="9.140625" style="1986"/>
    <col min="2305" max="2305" width="5.5703125" style="1986" customWidth="1"/>
    <col min="2306" max="2306" width="6.7109375" style="1986" customWidth="1"/>
    <col min="2307" max="2307" width="8.85546875" style="1986" customWidth="1"/>
    <col min="2308" max="2308" width="47.85546875" style="1986" customWidth="1"/>
    <col min="2309" max="2309" width="12.85546875" style="1986" customWidth="1"/>
    <col min="2310" max="2310" width="15.5703125" style="1986" customWidth="1"/>
    <col min="2311" max="2311" width="15.85546875" style="1986" customWidth="1"/>
    <col min="2312" max="2312" width="6.42578125" style="1986" customWidth="1"/>
    <col min="2313" max="2314" width="9.140625" style="1986"/>
    <col min="2315" max="2316" width="14.7109375" style="1986" bestFit="1" customWidth="1"/>
    <col min="2317" max="2560" width="9.140625" style="1986"/>
    <col min="2561" max="2561" width="5.5703125" style="1986" customWidth="1"/>
    <col min="2562" max="2562" width="6.7109375" style="1986" customWidth="1"/>
    <col min="2563" max="2563" width="8.85546875" style="1986" customWidth="1"/>
    <col min="2564" max="2564" width="47.85546875" style="1986" customWidth="1"/>
    <col min="2565" max="2565" width="12.85546875" style="1986" customWidth="1"/>
    <col min="2566" max="2566" width="15.5703125" style="1986" customWidth="1"/>
    <col min="2567" max="2567" width="15.85546875" style="1986" customWidth="1"/>
    <col min="2568" max="2568" width="6.42578125" style="1986" customWidth="1"/>
    <col min="2569" max="2570" width="9.140625" style="1986"/>
    <col min="2571" max="2572" width="14.7109375" style="1986" bestFit="1" customWidth="1"/>
    <col min="2573" max="2816" width="9.140625" style="1986"/>
    <col min="2817" max="2817" width="5.5703125" style="1986" customWidth="1"/>
    <col min="2818" max="2818" width="6.7109375" style="1986" customWidth="1"/>
    <col min="2819" max="2819" width="8.85546875" style="1986" customWidth="1"/>
    <col min="2820" max="2820" width="47.85546875" style="1986" customWidth="1"/>
    <col min="2821" max="2821" width="12.85546875" style="1986" customWidth="1"/>
    <col min="2822" max="2822" width="15.5703125" style="1986" customWidth="1"/>
    <col min="2823" max="2823" width="15.85546875" style="1986" customWidth="1"/>
    <col min="2824" max="2824" width="6.42578125" style="1986" customWidth="1"/>
    <col min="2825" max="2826" width="9.140625" style="1986"/>
    <col min="2827" max="2828" width="14.7109375" style="1986" bestFit="1" customWidth="1"/>
    <col min="2829" max="3072" width="9.140625" style="1986"/>
    <col min="3073" max="3073" width="5.5703125" style="1986" customWidth="1"/>
    <col min="3074" max="3074" width="6.7109375" style="1986" customWidth="1"/>
    <col min="3075" max="3075" width="8.85546875" style="1986" customWidth="1"/>
    <col min="3076" max="3076" width="47.85546875" style="1986" customWidth="1"/>
    <col min="3077" max="3077" width="12.85546875" style="1986" customWidth="1"/>
    <col min="3078" max="3078" width="15.5703125" style="1986" customWidth="1"/>
    <col min="3079" max="3079" width="15.85546875" style="1986" customWidth="1"/>
    <col min="3080" max="3080" width="6.42578125" style="1986" customWidth="1"/>
    <col min="3081" max="3082" width="9.140625" style="1986"/>
    <col min="3083" max="3084" width="14.7109375" style="1986" bestFit="1" customWidth="1"/>
    <col min="3085" max="3328" width="9.140625" style="1986"/>
    <col min="3329" max="3329" width="5.5703125" style="1986" customWidth="1"/>
    <col min="3330" max="3330" width="6.7109375" style="1986" customWidth="1"/>
    <col min="3331" max="3331" width="8.85546875" style="1986" customWidth="1"/>
    <col min="3332" max="3332" width="47.85546875" style="1986" customWidth="1"/>
    <col min="3333" max="3333" width="12.85546875" style="1986" customWidth="1"/>
    <col min="3334" max="3334" width="15.5703125" style="1986" customWidth="1"/>
    <col min="3335" max="3335" width="15.85546875" style="1986" customWidth="1"/>
    <col min="3336" max="3336" width="6.42578125" style="1986" customWidth="1"/>
    <col min="3337" max="3338" width="9.140625" style="1986"/>
    <col min="3339" max="3340" width="14.7109375" style="1986" bestFit="1" customWidth="1"/>
    <col min="3341" max="3584" width="9.140625" style="1986"/>
    <col min="3585" max="3585" width="5.5703125" style="1986" customWidth="1"/>
    <col min="3586" max="3586" width="6.7109375" style="1986" customWidth="1"/>
    <col min="3587" max="3587" width="8.85546875" style="1986" customWidth="1"/>
    <col min="3588" max="3588" width="47.85546875" style="1986" customWidth="1"/>
    <col min="3589" max="3589" width="12.85546875" style="1986" customWidth="1"/>
    <col min="3590" max="3590" width="15.5703125" style="1986" customWidth="1"/>
    <col min="3591" max="3591" width="15.85546875" style="1986" customWidth="1"/>
    <col min="3592" max="3592" width="6.42578125" style="1986" customWidth="1"/>
    <col min="3593" max="3594" width="9.140625" style="1986"/>
    <col min="3595" max="3596" width="14.7109375" style="1986" bestFit="1" customWidth="1"/>
    <col min="3597" max="3840" width="9.140625" style="1986"/>
    <col min="3841" max="3841" width="5.5703125" style="1986" customWidth="1"/>
    <col min="3842" max="3842" width="6.7109375" style="1986" customWidth="1"/>
    <col min="3843" max="3843" width="8.85546875" style="1986" customWidth="1"/>
    <col min="3844" max="3844" width="47.85546875" style="1986" customWidth="1"/>
    <col min="3845" max="3845" width="12.85546875" style="1986" customWidth="1"/>
    <col min="3846" max="3846" width="15.5703125" style="1986" customWidth="1"/>
    <col min="3847" max="3847" width="15.85546875" style="1986" customWidth="1"/>
    <col min="3848" max="3848" width="6.42578125" style="1986" customWidth="1"/>
    <col min="3849" max="3850" width="9.140625" style="1986"/>
    <col min="3851" max="3852" width="14.7109375" style="1986" bestFit="1" customWidth="1"/>
    <col min="3853" max="4096" width="9.140625" style="1986"/>
    <col min="4097" max="4097" width="5.5703125" style="1986" customWidth="1"/>
    <col min="4098" max="4098" width="6.7109375" style="1986" customWidth="1"/>
    <col min="4099" max="4099" width="8.85546875" style="1986" customWidth="1"/>
    <col min="4100" max="4100" width="47.85546875" style="1986" customWidth="1"/>
    <col min="4101" max="4101" width="12.85546875" style="1986" customWidth="1"/>
    <col min="4102" max="4102" width="15.5703125" style="1986" customWidth="1"/>
    <col min="4103" max="4103" width="15.85546875" style="1986" customWidth="1"/>
    <col min="4104" max="4104" width="6.42578125" style="1986" customWidth="1"/>
    <col min="4105" max="4106" width="9.140625" style="1986"/>
    <col min="4107" max="4108" width="14.7109375" style="1986" bestFit="1" customWidth="1"/>
    <col min="4109" max="4352" width="9.140625" style="1986"/>
    <col min="4353" max="4353" width="5.5703125" style="1986" customWidth="1"/>
    <col min="4354" max="4354" width="6.7109375" style="1986" customWidth="1"/>
    <col min="4355" max="4355" width="8.85546875" style="1986" customWidth="1"/>
    <col min="4356" max="4356" width="47.85546875" style="1986" customWidth="1"/>
    <col min="4357" max="4357" width="12.85546875" style="1986" customWidth="1"/>
    <col min="4358" max="4358" width="15.5703125" style="1986" customWidth="1"/>
    <col min="4359" max="4359" width="15.85546875" style="1986" customWidth="1"/>
    <col min="4360" max="4360" width="6.42578125" style="1986" customWidth="1"/>
    <col min="4361" max="4362" width="9.140625" style="1986"/>
    <col min="4363" max="4364" width="14.7109375" style="1986" bestFit="1" customWidth="1"/>
    <col min="4365" max="4608" width="9.140625" style="1986"/>
    <col min="4609" max="4609" width="5.5703125" style="1986" customWidth="1"/>
    <col min="4610" max="4610" width="6.7109375" style="1986" customWidth="1"/>
    <col min="4611" max="4611" width="8.85546875" style="1986" customWidth="1"/>
    <col min="4612" max="4612" width="47.85546875" style="1986" customWidth="1"/>
    <col min="4613" max="4613" width="12.85546875" style="1986" customWidth="1"/>
    <col min="4614" max="4614" width="15.5703125" style="1986" customWidth="1"/>
    <col min="4615" max="4615" width="15.85546875" style="1986" customWidth="1"/>
    <col min="4616" max="4616" width="6.42578125" style="1986" customWidth="1"/>
    <col min="4617" max="4618" width="9.140625" style="1986"/>
    <col min="4619" max="4620" width="14.7109375" style="1986" bestFit="1" customWidth="1"/>
    <col min="4621" max="4864" width="9.140625" style="1986"/>
    <col min="4865" max="4865" width="5.5703125" style="1986" customWidth="1"/>
    <col min="4866" max="4866" width="6.7109375" style="1986" customWidth="1"/>
    <col min="4867" max="4867" width="8.85546875" style="1986" customWidth="1"/>
    <col min="4868" max="4868" width="47.85546875" style="1986" customWidth="1"/>
    <col min="4869" max="4869" width="12.85546875" style="1986" customWidth="1"/>
    <col min="4870" max="4870" width="15.5703125" style="1986" customWidth="1"/>
    <col min="4871" max="4871" width="15.85546875" style="1986" customWidth="1"/>
    <col min="4872" max="4872" width="6.42578125" style="1986" customWidth="1"/>
    <col min="4873" max="4874" width="9.140625" style="1986"/>
    <col min="4875" max="4876" width="14.7109375" style="1986" bestFit="1" customWidth="1"/>
    <col min="4877" max="5120" width="9.140625" style="1986"/>
    <col min="5121" max="5121" width="5.5703125" style="1986" customWidth="1"/>
    <col min="5122" max="5122" width="6.7109375" style="1986" customWidth="1"/>
    <col min="5123" max="5123" width="8.85546875" style="1986" customWidth="1"/>
    <col min="5124" max="5124" width="47.85546875" style="1986" customWidth="1"/>
    <col min="5125" max="5125" width="12.85546875" style="1986" customWidth="1"/>
    <col min="5126" max="5126" width="15.5703125" style="1986" customWidth="1"/>
    <col min="5127" max="5127" width="15.85546875" style="1986" customWidth="1"/>
    <col min="5128" max="5128" width="6.42578125" style="1986" customWidth="1"/>
    <col min="5129" max="5130" width="9.140625" style="1986"/>
    <col min="5131" max="5132" width="14.7109375" style="1986" bestFit="1" customWidth="1"/>
    <col min="5133" max="5376" width="9.140625" style="1986"/>
    <col min="5377" max="5377" width="5.5703125" style="1986" customWidth="1"/>
    <col min="5378" max="5378" width="6.7109375" style="1986" customWidth="1"/>
    <col min="5379" max="5379" width="8.85546875" style="1986" customWidth="1"/>
    <col min="5380" max="5380" width="47.85546875" style="1986" customWidth="1"/>
    <col min="5381" max="5381" width="12.85546875" style="1986" customWidth="1"/>
    <col min="5382" max="5382" width="15.5703125" style="1986" customWidth="1"/>
    <col min="5383" max="5383" width="15.85546875" style="1986" customWidth="1"/>
    <col min="5384" max="5384" width="6.42578125" style="1986" customWidth="1"/>
    <col min="5385" max="5386" width="9.140625" style="1986"/>
    <col min="5387" max="5388" width="14.7109375" style="1986" bestFit="1" customWidth="1"/>
    <col min="5389" max="5632" width="9.140625" style="1986"/>
    <col min="5633" max="5633" width="5.5703125" style="1986" customWidth="1"/>
    <col min="5634" max="5634" width="6.7109375" style="1986" customWidth="1"/>
    <col min="5635" max="5635" width="8.85546875" style="1986" customWidth="1"/>
    <col min="5636" max="5636" width="47.85546875" style="1986" customWidth="1"/>
    <col min="5637" max="5637" width="12.85546875" style="1986" customWidth="1"/>
    <col min="5638" max="5638" width="15.5703125" style="1986" customWidth="1"/>
    <col min="5639" max="5639" width="15.85546875" style="1986" customWidth="1"/>
    <col min="5640" max="5640" width="6.42578125" style="1986" customWidth="1"/>
    <col min="5641" max="5642" width="9.140625" style="1986"/>
    <col min="5643" max="5644" width="14.7109375" style="1986" bestFit="1" customWidth="1"/>
    <col min="5645" max="5888" width="9.140625" style="1986"/>
    <col min="5889" max="5889" width="5.5703125" style="1986" customWidth="1"/>
    <col min="5890" max="5890" width="6.7109375" style="1986" customWidth="1"/>
    <col min="5891" max="5891" width="8.85546875" style="1986" customWidth="1"/>
    <col min="5892" max="5892" width="47.85546875" style="1986" customWidth="1"/>
    <col min="5893" max="5893" width="12.85546875" style="1986" customWidth="1"/>
    <col min="5894" max="5894" width="15.5703125" style="1986" customWidth="1"/>
    <col min="5895" max="5895" width="15.85546875" style="1986" customWidth="1"/>
    <col min="5896" max="5896" width="6.42578125" style="1986" customWidth="1"/>
    <col min="5897" max="5898" width="9.140625" style="1986"/>
    <col min="5899" max="5900" width="14.7109375" style="1986" bestFit="1" customWidth="1"/>
    <col min="5901" max="6144" width="9.140625" style="1986"/>
    <col min="6145" max="6145" width="5.5703125" style="1986" customWidth="1"/>
    <col min="6146" max="6146" width="6.7109375" style="1986" customWidth="1"/>
    <col min="6147" max="6147" width="8.85546875" style="1986" customWidth="1"/>
    <col min="6148" max="6148" width="47.85546875" style="1986" customWidth="1"/>
    <col min="6149" max="6149" width="12.85546875" style="1986" customWidth="1"/>
    <col min="6150" max="6150" width="15.5703125" style="1986" customWidth="1"/>
    <col min="6151" max="6151" width="15.85546875" style="1986" customWidth="1"/>
    <col min="6152" max="6152" width="6.42578125" style="1986" customWidth="1"/>
    <col min="6153" max="6154" width="9.140625" style="1986"/>
    <col min="6155" max="6156" width="14.7109375" style="1986" bestFit="1" customWidth="1"/>
    <col min="6157" max="6400" width="9.140625" style="1986"/>
    <col min="6401" max="6401" width="5.5703125" style="1986" customWidth="1"/>
    <col min="6402" max="6402" width="6.7109375" style="1986" customWidth="1"/>
    <col min="6403" max="6403" width="8.85546875" style="1986" customWidth="1"/>
    <col min="6404" max="6404" width="47.85546875" style="1986" customWidth="1"/>
    <col min="6405" max="6405" width="12.85546875" style="1986" customWidth="1"/>
    <col min="6406" max="6406" width="15.5703125" style="1986" customWidth="1"/>
    <col min="6407" max="6407" width="15.85546875" style="1986" customWidth="1"/>
    <col min="6408" max="6408" width="6.42578125" style="1986" customWidth="1"/>
    <col min="6409" max="6410" width="9.140625" style="1986"/>
    <col min="6411" max="6412" width="14.7109375" style="1986" bestFit="1" customWidth="1"/>
    <col min="6413" max="6656" width="9.140625" style="1986"/>
    <col min="6657" max="6657" width="5.5703125" style="1986" customWidth="1"/>
    <col min="6658" max="6658" width="6.7109375" style="1986" customWidth="1"/>
    <col min="6659" max="6659" width="8.85546875" style="1986" customWidth="1"/>
    <col min="6660" max="6660" width="47.85546875" style="1986" customWidth="1"/>
    <col min="6661" max="6661" width="12.85546875" style="1986" customWidth="1"/>
    <col min="6662" max="6662" width="15.5703125" style="1986" customWidth="1"/>
    <col min="6663" max="6663" width="15.85546875" style="1986" customWidth="1"/>
    <col min="6664" max="6664" width="6.42578125" style="1986" customWidth="1"/>
    <col min="6665" max="6666" width="9.140625" style="1986"/>
    <col min="6667" max="6668" width="14.7109375" style="1986" bestFit="1" customWidth="1"/>
    <col min="6669" max="6912" width="9.140625" style="1986"/>
    <col min="6913" max="6913" width="5.5703125" style="1986" customWidth="1"/>
    <col min="6914" max="6914" width="6.7109375" style="1986" customWidth="1"/>
    <col min="6915" max="6915" width="8.85546875" style="1986" customWidth="1"/>
    <col min="6916" max="6916" width="47.85546875" style="1986" customWidth="1"/>
    <col min="6917" max="6917" width="12.85546875" style="1986" customWidth="1"/>
    <col min="6918" max="6918" width="15.5703125" style="1986" customWidth="1"/>
    <col min="6919" max="6919" width="15.85546875" style="1986" customWidth="1"/>
    <col min="6920" max="6920" width="6.42578125" style="1986" customWidth="1"/>
    <col min="6921" max="6922" width="9.140625" style="1986"/>
    <col min="6923" max="6924" width="14.7109375" style="1986" bestFit="1" customWidth="1"/>
    <col min="6925" max="7168" width="9.140625" style="1986"/>
    <col min="7169" max="7169" width="5.5703125" style="1986" customWidth="1"/>
    <col min="7170" max="7170" width="6.7109375" style="1986" customWidth="1"/>
    <col min="7171" max="7171" width="8.85546875" style="1986" customWidth="1"/>
    <col min="7172" max="7172" width="47.85546875" style="1986" customWidth="1"/>
    <col min="7173" max="7173" width="12.85546875" style="1986" customWidth="1"/>
    <col min="7174" max="7174" width="15.5703125" style="1986" customWidth="1"/>
    <col min="7175" max="7175" width="15.85546875" style="1986" customWidth="1"/>
    <col min="7176" max="7176" width="6.42578125" style="1986" customWidth="1"/>
    <col min="7177" max="7178" width="9.140625" style="1986"/>
    <col min="7179" max="7180" width="14.7109375" style="1986" bestFit="1" customWidth="1"/>
    <col min="7181" max="7424" width="9.140625" style="1986"/>
    <col min="7425" max="7425" width="5.5703125" style="1986" customWidth="1"/>
    <col min="7426" max="7426" width="6.7109375" style="1986" customWidth="1"/>
    <col min="7427" max="7427" width="8.85546875" style="1986" customWidth="1"/>
    <col min="7428" max="7428" width="47.85546875" style="1986" customWidth="1"/>
    <col min="7429" max="7429" width="12.85546875" style="1986" customWidth="1"/>
    <col min="7430" max="7430" width="15.5703125" style="1986" customWidth="1"/>
    <col min="7431" max="7431" width="15.85546875" style="1986" customWidth="1"/>
    <col min="7432" max="7432" width="6.42578125" style="1986" customWidth="1"/>
    <col min="7433" max="7434" width="9.140625" style="1986"/>
    <col min="7435" max="7436" width="14.7109375" style="1986" bestFit="1" customWidth="1"/>
    <col min="7437" max="7680" width="9.140625" style="1986"/>
    <col min="7681" max="7681" width="5.5703125" style="1986" customWidth="1"/>
    <col min="7682" max="7682" width="6.7109375" style="1986" customWidth="1"/>
    <col min="7683" max="7683" width="8.85546875" style="1986" customWidth="1"/>
    <col min="7684" max="7684" width="47.85546875" style="1986" customWidth="1"/>
    <col min="7685" max="7685" width="12.85546875" style="1986" customWidth="1"/>
    <col min="7686" max="7686" width="15.5703125" style="1986" customWidth="1"/>
    <col min="7687" max="7687" width="15.85546875" style="1986" customWidth="1"/>
    <col min="7688" max="7688" width="6.42578125" style="1986" customWidth="1"/>
    <col min="7689" max="7690" width="9.140625" style="1986"/>
    <col min="7691" max="7692" width="14.7109375" style="1986" bestFit="1" customWidth="1"/>
    <col min="7693" max="7936" width="9.140625" style="1986"/>
    <col min="7937" max="7937" width="5.5703125" style="1986" customWidth="1"/>
    <col min="7938" max="7938" width="6.7109375" style="1986" customWidth="1"/>
    <col min="7939" max="7939" width="8.85546875" style="1986" customWidth="1"/>
    <col min="7940" max="7940" width="47.85546875" style="1986" customWidth="1"/>
    <col min="7941" max="7941" width="12.85546875" style="1986" customWidth="1"/>
    <col min="7942" max="7942" width="15.5703125" style="1986" customWidth="1"/>
    <col min="7943" max="7943" width="15.85546875" style="1986" customWidth="1"/>
    <col min="7944" max="7944" width="6.42578125" style="1986" customWidth="1"/>
    <col min="7945" max="7946" width="9.140625" style="1986"/>
    <col min="7947" max="7948" width="14.7109375" style="1986" bestFit="1" customWidth="1"/>
    <col min="7949" max="8192" width="9.140625" style="1986"/>
    <col min="8193" max="8193" width="5.5703125" style="1986" customWidth="1"/>
    <col min="8194" max="8194" width="6.7109375" style="1986" customWidth="1"/>
    <col min="8195" max="8195" width="8.85546875" style="1986" customWidth="1"/>
    <col min="8196" max="8196" width="47.85546875" style="1986" customWidth="1"/>
    <col min="8197" max="8197" width="12.85546875" style="1986" customWidth="1"/>
    <col min="8198" max="8198" width="15.5703125" style="1986" customWidth="1"/>
    <col min="8199" max="8199" width="15.85546875" style="1986" customWidth="1"/>
    <col min="8200" max="8200" width="6.42578125" style="1986" customWidth="1"/>
    <col min="8201" max="8202" width="9.140625" style="1986"/>
    <col min="8203" max="8204" width="14.7109375" style="1986" bestFit="1" customWidth="1"/>
    <col min="8205" max="8448" width="9.140625" style="1986"/>
    <col min="8449" max="8449" width="5.5703125" style="1986" customWidth="1"/>
    <col min="8450" max="8450" width="6.7109375" style="1986" customWidth="1"/>
    <col min="8451" max="8451" width="8.85546875" style="1986" customWidth="1"/>
    <col min="8452" max="8452" width="47.85546875" style="1986" customWidth="1"/>
    <col min="8453" max="8453" width="12.85546875" style="1986" customWidth="1"/>
    <col min="8454" max="8454" width="15.5703125" style="1986" customWidth="1"/>
    <col min="8455" max="8455" width="15.85546875" style="1986" customWidth="1"/>
    <col min="8456" max="8456" width="6.42578125" style="1986" customWidth="1"/>
    <col min="8457" max="8458" width="9.140625" style="1986"/>
    <col min="8459" max="8460" width="14.7109375" style="1986" bestFit="1" customWidth="1"/>
    <col min="8461" max="8704" width="9.140625" style="1986"/>
    <col min="8705" max="8705" width="5.5703125" style="1986" customWidth="1"/>
    <col min="8706" max="8706" width="6.7109375" style="1986" customWidth="1"/>
    <col min="8707" max="8707" width="8.85546875" style="1986" customWidth="1"/>
    <col min="8708" max="8708" width="47.85546875" style="1986" customWidth="1"/>
    <col min="8709" max="8709" width="12.85546875" style="1986" customWidth="1"/>
    <col min="8710" max="8710" width="15.5703125" style="1986" customWidth="1"/>
    <col min="8711" max="8711" width="15.85546875" style="1986" customWidth="1"/>
    <col min="8712" max="8712" width="6.42578125" style="1986" customWidth="1"/>
    <col min="8713" max="8714" width="9.140625" style="1986"/>
    <col min="8715" max="8716" width="14.7109375" style="1986" bestFit="1" customWidth="1"/>
    <col min="8717" max="8960" width="9.140625" style="1986"/>
    <col min="8961" max="8961" width="5.5703125" style="1986" customWidth="1"/>
    <col min="8962" max="8962" width="6.7109375" style="1986" customWidth="1"/>
    <col min="8963" max="8963" width="8.85546875" style="1986" customWidth="1"/>
    <col min="8964" max="8964" width="47.85546875" style="1986" customWidth="1"/>
    <col min="8965" max="8965" width="12.85546875" style="1986" customWidth="1"/>
    <col min="8966" max="8966" width="15.5703125" style="1986" customWidth="1"/>
    <col min="8967" max="8967" width="15.85546875" style="1986" customWidth="1"/>
    <col min="8968" max="8968" width="6.42578125" style="1986" customWidth="1"/>
    <col min="8969" max="8970" width="9.140625" style="1986"/>
    <col min="8971" max="8972" width="14.7109375" style="1986" bestFit="1" customWidth="1"/>
    <col min="8973" max="9216" width="9.140625" style="1986"/>
    <col min="9217" max="9217" width="5.5703125" style="1986" customWidth="1"/>
    <col min="9218" max="9218" width="6.7109375" style="1986" customWidth="1"/>
    <col min="9219" max="9219" width="8.85546875" style="1986" customWidth="1"/>
    <col min="9220" max="9220" width="47.85546875" style="1986" customWidth="1"/>
    <col min="9221" max="9221" width="12.85546875" style="1986" customWidth="1"/>
    <col min="9222" max="9222" width="15.5703125" style="1986" customWidth="1"/>
    <col min="9223" max="9223" width="15.85546875" style="1986" customWidth="1"/>
    <col min="9224" max="9224" width="6.42578125" style="1986" customWidth="1"/>
    <col min="9225" max="9226" width="9.140625" style="1986"/>
    <col min="9227" max="9228" width="14.7109375" style="1986" bestFit="1" customWidth="1"/>
    <col min="9229" max="9472" width="9.140625" style="1986"/>
    <col min="9473" max="9473" width="5.5703125" style="1986" customWidth="1"/>
    <col min="9474" max="9474" width="6.7109375" style="1986" customWidth="1"/>
    <col min="9475" max="9475" width="8.85546875" style="1986" customWidth="1"/>
    <col min="9476" max="9476" width="47.85546875" style="1986" customWidth="1"/>
    <col min="9477" max="9477" width="12.85546875" style="1986" customWidth="1"/>
    <col min="9478" max="9478" width="15.5703125" style="1986" customWidth="1"/>
    <col min="9479" max="9479" width="15.85546875" style="1986" customWidth="1"/>
    <col min="9480" max="9480" width="6.42578125" style="1986" customWidth="1"/>
    <col min="9481" max="9482" width="9.140625" style="1986"/>
    <col min="9483" max="9484" width="14.7109375" style="1986" bestFit="1" customWidth="1"/>
    <col min="9485" max="9728" width="9.140625" style="1986"/>
    <col min="9729" max="9729" width="5.5703125" style="1986" customWidth="1"/>
    <col min="9730" max="9730" width="6.7109375" style="1986" customWidth="1"/>
    <col min="9731" max="9731" width="8.85546875" style="1986" customWidth="1"/>
    <col min="9732" max="9732" width="47.85546875" style="1986" customWidth="1"/>
    <col min="9733" max="9733" width="12.85546875" style="1986" customWidth="1"/>
    <col min="9734" max="9734" width="15.5703125" style="1986" customWidth="1"/>
    <col min="9735" max="9735" width="15.85546875" style="1986" customWidth="1"/>
    <col min="9736" max="9736" width="6.42578125" style="1986" customWidth="1"/>
    <col min="9737" max="9738" width="9.140625" style="1986"/>
    <col min="9739" max="9740" width="14.7109375" style="1986" bestFit="1" customWidth="1"/>
    <col min="9741" max="9984" width="9.140625" style="1986"/>
    <col min="9985" max="9985" width="5.5703125" style="1986" customWidth="1"/>
    <col min="9986" max="9986" width="6.7109375" style="1986" customWidth="1"/>
    <col min="9987" max="9987" width="8.85546875" style="1986" customWidth="1"/>
    <col min="9988" max="9988" width="47.85546875" style="1986" customWidth="1"/>
    <col min="9989" max="9989" width="12.85546875" style="1986" customWidth="1"/>
    <col min="9990" max="9990" width="15.5703125" style="1986" customWidth="1"/>
    <col min="9991" max="9991" width="15.85546875" style="1986" customWidth="1"/>
    <col min="9992" max="9992" width="6.42578125" style="1986" customWidth="1"/>
    <col min="9993" max="9994" width="9.140625" style="1986"/>
    <col min="9995" max="9996" width="14.7109375" style="1986" bestFit="1" customWidth="1"/>
    <col min="9997" max="10240" width="9.140625" style="1986"/>
    <col min="10241" max="10241" width="5.5703125" style="1986" customWidth="1"/>
    <col min="10242" max="10242" width="6.7109375" style="1986" customWidth="1"/>
    <col min="10243" max="10243" width="8.85546875" style="1986" customWidth="1"/>
    <col min="10244" max="10244" width="47.85546875" style="1986" customWidth="1"/>
    <col min="10245" max="10245" width="12.85546875" style="1986" customWidth="1"/>
    <col min="10246" max="10246" width="15.5703125" style="1986" customWidth="1"/>
    <col min="10247" max="10247" width="15.85546875" style="1986" customWidth="1"/>
    <col min="10248" max="10248" width="6.42578125" style="1986" customWidth="1"/>
    <col min="10249" max="10250" width="9.140625" style="1986"/>
    <col min="10251" max="10252" width="14.7109375" style="1986" bestFit="1" customWidth="1"/>
    <col min="10253" max="10496" width="9.140625" style="1986"/>
    <col min="10497" max="10497" width="5.5703125" style="1986" customWidth="1"/>
    <col min="10498" max="10498" width="6.7109375" style="1986" customWidth="1"/>
    <col min="10499" max="10499" width="8.85546875" style="1986" customWidth="1"/>
    <col min="10500" max="10500" width="47.85546875" style="1986" customWidth="1"/>
    <col min="10501" max="10501" width="12.85546875" style="1986" customWidth="1"/>
    <col min="10502" max="10502" width="15.5703125" style="1986" customWidth="1"/>
    <col min="10503" max="10503" width="15.85546875" style="1986" customWidth="1"/>
    <col min="10504" max="10504" width="6.42578125" style="1986" customWidth="1"/>
    <col min="10505" max="10506" width="9.140625" style="1986"/>
    <col min="10507" max="10508" width="14.7109375" style="1986" bestFit="1" customWidth="1"/>
    <col min="10509" max="10752" width="9.140625" style="1986"/>
    <col min="10753" max="10753" width="5.5703125" style="1986" customWidth="1"/>
    <col min="10754" max="10754" width="6.7109375" style="1986" customWidth="1"/>
    <col min="10755" max="10755" width="8.85546875" style="1986" customWidth="1"/>
    <col min="10756" max="10756" width="47.85546875" style="1986" customWidth="1"/>
    <col min="10757" max="10757" width="12.85546875" style="1986" customWidth="1"/>
    <col min="10758" max="10758" width="15.5703125" style="1986" customWidth="1"/>
    <col min="10759" max="10759" width="15.85546875" style="1986" customWidth="1"/>
    <col min="10760" max="10760" width="6.42578125" style="1986" customWidth="1"/>
    <col min="10761" max="10762" width="9.140625" style="1986"/>
    <col min="10763" max="10764" width="14.7109375" style="1986" bestFit="1" customWidth="1"/>
    <col min="10765" max="11008" width="9.140625" style="1986"/>
    <col min="11009" max="11009" width="5.5703125" style="1986" customWidth="1"/>
    <col min="11010" max="11010" width="6.7109375" style="1986" customWidth="1"/>
    <col min="11011" max="11011" width="8.85546875" style="1986" customWidth="1"/>
    <col min="11012" max="11012" width="47.85546875" style="1986" customWidth="1"/>
    <col min="11013" max="11013" width="12.85546875" style="1986" customWidth="1"/>
    <col min="11014" max="11014" width="15.5703125" style="1986" customWidth="1"/>
    <col min="11015" max="11015" width="15.85546875" style="1986" customWidth="1"/>
    <col min="11016" max="11016" width="6.42578125" style="1986" customWidth="1"/>
    <col min="11017" max="11018" width="9.140625" style="1986"/>
    <col min="11019" max="11020" width="14.7109375" style="1986" bestFit="1" customWidth="1"/>
    <col min="11021" max="11264" width="9.140625" style="1986"/>
    <col min="11265" max="11265" width="5.5703125" style="1986" customWidth="1"/>
    <col min="11266" max="11266" width="6.7109375" style="1986" customWidth="1"/>
    <col min="11267" max="11267" width="8.85546875" style="1986" customWidth="1"/>
    <col min="11268" max="11268" width="47.85546875" style="1986" customWidth="1"/>
    <col min="11269" max="11269" width="12.85546875" style="1986" customWidth="1"/>
    <col min="11270" max="11270" width="15.5703125" style="1986" customWidth="1"/>
    <col min="11271" max="11271" width="15.85546875" style="1986" customWidth="1"/>
    <col min="11272" max="11272" width="6.42578125" style="1986" customWidth="1"/>
    <col min="11273" max="11274" width="9.140625" style="1986"/>
    <col min="11275" max="11276" width="14.7109375" style="1986" bestFit="1" customWidth="1"/>
    <col min="11277" max="11520" width="9.140625" style="1986"/>
    <col min="11521" max="11521" width="5.5703125" style="1986" customWidth="1"/>
    <col min="11522" max="11522" width="6.7109375" style="1986" customWidth="1"/>
    <col min="11523" max="11523" width="8.85546875" style="1986" customWidth="1"/>
    <col min="11524" max="11524" width="47.85546875" style="1986" customWidth="1"/>
    <col min="11525" max="11525" width="12.85546875" style="1986" customWidth="1"/>
    <col min="11526" max="11526" width="15.5703125" style="1986" customWidth="1"/>
    <col min="11527" max="11527" width="15.85546875" style="1986" customWidth="1"/>
    <col min="11528" max="11528" width="6.42578125" style="1986" customWidth="1"/>
    <col min="11529" max="11530" width="9.140625" style="1986"/>
    <col min="11531" max="11532" width="14.7109375" style="1986" bestFit="1" customWidth="1"/>
    <col min="11533" max="11776" width="9.140625" style="1986"/>
    <col min="11777" max="11777" width="5.5703125" style="1986" customWidth="1"/>
    <col min="11778" max="11778" width="6.7109375" style="1986" customWidth="1"/>
    <col min="11779" max="11779" width="8.85546875" style="1986" customWidth="1"/>
    <col min="11780" max="11780" width="47.85546875" style="1986" customWidth="1"/>
    <col min="11781" max="11781" width="12.85546875" style="1986" customWidth="1"/>
    <col min="11782" max="11782" width="15.5703125" style="1986" customWidth="1"/>
    <col min="11783" max="11783" width="15.85546875" style="1986" customWidth="1"/>
    <col min="11784" max="11784" width="6.42578125" style="1986" customWidth="1"/>
    <col min="11785" max="11786" width="9.140625" style="1986"/>
    <col min="11787" max="11788" width="14.7109375" style="1986" bestFit="1" customWidth="1"/>
    <col min="11789" max="12032" width="9.140625" style="1986"/>
    <col min="12033" max="12033" width="5.5703125" style="1986" customWidth="1"/>
    <col min="12034" max="12034" width="6.7109375" style="1986" customWidth="1"/>
    <col min="12035" max="12035" width="8.85546875" style="1986" customWidth="1"/>
    <col min="12036" max="12036" width="47.85546875" style="1986" customWidth="1"/>
    <col min="12037" max="12037" width="12.85546875" style="1986" customWidth="1"/>
    <col min="12038" max="12038" width="15.5703125" style="1986" customWidth="1"/>
    <col min="12039" max="12039" width="15.85546875" style="1986" customWidth="1"/>
    <col min="12040" max="12040" width="6.42578125" style="1986" customWidth="1"/>
    <col min="12041" max="12042" width="9.140625" style="1986"/>
    <col min="12043" max="12044" width="14.7109375" style="1986" bestFit="1" customWidth="1"/>
    <col min="12045" max="12288" width="9.140625" style="1986"/>
    <col min="12289" max="12289" width="5.5703125" style="1986" customWidth="1"/>
    <col min="12290" max="12290" width="6.7109375" style="1986" customWidth="1"/>
    <col min="12291" max="12291" width="8.85546875" style="1986" customWidth="1"/>
    <col min="12292" max="12292" width="47.85546875" style="1986" customWidth="1"/>
    <col min="12293" max="12293" width="12.85546875" style="1986" customWidth="1"/>
    <col min="12294" max="12294" width="15.5703125" style="1986" customWidth="1"/>
    <col min="12295" max="12295" width="15.85546875" style="1986" customWidth="1"/>
    <col min="12296" max="12296" width="6.42578125" style="1986" customWidth="1"/>
    <col min="12297" max="12298" width="9.140625" style="1986"/>
    <col min="12299" max="12300" width="14.7109375" style="1986" bestFit="1" customWidth="1"/>
    <col min="12301" max="12544" width="9.140625" style="1986"/>
    <col min="12545" max="12545" width="5.5703125" style="1986" customWidth="1"/>
    <col min="12546" max="12546" width="6.7109375" style="1986" customWidth="1"/>
    <col min="12547" max="12547" width="8.85546875" style="1986" customWidth="1"/>
    <col min="12548" max="12548" width="47.85546875" style="1986" customWidth="1"/>
    <col min="12549" max="12549" width="12.85546875" style="1986" customWidth="1"/>
    <col min="12550" max="12550" width="15.5703125" style="1986" customWidth="1"/>
    <col min="12551" max="12551" width="15.85546875" style="1986" customWidth="1"/>
    <col min="12552" max="12552" width="6.42578125" style="1986" customWidth="1"/>
    <col min="12553" max="12554" width="9.140625" style="1986"/>
    <col min="12555" max="12556" width="14.7109375" style="1986" bestFit="1" customWidth="1"/>
    <col min="12557" max="12800" width="9.140625" style="1986"/>
    <col min="12801" max="12801" width="5.5703125" style="1986" customWidth="1"/>
    <col min="12802" max="12802" width="6.7109375" style="1986" customWidth="1"/>
    <col min="12803" max="12803" width="8.85546875" style="1986" customWidth="1"/>
    <col min="12804" max="12804" width="47.85546875" style="1986" customWidth="1"/>
    <col min="12805" max="12805" width="12.85546875" style="1986" customWidth="1"/>
    <col min="12806" max="12806" width="15.5703125" style="1986" customWidth="1"/>
    <col min="12807" max="12807" width="15.85546875" style="1986" customWidth="1"/>
    <col min="12808" max="12808" width="6.42578125" style="1986" customWidth="1"/>
    <col min="12809" max="12810" width="9.140625" style="1986"/>
    <col min="12811" max="12812" width="14.7109375" style="1986" bestFit="1" customWidth="1"/>
    <col min="12813" max="13056" width="9.140625" style="1986"/>
    <col min="13057" max="13057" width="5.5703125" style="1986" customWidth="1"/>
    <col min="13058" max="13058" width="6.7109375" style="1986" customWidth="1"/>
    <col min="13059" max="13059" width="8.85546875" style="1986" customWidth="1"/>
    <col min="13060" max="13060" width="47.85546875" style="1986" customWidth="1"/>
    <col min="13061" max="13061" width="12.85546875" style="1986" customWidth="1"/>
    <col min="13062" max="13062" width="15.5703125" style="1986" customWidth="1"/>
    <col min="13063" max="13063" width="15.85546875" style="1986" customWidth="1"/>
    <col min="13064" max="13064" width="6.42578125" style="1986" customWidth="1"/>
    <col min="13065" max="13066" width="9.140625" style="1986"/>
    <col min="13067" max="13068" width="14.7109375" style="1986" bestFit="1" customWidth="1"/>
    <col min="13069" max="13312" width="9.140625" style="1986"/>
    <col min="13313" max="13313" width="5.5703125" style="1986" customWidth="1"/>
    <col min="13314" max="13314" width="6.7109375" style="1986" customWidth="1"/>
    <col min="13315" max="13315" width="8.85546875" style="1986" customWidth="1"/>
    <col min="13316" max="13316" width="47.85546875" style="1986" customWidth="1"/>
    <col min="13317" max="13317" width="12.85546875" style="1986" customWidth="1"/>
    <col min="13318" max="13318" width="15.5703125" style="1986" customWidth="1"/>
    <col min="13319" max="13319" width="15.85546875" style="1986" customWidth="1"/>
    <col min="13320" max="13320" width="6.42578125" style="1986" customWidth="1"/>
    <col min="13321" max="13322" width="9.140625" style="1986"/>
    <col min="13323" max="13324" width="14.7109375" style="1986" bestFit="1" customWidth="1"/>
    <col min="13325" max="13568" width="9.140625" style="1986"/>
    <col min="13569" max="13569" width="5.5703125" style="1986" customWidth="1"/>
    <col min="13570" max="13570" width="6.7109375" style="1986" customWidth="1"/>
    <col min="13571" max="13571" width="8.85546875" style="1986" customWidth="1"/>
    <col min="13572" max="13572" width="47.85546875" style="1986" customWidth="1"/>
    <col min="13573" max="13573" width="12.85546875" style="1986" customWidth="1"/>
    <col min="13574" max="13574" width="15.5703125" style="1986" customWidth="1"/>
    <col min="13575" max="13575" width="15.85546875" style="1986" customWidth="1"/>
    <col min="13576" max="13576" width="6.42578125" style="1986" customWidth="1"/>
    <col min="13577" max="13578" width="9.140625" style="1986"/>
    <col min="13579" max="13580" width="14.7109375" style="1986" bestFit="1" customWidth="1"/>
    <col min="13581" max="13824" width="9.140625" style="1986"/>
    <col min="13825" max="13825" width="5.5703125" style="1986" customWidth="1"/>
    <col min="13826" max="13826" width="6.7109375" style="1986" customWidth="1"/>
    <col min="13827" max="13827" width="8.85546875" style="1986" customWidth="1"/>
    <col min="13828" max="13828" width="47.85546875" style="1986" customWidth="1"/>
    <col min="13829" max="13829" width="12.85546875" style="1986" customWidth="1"/>
    <col min="13830" max="13830" width="15.5703125" style="1986" customWidth="1"/>
    <col min="13831" max="13831" width="15.85546875" style="1986" customWidth="1"/>
    <col min="13832" max="13832" width="6.42578125" style="1986" customWidth="1"/>
    <col min="13833" max="13834" width="9.140625" style="1986"/>
    <col min="13835" max="13836" width="14.7109375" style="1986" bestFit="1" customWidth="1"/>
    <col min="13837" max="14080" width="9.140625" style="1986"/>
    <col min="14081" max="14081" width="5.5703125" style="1986" customWidth="1"/>
    <col min="14082" max="14082" width="6.7109375" style="1986" customWidth="1"/>
    <col min="14083" max="14083" width="8.85546875" style="1986" customWidth="1"/>
    <col min="14084" max="14084" width="47.85546875" style="1986" customWidth="1"/>
    <col min="14085" max="14085" width="12.85546875" style="1986" customWidth="1"/>
    <col min="14086" max="14086" width="15.5703125" style="1986" customWidth="1"/>
    <col min="14087" max="14087" width="15.85546875" style="1986" customWidth="1"/>
    <col min="14088" max="14088" width="6.42578125" style="1986" customWidth="1"/>
    <col min="14089" max="14090" width="9.140625" style="1986"/>
    <col min="14091" max="14092" width="14.7109375" style="1986" bestFit="1" customWidth="1"/>
    <col min="14093" max="14336" width="9.140625" style="1986"/>
    <col min="14337" max="14337" width="5.5703125" style="1986" customWidth="1"/>
    <col min="14338" max="14338" width="6.7109375" style="1986" customWidth="1"/>
    <col min="14339" max="14339" width="8.85546875" style="1986" customWidth="1"/>
    <col min="14340" max="14340" width="47.85546875" style="1986" customWidth="1"/>
    <col min="14341" max="14341" width="12.85546875" style="1986" customWidth="1"/>
    <col min="14342" max="14342" width="15.5703125" style="1986" customWidth="1"/>
    <col min="14343" max="14343" width="15.85546875" style="1986" customWidth="1"/>
    <col min="14344" max="14344" width="6.42578125" style="1986" customWidth="1"/>
    <col min="14345" max="14346" width="9.140625" style="1986"/>
    <col min="14347" max="14348" width="14.7109375" style="1986" bestFit="1" customWidth="1"/>
    <col min="14349" max="14592" width="9.140625" style="1986"/>
    <col min="14593" max="14593" width="5.5703125" style="1986" customWidth="1"/>
    <col min="14594" max="14594" width="6.7109375" style="1986" customWidth="1"/>
    <col min="14595" max="14595" width="8.85546875" style="1986" customWidth="1"/>
    <col min="14596" max="14596" width="47.85546875" style="1986" customWidth="1"/>
    <col min="14597" max="14597" width="12.85546875" style="1986" customWidth="1"/>
    <col min="14598" max="14598" width="15.5703125" style="1986" customWidth="1"/>
    <col min="14599" max="14599" width="15.85546875" style="1986" customWidth="1"/>
    <col min="14600" max="14600" width="6.42578125" style="1986" customWidth="1"/>
    <col min="14601" max="14602" width="9.140625" style="1986"/>
    <col min="14603" max="14604" width="14.7109375" style="1986" bestFit="1" customWidth="1"/>
    <col min="14605" max="14848" width="9.140625" style="1986"/>
    <col min="14849" max="14849" width="5.5703125" style="1986" customWidth="1"/>
    <col min="14850" max="14850" width="6.7109375" style="1986" customWidth="1"/>
    <col min="14851" max="14851" width="8.85546875" style="1986" customWidth="1"/>
    <col min="14852" max="14852" width="47.85546875" style="1986" customWidth="1"/>
    <col min="14853" max="14853" width="12.85546875" style="1986" customWidth="1"/>
    <col min="14854" max="14854" width="15.5703125" style="1986" customWidth="1"/>
    <col min="14855" max="14855" width="15.85546875" style="1986" customWidth="1"/>
    <col min="14856" max="14856" width="6.42578125" style="1986" customWidth="1"/>
    <col min="14857" max="14858" width="9.140625" style="1986"/>
    <col min="14859" max="14860" width="14.7109375" style="1986" bestFit="1" customWidth="1"/>
    <col min="14861" max="15104" width="9.140625" style="1986"/>
    <col min="15105" max="15105" width="5.5703125" style="1986" customWidth="1"/>
    <col min="15106" max="15106" width="6.7109375" style="1986" customWidth="1"/>
    <col min="15107" max="15107" width="8.85546875" style="1986" customWidth="1"/>
    <col min="15108" max="15108" width="47.85546875" style="1986" customWidth="1"/>
    <col min="15109" max="15109" width="12.85546875" style="1986" customWidth="1"/>
    <col min="15110" max="15110" width="15.5703125" style="1986" customWidth="1"/>
    <col min="15111" max="15111" width="15.85546875" style="1986" customWidth="1"/>
    <col min="15112" max="15112" width="6.42578125" style="1986" customWidth="1"/>
    <col min="15113" max="15114" width="9.140625" style="1986"/>
    <col min="15115" max="15116" width="14.7109375" style="1986" bestFit="1" customWidth="1"/>
    <col min="15117" max="15360" width="9.140625" style="1986"/>
    <col min="15361" max="15361" width="5.5703125" style="1986" customWidth="1"/>
    <col min="15362" max="15362" width="6.7109375" style="1986" customWidth="1"/>
    <col min="15363" max="15363" width="8.85546875" style="1986" customWidth="1"/>
    <col min="15364" max="15364" width="47.85546875" style="1986" customWidth="1"/>
    <col min="15365" max="15365" width="12.85546875" style="1986" customWidth="1"/>
    <col min="15366" max="15366" width="15.5703125" style="1986" customWidth="1"/>
    <col min="15367" max="15367" width="15.85546875" style="1986" customWidth="1"/>
    <col min="15368" max="15368" width="6.42578125" style="1986" customWidth="1"/>
    <col min="15369" max="15370" width="9.140625" style="1986"/>
    <col min="15371" max="15372" width="14.7109375" style="1986" bestFit="1" customWidth="1"/>
    <col min="15373" max="15616" width="9.140625" style="1986"/>
    <col min="15617" max="15617" width="5.5703125" style="1986" customWidth="1"/>
    <col min="15618" max="15618" width="6.7109375" style="1986" customWidth="1"/>
    <col min="15619" max="15619" width="8.85546875" style="1986" customWidth="1"/>
    <col min="15620" max="15620" width="47.85546875" style="1986" customWidth="1"/>
    <col min="15621" max="15621" width="12.85546875" style="1986" customWidth="1"/>
    <col min="15622" max="15622" width="15.5703125" style="1986" customWidth="1"/>
    <col min="15623" max="15623" width="15.85546875" style="1986" customWidth="1"/>
    <col min="15624" max="15624" width="6.42578125" style="1986" customWidth="1"/>
    <col min="15625" max="15626" width="9.140625" style="1986"/>
    <col min="15627" max="15628" width="14.7109375" style="1986" bestFit="1" customWidth="1"/>
    <col min="15629" max="15872" width="9.140625" style="1986"/>
    <col min="15873" max="15873" width="5.5703125" style="1986" customWidth="1"/>
    <col min="15874" max="15874" width="6.7109375" style="1986" customWidth="1"/>
    <col min="15875" max="15875" width="8.85546875" style="1986" customWidth="1"/>
    <col min="15876" max="15876" width="47.85546875" style="1986" customWidth="1"/>
    <col min="15877" max="15877" width="12.85546875" style="1986" customWidth="1"/>
    <col min="15878" max="15878" width="15.5703125" style="1986" customWidth="1"/>
    <col min="15879" max="15879" width="15.85546875" style="1986" customWidth="1"/>
    <col min="15880" max="15880" width="6.42578125" style="1986" customWidth="1"/>
    <col min="15881" max="15882" width="9.140625" style="1986"/>
    <col min="15883" max="15884" width="14.7109375" style="1986" bestFit="1" customWidth="1"/>
    <col min="15885" max="16128" width="9.140625" style="1986"/>
    <col min="16129" max="16129" width="5.5703125" style="1986" customWidth="1"/>
    <col min="16130" max="16130" width="6.7109375" style="1986" customWidth="1"/>
    <col min="16131" max="16131" width="8.85546875" style="1986" customWidth="1"/>
    <col min="16132" max="16132" width="47.85546875" style="1986" customWidth="1"/>
    <col min="16133" max="16133" width="12.85546875" style="1986" customWidth="1"/>
    <col min="16134" max="16134" width="15.5703125" style="1986" customWidth="1"/>
    <col min="16135" max="16135" width="15.85546875" style="1986" customWidth="1"/>
    <col min="16136" max="16136" width="6.42578125" style="1986" customWidth="1"/>
    <col min="16137" max="16138" width="9.140625" style="1986"/>
    <col min="16139" max="16140" width="14.7109375" style="1986" bestFit="1" customWidth="1"/>
    <col min="16141" max="16384" width="9.140625" style="1986"/>
  </cols>
  <sheetData>
    <row r="1" spans="1:8" ht="18.75" thickBot="1" x14ac:dyDescent="0.3">
      <c r="A1" s="1980" t="s">
        <v>1408</v>
      </c>
      <c r="B1" s="1981"/>
      <c r="C1" s="1982"/>
      <c r="D1" s="1983"/>
      <c r="E1" s="1984"/>
      <c r="F1" s="1983"/>
      <c r="G1" s="1985"/>
      <c r="H1" s="1980"/>
    </row>
    <row r="2" spans="1:8" ht="18" x14ac:dyDescent="0.25">
      <c r="A2" s="1987"/>
      <c r="B2" s="1988"/>
      <c r="C2" s="1988"/>
      <c r="D2" s="1988"/>
      <c r="E2" s="1988"/>
      <c r="F2" s="1988"/>
      <c r="G2" s="1988"/>
      <c r="H2" s="1989" t="s">
        <v>1407</v>
      </c>
    </row>
    <row r="3" spans="1:8" ht="18" x14ac:dyDescent="0.25">
      <c r="A3" s="1990" t="s">
        <v>367</v>
      </c>
      <c r="B3" s="1988"/>
      <c r="C3" s="1991" t="s">
        <v>347</v>
      </c>
      <c r="D3" s="1988"/>
      <c r="E3" s="1988"/>
      <c r="F3" s="1988"/>
      <c r="G3" s="1988"/>
      <c r="H3" s="1989"/>
    </row>
    <row r="4" spans="1:8" ht="18" x14ac:dyDescent="0.25">
      <c r="A4" s="1987"/>
      <c r="B4" s="1988"/>
      <c r="C4" s="1991" t="s">
        <v>348</v>
      </c>
      <c r="D4" s="1988"/>
      <c r="E4" s="1988"/>
      <c r="F4" s="1988"/>
      <c r="G4" s="1988"/>
      <c r="H4" s="1989"/>
    </row>
    <row r="5" spans="1:8" ht="18" x14ac:dyDescent="0.25">
      <c r="A5" s="1992" t="s">
        <v>1406</v>
      </c>
      <c r="B5" s="1988"/>
      <c r="C5" s="1988"/>
      <c r="D5" s="1988"/>
      <c r="E5" s="1988"/>
      <c r="F5" s="1988"/>
      <c r="G5" s="1988"/>
      <c r="H5" s="1989"/>
    </row>
    <row r="6" spans="1:8" ht="18" x14ac:dyDescent="0.25">
      <c r="A6" s="1992"/>
      <c r="B6" s="1988"/>
      <c r="C6" s="1988"/>
      <c r="D6" s="1988"/>
      <c r="E6" s="1988"/>
      <c r="F6" s="1988"/>
      <c r="G6" s="1988"/>
      <c r="H6" s="1989"/>
    </row>
    <row r="7" spans="1:8" x14ac:dyDescent="0.2">
      <c r="A7" s="1993"/>
      <c r="B7" s="1993"/>
      <c r="C7" s="1993"/>
      <c r="E7" s="1994"/>
      <c r="F7" s="1994"/>
      <c r="G7" s="1994"/>
    </row>
    <row r="8" spans="1:8" ht="27" customHeight="1" x14ac:dyDescent="0.25">
      <c r="A8" s="2760" t="s">
        <v>1573</v>
      </c>
      <c r="B8" s="2761"/>
      <c r="C8" s="2761"/>
      <c r="D8" s="2761"/>
      <c r="E8" s="2761"/>
      <c r="F8" s="2761"/>
      <c r="G8" s="2761"/>
      <c r="H8" s="2761"/>
    </row>
    <row r="9" spans="1:8" ht="15.75" thickBot="1" x14ac:dyDescent="0.3">
      <c r="A9" s="1979" t="s">
        <v>1574</v>
      </c>
      <c r="B9" s="1993"/>
      <c r="C9" s="1993"/>
      <c r="E9" s="1994"/>
      <c r="F9" s="1994"/>
      <c r="G9" s="1994"/>
      <c r="H9" s="1995" t="s">
        <v>161</v>
      </c>
    </row>
    <row r="10" spans="1:8" ht="25.5" thickTop="1" thickBot="1" x14ac:dyDescent="0.25">
      <c r="A10" s="1809" t="s">
        <v>162</v>
      </c>
      <c r="B10" s="1810" t="s">
        <v>761</v>
      </c>
      <c r="C10" s="1810" t="s">
        <v>377</v>
      </c>
      <c r="D10" s="1811" t="s">
        <v>164</v>
      </c>
      <c r="E10" s="1833" t="s">
        <v>632</v>
      </c>
      <c r="F10" s="1833" t="s">
        <v>633</v>
      </c>
      <c r="G10" s="1834" t="s">
        <v>882</v>
      </c>
      <c r="H10" s="1835" t="s">
        <v>883</v>
      </c>
    </row>
    <row r="11" spans="1:8" ht="14.25" thickTop="1" thickBot="1" x14ac:dyDescent="0.25">
      <c r="A11" s="1643">
        <v>1</v>
      </c>
      <c r="B11" s="1642">
        <v>2</v>
      </c>
      <c r="C11" s="1642">
        <v>3</v>
      </c>
      <c r="D11" s="1642">
        <v>4</v>
      </c>
      <c r="E11" s="1641">
        <v>5</v>
      </c>
      <c r="F11" s="1641">
        <v>6</v>
      </c>
      <c r="G11" s="1877">
        <v>7</v>
      </c>
      <c r="H11" s="1901" t="s">
        <v>61</v>
      </c>
    </row>
    <row r="12" spans="1:8" ht="15.75" thickTop="1" x14ac:dyDescent="0.2">
      <c r="A12" s="2007">
        <v>3299</v>
      </c>
      <c r="B12" s="2008">
        <v>5011</v>
      </c>
      <c r="C12" s="2008">
        <v>32133019</v>
      </c>
      <c r="D12" s="2009" t="s">
        <v>206</v>
      </c>
      <c r="E12" s="2010">
        <v>0</v>
      </c>
      <c r="F12" s="2010">
        <v>13</v>
      </c>
      <c r="G12" s="2010">
        <v>10</v>
      </c>
      <c r="H12" s="2011">
        <f t="shared" ref="H12:H19" si="0">G12/F12*100</f>
        <v>76.923076923076934</v>
      </c>
    </row>
    <row r="13" spans="1:8" ht="15" x14ac:dyDescent="0.2">
      <c r="A13" s="2012">
        <v>3299</v>
      </c>
      <c r="B13" s="2013">
        <v>5011</v>
      </c>
      <c r="C13" s="2013">
        <v>32533019</v>
      </c>
      <c r="D13" s="2014" t="s">
        <v>206</v>
      </c>
      <c r="E13" s="2015">
        <v>0</v>
      </c>
      <c r="F13" s="2015">
        <v>74</v>
      </c>
      <c r="G13" s="2015">
        <v>56</v>
      </c>
      <c r="H13" s="2016">
        <f t="shared" si="0"/>
        <v>75.675675675675677</v>
      </c>
    </row>
    <row r="14" spans="1:8" ht="15" x14ac:dyDescent="0.2">
      <c r="A14" s="2012">
        <v>3299</v>
      </c>
      <c r="B14" s="2013">
        <v>5021</v>
      </c>
      <c r="C14" s="2013">
        <v>32133019</v>
      </c>
      <c r="D14" s="2014" t="s">
        <v>389</v>
      </c>
      <c r="E14" s="2015">
        <v>0</v>
      </c>
      <c r="F14" s="2015">
        <v>271</v>
      </c>
      <c r="G14" s="2015">
        <v>266</v>
      </c>
      <c r="H14" s="2016">
        <f t="shared" si="0"/>
        <v>98.154981549815503</v>
      </c>
    </row>
    <row r="15" spans="1:8" ht="15" x14ac:dyDescent="0.2">
      <c r="A15" s="2012">
        <v>3299</v>
      </c>
      <c r="B15" s="2013">
        <v>5021</v>
      </c>
      <c r="C15" s="2013">
        <v>32533019</v>
      </c>
      <c r="D15" s="2014" t="s">
        <v>389</v>
      </c>
      <c r="E15" s="2015">
        <v>0</v>
      </c>
      <c r="F15" s="2015">
        <v>1537</v>
      </c>
      <c r="G15" s="2015">
        <v>1506</v>
      </c>
      <c r="H15" s="2016">
        <f t="shared" si="0"/>
        <v>97.983083929733255</v>
      </c>
    </row>
    <row r="16" spans="1:8" ht="30" x14ac:dyDescent="0.2">
      <c r="A16" s="2012">
        <v>3299</v>
      </c>
      <c r="B16" s="2013">
        <v>5031</v>
      </c>
      <c r="C16" s="2013">
        <v>32133019</v>
      </c>
      <c r="D16" s="2014" t="s">
        <v>1299</v>
      </c>
      <c r="E16" s="2015">
        <v>0</v>
      </c>
      <c r="F16" s="2015">
        <v>43</v>
      </c>
      <c r="G16" s="2015">
        <v>31</v>
      </c>
      <c r="H16" s="2016">
        <f t="shared" si="0"/>
        <v>72.093023255813947</v>
      </c>
    </row>
    <row r="17" spans="1:8" ht="30" x14ac:dyDescent="0.2">
      <c r="A17" s="2012">
        <v>3299</v>
      </c>
      <c r="B17" s="2013">
        <v>5031</v>
      </c>
      <c r="C17" s="2013">
        <v>32533019</v>
      </c>
      <c r="D17" s="2014" t="s">
        <v>1299</v>
      </c>
      <c r="E17" s="2015">
        <v>0</v>
      </c>
      <c r="F17" s="2015">
        <v>244</v>
      </c>
      <c r="G17" s="2015">
        <v>173</v>
      </c>
      <c r="H17" s="2016">
        <f t="shared" si="0"/>
        <v>70.901639344262293</v>
      </c>
    </row>
    <row r="18" spans="1:8" ht="30" customHeight="1" x14ac:dyDescent="0.2">
      <c r="A18" s="2012">
        <v>3299</v>
      </c>
      <c r="B18" s="2013">
        <v>5032</v>
      </c>
      <c r="C18" s="2017">
        <v>32133019</v>
      </c>
      <c r="D18" s="2014" t="s">
        <v>1177</v>
      </c>
      <c r="E18" s="2015">
        <v>0</v>
      </c>
      <c r="F18" s="2015">
        <v>16</v>
      </c>
      <c r="G18" s="2015">
        <v>11</v>
      </c>
      <c r="H18" s="2016">
        <f t="shared" si="0"/>
        <v>68.75</v>
      </c>
    </row>
    <row r="19" spans="1:8" ht="30" x14ac:dyDescent="0.2">
      <c r="A19" s="2012">
        <v>3299</v>
      </c>
      <c r="B19" s="2013">
        <v>5032</v>
      </c>
      <c r="C19" s="2017">
        <v>32533019</v>
      </c>
      <c r="D19" s="2014" t="s">
        <v>1177</v>
      </c>
      <c r="E19" s="2015">
        <v>0</v>
      </c>
      <c r="F19" s="2015">
        <v>89</v>
      </c>
      <c r="G19" s="2015">
        <v>62</v>
      </c>
      <c r="H19" s="2016">
        <f t="shared" si="0"/>
        <v>69.662921348314612</v>
      </c>
    </row>
    <row r="20" spans="1:8" ht="15" x14ac:dyDescent="0.2">
      <c r="A20" s="2012">
        <v>3299</v>
      </c>
      <c r="B20" s="2013">
        <v>5166</v>
      </c>
      <c r="C20" s="2017">
        <v>32133019</v>
      </c>
      <c r="D20" s="2014" t="s">
        <v>609</v>
      </c>
      <c r="E20" s="2015">
        <v>0</v>
      </c>
      <c r="F20" s="2015">
        <v>15</v>
      </c>
      <c r="G20" s="2015">
        <v>15</v>
      </c>
      <c r="H20" s="2016">
        <v>0</v>
      </c>
    </row>
    <row r="21" spans="1:8" ht="15" x14ac:dyDescent="0.2">
      <c r="A21" s="2012">
        <v>3299</v>
      </c>
      <c r="B21" s="2013">
        <v>5166</v>
      </c>
      <c r="C21" s="2017">
        <v>32533019</v>
      </c>
      <c r="D21" s="2014" t="s">
        <v>609</v>
      </c>
      <c r="E21" s="2015">
        <v>0</v>
      </c>
      <c r="F21" s="2015">
        <v>86</v>
      </c>
      <c r="G21" s="2015">
        <v>86</v>
      </c>
      <c r="H21" s="2016">
        <f t="shared" ref="H21:H31" si="1">G21/F21*100</f>
        <v>100</v>
      </c>
    </row>
    <row r="22" spans="1:8" ht="15" x14ac:dyDescent="0.2">
      <c r="A22" s="2012">
        <v>3299</v>
      </c>
      <c r="B22" s="2013">
        <v>5169</v>
      </c>
      <c r="C22" s="2017">
        <v>32133019</v>
      </c>
      <c r="D22" s="2014" t="s">
        <v>852</v>
      </c>
      <c r="E22" s="2015">
        <v>0</v>
      </c>
      <c r="F22" s="2015">
        <v>15</v>
      </c>
      <c r="G22" s="2015">
        <v>0</v>
      </c>
      <c r="H22" s="2016">
        <f t="shared" si="1"/>
        <v>0</v>
      </c>
    </row>
    <row r="23" spans="1:8" ht="15" x14ac:dyDescent="0.2">
      <c r="A23" s="2012">
        <v>3299</v>
      </c>
      <c r="B23" s="2013">
        <v>5169</v>
      </c>
      <c r="C23" s="2017">
        <v>32533019</v>
      </c>
      <c r="D23" s="2014" t="s">
        <v>852</v>
      </c>
      <c r="E23" s="2015">
        <v>0</v>
      </c>
      <c r="F23" s="2015">
        <v>85</v>
      </c>
      <c r="G23" s="2015">
        <v>0</v>
      </c>
      <c r="H23" s="2016">
        <f t="shared" si="1"/>
        <v>0</v>
      </c>
    </row>
    <row r="24" spans="1:8" ht="15" x14ac:dyDescent="0.2">
      <c r="A24" s="2012">
        <v>3299</v>
      </c>
      <c r="B24" s="2013">
        <v>5424</v>
      </c>
      <c r="C24" s="2017">
        <v>32133019</v>
      </c>
      <c r="D24" s="2014" t="s">
        <v>650</v>
      </c>
      <c r="E24" s="2015">
        <v>0</v>
      </c>
      <c r="F24" s="2015">
        <v>0</v>
      </c>
      <c r="G24" s="2015">
        <v>0</v>
      </c>
      <c r="H24" s="2016">
        <v>0</v>
      </c>
    </row>
    <row r="25" spans="1:8" ht="15" x14ac:dyDescent="0.2">
      <c r="A25" s="2012">
        <v>3299</v>
      </c>
      <c r="B25" s="2013">
        <v>5424</v>
      </c>
      <c r="C25" s="2017">
        <v>32533019</v>
      </c>
      <c r="D25" s="2014" t="s">
        <v>650</v>
      </c>
      <c r="E25" s="2015">
        <v>0</v>
      </c>
      <c r="F25" s="2015">
        <v>2</v>
      </c>
      <c r="G25" s="2015">
        <v>2</v>
      </c>
      <c r="H25" s="2016">
        <f t="shared" si="1"/>
        <v>100</v>
      </c>
    </row>
    <row r="26" spans="1:8" ht="15" hidden="1" x14ac:dyDescent="0.2">
      <c r="A26" s="2012">
        <v>3299</v>
      </c>
      <c r="B26" s="2013">
        <v>5901</v>
      </c>
      <c r="C26" s="2017">
        <v>0</v>
      </c>
      <c r="D26" s="2014" t="s">
        <v>602</v>
      </c>
      <c r="E26" s="2015">
        <v>0</v>
      </c>
      <c r="F26" s="2015"/>
      <c r="G26" s="2015">
        <v>0</v>
      </c>
      <c r="H26" s="2016" t="e">
        <f t="shared" si="1"/>
        <v>#DIV/0!</v>
      </c>
    </row>
    <row r="27" spans="1:8" ht="15" x14ac:dyDescent="0.2">
      <c r="A27" s="2012">
        <v>3299</v>
      </c>
      <c r="B27" s="2013">
        <v>5901</v>
      </c>
      <c r="C27" s="2017">
        <v>32133019</v>
      </c>
      <c r="D27" s="2014" t="s">
        <v>602</v>
      </c>
      <c r="E27" s="2015">
        <v>0</v>
      </c>
      <c r="F27" s="2015">
        <v>327</v>
      </c>
      <c r="G27" s="2015">
        <v>0</v>
      </c>
      <c r="H27" s="2016">
        <f t="shared" si="1"/>
        <v>0</v>
      </c>
    </row>
    <row r="28" spans="1:8" ht="15" x14ac:dyDescent="0.2">
      <c r="A28" s="2012">
        <v>3299</v>
      </c>
      <c r="B28" s="2013">
        <v>5901</v>
      </c>
      <c r="C28" s="2017">
        <v>32533019</v>
      </c>
      <c r="D28" s="2014" t="s">
        <v>602</v>
      </c>
      <c r="E28" s="2015">
        <v>0</v>
      </c>
      <c r="F28" s="2015">
        <v>1855</v>
      </c>
      <c r="G28" s="2015">
        <v>0</v>
      </c>
      <c r="H28" s="2016">
        <f t="shared" si="1"/>
        <v>0</v>
      </c>
    </row>
    <row r="29" spans="1:8" ht="15" x14ac:dyDescent="0.2">
      <c r="A29" s="2012">
        <v>3299</v>
      </c>
      <c r="B29" s="2013">
        <v>5323</v>
      </c>
      <c r="C29" s="2017">
        <v>32133019</v>
      </c>
      <c r="D29" s="2014" t="s">
        <v>222</v>
      </c>
      <c r="E29" s="2015">
        <v>0</v>
      </c>
      <c r="F29" s="2015">
        <v>76</v>
      </c>
      <c r="G29" s="2015">
        <v>17</v>
      </c>
      <c r="H29" s="2016">
        <f t="shared" si="1"/>
        <v>22.368421052631579</v>
      </c>
    </row>
    <row r="30" spans="1:8" ht="15" x14ac:dyDescent="0.2">
      <c r="A30" s="2012">
        <v>3299</v>
      </c>
      <c r="B30" s="2013">
        <v>5323</v>
      </c>
      <c r="C30" s="2017">
        <v>32533019</v>
      </c>
      <c r="D30" s="2014" t="s">
        <v>222</v>
      </c>
      <c r="E30" s="2015">
        <v>0</v>
      </c>
      <c r="F30" s="2015">
        <v>433</v>
      </c>
      <c r="G30" s="2015">
        <v>91</v>
      </c>
      <c r="H30" s="2016">
        <f t="shared" si="1"/>
        <v>21.016166281755197</v>
      </c>
    </row>
    <row r="31" spans="1:8" ht="15" hidden="1" x14ac:dyDescent="0.2">
      <c r="A31" s="2012">
        <v>3299</v>
      </c>
      <c r="B31" s="2013">
        <v>6901</v>
      </c>
      <c r="C31" s="2017">
        <v>32533926</v>
      </c>
      <c r="D31" s="2014" t="s">
        <v>428</v>
      </c>
      <c r="E31" s="2015">
        <v>0</v>
      </c>
      <c r="F31" s="2015">
        <v>0</v>
      </c>
      <c r="G31" s="2015">
        <v>0</v>
      </c>
      <c r="H31" s="2016" t="e">
        <f t="shared" si="1"/>
        <v>#DIV/0!</v>
      </c>
    </row>
    <row r="32" spans="1:8" ht="15.75" thickBot="1" x14ac:dyDescent="0.25">
      <c r="A32" s="2012">
        <v>6330</v>
      </c>
      <c r="B32" s="2013">
        <v>5345</v>
      </c>
      <c r="C32" s="2017">
        <v>0</v>
      </c>
      <c r="D32" s="2014" t="s">
        <v>767</v>
      </c>
      <c r="E32" s="2015">
        <v>0</v>
      </c>
      <c r="F32" s="2015">
        <v>0</v>
      </c>
      <c r="G32" s="2015">
        <v>6573</v>
      </c>
      <c r="H32" s="2018">
        <v>0</v>
      </c>
    </row>
    <row r="33" spans="1:8" ht="16.5" thickTop="1" thickBot="1" x14ac:dyDescent="0.3">
      <c r="A33" s="2751" t="s">
        <v>763</v>
      </c>
      <c r="B33" s="2752"/>
      <c r="C33" s="2752"/>
      <c r="D33" s="2752"/>
      <c r="E33" s="1818">
        <f>SUM(E12:E31)</f>
        <v>0</v>
      </c>
      <c r="F33" s="1818">
        <f>SUM(F12:F32)</f>
        <v>5181</v>
      </c>
      <c r="G33" s="1818">
        <f>SUM(G12:G32)</f>
        <v>8899</v>
      </c>
      <c r="H33" s="1822">
        <f>G33/F33*100</f>
        <v>171.76220806794055</v>
      </c>
    </row>
    <row r="34" spans="1:8" ht="25.5" customHeight="1" thickTop="1" x14ac:dyDescent="0.2"/>
    <row r="35" spans="1:8" ht="27" customHeight="1" x14ac:dyDescent="0.25">
      <c r="A35" s="2760" t="s">
        <v>1575</v>
      </c>
      <c r="B35" s="2761"/>
      <c r="C35" s="2761"/>
      <c r="D35" s="2761"/>
      <c r="E35" s="2761"/>
      <c r="F35" s="2761"/>
      <c r="G35" s="2761"/>
      <c r="H35" s="2761"/>
    </row>
    <row r="36" spans="1:8" ht="15.75" thickBot="1" x14ac:dyDescent="0.3">
      <c r="A36" s="1979" t="s">
        <v>1576</v>
      </c>
      <c r="B36" s="1993"/>
      <c r="C36" s="1993"/>
      <c r="E36" s="1994"/>
      <c r="F36" s="1994"/>
      <c r="G36" s="1994"/>
      <c r="H36" s="1995" t="s">
        <v>161</v>
      </c>
    </row>
    <row r="37" spans="1:8" ht="25.5" thickTop="1" thickBot="1" x14ac:dyDescent="0.25">
      <c r="A37" s="1809" t="s">
        <v>162</v>
      </c>
      <c r="B37" s="1810" t="s">
        <v>761</v>
      </c>
      <c r="C37" s="1810" t="s">
        <v>377</v>
      </c>
      <c r="D37" s="1811" t="s">
        <v>164</v>
      </c>
      <c r="E37" s="1833" t="s">
        <v>632</v>
      </c>
      <c r="F37" s="1833" t="s">
        <v>633</v>
      </c>
      <c r="G37" s="1834" t="s">
        <v>882</v>
      </c>
      <c r="H37" s="1835" t="s">
        <v>883</v>
      </c>
    </row>
    <row r="38" spans="1:8" ht="14.25" thickTop="1" thickBot="1" x14ac:dyDescent="0.25">
      <c r="A38" s="1643">
        <v>1</v>
      </c>
      <c r="B38" s="1642">
        <v>2</v>
      </c>
      <c r="C38" s="1642">
        <v>3</v>
      </c>
      <c r="D38" s="1642">
        <v>4</v>
      </c>
      <c r="E38" s="1641">
        <v>5</v>
      </c>
      <c r="F38" s="1641">
        <v>6</v>
      </c>
      <c r="G38" s="1877">
        <v>7</v>
      </c>
      <c r="H38" s="1901" t="s">
        <v>61</v>
      </c>
    </row>
    <row r="39" spans="1:8" ht="15.75" thickTop="1" x14ac:dyDescent="0.2">
      <c r="A39" s="2007">
        <v>3299</v>
      </c>
      <c r="B39" s="2008">
        <v>5011</v>
      </c>
      <c r="C39" s="2008">
        <v>32133019</v>
      </c>
      <c r="D39" s="2009" t="s">
        <v>206</v>
      </c>
      <c r="E39" s="2010">
        <v>0</v>
      </c>
      <c r="F39" s="2010">
        <v>5</v>
      </c>
      <c r="G39" s="2010">
        <v>2</v>
      </c>
      <c r="H39" s="2011">
        <f t="shared" ref="H39:H46" si="2">G39/F39*100</f>
        <v>40</v>
      </c>
    </row>
    <row r="40" spans="1:8" ht="15" x14ac:dyDescent="0.2">
      <c r="A40" s="2012">
        <v>3299</v>
      </c>
      <c r="B40" s="2013">
        <v>5011</v>
      </c>
      <c r="C40" s="2013">
        <v>32533019</v>
      </c>
      <c r="D40" s="2014" t="s">
        <v>206</v>
      </c>
      <c r="E40" s="2015">
        <v>0</v>
      </c>
      <c r="F40" s="2015">
        <v>25</v>
      </c>
      <c r="G40" s="2015">
        <v>14</v>
      </c>
      <c r="H40" s="2016">
        <f t="shared" si="2"/>
        <v>56.000000000000007</v>
      </c>
    </row>
    <row r="41" spans="1:8" ht="15" x14ac:dyDescent="0.2">
      <c r="A41" s="2012">
        <v>3299</v>
      </c>
      <c r="B41" s="2013">
        <v>5021</v>
      </c>
      <c r="C41" s="2013">
        <v>32133019</v>
      </c>
      <c r="D41" s="2014" t="s">
        <v>389</v>
      </c>
      <c r="E41" s="2015">
        <v>0</v>
      </c>
      <c r="F41" s="2015">
        <v>28</v>
      </c>
      <c r="G41" s="2015">
        <v>14</v>
      </c>
      <c r="H41" s="2016">
        <f t="shared" si="2"/>
        <v>50</v>
      </c>
    </row>
    <row r="42" spans="1:8" ht="15" x14ac:dyDescent="0.2">
      <c r="A42" s="2012">
        <v>3299</v>
      </c>
      <c r="B42" s="2013">
        <v>5021</v>
      </c>
      <c r="C42" s="2013">
        <v>32533019</v>
      </c>
      <c r="D42" s="2014" t="s">
        <v>389</v>
      </c>
      <c r="E42" s="2015">
        <v>0</v>
      </c>
      <c r="F42" s="2015">
        <v>157</v>
      </c>
      <c r="G42" s="2015">
        <v>78</v>
      </c>
      <c r="H42" s="2016">
        <f t="shared" si="2"/>
        <v>49.681528662420384</v>
      </c>
    </row>
    <row r="43" spans="1:8" ht="30" x14ac:dyDescent="0.2">
      <c r="A43" s="2012">
        <v>3299</v>
      </c>
      <c r="B43" s="2013">
        <v>5031</v>
      </c>
      <c r="C43" s="2013">
        <v>32133019</v>
      </c>
      <c r="D43" s="2062" t="s">
        <v>1299</v>
      </c>
      <c r="E43" s="2015">
        <v>0</v>
      </c>
      <c r="F43" s="2015">
        <v>2</v>
      </c>
      <c r="G43" s="2015">
        <v>1</v>
      </c>
      <c r="H43" s="2016">
        <f t="shared" si="2"/>
        <v>50</v>
      </c>
    </row>
    <row r="44" spans="1:8" ht="30" x14ac:dyDescent="0.2">
      <c r="A44" s="2012">
        <v>3299</v>
      </c>
      <c r="B44" s="2013">
        <v>5031</v>
      </c>
      <c r="C44" s="2013">
        <v>32533019</v>
      </c>
      <c r="D44" s="2062" t="s">
        <v>1299</v>
      </c>
      <c r="E44" s="2015">
        <v>0</v>
      </c>
      <c r="F44" s="2015">
        <v>13</v>
      </c>
      <c r="G44" s="2015">
        <v>6</v>
      </c>
      <c r="H44" s="2016">
        <f t="shared" si="2"/>
        <v>46.153846153846153</v>
      </c>
    </row>
    <row r="45" spans="1:8" ht="30" x14ac:dyDescent="0.2">
      <c r="A45" s="2012">
        <v>3299</v>
      </c>
      <c r="B45" s="2013">
        <v>5032</v>
      </c>
      <c r="C45" s="2017">
        <v>32133019</v>
      </c>
      <c r="D45" s="2014" t="s">
        <v>1177</v>
      </c>
      <c r="E45" s="2015">
        <v>0</v>
      </c>
      <c r="F45" s="2015">
        <v>1</v>
      </c>
      <c r="G45" s="2015">
        <v>0</v>
      </c>
      <c r="H45" s="2016">
        <f t="shared" si="2"/>
        <v>0</v>
      </c>
    </row>
    <row r="46" spans="1:8" ht="30" x14ac:dyDescent="0.2">
      <c r="A46" s="2012">
        <v>3299</v>
      </c>
      <c r="B46" s="2013">
        <v>5032</v>
      </c>
      <c r="C46" s="2017">
        <v>32533019</v>
      </c>
      <c r="D46" s="2014" t="s">
        <v>1177</v>
      </c>
      <c r="E46" s="2015">
        <v>0</v>
      </c>
      <c r="F46" s="2015">
        <v>4</v>
      </c>
      <c r="G46" s="2015">
        <v>3</v>
      </c>
      <c r="H46" s="2016">
        <f t="shared" si="2"/>
        <v>75</v>
      </c>
    </row>
    <row r="47" spans="1:8" ht="15" hidden="1" x14ac:dyDescent="0.2">
      <c r="A47" s="2012">
        <v>3299</v>
      </c>
      <c r="B47" s="2013">
        <v>5137</v>
      </c>
      <c r="C47" s="2017">
        <v>32133019</v>
      </c>
      <c r="D47" s="2014" t="s">
        <v>155</v>
      </c>
      <c r="E47" s="2015">
        <v>0</v>
      </c>
      <c r="F47" s="2015"/>
      <c r="G47" s="2015"/>
      <c r="H47" s="2016">
        <v>0</v>
      </c>
    </row>
    <row r="48" spans="1:8" ht="15" hidden="1" x14ac:dyDescent="0.2">
      <c r="A48" s="2012">
        <v>3299</v>
      </c>
      <c r="B48" s="2013">
        <v>5137</v>
      </c>
      <c r="C48" s="2017">
        <v>32533019</v>
      </c>
      <c r="D48" s="2014" t="s">
        <v>155</v>
      </c>
      <c r="E48" s="2015">
        <v>0</v>
      </c>
      <c r="F48" s="2015"/>
      <c r="G48" s="2015"/>
      <c r="H48" s="2016" t="e">
        <f t="shared" ref="H48:H62" si="3">G48/F48*100</f>
        <v>#DIV/0!</v>
      </c>
    </row>
    <row r="49" spans="1:8" ht="15" x14ac:dyDescent="0.2">
      <c r="A49" s="2012">
        <v>3299</v>
      </c>
      <c r="B49" s="2013">
        <v>5139</v>
      </c>
      <c r="C49" s="2017">
        <v>32133019</v>
      </c>
      <c r="D49" s="2014" t="s">
        <v>270</v>
      </c>
      <c r="E49" s="2015">
        <v>0</v>
      </c>
      <c r="F49" s="2015">
        <v>3</v>
      </c>
      <c r="G49" s="2015">
        <v>3</v>
      </c>
      <c r="H49" s="2016">
        <f t="shared" si="3"/>
        <v>100</v>
      </c>
    </row>
    <row r="50" spans="1:8" ht="15" x14ac:dyDescent="0.2">
      <c r="A50" s="2012">
        <v>3299</v>
      </c>
      <c r="B50" s="2013">
        <v>5139</v>
      </c>
      <c r="C50" s="2017">
        <v>32533019</v>
      </c>
      <c r="D50" s="2014" t="s">
        <v>270</v>
      </c>
      <c r="E50" s="2015">
        <v>0</v>
      </c>
      <c r="F50" s="2015">
        <v>17</v>
      </c>
      <c r="G50" s="2015">
        <v>17</v>
      </c>
      <c r="H50" s="2016">
        <f t="shared" si="3"/>
        <v>100</v>
      </c>
    </row>
    <row r="51" spans="1:8" ht="30" x14ac:dyDescent="0.2">
      <c r="A51" s="2012">
        <v>3299</v>
      </c>
      <c r="B51" s="2013">
        <v>5168</v>
      </c>
      <c r="C51" s="2017">
        <v>32133019</v>
      </c>
      <c r="D51" s="2014" t="s">
        <v>1932</v>
      </c>
      <c r="E51" s="2015">
        <v>0</v>
      </c>
      <c r="F51" s="2015">
        <v>1</v>
      </c>
      <c r="G51" s="2015">
        <v>1</v>
      </c>
      <c r="H51" s="2016">
        <f t="shared" si="3"/>
        <v>100</v>
      </c>
    </row>
    <row r="52" spans="1:8" ht="30" x14ac:dyDescent="0.2">
      <c r="A52" s="2012">
        <v>3299</v>
      </c>
      <c r="B52" s="2013">
        <v>5168</v>
      </c>
      <c r="C52" s="2017">
        <v>32533019</v>
      </c>
      <c r="D52" s="2014" t="s">
        <v>1932</v>
      </c>
      <c r="E52" s="2015">
        <v>0</v>
      </c>
      <c r="F52" s="2015">
        <v>6</v>
      </c>
      <c r="G52" s="2015">
        <v>6</v>
      </c>
      <c r="H52" s="2016">
        <f t="shared" si="3"/>
        <v>100</v>
      </c>
    </row>
    <row r="53" spans="1:8" ht="15" x14ac:dyDescent="0.2">
      <c r="A53" s="2012">
        <v>3299</v>
      </c>
      <c r="B53" s="2013">
        <v>5169</v>
      </c>
      <c r="C53" s="2017">
        <v>32133019</v>
      </c>
      <c r="D53" s="2014" t="s">
        <v>852</v>
      </c>
      <c r="E53" s="2015">
        <v>0</v>
      </c>
      <c r="F53" s="2015">
        <v>48</v>
      </c>
      <c r="G53" s="2015">
        <v>21</v>
      </c>
      <c r="H53" s="2016">
        <f t="shared" si="3"/>
        <v>43.75</v>
      </c>
    </row>
    <row r="54" spans="1:8" ht="15" x14ac:dyDescent="0.2">
      <c r="A54" s="2012">
        <v>3299</v>
      </c>
      <c r="B54" s="2013">
        <v>5169</v>
      </c>
      <c r="C54" s="2017">
        <v>32533019</v>
      </c>
      <c r="D54" s="2014" t="s">
        <v>852</v>
      </c>
      <c r="E54" s="2015">
        <v>0</v>
      </c>
      <c r="F54" s="2015">
        <v>272</v>
      </c>
      <c r="G54" s="2015">
        <v>119</v>
      </c>
      <c r="H54" s="2016">
        <f t="shared" si="3"/>
        <v>43.75</v>
      </c>
    </row>
    <row r="55" spans="1:8" ht="15" x14ac:dyDescent="0.2">
      <c r="A55" s="2012">
        <v>3299</v>
      </c>
      <c r="B55" s="2013">
        <v>5175</v>
      </c>
      <c r="C55" s="2017">
        <v>32133019</v>
      </c>
      <c r="D55" s="2014" t="s">
        <v>669</v>
      </c>
      <c r="E55" s="2015">
        <v>0</v>
      </c>
      <c r="F55" s="2015">
        <v>2</v>
      </c>
      <c r="G55" s="2015">
        <v>0</v>
      </c>
      <c r="H55" s="2016">
        <f t="shared" si="3"/>
        <v>0</v>
      </c>
    </row>
    <row r="56" spans="1:8" ht="15" x14ac:dyDescent="0.2">
      <c r="A56" s="2012">
        <v>3299</v>
      </c>
      <c r="B56" s="2013">
        <v>5175</v>
      </c>
      <c r="C56" s="2017">
        <v>32533019</v>
      </c>
      <c r="D56" s="2014" t="s">
        <v>669</v>
      </c>
      <c r="E56" s="2015">
        <v>0</v>
      </c>
      <c r="F56" s="2015">
        <v>11</v>
      </c>
      <c r="G56" s="2015">
        <v>0</v>
      </c>
      <c r="H56" s="2016">
        <f t="shared" si="3"/>
        <v>0</v>
      </c>
    </row>
    <row r="57" spans="1:8" ht="15" hidden="1" x14ac:dyDescent="0.2">
      <c r="A57" s="2012">
        <v>3299</v>
      </c>
      <c r="B57" s="2013">
        <v>5901</v>
      </c>
      <c r="C57" s="2017">
        <v>0</v>
      </c>
      <c r="D57" s="2014" t="s">
        <v>602</v>
      </c>
      <c r="E57" s="2015">
        <v>0</v>
      </c>
      <c r="F57" s="2015">
        <v>0</v>
      </c>
      <c r="G57" s="2015">
        <v>0</v>
      </c>
      <c r="H57" s="2016" t="e">
        <f t="shared" si="3"/>
        <v>#DIV/0!</v>
      </c>
    </row>
    <row r="58" spans="1:8" ht="15" x14ac:dyDescent="0.2">
      <c r="A58" s="2012">
        <v>3299</v>
      </c>
      <c r="B58" s="2013">
        <v>5901</v>
      </c>
      <c r="C58" s="2017">
        <v>32133019</v>
      </c>
      <c r="D58" s="2014" t="s">
        <v>602</v>
      </c>
      <c r="E58" s="2015">
        <v>0</v>
      </c>
      <c r="F58" s="2015">
        <v>61</v>
      </c>
      <c r="G58" s="2015">
        <v>0</v>
      </c>
      <c r="H58" s="2016">
        <f t="shared" si="3"/>
        <v>0</v>
      </c>
    </row>
    <row r="59" spans="1:8" ht="15" x14ac:dyDescent="0.2">
      <c r="A59" s="2012">
        <v>3299</v>
      </c>
      <c r="B59" s="2013">
        <v>5901</v>
      </c>
      <c r="C59" s="2017">
        <v>32533019</v>
      </c>
      <c r="D59" s="2014" t="s">
        <v>602</v>
      </c>
      <c r="E59" s="2015">
        <v>0</v>
      </c>
      <c r="F59" s="2015">
        <v>344</v>
      </c>
      <c r="G59" s="2015">
        <v>0</v>
      </c>
      <c r="H59" s="2016">
        <f t="shared" si="3"/>
        <v>0</v>
      </c>
    </row>
    <row r="60" spans="1:8" ht="15" x14ac:dyDescent="0.2">
      <c r="A60" s="2012">
        <v>3299</v>
      </c>
      <c r="B60" s="2013">
        <v>5323</v>
      </c>
      <c r="C60" s="2017">
        <v>32133019</v>
      </c>
      <c r="D60" s="2014" t="s">
        <v>222</v>
      </c>
      <c r="E60" s="2015">
        <v>0</v>
      </c>
      <c r="F60" s="2015">
        <v>9</v>
      </c>
      <c r="G60" s="2015">
        <v>3</v>
      </c>
      <c r="H60" s="2016">
        <f t="shared" si="3"/>
        <v>33.333333333333329</v>
      </c>
    </row>
    <row r="61" spans="1:8" ht="15" x14ac:dyDescent="0.2">
      <c r="A61" s="2012">
        <v>3299</v>
      </c>
      <c r="B61" s="2013">
        <v>5323</v>
      </c>
      <c r="C61" s="2017">
        <v>32533019</v>
      </c>
      <c r="D61" s="2014" t="s">
        <v>222</v>
      </c>
      <c r="E61" s="2015">
        <v>0</v>
      </c>
      <c r="F61" s="2015">
        <v>52</v>
      </c>
      <c r="G61" s="2015">
        <v>16</v>
      </c>
      <c r="H61" s="2016">
        <f t="shared" si="3"/>
        <v>30.76923076923077</v>
      </c>
    </row>
    <row r="62" spans="1:8" ht="15" hidden="1" x14ac:dyDescent="0.2">
      <c r="A62" s="2012">
        <v>3636</v>
      </c>
      <c r="B62" s="2013">
        <v>6901</v>
      </c>
      <c r="C62" s="2017">
        <v>32533926</v>
      </c>
      <c r="D62" s="2014" t="s">
        <v>428</v>
      </c>
      <c r="E62" s="2015">
        <v>0</v>
      </c>
      <c r="F62" s="2015">
        <v>0</v>
      </c>
      <c r="G62" s="2015">
        <v>0</v>
      </c>
      <c r="H62" s="2016" t="e">
        <f t="shared" si="3"/>
        <v>#DIV/0!</v>
      </c>
    </row>
    <row r="63" spans="1:8" ht="15.75" thickBot="1" x14ac:dyDescent="0.25">
      <c r="A63" s="2012">
        <v>6330</v>
      </c>
      <c r="B63" s="2013">
        <v>5345</v>
      </c>
      <c r="C63" s="2017">
        <v>0</v>
      </c>
      <c r="D63" s="2014" t="s">
        <v>767</v>
      </c>
      <c r="E63" s="2015">
        <v>0</v>
      </c>
      <c r="F63" s="2015">
        <v>0</v>
      </c>
      <c r="G63" s="2015">
        <v>442</v>
      </c>
      <c r="H63" s="2018">
        <v>0</v>
      </c>
    </row>
    <row r="64" spans="1:8" ht="16.5" thickTop="1" thickBot="1" x14ac:dyDescent="0.3">
      <c r="A64" s="2751" t="s">
        <v>763</v>
      </c>
      <c r="B64" s="2752"/>
      <c r="C64" s="2752"/>
      <c r="D64" s="2752"/>
      <c r="E64" s="1818">
        <f>SUM(E39:E62)</f>
        <v>0</v>
      </c>
      <c r="F64" s="1818">
        <f>SUM(F39:F63)</f>
        <v>1061</v>
      </c>
      <c r="G64" s="1818">
        <f>SUM(G39:G63)</f>
        <v>746</v>
      </c>
      <c r="H64" s="1822">
        <v>61.717249327698809</v>
      </c>
    </row>
    <row r="65" spans="1:12" ht="13.5" thickTop="1" x14ac:dyDescent="0.2"/>
    <row r="67" spans="1:12" ht="16.5" x14ac:dyDescent="0.25">
      <c r="A67" s="2040" t="s">
        <v>465</v>
      </c>
      <c r="B67" s="2041"/>
      <c r="C67" s="2042"/>
      <c r="D67" s="2043"/>
      <c r="E67" s="2044">
        <f>SUM(E68:E70)</f>
        <v>0</v>
      </c>
      <c r="F67" s="2044">
        <f>F68+F69+F70+F71</f>
        <v>6242</v>
      </c>
      <c r="G67" s="2044">
        <f>G68+G69+G70+G71</f>
        <v>9645</v>
      </c>
      <c r="H67" s="2045">
        <v>61.717249327698809</v>
      </c>
      <c r="J67" s="2046">
        <f>J68+J69+J70</f>
        <v>0</v>
      </c>
      <c r="K67" s="2046">
        <f>K68+K69+K70</f>
        <v>6241796.4100000001</v>
      </c>
      <c r="L67" s="2046">
        <f>L68+L69+L70</f>
        <v>9644530.8499999996</v>
      </c>
    </row>
    <row r="68" spans="1:12" ht="15" x14ac:dyDescent="0.2">
      <c r="A68" s="2047" t="s">
        <v>263</v>
      </c>
      <c r="B68" s="2048"/>
      <c r="C68" s="2049"/>
      <c r="D68" s="2050"/>
      <c r="E68" s="2051">
        <f>E12+E13+E14+E15+E16+E17+E18+E19+E20+E21+E22+E23+E24+E25+E27+E28+E29+E30+E39+E40+E41+E42+E43+E44+E45+E46+E47+E48+E49+E50+E53+E54+E55+E56+E58+E59+E60+E61+E51+E52</f>
        <v>0</v>
      </c>
      <c r="F68" s="2051">
        <f t="shared" ref="F68:G68" si="4">F12+F13+F14+F15+F16+F17+F18+F19+F20+F21+F22+F23+F24+F25+F27+F28+F29+F30+F39+F40+F41+F42+F43+F44+F45+F46+F47+F48+F49+F50+F53+F54+F55+F56+F58+F59+F60+F61+F51+F52</f>
        <v>6242</v>
      </c>
      <c r="G68" s="2051">
        <f t="shared" si="4"/>
        <v>2630</v>
      </c>
      <c r="H68" s="2052">
        <f>G68/F68*100</f>
        <v>42.133931432233254</v>
      </c>
      <c r="J68" s="2053">
        <v>0</v>
      </c>
      <c r="K68" s="2053">
        <v>6241796.4100000001</v>
      </c>
      <c r="L68" s="2053">
        <v>2629581.58</v>
      </c>
    </row>
    <row r="69" spans="1:12" ht="15" x14ac:dyDescent="0.2">
      <c r="A69" s="2047" t="s">
        <v>264</v>
      </c>
      <c r="B69" s="2054"/>
      <c r="C69" s="2049"/>
      <c r="D69" s="2055"/>
      <c r="E69" s="2051">
        <f>0</f>
        <v>0</v>
      </c>
      <c r="F69" s="2051">
        <f>0</f>
        <v>0</v>
      </c>
      <c r="G69" s="2051">
        <f>0</f>
        <v>0</v>
      </c>
      <c r="H69" s="2052">
        <v>0</v>
      </c>
      <c r="J69" s="2053">
        <v>0</v>
      </c>
      <c r="K69" s="2053">
        <v>0</v>
      </c>
      <c r="L69" s="2053">
        <v>0</v>
      </c>
    </row>
    <row r="70" spans="1:12" ht="15" x14ac:dyDescent="0.2">
      <c r="A70" s="2047" t="s">
        <v>466</v>
      </c>
      <c r="B70" s="2054"/>
      <c r="C70" s="2049"/>
      <c r="D70" s="2055"/>
      <c r="E70" s="2051">
        <f>E32+E63</f>
        <v>0</v>
      </c>
      <c r="F70" s="2051">
        <f>F32+F63</f>
        <v>0</v>
      </c>
      <c r="G70" s="2051">
        <f>G32+G63</f>
        <v>7015</v>
      </c>
      <c r="H70" s="2052">
        <v>0</v>
      </c>
      <c r="J70" s="2053">
        <v>0</v>
      </c>
      <c r="K70" s="2053">
        <v>0</v>
      </c>
      <c r="L70" s="2053">
        <v>7014949.2699999996</v>
      </c>
    </row>
    <row r="71" spans="1:12" ht="16.5" customHeight="1" x14ac:dyDescent="0.2">
      <c r="A71" s="2047"/>
      <c r="B71" s="2054"/>
      <c r="C71" s="2049"/>
      <c r="D71" s="2055"/>
      <c r="E71" s="2051"/>
      <c r="F71" s="2051"/>
      <c r="G71" s="2051"/>
      <c r="H71" s="2056"/>
    </row>
    <row r="72" spans="1:12" ht="57.75" customHeight="1" thickBot="1" x14ac:dyDescent="0.4">
      <c r="A72" s="2754" t="s">
        <v>1405</v>
      </c>
      <c r="B72" s="2759"/>
      <c r="C72" s="2759"/>
      <c r="D72" s="2759"/>
      <c r="E72" s="2057">
        <f>SUM(E67)</f>
        <v>0</v>
      </c>
      <c r="F72" s="2057">
        <f>SUM(F67)</f>
        <v>6242</v>
      </c>
      <c r="G72" s="2057">
        <f>SUM(G67)</f>
        <v>9645</v>
      </c>
      <c r="H72" s="2058">
        <v>61.717249327698809</v>
      </c>
    </row>
    <row r="73" spans="1:12" ht="13.5" thickTop="1" x14ac:dyDescent="0.2"/>
  </sheetData>
  <mergeCells count="5">
    <mergeCell ref="A8:H8"/>
    <mergeCell ref="A33:D33"/>
    <mergeCell ref="A35:H35"/>
    <mergeCell ref="A64:D64"/>
    <mergeCell ref="A72:D72"/>
  </mergeCells>
  <pageMargins left="0.70866141732283472" right="0.70866141732283472" top="0.78740157480314965" bottom="0.78740157480314965" header="0.31496062992125984" footer="0.31496062992125984"/>
  <pageSetup paperSize="9" scale="68" firstPageNumber="169" orientation="portrait" useFirstPageNumber="1" r:id="rId1"/>
  <headerFooter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1" manualBreakCount="1">
    <brk id="64" max="7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41"/>
  <sheetViews>
    <sheetView view="pageBreakPreview" topLeftCell="A3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1986" customWidth="1"/>
    <col min="2" max="2" width="6.7109375" style="1986" customWidth="1"/>
    <col min="3" max="3" width="8.85546875" style="1986" customWidth="1"/>
    <col min="4" max="4" width="47.85546875" style="1986" customWidth="1"/>
    <col min="5" max="5" width="12.85546875" style="1986" customWidth="1"/>
    <col min="6" max="6" width="15.5703125" style="1986" customWidth="1"/>
    <col min="7" max="7" width="15.85546875" style="1986" customWidth="1"/>
    <col min="8" max="8" width="8.85546875" style="1986" customWidth="1"/>
    <col min="9" max="10" width="9.140625" style="1986"/>
    <col min="11" max="12" width="14.7109375" style="1986" bestFit="1" customWidth="1"/>
    <col min="13" max="256" width="9.140625" style="1986"/>
    <col min="257" max="257" width="4.7109375" style="1986" customWidth="1"/>
    <col min="258" max="258" width="6.7109375" style="1986" customWidth="1"/>
    <col min="259" max="259" width="8.85546875" style="1986" customWidth="1"/>
    <col min="260" max="260" width="47.85546875" style="1986" customWidth="1"/>
    <col min="261" max="261" width="12.85546875" style="1986" customWidth="1"/>
    <col min="262" max="262" width="15.5703125" style="1986" customWidth="1"/>
    <col min="263" max="263" width="15.85546875" style="1986" customWidth="1"/>
    <col min="264" max="264" width="6.42578125" style="1986" customWidth="1"/>
    <col min="265" max="266" width="9.140625" style="1986"/>
    <col min="267" max="268" width="14.7109375" style="1986" bestFit="1" customWidth="1"/>
    <col min="269" max="512" width="9.140625" style="1986"/>
    <col min="513" max="513" width="4.7109375" style="1986" customWidth="1"/>
    <col min="514" max="514" width="6.7109375" style="1986" customWidth="1"/>
    <col min="515" max="515" width="8.85546875" style="1986" customWidth="1"/>
    <col min="516" max="516" width="47.85546875" style="1986" customWidth="1"/>
    <col min="517" max="517" width="12.85546875" style="1986" customWidth="1"/>
    <col min="518" max="518" width="15.5703125" style="1986" customWidth="1"/>
    <col min="519" max="519" width="15.85546875" style="1986" customWidth="1"/>
    <col min="520" max="520" width="6.42578125" style="1986" customWidth="1"/>
    <col min="521" max="522" width="9.140625" style="1986"/>
    <col min="523" max="524" width="14.7109375" style="1986" bestFit="1" customWidth="1"/>
    <col min="525" max="768" width="9.140625" style="1986"/>
    <col min="769" max="769" width="4.7109375" style="1986" customWidth="1"/>
    <col min="770" max="770" width="6.7109375" style="1986" customWidth="1"/>
    <col min="771" max="771" width="8.85546875" style="1986" customWidth="1"/>
    <col min="772" max="772" width="47.85546875" style="1986" customWidth="1"/>
    <col min="773" max="773" width="12.85546875" style="1986" customWidth="1"/>
    <col min="774" max="774" width="15.5703125" style="1986" customWidth="1"/>
    <col min="775" max="775" width="15.85546875" style="1986" customWidth="1"/>
    <col min="776" max="776" width="6.42578125" style="1986" customWidth="1"/>
    <col min="777" max="778" width="9.140625" style="1986"/>
    <col min="779" max="780" width="14.7109375" style="1986" bestFit="1" customWidth="1"/>
    <col min="781" max="1024" width="9.140625" style="1986"/>
    <col min="1025" max="1025" width="4.7109375" style="1986" customWidth="1"/>
    <col min="1026" max="1026" width="6.7109375" style="1986" customWidth="1"/>
    <col min="1027" max="1027" width="8.85546875" style="1986" customWidth="1"/>
    <col min="1028" max="1028" width="47.85546875" style="1986" customWidth="1"/>
    <col min="1029" max="1029" width="12.85546875" style="1986" customWidth="1"/>
    <col min="1030" max="1030" width="15.5703125" style="1986" customWidth="1"/>
    <col min="1031" max="1031" width="15.85546875" style="1986" customWidth="1"/>
    <col min="1032" max="1032" width="6.42578125" style="1986" customWidth="1"/>
    <col min="1033" max="1034" width="9.140625" style="1986"/>
    <col min="1035" max="1036" width="14.7109375" style="1986" bestFit="1" customWidth="1"/>
    <col min="1037" max="1280" width="9.140625" style="1986"/>
    <col min="1281" max="1281" width="4.7109375" style="1986" customWidth="1"/>
    <col min="1282" max="1282" width="6.7109375" style="1986" customWidth="1"/>
    <col min="1283" max="1283" width="8.85546875" style="1986" customWidth="1"/>
    <col min="1284" max="1284" width="47.85546875" style="1986" customWidth="1"/>
    <col min="1285" max="1285" width="12.85546875" style="1986" customWidth="1"/>
    <col min="1286" max="1286" width="15.5703125" style="1986" customWidth="1"/>
    <col min="1287" max="1287" width="15.85546875" style="1986" customWidth="1"/>
    <col min="1288" max="1288" width="6.42578125" style="1986" customWidth="1"/>
    <col min="1289" max="1290" width="9.140625" style="1986"/>
    <col min="1291" max="1292" width="14.7109375" style="1986" bestFit="1" customWidth="1"/>
    <col min="1293" max="1536" width="9.140625" style="1986"/>
    <col min="1537" max="1537" width="4.7109375" style="1986" customWidth="1"/>
    <col min="1538" max="1538" width="6.7109375" style="1986" customWidth="1"/>
    <col min="1539" max="1539" width="8.85546875" style="1986" customWidth="1"/>
    <col min="1540" max="1540" width="47.85546875" style="1986" customWidth="1"/>
    <col min="1541" max="1541" width="12.85546875" style="1986" customWidth="1"/>
    <col min="1542" max="1542" width="15.5703125" style="1986" customWidth="1"/>
    <col min="1543" max="1543" width="15.85546875" style="1986" customWidth="1"/>
    <col min="1544" max="1544" width="6.42578125" style="1986" customWidth="1"/>
    <col min="1545" max="1546" width="9.140625" style="1986"/>
    <col min="1547" max="1548" width="14.7109375" style="1986" bestFit="1" customWidth="1"/>
    <col min="1549" max="1792" width="9.140625" style="1986"/>
    <col min="1793" max="1793" width="4.7109375" style="1986" customWidth="1"/>
    <col min="1794" max="1794" width="6.7109375" style="1986" customWidth="1"/>
    <col min="1795" max="1795" width="8.85546875" style="1986" customWidth="1"/>
    <col min="1796" max="1796" width="47.85546875" style="1986" customWidth="1"/>
    <col min="1797" max="1797" width="12.85546875" style="1986" customWidth="1"/>
    <col min="1798" max="1798" width="15.5703125" style="1986" customWidth="1"/>
    <col min="1799" max="1799" width="15.85546875" style="1986" customWidth="1"/>
    <col min="1800" max="1800" width="6.42578125" style="1986" customWidth="1"/>
    <col min="1801" max="1802" width="9.140625" style="1986"/>
    <col min="1803" max="1804" width="14.7109375" style="1986" bestFit="1" customWidth="1"/>
    <col min="1805" max="2048" width="9.140625" style="1986"/>
    <col min="2049" max="2049" width="4.7109375" style="1986" customWidth="1"/>
    <col min="2050" max="2050" width="6.7109375" style="1986" customWidth="1"/>
    <col min="2051" max="2051" width="8.85546875" style="1986" customWidth="1"/>
    <col min="2052" max="2052" width="47.85546875" style="1986" customWidth="1"/>
    <col min="2053" max="2053" width="12.85546875" style="1986" customWidth="1"/>
    <col min="2054" max="2054" width="15.5703125" style="1986" customWidth="1"/>
    <col min="2055" max="2055" width="15.85546875" style="1986" customWidth="1"/>
    <col min="2056" max="2056" width="6.42578125" style="1986" customWidth="1"/>
    <col min="2057" max="2058" width="9.140625" style="1986"/>
    <col min="2059" max="2060" width="14.7109375" style="1986" bestFit="1" customWidth="1"/>
    <col min="2061" max="2304" width="9.140625" style="1986"/>
    <col min="2305" max="2305" width="4.7109375" style="1986" customWidth="1"/>
    <col min="2306" max="2306" width="6.7109375" style="1986" customWidth="1"/>
    <col min="2307" max="2307" width="8.85546875" style="1986" customWidth="1"/>
    <col min="2308" max="2308" width="47.85546875" style="1986" customWidth="1"/>
    <col min="2309" max="2309" width="12.85546875" style="1986" customWidth="1"/>
    <col min="2310" max="2310" width="15.5703125" style="1986" customWidth="1"/>
    <col min="2311" max="2311" width="15.85546875" style="1986" customWidth="1"/>
    <col min="2312" max="2312" width="6.42578125" style="1986" customWidth="1"/>
    <col min="2313" max="2314" width="9.140625" style="1986"/>
    <col min="2315" max="2316" width="14.7109375" style="1986" bestFit="1" customWidth="1"/>
    <col min="2317" max="2560" width="9.140625" style="1986"/>
    <col min="2561" max="2561" width="4.7109375" style="1986" customWidth="1"/>
    <col min="2562" max="2562" width="6.7109375" style="1986" customWidth="1"/>
    <col min="2563" max="2563" width="8.85546875" style="1986" customWidth="1"/>
    <col min="2564" max="2564" width="47.85546875" style="1986" customWidth="1"/>
    <col min="2565" max="2565" width="12.85546875" style="1986" customWidth="1"/>
    <col min="2566" max="2566" width="15.5703125" style="1986" customWidth="1"/>
    <col min="2567" max="2567" width="15.85546875" style="1986" customWidth="1"/>
    <col min="2568" max="2568" width="6.42578125" style="1986" customWidth="1"/>
    <col min="2569" max="2570" width="9.140625" style="1986"/>
    <col min="2571" max="2572" width="14.7109375" style="1986" bestFit="1" customWidth="1"/>
    <col min="2573" max="2816" width="9.140625" style="1986"/>
    <col min="2817" max="2817" width="4.7109375" style="1986" customWidth="1"/>
    <col min="2818" max="2818" width="6.7109375" style="1986" customWidth="1"/>
    <col min="2819" max="2819" width="8.85546875" style="1986" customWidth="1"/>
    <col min="2820" max="2820" width="47.85546875" style="1986" customWidth="1"/>
    <col min="2821" max="2821" width="12.85546875" style="1986" customWidth="1"/>
    <col min="2822" max="2822" width="15.5703125" style="1986" customWidth="1"/>
    <col min="2823" max="2823" width="15.85546875" style="1986" customWidth="1"/>
    <col min="2824" max="2824" width="6.42578125" style="1986" customWidth="1"/>
    <col min="2825" max="2826" width="9.140625" style="1986"/>
    <col min="2827" max="2828" width="14.7109375" style="1986" bestFit="1" customWidth="1"/>
    <col min="2829" max="3072" width="9.140625" style="1986"/>
    <col min="3073" max="3073" width="4.7109375" style="1986" customWidth="1"/>
    <col min="3074" max="3074" width="6.7109375" style="1986" customWidth="1"/>
    <col min="3075" max="3075" width="8.85546875" style="1986" customWidth="1"/>
    <col min="3076" max="3076" width="47.85546875" style="1986" customWidth="1"/>
    <col min="3077" max="3077" width="12.85546875" style="1986" customWidth="1"/>
    <col min="3078" max="3078" width="15.5703125" style="1986" customWidth="1"/>
    <col min="3079" max="3079" width="15.85546875" style="1986" customWidth="1"/>
    <col min="3080" max="3080" width="6.42578125" style="1986" customWidth="1"/>
    <col min="3081" max="3082" width="9.140625" style="1986"/>
    <col min="3083" max="3084" width="14.7109375" style="1986" bestFit="1" customWidth="1"/>
    <col min="3085" max="3328" width="9.140625" style="1986"/>
    <col min="3329" max="3329" width="4.7109375" style="1986" customWidth="1"/>
    <col min="3330" max="3330" width="6.7109375" style="1986" customWidth="1"/>
    <col min="3331" max="3331" width="8.85546875" style="1986" customWidth="1"/>
    <col min="3332" max="3332" width="47.85546875" style="1986" customWidth="1"/>
    <col min="3333" max="3333" width="12.85546875" style="1986" customWidth="1"/>
    <col min="3334" max="3334" width="15.5703125" style="1986" customWidth="1"/>
    <col min="3335" max="3335" width="15.85546875" style="1986" customWidth="1"/>
    <col min="3336" max="3336" width="6.42578125" style="1986" customWidth="1"/>
    <col min="3337" max="3338" width="9.140625" style="1986"/>
    <col min="3339" max="3340" width="14.7109375" style="1986" bestFit="1" customWidth="1"/>
    <col min="3341" max="3584" width="9.140625" style="1986"/>
    <col min="3585" max="3585" width="4.7109375" style="1986" customWidth="1"/>
    <col min="3586" max="3586" width="6.7109375" style="1986" customWidth="1"/>
    <col min="3587" max="3587" width="8.85546875" style="1986" customWidth="1"/>
    <col min="3588" max="3588" width="47.85546875" style="1986" customWidth="1"/>
    <col min="3589" max="3589" width="12.85546875" style="1986" customWidth="1"/>
    <col min="3590" max="3590" width="15.5703125" style="1986" customWidth="1"/>
    <col min="3591" max="3591" width="15.85546875" style="1986" customWidth="1"/>
    <col min="3592" max="3592" width="6.42578125" style="1986" customWidth="1"/>
    <col min="3593" max="3594" width="9.140625" style="1986"/>
    <col min="3595" max="3596" width="14.7109375" style="1986" bestFit="1" customWidth="1"/>
    <col min="3597" max="3840" width="9.140625" style="1986"/>
    <col min="3841" max="3841" width="4.7109375" style="1986" customWidth="1"/>
    <col min="3842" max="3842" width="6.7109375" style="1986" customWidth="1"/>
    <col min="3843" max="3843" width="8.85546875" style="1986" customWidth="1"/>
    <col min="3844" max="3844" width="47.85546875" style="1986" customWidth="1"/>
    <col min="3845" max="3845" width="12.85546875" style="1986" customWidth="1"/>
    <col min="3846" max="3846" width="15.5703125" style="1986" customWidth="1"/>
    <col min="3847" max="3847" width="15.85546875" style="1986" customWidth="1"/>
    <col min="3848" max="3848" width="6.42578125" style="1986" customWidth="1"/>
    <col min="3849" max="3850" width="9.140625" style="1986"/>
    <col min="3851" max="3852" width="14.7109375" style="1986" bestFit="1" customWidth="1"/>
    <col min="3853" max="4096" width="9.140625" style="1986"/>
    <col min="4097" max="4097" width="4.7109375" style="1986" customWidth="1"/>
    <col min="4098" max="4098" width="6.7109375" style="1986" customWidth="1"/>
    <col min="4099" max="4099" width="8.85546875" style="1986" customWidth="1"/>
    <col min="4100" max="4100" width="47.85546875" style="1986" customWidth="1"/>
    <col min="4101" max="4101" width="12.85546875" style="1986" customWidth="1"/>
    <col min="4102" max="4102" width="15.5703125" style="1986" customWidth="1"/>
    <col min="4103" max="4103" width="15.85546875" style="1986" customWidth="1"/>
    <col min="4104" max="4104" width="6.42578125" style="1986" customWidth="1"/>
    <col min="4105" max="4106" width="9.140625" style="1986"/>
    <col min="4107" max="4108" width="14.7109375" style="1986" bestFit="1" customWidth="1"/>
    <col min="4109" max="4352" width="9.140625" style="1986"/>
    <col min="4353" max="4353" width="4.7109375" style="1986" customWidth="1"/>
    <col min="4354" max="4354" width="6.7109375" style="1986" customWidth="1"/>
    <col min="4355" max="4355" width="8.85546875" style="1986" customWidth="1"/>
    <col min="4356" max="4356" width="47.85546875" style="1986" customWidth="1"/>
    <col min="4357" max="4357" width="12.85546875" style="1986" customWidth="1"/>
    <col min="4358" max="4358" width="15.5703125" style="1986" customWidth="1"/>
    <col min="4359" max="4359" width="15.85546875" style="1986" customWidth="1"/>
    <col min="4360" max="4360" width="6.42578125" style="1986" customWidth="1"/>
    <col min="4361" max="4362" width="9.140625" style="1986"/>
    <col min="4363" max="4364" width="14.7109375" style="1986" bestFit="1" customWidth="1"/>
    <col min="4365" max="4608" width="9.140625" style="1986"/>
    <col min="4609" max="4609" width="4.7109375" style="1986" customWidth="1"/>
    <col min="4610" max="4610" width="6.7109375" style="1986" customWidth="1"/>
    <col min="4611" max="4611" width="8.85546875" style="1986" customWidth="1"/>
    <col min="4612" max="4612" width="47.85546875" style="1986" customWidth="1"/>
    <col min="4613" max="4613" width="12.85546875" style="1986" customWidth="1"/>
    <col min="4614" max="4614" width="15.5703125" style="1986" customWidth="1"/>
    <col min="4615" max="4615" width="15.85546875" style="1986" customWidth="1"/>
    <col min="4616" max="4616" width="6.42578125" style="1986" customWidth="1"/>
    <col min="4617" max="4618" width="9.140625" style="1986"/>
    <col min="4619" max="4620" width="14.7109375" style="1986" bestFit="1" customWidth="1"/>
    <col min="4621" max="4864" width="9.140625" style="1986"/>
    <col min="4865" max="4865" width="4.7109375" style="1986" customWidth="1"/>
    <col min="4866" max="4866" width="6.7109375" style="1986" customWidth="1"/>
    <col min="4867" max="4867" width="8.85546875" style="1986" customWidth="1"/>
    <col min="4868" max="4868" width="47.85546875" style="1986" customWidth="1"/>
    <col min="4869" max="4869" width="12.85546875" style="1986" customWidth="1"/>
    <col min="4870" max="4870" width="15.5703125" style="1986" customWidth="1"/>
    <col min="4871" max="4871" width="15.85546875" style="1986" customWidth="1"/>
    <col min="4872" max="4872" width="6.42578125" style="1986" customWidth="1"/>
    <col min="4873" max="4874" width="9.140625" style="1986"/>
    <col min="4875" max="4876" width="14.7109375" style="1986" bestFit="1" customWidth="1"/>
    <col min="4877" max="5120" width="9.140625" style="1986"/>
    <col min="5121" max="5121" width="4.7109375" style="1986" customWidth="1"/>
    <col min="5122" max="5122" width="6.7109375" style="1986" customWidth="1"/>
    <col min="5123" max="5123" width="8.85546875" style="1986" customWidth="1"/>
    <col min="5124" max="5124" width="47.85546875" style="1986" customWidth="1"/>
    <col min="5125" max="5125" width="12.85546875" style="1986" customWidth="1"/>
    <col min="5126" max="5126" width="15.5703125" style="1986" customWidth="1"/>
    <col min="5127" max="5127" width="15.85546875" style="1986" customWidth="1"/>
    <col min="5128" max="5128" width="6.42578125" style="1986" customWidth="1"/>
    <col min="5129" max="5130" width="9.140625" style="1986"/>
    <col min="5131" max="5132" width="14.7109375" style="1986" bestFit="1" customWidth="1"/>
    <col min="5133" max="5376" width="9.140625" style="1986"/>
    <col min="5377" max="5377" width="4.7109375" style="1986" customWidth="1"/>
    <col min="5378" max="5378" width="6.7109375" style="1986" customWidth="1"/>
    <col min="5379" max="5379" width="8.85546875" style="1986" customWidth="1"/>
    <col min="5380" max="5380" width="47.85546875" style="1986" customWidth="1"/>
    <col min="5381" max="5381" width="12.85546875" style="1986" customWidth="1"/>
    <col min="5382" max="5382" width="15.5703125" style="1986" customWidth="1"/>
    <col min="5383" max="5383" width="15.85546875" style="1986" customWidth="1"/>
    <col min="5384" max="5384" width="6.42578125" style="1986" customWidth="1"/>
    <col min="5385" max="5386" width="9.140625" style="1986"/>
    <col min="5387" max="5388" width="14.7109375" style="1986" bestFit="1" customWidth="1"/>
    <col min="5389" max="5632" width="9.140625" style="1986"/>
    <col min="5633" max="5633" width="4.7109375" style="1986" customWidth="1"/>
    <col min="5634" max="5634" width="6.7109375" style="1986" customWidth="1"/>
    <col min="5635" max="5635" width="8.85546875" style="1986" customWidth="1"/>
    <col min="5636" max="5636" width="47.85546875" style="1986" customWidth="1"/>
    <col min="5637" max="5637" width="12.85546875" style="1986" customWidth="1"/>
    <col min="5638" max="5638" width="15.5703125" style="1986" customWidth="1"/>
    <col min="5639" max="5639" width="15.85546875" style="1986" customWidth="1"/>
    <col min="5640" max="5640" width="6.42578125" style="1986" customWidth="1"/>
    <col min="5641" max="5642" width="9.140625" style="1986"/>
    <col min="5643" max="5644" width="14.7109375" style="1986" bestFit="1" customWidth="1"/>
    <col min="5645" max="5888" width="9.140625" style="1986"/>
    <col min="5889" max="5889" width="4.7109375" style="1986" customWidth="1"/>
    <col min="5890" max="5890" width="6.7109375" style="1986" customWidth="1"/>
    <col min="5891" max="5891" width="8.85546875" style="1986" customWidth="1"/>
    <col min="5892" max="5892" width="47.85546875" style="1986" customWidth="1"/>
    <col min="5893" max="5893" width="12.85546875" style="1986" customWidth="1"/>
    <col min="5894" max="5894" width="15.5703125" style="1986" customWidth="1"/>
    <col min="5895" max="5895" width="15.85546875" style="1986" customWidth="1"/>
    <col min="5896" max="5896" width="6.42578125" style="1986" customWidth="1"/>
    <col min="5897" max="5898" width="9.140625" style="1986"/>
    <col min="5899" max="5900" width="14.7109375" style="1986" bestFit="1" customWidth="1"/>
    <col min="5901" max="6144" width="9.140625" style="1986"/>
    <col min="6145" max="6145" width="4.7109375" style="1986" customWidth="1"/>
    <col min="6146" max="6146" width="6.7109375" style="1986" customWidth="1"/>
    <col min="6147" max="6147" width="8.85546875" style="1986" customWidth="1"/>
    <col min="6148" max="6148" width="47.85546875" style="1986" customWidth="1"/>
    <col min="6149" max="6149" width="12.85546875" style="1986" customWidth="1"/>
    <col min="6150" max="6150" width="15.5703125" style="1986" customWidth="1"/>
    <col min="6151" max="6151" width="15.85546875" style="1986" customWidth="1"/>
    <col min="6152" max="6152" width="6.42578125" style="1986" customWidth="1"/>
    <col min="6153" max="6154" width="9.140625" style="1986"/>
    <col min="6155" max="6156" width="14.7109375" style="1986" bestFit="1" customWidth="1"/>
    <col min="6157" max="6400" width="9.140625" style="1986"/>
    <col min="6401" max="6401" width="4.7109375" style="1986" customWidth="1"/>
    <col min="6402" max="6402" width="6.7109375" style="1986" customWidth="1"/>
    <col min="6403" max="6403" width="8.85546875" style="1986" customWidth="1"/>
    <col min="6404" max="6404" width="47.85546875" style="1986" customWidth="1"/>
    <col min="6405" max="6405" width="12.85546875" style="1986" customWidth="1"/>
    <col min="6406" max="6406" width="15.5703125" style="1986" customWidth="1"/>
    <col min="6407" max="6407" width="15.85546875" style="1986" customWidth="1"/>
    <col min="6408" max="6408" width="6.42578125" style="1986" customWidth="1"/>
    <col min="6409" max="6410" width="9.140625" style="1986"/>
    <col min="6411" max="6412" width="14.7109375" style="1986" bestFit="1" customWidth="1"/>
    <col min="6413" max="6656" width="9.140625" style="1986"/>
    <col min="6657" max="6657" width="4.7109375" style="1986" customWidth="1"/>
    <col min="6658" max="6658" width="6.7109375" style="1986" customWidth="1"/>
    <col min="6659" max="6659" width="8.85546875" style="1986" customWidth="1"/>
    <col min="6660" max="6660" width="47.85546875" style="1986" customWidth="1"/>
    <col min="6661" max="6661" width="12.85546875" style="1986" customWidth="1"/>
    <col min="6662" max="6662" width="15.5703125" style="1986" customWidth="1"/>
    <col min="6663" max="6663" width="15.85546875" style="1986" customWidth="1"/>
    <col min="6664" max="6664" width="6.42578125" style="1986" customWidth="1"/>
    <col min="6665" max="6666" width="9.140625" style="1986"/>
    <col min="6667" max="6668" width="14.7109375" style="1986" bestFit="1" customWidth="1"/>
    <col min="6669" max="6912" width="9.140625" style="1986"/>
    <col min="6913" max="6913" width="4.7109375" style="1986" customWidth="1"/>
    <col min="6914" max="6914" width="6.7109375" style="1986" customWidth="1"/>
    <col min="6915" max="6915" width="8.85546875" style="1986" customWidth="1"/>
    <col min="6916" max="6916" width="47.85546875" style="1986" customWidth="1"/>
    <col min="6917" max="6917" width="12.85546875" style="1986" customWidth="1"/>
    <col min="6918" max="6918" width="15.5703125" style="1986" customWidth="1"/>
    <col min="6919" max="6919" width="15.85546875" style="1986" customWidth="1"/>
    <col min="6920" max="6920" width="6.42578125" style="1986" customWidth="1"/>
    <col min="6921" max="6922" width="9.140625" style="1986"/>
    <col min="6923" max="6924" width="14.7109375" style="1986" bestFit="1" customWidth="1"/>
    <col min="6925" max="7168" width="9.140625" style="1986"/>
    <col min="7169" max="7169" width="4.7109375" style="1986" customWidth="1"/>
    <col min="7170" max="7170" width="6.7109375" style="1986" customWidth="1"/>
    <col min="7171" max="7171" width="8.85546875" style="1986" customWidth="1"/>
    <col min="7172" max="7172" width="47.85546875" style="1986" customWidth="1"/>
    <col min="7173" max="7173" width="12.85546875" style="1986" customWidth="1"/>
    <col min="7174" max="7174" width="15.5703125" style="1986" customWidth="1"/>
    <col min="7175" max="7175" width="15.85546875" style="1986" customWidth="1"/>
    <col min="7176" max="7176" width="6.42578125" style="1986" customWidth="1"/>
    <col min="7177" max="7178" width="9.140625" style="1986"/>
    <col min="7179" max="7180" width="14.7109375" style="1986" bestFit="1" customWidth="1"/>
    <col min="7181" max="7424" width="9.140625" style="1986"/>
    <col min="7425" max="7425" width="4.7109375" style="1986" customWidth="1"/>
    <col min="7426" max="7426" width="6.7109375" style="1986" customWidth="1"/>
    <col min="7427" max="7427" width="8.85546875" style="1986" customWidth="1"/>
    <col min="7428" max="7428" width="47.85546875" style="1986" customWidth="1"/>
    <col min="7429" max="7429" width="12.85546875" style="1986" customWidth="1"/>
    <col min="7430" max="7430" width="15.5703125" style="1986" customWidth="1"/>
    <col min="7431" max="7431" width="15.85546875" style="1986" customWidth="1"/>
    <col min="7432" max="7432" width="6.42578125" style="1986" customWidth="1"/>
    <col min="7433" max="7434" width="9.140625" style="1986"/>
    <col min="7435" max="7436" width="14.7109375" style="1986" bestFit="1" customWidth="1"/>
    <col min="7437" max="7680" width="9.140625" style="1986"/>
    <col min="7681" max="7681" width="4.7109375" style="1986" customWidth="1"/>
    <col min="7682" max="7682" width="6.7109375" style="1986" customWidth="1"/>
    <col min="7683" max="7683" width="8.85546875" style="1986" customWidth="1"/>
    <col min="7684" max="7684" width="47.85546875" style="1986" customWidth="1"/>
    <col min="7685" max="7685" width="12.85546875" style="1986" customWidth="1"/>
    <col min="7686" max="7686" width="15.5703125" style="1986" customWidth="1"/>
    <col min="7687" max="7687" width="15.85546875" style="1986" customWidth="1"/>
    <col min="7688" max="7688" width="6.42578125" style="1986" customWidth="1"/>
    <col min="7689" max="7690" width="9.140625" style="1986"/>
    <col min="7691" max="7692" width="14.7109375" style="1986" bestFit="1" customWidth="1"/>
    <col min="7693" max="7936" width="9.140625" style="1986"/>
    <col min="7937" max="7937" width="4.7109375" style="1986" customWidth="1"/>
    <col min="7938" max="7938" width="6.7109375" style="1986" customWidth="1"/>
    <col min="7939" max="7939" width="8.85546875" style="1986" customWidth="1"/>
    <col min="7940" max="7940" width="47.85546875" style="1986" customWidth="1"/>
    <col min="7941" max="7941" width="12.85546875" style="1986" customWidth="1"/>
    <col min="7942" max="7942" width="15.5703125" style="1986" customWidth="1"/>
    <col min="7943" max="7943" width="15.85546875" style="1986" customWidth="1"/>
    <col min="7944" max="7944" width="6.42578125" style="1986" customWidth="1"/>
    <col min="7945" max="7946" width="9.140625" style="1986"/>
    <col min="7947" max="7948" width="14.7109375" style="1986" bestFit="1" customWidth="1"/>
    <col min="7949" max="8192" width="9.140625" style="1986"/>
    <col min="8193" max="8193" width="4.7109375" style="1986" customWidth="1"/>
    <col min="8194" max="8194" width="6.7109375" style="1986" customWidth="1"/>
    <col min="8195" max="8195" width="8.85546875" style="1986" customWidth="1"/>
    <col min="8196" max="8196" width="47.85546875" style="1986" customWidth="1"/>
    <col min="8197" max="8197" width="12.85546875" style="1986" customWidth="1"/>
    <col min="8198" max="8198" width="15.5703125" style="1986" customWidth="1"/>
    <col min="8199" max="8199" width="15.85546875" style="1986" customWidth="1"/>
    <col min="8200" max="8200" width="6.42578125" style="1986" customWidth="1"/>
    <col min="8201" max="8202" width="9.140625" style="1986"/>
    <col min="8203" max="8204" width="14.7109375" style="1986" bestFit="1" customWidth="1"/>
    <col min="8205" max="8448" width="9.140625" style="1986"/>
    <col min="8449" max="8449" width="4.7109375" style="1986" customWidth="1"/>
    <col min="8450" max="8450" width="6.7109375" style="1986" customWidth="1"/>
    <col min="8451" max="8451" width="8.85546875" style="1986" customWidth="1"/>
    <col min="8452" max="8452" width="47.85546875" style="1986" customWidth="1"/>
    <col min="8453" max="8453" width="12.85546875" style="1986" customWidth="1"/>
    <col min="8454" max="8454" width="15.5703125" style="1986" customWidth="1"/>
    <col min="8455" max="8455" width="15.85546875" style="1986" customWidth="1"/>
    <col min="8456" max="8456" width="6.42578125" style="1986" customWidth="1"/>
    <col min="8457" max="8458" width="9.140625" style="1986"/>
    <col min="8459" max="8460" width="14.7109375" style="1986" bestFit="1" customWidth="1"/>
    <col min="8461" max="8704" width="9.140625" style="1986"/>
    <col min="8705" max="8705" width="4.7109375" style="1986" customWidth="1"/>
    <col min="8706" max="8706" width="6.7109375" style="1986" customWidth="1"/>
    <col min="8707" max="8707" width="8.85546875" style="1986" customWidth="1"/>
    <col min="8708" max="8708" width="47.85546875" style="1986" customWidth="1"/>
    <col min="8709" max="8709" width="12.85546875" style="1986" customWidth="1"/>
    <col min="8710" max="8710" width="15.5703125" style="1986" customWidth="1"/>
    <col min="8711" max="8711" width="15.85546875" style="1986" customWidth="1"/>
    <col min="8712" max="8712" width="6.42578125" style="1986" customWidth="1"/>
    <col min="8713" max="8714" width="9.140625" style="1986"/>
    <col min="8715" max="8716" width="14.7109375" style="1986" bestFit="1" customWidth="1"/>
    <col min="8717" max="8960" width="9.140625" style="1986"/>
    <col min="8961" max="8961" width="4.7109375" style="1986" customWidth="1"/>
    <col min="8962" max="8962" width="6.7109375" style="1986" customWidth="1"/>
    <col min="8963" max="8963" width="8.85546875" style="1986" customWidth="1"/>
    <col min="8964" max="8964" width="47.85546875" style="1986" customWidth="1"/>
    <col min="8965" max="8965" width="12.85546875" style="1986" customWidth="1"/>
    <col min="8966" max="8966" width="15.5703125" style="1986" customWidth="1"/>
    <col min="8967" max="8967" width="15.85546875" style="1986" customWidth="1"/>
    <col min="8968" max="8968" width="6.42578125" style="1986" customWidth="1"/>
    <col min="8969" max="8970" width="9.140625" style="1986"/>
    <col min="8971" max="8972" width="14.7109375" style="1986" bestFit="1" customWidth="1"/>
    <col min="8973" max="9216" width="9.140625" style="1986"/>
    <col min="9217" max="9217" width="4.7109375" style="1986" customWidth="1"/>
    <col min="9218" max="9218" width="6.7109375" style="1986" customWidth="1"/>
    <col min="9219" max="9219" width="8.85546875" style="1986" customWidth="1"/>
    <col min="9220" max="9220" width="47.85546875" style="1986" customWidth="1"/>
    <col min="9221" max="9221" width="12.85546875" style="1986" customWidth="1"/>
    <col min="9222" max="9222" width="15.5703125" style="1986" customWidth="1"/>
    <col min="9223" max="9223" width="15.85546875" style="1986" customWidth="1"/>
    <col min="9224" max="9224" width="6.42578125" style="1986" customWidth="1"/>
    <col min="9225" max="9226" width="9.140625" style="1986"/>
    <col min="9227" max="9228" width="14.7109375" style="1986" bestFit="1" customWidth="1"/>
    <col min="9229" max="9472" width="9.140625" style="1986"/>
    <col min="9473" max="9473" width="4.7109375" style="1986" customWidth="1"/>
    <col min="9474" max="9474" width="6.7109375" style="1986" customWidth="1"/>
    <col min="9475" max="9475" width="8.85546875" style="1986" customWidth="1"/>
    <col min="9476" max="9476" width="47.85546875" style="1986" customWidth="1"/>
    <col min="9477" max="9477" width="12.85546875" style="1986" customWidth="1"/>
    <col min="9478" max="9478" width="15.5703125" style="1986" customWidth="1"/>
    <col min="9479" max="9479" width="15.85546875" style="1986" customWidth="1"/>
    <col min="9480" max="9480" width="6.42578125" style="1986" customWidth="1"/>
    <col min="9481" max="9482" width="9.140625" style="1986"/>
    <col min="9483" max="9484" width="14.7109375" style="1986" bestFit="1" customWidth="1"/>
    <col min="9485" max="9728" width="9.140625" style="1986"/>
    <col min="9729" max="9729" width="4.7109375" style="1986" customWidth="1"/>
    <col min="9730" max="9730" width="6.7109375" style="1986" customWidth="1"/>
    <col min="9731" max="9731" width="8.85546875" style="1986" customWidth="1"/>
    <col min="9732" max="9732" width="47.85546875" style="1986" customWidth="1"/>
    <col min="9733" max="9733" width="12.85546875" style="1986" customWidth="1"/>
    <col min="9734" max="9734" width="15.5703125" style="1986" customWidth="1"/>
    <col min="9735" max="9735" width="15.85546875" style="1986" customWidth="1"/>
    <col min="9736" max="9736" width="6.42578125" style="1986" customWidth="1"/>
    <col min="9737" max="9738" width="9.140625" style="1986"/>
    <col min="9739" max="9740" width="14.7109375" style="1986" bestFit="1" customWidth="1"/>
    <col min="9741" max="9984" width="9.140625" style="1986"/>
    <col min="9985" max="9985" width="4.7109375" style="1986" customWidth="1"/>
    <col min="9986" max="9986" width="6.7109375" style="1986" customWidth="1"/>
    <col min="9987" max="9987" width="8.85546875" style="1986" customWidth="1"/>
    <col min="9988" max="9988" width="47.85546875" style="1986" customWidth="1"/>
    <col min="9989" max="9989" width="12.85546875" style="1986" customWidth="1"/>
    <col min="9990" max="9990" width="15.5703125" style="1986" customWidth="1"/>
    <col min="9991" max="9991" width="15.85546875" style="1986" customWidth="1"/>
    <col min="9992" max="9992" width="6.42578125" style="1986" customWidth="1"/>
    <col min="9993" max="9994" width="9.140625" style="1986"/>
    <col min="9995" max="9996" width="14.7109375" style="1986" bestFit="1" customWidth="1"/>
    <col min="9997" max="10240" width="9.140625" style="1986"/>
    <col min="10241" max="10241" width="4.7109375" style="1986" customWidth="1"/>
    <col min="10242" max="10242" width="6.7109375" style="1986" customWidth="1"/>
    <col min="10243" max="10243" width="8.85546875" style="1986" customWidth="1"/>
    <col min="10244" max="10244" width="47.85546875" style="1986" customWidth="1"/>
    <col min="10245" max="10245" width="12.85546875" style="1986" customWidth="1"/>
    <col min="10246" max="10246" width="15.5703125" style="1986" customWidth="1"/>
    <col min="10247" max="10247" width="15.85546875" style="1986" customWidth="1"/>
    <col min="10248" max="10248" width="6.42578125" style="1986" customWidth="1"/>
    <col min="10249" max="10250" width="9.140625" style="1986"/>
    <col min="10251" max="10252" width="14.7109375" style="1986" bestFit="1" customWidth="1"/>
    <col min="10253" max="10496" width="9.140625" style="1986"/>
    <col min="10497" max="10497" width="4.7109375" style="1986" customWidth="1"/>
    <col min="10498" max="10498" width="6.7109375" style="1986" customWidth="1"/>
    <col min="10499" max="10499" width="8.85546875" style="1986" customWidth="1"/>
    <col min="10500" max="10500" width="47.85546875" style="1986" customWidth="1"/>
    <col min="10501" max="10501" width="12.85546875" style="1986" customWidth="1"/>
    <col min="10502" max="10502" width="15.5703125" style="1986" customWidth="1"/>
    <col min="10503" max="10503" width="15.85546875" style="1986" customWidth="1"/>
    <col min="10504" max="10504" width="6.42578125" style="1986" customWidth="1"/>
    <col min="10505" max="10506" width="9.140625" style="1986"/>
    <col min="10507" max="10508" width="14.7109375" style="1986" bestFit="1" customWidth="1"/>
    <col min="10509" max="10752" width="9.140625" style="1986"/>
    <col min="10753" max="10753" width="4.7109375" style="1986" customWidth="1"/>
    <col min="10754" max="10754" width="6.7109375" style="1986" customWidth="1"/>
    <col min="10755" max="10755" width="8.85546875" style="1986" customWidth="1"/>
    <col min="10756" max="10756" width="47.85546875" style="1986" customWidth="1"/>
    <col min="10757" max="10757" width="12.85546875" style="1986" customWidth="1"/>
    <col min="10758" max="10758" width="15.5703125" style="1986" customWidth="1"/>
    <col min="10759" max="10759" width="15.85546875" style="1986" customWidth="1"/>
    <col min="10760" max="10760" width="6.42578125" style="1986" customWidth="1"/>
    <col min="10761" max="10762" width="9.140625" style="1986"/>
    <col min="10763" max="10764" width="14.7109375" style="1986" bestFit="1" customWidth="1"/>
    <col min="10765" max="11008" width="9.140625" style="1986"/>
    <col min="11009" max="11009" width="4.7109375" style="1986" customWidth="1"/>
    <col min="11010" max="11010" width="6.7109375" style="1986" customWidth="1"/>
    <col min="11011" max="11011" width="8.85546875" style="1986" customWidth="1"/>
    <col min="11012" max="11012" width="47.85546875" style="1986" customWidth="1"/>
    <col min="11013" max="11013" width="12.85546875" style="1986" customWidth="1"/>
    <col min="11014" max="11014" width="15.5703125" style="1986" customWidth="1"/>
    <col min="11015" max="11015" width="15.85546875" style="1986" customWidth="1"/>
    <col min="11016" max="11016" width="6.42578125" style="1986" customWidth="1"/>
    <col min="11017" max="11018" width="9.140625" style="1986"/>
    <col min="11019" max="11020" width="14.7109375" style="1986" bestFit="1" customWidth="1"/>
    <col min="11021" max="11264" width="9.140625" style="1986"/>
    <col min="11265" max="11265" width="4.7109375" style="1986" customWidth="1"/>
    <col min="11266" max="11266" width="6.7109375" style="1986" customWidth="1"/>
    <col min="11267" max="11267" width="8.85546875" style="1986" customWidth="1"/>
    <col min="11268" max="11268" width="47.85546875" style="1986" customWidth="1"/>
    <col min="11269" max="11269" width="12.85546875" style="1986" customWidth="1"/>
    <col min="11270" max="11270" width="15.5703125" style="1986" customWidth="1"/>
    <col min="11271" max="11271" width="15.85546875" style="1986" customWidth="1"/>
    <col min="11272" max="11272" width="6.42578125" style="1986" customWidth="1"/>
    <col min="11273" max="11274" width="9.140625" style="1986"/>
    <col min="11275" max="11276" width="14.7109375" style="1986" bestFit="1" customWidth="1"/>
    <col min="11277" max="11520" width="9.140625" style="1986"/>
    <col min="11521" max="11521" width="4.7109375" style="1986" customWidth="1"/>
    <col min="11522" max="11522" width="6.7109375" style="1986" customWidth="1"/>
    <col min="11523" max="11523" width="8.85546875" style="1986" customWidth="1"/>
    <col min="11524" max="11524" width="47.85546875" style="1986" customWidth="1"/>
    <col min="11525" max="11525" width="12.85546875" style="1986" customWidth="1"/>
    <col min="11526" max="11526" width="15.5703125" style="1986" customWidth="1"/>
    <col min="11527" max="11527" width="15.85546875" style="1986" customWidth="1"/>
    <col min="11528" max="11528" width="6.42578125" style="1986" customWidth="1"/>
    <col min="11529" max="11530" width="9.140625" style="1986"/>
    <col min="11531" max="11532" width="14.7109375" style="1986" bestFit="1" customWidth="1"/>
    <col min="11533" max="11776" width="9.140625" style="1986"/>
    <col min="11777" max="11777" width="4.7109375" style="1986" customWidth="1"/>
    <col min="11778" max="11778" width="6.7109375" style="1986" customWidth="1"/>
    <col min="11779" max="11779" width="8.85546875" style="1986" customWidth="1"/>
    <col min="11780" max="11780" width="47.85546875" style="1986" customWidth="1"/>
    <col min="11781" max="11781" width="12.85546875" style="1986" customWidth="1"/>
    <col min="11782" max="11782" width="15.5703125" style="1986" customWidth="1"/>
    <col min="11783" max="11783" width="15.85546875" style="1986" customWidth="1"/>
    <col min="11784" max="11784" width="6.42578125" style="1986" customWidth="1"/>
    <col min="11785" max="11786" width="9.140625" style="1986"/>
    <col min="11787" max="11788" width="14.7109375" style="1986" bestFit="1" customWidth="1"/>
    <col min="11789" max="12032" width="9.140625" style="1986"/>
    <col min="12033" max="12033" width="4.7109375" style="1986" customWidth="1"/>
    <col min="12034" max="12034" width="6.7109375" style="1986" customWidth="1"/>
    <col min="12035" max="12035" width="8.85546875" style="1986" customWidth="1"/>
    <col min="12036" max="12036" width="47.85546875" style="1986" customWidth="1"/>
    <col min="12037" max="12037" width="12.85546875" style="1986" customWidth="1"/>
    <col min="12038" max="12038" width="15.5703125" style="1986" customWidth="1"/>
    <col min="12039" max="12039" width="15.85546875" style="1986" customWidth="1"/>
    <col min="12040" max="12040" width="6.42578125" style="1986" customWidth="1"/>
    <col min="12041" max="12042" width="9.140625" style="1986"/>
    <col min="12043" max="12044" width="14.7109375" style="1986" bestFit="1" customWidth="1"/>
    <col min="12045" max="12288" width="9.140625" style="1986"/>
    <col min="12289" max="12289" width="4.7109375" style="1986" customWidth="1"/>
    <col min="12290" max="12290" width="6.7109375" style="1986" customWidth="1"/>
    <col min="12291" max="12291" width="8.85546875" style="1986" customWidth="1"/>
    <col min="12292" max="12292" width="47.85546875" style="1986" customWidth="1"/>
    <col min="12293" max="12293" width="12.85546875" style="1986" customWidth="1"/>
    <col min="12294" max="12294" width="15.5703125" style="1986" customWidth="1"/>
    <col min="12295" max="12295" width="15.85546875" style="1986" customWidth="1"/>
    <col min="12296" max="12296" width="6.42578125" style="1986" customWidth="1"/>
    <col min="12297" max="12298" width="9.140625" style="1986"/>
    <col min="12299" max="12300" width="14.7109375" style="1986" bestFit="1" customWidth="1"/>
    <col min="12301" max="12544" width="9.140625" style="1986"/>
    <col min="12545" max="12545" width="4.7109375" style="1986" customWidth="1"/>
    <col min="12546" max="12546" width="6.7109375" style="1986" customWidth="1"/>
    <col min="12547" max="12547" width="8.85546875" style="1986" customWidth="1"/>
    <col min="12548" max="12548" width="47.85546875" style="1986" customWidth="1"/>
    <col min="12549" max="12549" width="12.85546875" style="1986" customWidth="1"/>
    <col min="12550" max="12550" width="15.5703125" style="1986" customWidth="1"/>
    <col min="12551" max="12551" width="15.85546875" style="1986" customWidth="1"/>
    <col min="12552" max="12552" width="6.42578125" style="1986" customWidth="1"/>
    <col min="12553" max="12554" width="9.140625" style="1986"/>
    <col min="12555" max="12556" width="14.7109375" style="1986" bestFit="1" customWidth="1"/>
    <col min="12557" max="12800" width="9.140625" style="1986"/>
    <col min="12801" max="12801" width="4.7109375" style="1986" customWidth="1"/>
    <col min="12802" max="12802" width="6.7109375" style="1986" customWidth="1"/>
    <col min="12803" max="12803" width="8.85546875" style="1986" customWidth="1"/>
    <col min="12804" max="12804" width="47.85546875" style="1986" customWidth="1"/>
    <col min="12805" max="12805" width="12.85546875" style="1986" customWidth="1"/>
    <col min="12806" max="12806" width="15.5703125" style="1986" customWidth="1"/>
    <col min="12807" max="12807" width="15.85546875" style="1986" customWidth="1"/>
    <col min="12808" max="12808" width="6.42578125" style="1986" customWidth="1"/>
    <col min="12809" max="12810" width="9.140625" style="1986"/>
    <col min="12811" max="12812" width="14.7109375" style="1986" bestFit="1" customWidth="1"/>
    <col min="12813" max="13056" width="9.140625" style="1986"/>
    <col min="13057" max="13057" width="4.7109375" style="1986" customWidth="1"/>
    <col min="13058" max="13058" width="6.7109375" style="1986" customWidth="1"/>
    <col min="13059" max="13059" width="8.85546875" style="1986" customWidth="1"/>
    <col min="13060" max="13060" width="47.85546875" style="1986" customWidth="1"/>
    <col min="13061" max="13061" width="12.85546875" style="1986" customWidth="1"/>
    <col min="13062" max="13062" width="15.5703125" style="1986" customWidth="1"/>
    <col min="13063" max="13063" width="15.85546875" style="1986" customWidth="1"/>
    <col min="13064" max="13064" width="6.42578125" style="1986" customWidth="1"/>
    <col min="13065" max="13066" width="9.140625" style="1986"/>
    <col min="13067" max="13068" width="14.7109375" style="1986" bestFit="1" customWidth="1"/>
    <col min="13069" max="13312" width="9.140625" style="1986"/>
    <col min="13313" max="13313" width="4.7109375" style="1986" customWidth="1"/>
    <col min="13314" max="13314" width="6.7109375" style="1986" customWidth="1"/>
    <col min="13315" max="13315" width="8.85546875" style="1986" customWidth="1"/>
    <col min="13316" max="13316" width="47.85546875" style="1986" customWidth="1"/>
    <col min="13317" max="13317" width="12.85546875" style="1986" customWidth="1"/>
    <col min="13318" max="13318" width="15.5703125" style="1986" customWidth="1"/>
    <col min="13319" max="13319" width="15.85546875" style="1986" customWidth="1"/>
    <col min="13320" max="13320" width="6.42578125" style="1986" customWidth="1"/>
    <col min="13321" max="13322" width="9.140625" style="1986"/>
    <col min="13323" max="13324" width="14.7109375" style="1986" bestFit="1" customWidth="1"/>
    <col min="13325" max="13568" width="9.140625" style="1986"/>
    <col min="13569" max="13569" width="4.7109375" style="1986" customWidth="1"/>
    <col min="13570" max="13570" width="6.7109375" style="1986" customWidth="1"/>
    <col min="13571" max="13571" width="8.85546875" style="1986" customWidth="1"/>
    <col min="13572" max="13572" width="47.85546875" style="1986" customWidth="1"/>
    <col min="13573" max="13573" width="12.85546875" style="1986" customWidth="1"/>
    <col min="13574" max="13574" width="15.5703125" style="1986" customWidth="1"/>
    <col min="13575" max="13575" width="15.85546875" style="1986" customWidth="1"/>
    <col min="13576" max="13576" width="6.42578125" style="1986" customWidth="1"/>
    <col min="13577" max="13578" width="9.140625" style="1986"/>
    <col min="13579" max="13580" width="14.7109375" style="1986" bestFit="1" customWidth="1"/>
    <col min="13581" max="13824" width="9.140625" style="1986"/>
    <col min="13825" max="13825" width="4.7109375" style="1986" customWidth="1"/>
    <col min="13826" max="13826" width="6.7109375" style="1986" customWidth="1"/>
    <col min="13827" max="13827" width="8.85546875" style="1986" customWidth="1"/>
    <col min="13828" max="13828" width="47.85546875" style="1986" customWidth="1"/>
    <col min="13829" max="13829" width="12.85546875" style="1986" customWidth="1"/>
    <col min="13830" max="13830" width="15.5703125" style="1986" customWidth="1"/>
    <col min="13831" max="13831" width="15.85546875" style="1986" customWidth="1"/>
    <col min="13832" max="13832" width="6.42578125" style="1986" customWidth="1"/>
    <col min="13833" max="13834" width="9.140625" style="1986"/>
    <col min="13835" max="13836" width="14.7109375" style="1986" bestFit="1" customWidth="1"/>
    <col min="13837" max="14080" width="9.140625" style="1986"/>
    <col min="14081" max="14081" width="4.7109375" style="1986" customWidth="1"/>
    <col min="14082" max="14082" width="6.7109375" style="1986" customWidth="1"/>
    <col min="14083" max="14083" width="8.85546875" style="1986" customWidth="1"/>
    <col min="14084" max="14084" width="47.85546875" style="1986" customWidth="1"/>
    <col min="14085" max="14085" width="12.85546875" style="1986" customWidth="1"/>
    <col min="14086" max="14086" width="15.5703125" style="1986" customWidth="1"/>
    <col min="14087" max="14087" width="15.85546875" style="1986" customWidth="1"/>
    <col min="14088" max="14088" width="6.42578125" style="1986" customWidth="1"/>
    <col min="14089" max="14090" width="9.140625" style="1986"/>
    <col min="14091" max="14092" width="14.7109375" style="1986" bestFit="1" customWidth="1"/>
    <col min="14093" max="14336" width="9.140625" style="1986"/>
    <col min="14337" max="14337" width="4.7109375" style="1986" customWidth="1"/>
    <col min="14338" max="14338" width="6.7109375" style="1986" customWidth="1"/>
    <col min="14339" max="14339" width="8.85546875" style="1986" customWidth="1"/>
    <col min="14340" max="14340" width="47.85546875" style="1986" customWidth="1"/>
    <col min="14341" max="14341" width="12.85546875" style="1986" customWidth="1"/>
    <col min="14342" max="14342" width="15.5703125" style="1986" customWidth="1"/>
    <col min="14343" max="14343" width="15.85546875" style="1986" customWidth="1"/>
    <col min="14344" max="14344" width="6.42578125" style="1986" customWidth="1"/>
    <col min="14345" max="14346" width="9.140625" style="1986"/>
    <col min="14347" max="14348" width="14.7109375" style="1986" bestFit="1" customWidth="1"/>
    <col min="14349" max="14592" width="9.140625" style="1986"/>
    <col min="14593" max="14593" width="4.7109375" style="1986" customWidth="1"/>
    <col min="14594" max="14594" width="6.7109375" style="1986" customWidth="1"/>
    <col min="14595" max="14595" width="8.85546875" style="1986" customWidth="1"/>
    <col min="14596" max="14596" width="47.85546875" style="1986" customWidth="1"/>
    <col min="14597" max="14597" width="12.85546875" style="1986" customWidth="1"/>
    <col min="14598" max="14598" width="15.5703125" style="1986" customWidth="1"/>
    <col min="14599" max="14599" width="15.85546875" style="1986" customWidth="1"/>
    <col min="14600" max="14600" width="6.42578125" style="1986" customWidth="1"/>
    <col min="14601" max="14602" width="9.140625" style="1986"/>
    <col min="14603" max="14604" width="14.7109375" style="1986" bestFit="1" customWidth="1"/>
    <col min="14605" max="14848" width="9.140625" style="1986"/>
    <col min="14849" max="14849" width="4.7109375" style="1986" customWidth="1"/>
    <col min="14850" max="14850" width="6.7109375" style="1986" customWidth="1"/>
    <col min="14851" max="14851" width="8.85546875" style="1986" customWidth="1"/>
    <col min="14852" max="14852" width="47.85546875" style="1986" customWidth="1"/>
    <col min="14853" max="14853" width="12.85546875" style="1986" customWidth="1"/>
    <col min="14854" max="14854" width="15.5703125" style="1986" customWidth="1"/>
    <col min="14855" max="14855" width="15.85546875" style="1986" customWidth="1"/>
    <col min="14856" max="14856" width="6.42578125" style="1986" customWidth="1"/>
    <col min="14857" max="14858" width="9.140625" style="1986"/>
    <col min="14859" max="14860" width="14.7109375" style="1986" bestFit="1" customWidth="1"/>
    <col min="14861" max="15104" width="9.140625" style="1986"/>
    <col min="15105" max="15105" width="4.7109375" style="1986" customWidth="1"/>
    <col min="15106" max="15106" width="6.7109375" style="1986" customWidth="1"/>
    <col min="15107" max="15107" width="8.85546875" style="1986" customWidth="1"/>
    <col min="15108" max="15108" width="47.85546875" style="1986" customWidth="1"/>
    <col min="15109" max="15109" width="12.85546875" style="1986" customWidth="1"/>
    <col min="15110" max="15110" width="15.5703125" style="1986" customWidth="1"/>
    <col min="15111" max="15111" width="15.85546875" style="1986" customWidth="1"/>
    <col min="15112" max="15112" width="6.42578125" style="1986" customWidth="1"/>
    <col min="15113" max="15114" width="9.140625" style="1986"/>
    <col min="15115" max="15116" width="14.7109375" style="1986" bestFit="1" customWidth="1"/>
    <col min="15117" max="15360" width="9.140625" style="1986"/>
    <col min="15361" max="15361" width="4.7109375" style="1986" customWidth="1"/>
    <col min="15362" max="15362" width="6.7109375" style="1986" customWidth="1"/>
    <col min="15363" max="15363" width="8.85546875" style="1986" customWidth="1"/>
    <col min="15364" max="15364" width="47.85546875" style="1986" customWidth="1"/>
    <col min="15365" max="15365" width="12.85546875" style="1986" customWidth="1"/>
    <col min="15366" max="15366" width="15.5703125" style="1986" customWidth="1"/>
    <col min="15367" max="15367" width="15.85546875" style="1986" customWidth="1"/>
    <col min="15368" max="15368" width="6.42578125" style="1986" customWidth="1"/>
    <col min="15369" max="15370" width="9.140625" style="1986"/>
    <col min="15371" max="15372" width="14.7109375" style="1986" bestFit="1" customWidth="1"/>
    <col min="15373" max="15616" width="9.140625" style="1986"/>
    <col min="15617" max="15617" width="4.7109375" style="1986" customWidth="1"/>
    <col min="15618" max="15618" width="6.7109375" style="1986" customWidth="1"/>
    <col min="15619" max="15619" width="8.85546875" style="1986" customWidth="1"/>
    <col min="15620" max="15620" width="47.85546875" style="1986" customWidth="1"/>
    <col min="15621" max="15621" width="12.85546875" style="1986" customWidth="1"/>
    <col min="15622" max="15622" width="15.5703125" style="1986" customWidth="1"/>
    <col min="15623" max="15623" width="15.85546875" style="1986" customWidth="1"/>
    <col min="15624" max="15624" width="6.42578125" style="1986" customWidth="1"/>
    <col min="15625" max="15626" width="9.140625" style="1986"/>
    <col min="15627" max="15628" width="14.7109375" style="1986" bestFit="1" customWidth="1"/>
    <col min="15629" max="15872" width="9.140625" style="1986"/>
    <col min="15873" max="15873" width="4.7109375" style="1986" customWidth="1"/>
    <col min="15874" max="15874" width="6.7109375" style="1986" customWidth="1"/>
    <col min="15875" max="15875" width="8.85546875" style="1986" customWidth="1"/>
    <col min="15876" max="15876" width="47.85546875" style="1986" customWidth="1"/>
    <col min="15877" max="15877" width="12.85546875" style="1986" customWidth="1"/>
    <col min="15878" max="15878" width="15.5703125" style="1986" customWidth="1"/>
    <col min="15879" max="15879" width="15.85546875" style="1986" customWidth="1"/>
    <col min="15880" max="15880" width="6.42578125" style="1986" customWidth="1"/>
    <col min="15881" max="15882" width="9.140625" style="1986"/>
    <col min="15883" max="15884" width="14.7109375" style="1986" bestFit="1" customWidth="1"/>
    <col min="15885" max="16128" width="9.140625" style="1986"/>
    <col min="16129" max="16129" width="4.7109375" style="1986" customWidth="1"/>
    <col min="16130" max="16130" width="6.7109375" style="1986" customWidth="1"/>
    <col min="16131" max="16131" width="8.85546875" style="1986" customWidth="1"/>
    <col min="16132" max="16132" width="47.85546875" style="1986" customWidth="1"/>
    <col min="16133" max="16133" width="12.85546875" style="1986" customWidth="1"/>
    <col min="16134" max="16134" width="15.5703125" style="1986" customWidth="1"/>
    <col min="16135" max="16135" width="15.85546875" style="1986" customWidth="1"/>
    <col min="16136" max="16136" width="6.42578125" style="1986" customWidth="1"/>
    <col min="16137" max="16138" width="9.140625" style="1986"/>
    <col min="16139" max="16140" width="14.7109375" style="1986" bestFit="1" customWidth="1"/>
    <col min="16141" max="16384" width="9.140625" style="1986"/>
  </cols>
  <sheetData>
    <row r="1" spans="1:8" ht="18.75" thickBot="1" x14ac:dyDescent="0.3">
      <c r="A1" s="1806" t="s">
        <v>1413</v>
      </c>
      <c r="B1" s="1981"/>
      <c r="C1" s="1982"/>
      <c r="D1" s="1983"/>
      <c r="E1" s="1984"/>
      <c r="F1" s="1983"/>
      <c r="G1" s="1985"/>
      <c r="H1" s="1980"/>
    </row>
    <row r="2" spans="1:8" ht="18" x14ac:dyDescent="0.25">
      <c r="A2" s="1987"/>
      <c r="B2" s="1988"/>
      <c r="C2" s="1988"/>
      <c r="D2" s="1988"/>
      <c r="E2" s="1988"/>
      <c r="F2" s="1988"/>
      <c r="G2" s="1988"/>
      <c r="H2" s="1989" t="s">
        <v>1412</v>
      </c>
    </row>
    <row r="3" spans="1:8" ht="18" x14ac:dyDescent="0.25">
      <c r="A3" s="1990" t="s">
        <v>367</v>
      </c>
      <c r="B3" s="1988"/>
      <c r="C3" s="1991" t="s">
        <v>347</v>
      </c>
      <c r="D3" s="1988"/>
      <c r="E3" s="1988"/>
      <c r="F3" s="1988"/>
      <c r="G3" s="1988"/>
      <c r="H3" s="1989"/>
    </row>
    <row r="4" spans="1:8" ht="18" x14ac:dyDescent="0.25">
      <c r="A4" s="1987"/>
      <c r="B4" s="1988"/>
      <c r="C4" s="1991" t="s">
        <v>348</v>
      </c>
      <c r="D4" s="1988"/>
      <c r="E4" s="1988"/>
      <c r="F4" s="1988"/>
      <c r="G4" s="1988"/>
      <c r="H4" s="1989"/>
    </row>
    <row r="5" spans="1:8" ht="18" x14ac:dyDescent="0.25">
      <c r="A5" s="1806" t="s">
        <v>1411</v>
      </c>
      <c r="B5" s="1988"/>
      <c r="C5" s="1988"/>
      <c r="D5" s="1988"/>
      <c r="E5" s="1988"/>
      <c r="F5" s="1988"/>
      <c r="G5" s="1988"/>
      <c r="H5" s="1989"/>
    </row>
    <row r="6" spans="1:8" x14ac:dyDescent="0.2">
      <c r="A6" s="1993"/>
      <c r="B6" s="1993"/>
      <c r="C6" s="1993"/>
      <c r="E6" s="1994"/>
      <c r="F6" s="1994"/>
      <c r="G6" s="1994"/>
    </row>
    <row r="7" spans="1:8" ht="15.75" thickBot="1" x14ac:dyDescent="0.3">
      <c r="A7" s="1979" t="s">
        <v>250</v>
      </c>
      <c r="B7" s="1993"/>
      <c r="C7" s="1993"/>
      <c r="E7" s="1994"/>
      <c r="F7" s="1994"/>
      <c r="G7" s="1994"/>
      <c r="H7" s="1995" t="s">
        <v>161</v>
      </c>
    </row>
    <row r="8" spans="1:8" ht="25.5" thickTop="1" thickBot="1" x14ac:dyDescent="0.25">
      <c r="A8" s="1809" t="s">
        <v>162</v>
      </c>
      <c r="B8" s="1810" t="s">
        <v>761</v>
      </c>
      <c r="C8" s="1810" t="s">
        <v>377</v>
      </c>
      <c r="D8" s="1811" t="s">
        <v>164</v>
      </c>
      <c r="E8" s="1833" t="s">
        <v>632</v>
      </c>
      <c r="F8" s="1833" t="s">
        <v>633</v>
      </c>
      <c r="G8" s="1834" t="s">
        <v>882</v>
      </c>
      <c r="H8" s="1835" t="s">
        <v>883</v>
      </c>
    </row>
    <row r="9" spans="1:8" ht="14.25" thickTop="1" thickBot="1" x14ac:dyDescent="0.25">
      <c r="A9" s="1643">
        <v>1</v>
      </c>
      <c r="B9" s="1642">
        <v>2</v>
      </c>
      <c r="C9" s="1642">
        <v>3</v>
      </c>
      <c r="D9" s="1642">
        <v>4</v>
      </c>
      <c r="E9" s="1641">
        <v>5</v>
      </c>
      <c r="F9" s="1641">
        <v>6</v>
      </c>
      <c r="G9" s="1877">
        <v>7</v>
      </c>
      <c r="H9" s="1901" t="s">
        <v>61</v>
      </c>
    </row>
    <row r="10" spans="1:8" ht="15.75" thickTop="1" x14ac:dyDescent="0.2">
      <c r="A10" s="2007">
        <v>3299</v>
      </c>
      <c r="B10" s="2008">
        <v>5011</v>
      </c>
      <c r="C10" s="2008">
        <v>32133007</v>
      </c>
      <c r="D10" s="2009" t="s">
        <v>206</v>
      </c>
      <c r="E10" s="2010">
        <v>0</v>
      </c>
      <c r="F10" s="2010">
        <v>626</v>
      </c>
      <c r="G10" s="2010">
        <v>435</v>
      </c>
      <c r="H10" s="2011">
        <f t="shared" ref="H10:H29" si="0">G10/F10*100</f>
        <v>69.488817891373799</v>
      </c>
    </row>
    <row r="11" spans="1:8" ht="15" x14ac:dyDescent="0.2">
      <c r="A11" s="2012">
        <v>3299</v>
      </c>
      <c r="B11" s="2013">
        <v>5011</v>
      </c>
      <c r="C11" s="2013">
        <v>32533007</v>
      </c>
      <c r="D11" s="2014" t="s">
        <v>206</v>
      </c>
      <c r="E11" s="2015">
        <v>0</v>
      </c>
      <c r="F11" s="2015">
        <v>3546</v>
      </c>
      <c r="G11" s="2015">
        <v>2465</v>
      </c>
      <c r="H11" s="2016">
        <f t="shared" si="0"/>
        <v>69.514946418499719</v>
      </c>
    </row>
    <row r="12" spans="1:8" ht="30" x14ac:dyDescent="0.2">
      <c r="A12" s="2012">
        <v>3299</v>
      </c>
      <c r="B12" s="2013">
        <v>5031</v>
      </c>
      <c r="C12" s="2013">
        <v>32133007</v>
      </c>
      <c r="D12" s="2014" t="s">
        <v>1299</v>
      </c>
      <c r="E12" s="2015">
        <v>0</v>
      </c>
      <c r="F12" s="2015">
        <v>216</v>
      </c>
      <c r="G12" s="2015">
        <v>109</v>
      </c>
      <c r="H12" s="2016">
        <f t="shared" si="0"/>
        <v>50.462962962962962</v>
      </c>
    </row>
    <row r="13" spans="1:8" ht="30" x14ac:dyDescent="0.2">
      <c r="A13" s="2012">
        <v>3299</v>
      </c>
      <c r="B13" s="2013">
        <v>5031</v>
      </c>
      <c r="C13" s="2013">
        <v>32533007</v>
      </c>
      <c r="D13" s="2014" t="s">
        <v>1299</v>
      </c>
      <c r="E13" s="2015">
        <v>0</v>
      </c>
      <c r="F13" s="2015">
        <v>1226</v>
      </c>
      <c r="G13" s="2015">
        <v>616</v>
      </c>
      <c r="H13" s="2016">
        <f t="shared" si="0"/>
        <v>50.244698205546491</v>
      </c>
    </row>
    <row r="14" spans="1:8" ht="30" x14ac:dyDescent="0.2">
      <c r="A14" s="2012">
        <v>3299</v>
      </c>
      <c r="B14" s="2013">
        <v>5032</v>
      </c>
      <c r="C14" s="2013">
        <v>32133007</v>
      </c>
      <c r="D14" s="2014" t="s">
        <v>1177</v>
      </c>
      <c r="E14" s="2015">
        <v>0</v>
      </c>
      <c r="F14" s="2015">
        <v>78</v>
      </c>
      <c r="G14" s="2015">
        <v>39</v>
      </c>
      <c r="H14" s="2016">
        <f t="shared" si="0"/>
        <v>50</v>
      </c>
    </row>
    <row r="15" spans="1:8" ht="30" x14ac:dyDescent="0.2">
      <c r="A15" s="2012">
        <v>3299</v>
      </c>
      <c r="B15" s="2013">
        <v>5032</v>
      </c>
      <c r="C15" s="2013">
        <v>32533007</v>
      </c>
      <c r="D15" s="2014" t="s">
        <v>1177</v>
      </c>
      <c r="E15" s="2015">
        <v>0</v>
      </c>
      <c r="F15" s="2015">
        <v>441</v>
      </c>
      <c r="G15" s="2015">
        <v>222</v>
      </c>
      <c r="H15" s="2016">
        <f t="shared" si="0"/>
        <v>50.34013605442177</v>
      </c>
    </row>
    <row r="16" spans="1:8" ht="15" hidden="1" x14ac:dyDescent="0.2">
      <c r="A16" s="2012">
        <v>3299</v>
      </c>
      <c r="B16" s="2013">
        <v>5137</v>
      </c>
      <c r="C16" s="2017">
        <v>32133007</v>
      </c>
      <c r="D16" s="2014" t="s">
        <v>155</v>
      </c>
      <c r="E16" s="2015">
        <v>0</v>
      </c>
      <c r="F16" s="2015"/>
      <c r="G16" s="2015"/>
      <c r="H16" s="2016" t="e">
        <f t="shared" si="0"/>
        <v>#DIV/0!</v>
      </c>
    </row>
    <row r="17" spans="1:9" ht="15" hidden="1" x14ac:dyDescent="0.2">
      <c r="A17" s="2012">
        <v>3299</v>
      </c>
      <c r="B17" s="2013">
        <v>5137</v>
      </c>
      <c r="C17" s="2017">
        <v>32533007</v>
      </c>
      <c r="D17" s="2014" t="s">
        <v>155</v>
      </c>
      <c r="E17" s="2015">
        <v>0</v>
      </c>
      <c r="F17" s="2015"/>
      <c r="G17" s="2015"/>
      <c r="H17" s="2016" t="e">
        <f t="shared" si="0"/>
        <v>#DIV/0!</v>
      </c>
    </row>
    <row r="18" spans="1:9" ht="15" x14ac:dyDescent="0.2">
      <c r="A18" s="2012">
        <v>3299</v>
      </c>
      <c r="B18" s="2013">
        <v>5163</v>
      </c>
      <c r="C18" s="2017">
        <v>32133007</v>
      </c>
      <c r="D18" s="2014" t="s">
        <v>892</v>
      </c>
      <c r="E18" s="2015">
        <v>0</v>
      </c>
      <c r="F18" s="2015">
        <v>1</v>
      </c>
      <c r="G18" s="2015">
        <v>1</v>
      </c>
      <c r="H18" s="2016">
        <f t="shared" si="0"/>
        <v>100</v>
      </c>
    </row>
    <row r="19" spans="1:9" ht="15" x14ac:dyDescent="0.2">
      <c r="A19" s="2012">
        <v>3299</v>
      </c>
      <c r="B19" s="2013">
        <v>5163</v>
      </c>
      <c r="C19" s="2017">
        <v>32533007</v>
      </c>
      <c r="D19" s="2014" t="s">
        <v>892</v>
      </c>
      <c r="E19" s="2015">
        <v>0</v>
      </c>
      <c r="F19" s="2015">
        <v>5</v>
      </c>
      <c r="G19" s="2015">
        <v>2</v>
      </c>
      <c r="H19" s="2016">
        <f t="shared" si="0"/>
        <v>40</v>
      </c>
    </row>
    <row r="20" spans="1:9" ht="15" hidden="1" x14ac:dyDescent="0.2">
      <c r="A20" s="2012">
        <v>3299</v>
      </c>
      <c r="B20" s="2013">
        <v>5164</v>
      </c>
      <c r="C20" s="2017">
        <v>32133007</v>
      </c>
      <c r="D20" s="2014" t="s">
        <v>170</v>
      </c>
      <c r="E20" s="2015">
        <v>0</v>
      </c>
      <c r="F20" s="2015"/>
      <c r="G20" s="2015"/>
      <c r="H20" s="2016" t="e">
        <f t="shared" si="0"/>
        <v>#DIV/0!</v>
      </c>
    </row>
    <row r="21" spans="1:9" ht="15" hidden="1" x14ac:dyDescent="0.2">
      <c r="A21" s="2012">
        <v>3299</v>
      </c>
      <c r="B21" s="2013">
        <v>5164</v>
      </c>
      <c r="C21" s="2017">
        <v>32533007</v>
      </c>
      <c r="D21" s="2014" t="s">
        <v>170</v>
      </c>
      <c r="E21" s="2015">
        <v>0</v>
      </c>
      <c r="F21" s="2015"/>
      <c r="G21" s="2015"/>
      <c r="H21" s="2016" t="e">
        <f t="shared" si="0"/>
        <v>#DIV/0!</v>
      </c>
    </row>
    <row r="22" spans="1:9" ht="15" x14ac:dyDescent="0.2">
      <c r="A22" s="2012">
        <v>3299</v>
      </c>
      <c r="B22" s="2013">
        <v>5166</v>
      </c>
      <c r="C22" s="2017">
        <v>32133007</v>
      </c>
      <c r="D22" s="2014" t="s">
        <v>609</v>
      </c>
      <c r="E22" s="2015">
        <v>0</v>
      </c>
      <c r="F22" s="2015">
        <v>90</v>
      </c>
      <c r="G22" s="2015">
        <v>0</v>
      </c>
      <c r="H22" s="2016">
        <f t="shared" si="0"/>
        <v>0</v>
      </c>
    </row>
    <row r="23" spans="1:9" ht="15" x14ac:dyDescent="0.2">
      <c r="A23" s="2012">
        <v>3299</v>
      </c>
      <c r="B23" s="2013">
        <v>5166</v>
      </c>
      <c r="C23" s="2017">
        <v>32533007</v>
      </c>
      <c r="D23" s="2014" t="s">
        <v>609</v>
      </c>
      <c r="E23" s="2015">
        <v>0</v>
      </c>
      <c r="F23" s="2015">
        <v>510</v>
      </c>
      <c r="G23" s="2015">
        <v>0</v>
      </c>
      <c r="H23" s="2016">
        <f t="shared" si="0"/>
        <v>0</v>
      </c>
    </row>
    <row r="24" spans="1:9" ht="15" x14ac:dyDescent="0.2">
      <c r="A24" s="2012">
        <v>3299</v>
      </c>
      <c r="B24" s="2013">
        <v>5167</v>
      </c>
      <c r="C24" s="2017">
        <v>32133007</v>
      </c>
      <c r="D24" s="2014" t="s">
        <v>895</v>
      </c>
      <c r="E24" s="2015">
        <v>0</v>
      </c>
      <c r="F24" s="2015">
        <v>31</v>
      </c>
      <c r="G24" s="2015">
        <v>4</v>
      </c>
      <c r="H24" s="2016">
        <f t="shared" si="0"/>
        <v>12.903225806451612</v>
      </c>
    </row>
    <row r="25" spans="1:9" ht="15" x14ac:dyDescent="0.2">
      <c r="A25" s="2012">
        <v>3299</v>
      </c>
      <c r="B25" s="2013">
        <v>5167</v>
      </c>
      <c r="C25" s="2017">
        <v>32533007</v>
      </c>
      <c r="D25" s="2014" t="s">
        <v>895</v>
      </c>
      <c r="E25" s="2015">
        <v>0</v>
      </c>
      <c r="F25" s="2015">
        <v>176</v>
      </c>
      <c r="G25" s="2015">
        <v>20</v>
      </c>
      <c r="H25" s="2016">
        <f t="shared" si="0"/>
        <v>11.363636363636363</v>
      </c>
    </row>
    <row r="26" spans="1:9" ht="15" x14ac:dyDescent="0.2">
      <c r="A26" s="2012">
        <v>3299</v>
      </c>
      <c r="B26" s="2013">
        <v>5175</v>
      </c>
      <c r="C26" s="2017">
        <v>32133007</v>
      </c>
      <c r="D26" s="2014" t="s">
        <v>669</v>
      </c>
      <c r="E26" s="2015">
        <v>0</v>
      </c>
      <c r="F26" s="2015">
        <v>1</v>
      </c>
      <c r="G26" s="2015">
        <v>1</v>
      </c>
      <c r="H26" s="2016">
        <f t="shared" si="0"/>
        <v>100</v>
      </c>
    </row>
    <row r="27" spans="1:9" ht="15" x14ac:dyDescent="0.2">
      <c r="A27" s="2012">
        <v>3299</v>
      </c>
      <c r="B27" s="2013">
        <v>5175</v>
      </c>
      <c r="C27" s="2017">
        <v>32533007</v>
      </c>
      <c r="D27" s="2014" t="s">
        <v>669</v>
      </c>
      <c r="E27" s="2015">
        <v>0</v>
      </c>
      <c r="F27" s="2015">
        <v>7</v>
      </c>
      <c r="G27" s="2015">
        <v>6</v>
      </c>
      <c r="H27" s="2016">
        <f t="shared" si="0"/>
        <v>85.714285714285708</v>
      </c>
    </row>
    <row r="28" spans="1:9" s="1988" customFormat="1" ht="15.75" thickBot="1" x14ac:dyDescent="0.3">
      <c r="A28" s="2063">
        <v>6330</v>
      </c>
      <c r="B28" s="2034">
        <v>5345</v>
      </c>
      <c r="C28" s="2064" t="s">
        <v>753</v>
      </c>
      <c r="D28" s="2035" t="s">
        <v>767</v>
      </c>
      <c r="E28" s="2065">
        <v>0</v>
      </c>
      <c r="F28" s="2065">
        <v>0</v>
      </c>
      <c r="G28" s="2065">
        <v>3802</v>
      </c>
      <c r="H28" s="2018">
        <v>0</v>
      </c>
    </row>
    <row r="29" spans="1:9" ht="16.5" thickTop="1" thickBot="1" x14ac:dyDescent="0.3">
      <c r="A29" s="2751" t="s">
        <v>763</v>
      </c>
      <c r="B29" s="2752"/>
      <c r="C29" s="2752"/>
      <c r="D29" s="2752"/>
      <c r="E29" s="1818">
        <f>SUM(E10:E27)</f>
        <v>0</v>
      </c>
      <c r="F29" s="1818">
        <f>SUM(F10:F28)</f>
        <v>6954</v>
      </c>
      <c r="G29" s="1818">
        <f>SUM(G10:G28)</f>
        <v>7722</v>
      </c>
      <c r="H29" s="1822">
        <f t="shared" si="0"/>
        <v>111.04400345125107</v>
      </c>
    </row>
    <row r="30" spans="1:9" ht="13.5" thickTop="1" x14ac:dyDescent="0.2"/>
    <row r="31" spans="1:9" ht="15" x14ac:dyDescent="0.25">
      <c r="A31" s="1979"/>
      <c r="B31" s="1993"/>
      <c r="C31" s="1993"/>
      <c r="D31" s="1993"/>
      <c r="F31" s="1994"/>
      <c r="G31" s="1994"/>
      <c r="H31" s="1995"/>
      <c r="I31" s="2066"/>
    </row>
    <row r="35" spans="1:12" ht="16.5" x14ac:dyDescent="0.25">
      <c r="A35" s="2040" t="s">
        <v>465</v>
      </c>
      <c r="B35" s="2041"/>
      <c r="C35" s="2042"/>
      <c r="D35" s="2043"/>
      <c r="E35" s="2044">
        <f>SUM(E36:E38)</f>
        <v>0</v>
      </c>
      <c r="F35" s="2044">
        <f>F36+F37+F38+F39</f>
        <v>6954</v>
      </c>
      <c r="G35" s="2044">
        <f>G36+G37+G38+G39</f>
        <v>7722</v>
      </c>
      <c r="H35" s="2045">
        <f>G35/F35*100</f>
        <v>111.04400345125107</v>
      </c>
      <c r="J35" s="2046">
        <f>J36+J37+J38</f>
        <v>0</v>
      </c>
      <c r="K35" s="2046">
        <f>K36+K37+K38</f>
        <v>6953740.0700000003</v>
      </c>
      <c r="L35" s="2046">
        <f>L36+L37+L38</f>
        <v>7721726.2400000002</v>
      </c>
    </row>
    <row r="36" spans="1:12" ht="15" x14ac:dyDescent="0.2">
      <c r="A36" s="2047" t="s">
        <v>263</v>
      </c>
      <c r="B36" s="2048"/>
      <c r="C36" s="2049"/>
      <c r="D36" s="2050"/>
      <c r="E36" s="2051">
        <f>E10+E11+E12+E13+E14+E15+E16+E17+E18+E19+E20+E21+E22+E23+E24+E25+E26+E27</f>
        <v>0</v>
      </c>
      <c r="F36" s="2051">
        <f>F10+F11+F12+F13+F14+F15+F16+F17+F18+F19+F20+F21+F22+F23+F24+F25+F26+F27</f>
        <v>6954</v>
      </c>
      <c r="G36" s="2051">
        <f>G10+G11+G12+G13+G14+G15+G16+G17+G18+G19+G20+G21+G22+G23+G24+G25+G26+G27</f>
        <v>3920</v>
      </c>
      <c r="H36" s="2052">
        <f>G36/F36*100</f>
        <v>56.370434282427382</v>
      </c>
      <c r="J36" s="2053">
        <v>0</v>
      </c>
      <c r="K36" s="2053">
        <v>6953740.0700000003</v>
      </c>
      <c r="L36" s="2053">
        <v>3919652</v>
      </c>
    </row>
    <row r="37" spans="1:12" ht="15" x14ac:dyDescent="0.2">
      <c r="A37" s="2047" t="s">
        <v>264</v>
      </c>
      <c r="B37" s="2054"/>
      <c r="C37" s="2049"/>
      <c r="D37" s="2055"/>
      <c r="E37" s="2051">
        <v>0</v>
      </c>
      <c r="F37" s="2051">
        <v>0</v>
      </c>
      <c r="G37" s="2051">
        <v>0</v>
      </c>
      <c r="H37" s="2052">
        <v>0</v>
      </c>
      <c r="J37" s="2053">
        <v>0</v>
      </c>
      <c r="K37" s="2053">
        <v>0</v>
      </c>
      <c r="L37" s="2053">
        <v>0</v>
      </c>
    </row>
    <row r="38" spans="1:12" ht="15" x14ac:dyDescent="0.2">
      <c r="A38" s="2047" t="s">
        <v>466</v>
      </c>
      <c r="B38" s="2054"/>
      <c r="C38" s="2049"/>
      <c r="D38" s="2055"/>
      <c r="E38" s="2051">
        <v>0</v>
      </c>
      <c r="F38" s="2051">
        <v>0</v>
      </c>
      <c r="G38" s="2051">
        <f>G28</f>
        <v>3802</v>
      </c>
      <c r="H38" s="2052">
        <v>0</v>
      </c>
      <c r="J38" s="2053">
        <v>0</v>
      </c>
      <c r="K38" s="2053">
        <v>0</v>
      </c>
      <c r="L38" s="2053">
        <v>3802074.24</v>
      </c>
    </row>
    <row r="39" spans="1:12" ht="16.5" customHeight="1" x14ac:dyDescent="0.2">
      <c r="A39" s="2047"/>
      <c r="B39" s="2054"/>
      <c r="C39" s="2049"/>
      <c r="D39" s="2055"/>
      <c r="E39" s="2051"/>
      <c r="F39" s="2051"/>
      <c r="G39" s="2051"/>
      <c r="H39" s="2056"/>
    </row>
    <row r="40" spans="1:12" ht="69.75" customHeight="1" thickBot="1" x14ac:dyDescent="0.4">
      <c r="A40" s="2754" t="s">
        <v>1410</v>
      </c>
      <c r="B40" s="2759"/>
      <c r="C40" s="2759"/>
      <c r="D40" s="2759"/>
      <c r="E40" s="2057">
        <f>SUM(E35)</f>
        <v>0</v>
      </c>
      <c r="F40" s="2057">
        <f>SUM(F35)</f>
        <v>6954</v>
      </c>
      <c r="G40" s="2057">
        <f>SUM(G35)</f>
        <v>7722</v>
      </c>
      <c r="H40" s="2058">
        <f>G40/F40*100</f>
        <v>111.04400345125107</v>
      </c>
    </row>
    <row r="41" spans="1:12" ht="13.5" thickTop="1" x14ac:dyDescent="0.2"/>
  </sheetData>
  <mergeCells count="2">
    <mergeCell ref="A29:D29"/>
    <mergeCell ref="A40:D40"/>
  </mergeCells>
  <pageMargins left="0.70866141732283472" right="0.70866141732283472" top="0.78740157480314965" bottom="0.78740157480314965" header="0.31496062992125984" footer="0.31496062992125984"/>
  <pageSetup paperSize="9" scale="70" firstPageNumber="171" orientation="portrait" useFirstPageNumber="1" r:id="rId1"/>
  <headerFooter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93"/>
  <sheetViews>
    <sheetView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1993" customWidth="1"/>
    <col min="2" max="2" width="6.7109375" style="1993" customWidth="1"/>
    <col min="3" max="3" width="8.85546875" style="1993" customWidth="1"/>
    <col min="4" max="4" width="46.42578125" style="1986" customWidth="1"/>
    <col min="5" max="5" width="12.85546875" style="1994" customWidth="1"/>
    <col min="6" max="6" width="15.5703125" style="1994" customWidth="1"/>
    <col min="7" max="7" width="15.85546875" style="1994" customWidth="1"/>
    <col min="8" max="8" width="8.85546875" style="1986" customWidth="1"/>
    <col min="9" max="9" width="14.28515625" style="1986" bestFit="1" customWidth="1"/>
    <col min="10" max="10" width="9.140625" style="1986"/>
    <col min="11" max="11" width="12.7109375" style="1986" bestFit="1" customWidth="1"/>
    <col min="12" max="12" width="13.140625" style="1986" customWidth="1"/>
    <col min="13" max="256" width="9.140625" style="1986"/>
    <col min="257" max="257" width="4.7109375" style="1986" customWidth="1"/>
    <col min="258" max="258" width="6.7109375" style="1986" customWidth="1"/>
    <col min="259" max="259" width="8.85546875" style="1986" customWidth="1"/>
    <col min="260" max="260" width="46.42578125" style="1986" customWidth="1"/>
    <col min="261" max="261" width="12.85546875" style="1986" customWidth="1"/>
    <col min="262" max="262" width="15.5703125" style="1986" customWidth="1"/>
    <col min="263" max="263" width="15.85546875" style="1986" customWidth="1"/>
    <col min="264" max="264" width="6.42578125" style="1986" customWidth="1"/>
    <col min="265" max="265" width="14.28515625" style="1986" bestFit="1" customWidth="1"/>
    <col min="266" max="266" width="9.140625" style="1986"/>
    <col min="267" max="267" width="12.7109375" style="1986" bestFit="1" customWidth="1"/>
    <col min="268" max="268" width="13.140625" style="1986" customWidth="1"/>
    <col min="269" max="512" width="9.140625" style="1986"/>
    <col min="513" max="513" width="4.7109375" style="1986" customWidth="1"/>
    <col min="514" max="514" width="6.7109375" style="1986" customWidth="1"/>
    <col min="515" max="515" width="8.85546875" style="1986" customWidth="1"/>
    <col min="516" max="516" width="46.42578125" style="1986" customWidth="1"/>
    <col min="517" max="517" width="12.85546875" style="1986" customWidth="1"/>
    <col min="518" max="518" width="15.5703125" style="1986" customWidth="1"/>
    <col min="519" max="519" width="15.85546875" style="1986" customWidth="1"/>
    <col min="520" max="520" width="6.42578125" style="1986" customWidth="1"/>
    <col min="521" max="521" width="14.28515625" style="1986" bestFit="1" customWidth="1"/>
    <col min="522" max="522" width="9.140625" style="1986"/>
    <col min="523" max="523" width="12.7109375" style="1986" bestFit="1" customWidth="1"/>
    <col min="524" max="524" width="13.140625" style="1986" customWidth="1"/>
    <col min="525" max="768" width="9.140625" style="1986"/>
    <col min="769" max="769" width="4.7109375" style="1986" customWidth="1"/>
    <col min="770" max="770" width="6.7109375" style="1986" customWidth="1"/>
    <col min="771" max="771" width="8.85546875" style="1986" customWidth="1"/>
    <col min="772" max="772" width="46.42578125" style="1986" customWidth="1"/>
    <col min="773" max="773" width="12.85546875" style="1986" customWidth="1"/>
    <col min="774" max="774" width="15.5703125" style="1986" customWidth="1"/>
    <col min="775" max="775" width="15.85546875" style="1986" customWidth="1"/>
    <col min="776" max="776" width="6.42578125" style="1986" customWidth="1"/>
    <col min="777" max="777" width="14.28515625" style="1986" bestFit="1" customWidth="1"/>
    <col min="778" max="778" width="9.140625" style="1986"/>
    <col min="779" max="779" width="12.7109375" style="1986" bestFit="1" customWidth="1"/>
    <col min="780" max="780" width="13.140625" style="1986" customWidth="1"/>
    <col min="781" max="1024" width="9.140625" style="1986"/>
    <col min="1025" max="1025" width="4.7109375" style="1986" customWidth="1"/>
    <col min="1026" max="1026" width="6.7109375" style="1986" customWidth="1"/>
    <col min="1027" max="1027" width="8.85546875" style="1986" customWidth="1"/>
    <col min="1028" max="1028" width="46.42578125" style="1986" customWidth="1"/>
    <col min="1029" max="1029" width="12.85546875" style="1986" customWidth="1"/>
    <col min="1030" max="1030" width="15.5703125" style="1986" customWidth="1"/>
    <col min="1031" max="1031" width="15.85546875" style="1986" customWidth="1"/>
    <col min="1032" max="1032" width="6.42578125" style="1986" customWidth="1"/>
    <col min="1033" max="1033" width="14.28515625" style="1986" bestFit="1" customWidth="1"/>
    <col min="1034" max="1034" width="9.140625" style="1986"/>
    <col min="1035" max="1035" width="12.7109375" style="1986" bestFit="1" customWidth="1"/>
    <col min="1036" max="1036" width="13.140625" style="1986" customWidth="1"/>
    <col min="1037" max="1280" width="9.140625" style="1986"/>
    <col min="1281" max="1281" width="4.7109375" style="1986" customWidth="1"/>
    <col min="1282" max="1282" width="6.7109375" style="1986" customWidth="1"/>
    <col min="1283" max="1283" width="8.85546875" style="1986" customWidth="1"/>
    <col min="1284" max="1284" width="46.42578125" style="1986" customWidth="1"/>
    <col min="1285" max="1285" width="12.85546875" style="1986" customWidth="1"/>
    <col min="1286" max="1286" width="15.5703125" style="1986" customWidth="1"/>
    <col min="1287" max="1287" width="15.85546875" style="1986" customWidth="1"/>
    <col min="1288" max="1288" width="6.42578125" style="1986" customWidth="1"/>
    <col min="1289" max="1289" width="14.28515625" style="1986" bestFit="1" customWidth="1"/>
    <col min="1290" max="1290" width="9.140625" style="1986"/>
    <col min="1291" max="1291" width="12.7109375" style="1986" bestFit="1" customWidth="1"/>
    <col min="1292" max="1292" width="13.140625" style="1986" customWidth="1"/>
    <col min="1293" max="1536" width="9.140625" style="1986"/>
    <col min="1537" max="1537" width="4.7109375" style="1986" customWidth="1"/>
    <col min="1538" max="1538" width="6.7109375" style="1986" customWidth="1"/>
    <col min="1539" max="1539" width="8.85546875" style="1986" customWidth="1"/>
    <col min="1540" max="1540" width="46.42578125" style="1986" customWidth="1"/>
    <col min="1541" max="1541" width="12.85546875" style="1986" customWidth="1"/>
    <col min="1542" max="1542" width="15.5703125" style="1986" customWidth="1"/>
    <col min="1543" max="1543" width="15.85546875" style="1986" customWidth="1"/>
    <col min="1544" max="1544" width="6.42578125" style="1986" customWidth="1"/>
    <col min="1545" max="1545" width="14.28515625" style="1986" bestFit="1" customWidth="1"/>
    <col min="1546" max="1546" width="9.140625" style="1986"/>
    <col min="1547" max="1547" width="12.7109375" style="1986" bestFit="1" customWidth="1"/>
    <col min="1548" max="1548" width="13.140625" style="1986" customWidth="1"/>
    <col min="1549" max="1792" width="9.140625" style="1986"/>
    <col min="1793" max="1793" width="4.7109375" style="1986" customWidth="1"/>
    <col min="1794" max="1794" width="6.7109375" style="1986" customWidth="1"/>
    <col min="1795" max="1795" width="8.85546875" style="1986" customWidth="1"/>
    <col min="1796" max="1796" width="46.42578125" style="1986" customWidth="1"/>
    <col min="1797" max="1797" width="12.85546875" style="1986" customWidth="1"/>
    <col min="1798" max="1798" width="15.5703125" style="1986" customWidth="1"/>
    <col min="1799" max="1799" width="15.85546875" style="1986" customWidth="1"/>
    <col min="1800" max="1800" width="6.42578125" style="1986" customWidth="1"/>
    <col min="1801" max="1801" width="14.28515625" style="1986" bestFit="1" customWidth="1"/>
    <col min="1802" max="1802" width="9.140625" style="1986"/>
    <col min="1803" max="1803" width="12.7109375" style="1986" bestFit="1" customWidth="1"/>
    <col min="1804" max="1804" width="13.140625" style="1986" customWidth="1"/>
    <col min="1805" max="2048" width="9.140625" style="1986"/>
    <col min="2049" max="2049" width="4.7109375" style="1986" customWidth="1"/>
    <col min="2050" max="2050" width="6.7109375" style="1986" customWidth="1"/>
    <col min="2051" max="2051" width="8.85546875" style="1986" customWidth="1"/>
    <col min="2052" max="2052" width="46.42578125" style="1986" customWidth="1"/>
    <col min="2053" max="2053" width="12.85546875" style="1986" customWidth="1"/>
    <col min="2054" max="2054" width="15.5703125" style="1986" customWidth="1"/>
    <col min="2055" max="2055" width="15.85546875" style="1986" customWidth="1"/>
    <col min="2056" max="2056" width="6.42578125" style="1986" customWidth="1"/>
    <col min="2057" max="2057" width="14.28515625" style="1986" bestFit="1" customWidth="1"/>
    <col min="2058" max="2058" width="9.140625" style="1986"/>
    <col min="2059" max="2059" width="12.7109375" style="1986" bestFit="1" customWidth="1"/>
    <col min="2060" max="2060" width="13.140625" style="1986" customWidth="1"/>
    <col min="2061" max="2304" width="9.140625" style="1986"/>
    <col min="2305" max="2305" width="4.7109375" style="1986" customWidth="1"/>
    <col min="2306" max="2306" width="6.7109375" style="1986" customWidth="1"/>
    <col min="2307" max="2307" width="8.85546875" style="1986" customWidth="1"/>
    <col min="2308" max="2308" width="46.42578125" style="1986" customWidth="1"/>
    <col min="2309" max="2309" width="12.85546875" style="1986" customWidth="1"/>
    <col min="2310" max="2310" width="15.5703125" style="1986" customWidth="1"/>
    <col min="2311" max="2311" width="15.85546875" style="1986" customWidth="1"/>
    <col min="2312" max="2312" width="6.42578125" style="1986" customWidth="1"/>
    <col min="2313" max="2313" width="14.28515625" style="1986" bestFit="1" customWidth="1"/>
    <col min="2314" max="2314" width="9.140625" style="1986"/>
    <col min="2315" max="2315" width="12.7109375" style="1986" bestFit="1" customWidth="1"/>
    <col min="2316" max="2316" width="13.140625" style="1986" customWidth="1"/>
    <col min="2317" max="2560" width="9.140625" style="1986"/>
    <col min="2561" max="2561" width="4.7109375" style="1986" customWidth="1"/>
    <col min="2562" max="2562" width="6.7109375" style="1986" customWidth="1"/>
    <col min="2563" max="2563" width="8.85546875" style="1986" customWidth="1"/>
    <col min="2564" max="2564" width="46.42578125" style="1986" customWidth="1"/>
    <col min="2565" max="2565" width="12.85546875" style="1986" customWidth="1"/>
    <col min="2566" max="2566" width="15.5703125" style="1986" customWidth="1"/>
    <col min="2567" max="2567" width="15.85546875" style="1986" customWidth="1"/>
    <col min="2568" max="2568" width="6.42578125" style="1986" customWidth="1"/>
    <col min="2569" max="2569" width="14.28515625" style="1986" bestFit="1" customWidth="1"/>
    <col min="2570" max="2570" width="9.140625" style="1986"/>
    <col min="2571" max="2571" width="12.7109375" style="1986" bestFit="1" customWidth="1"/>
    <col min="2572" max="2572" width="13.140625" style="1986" customWidth="1"/>
    <col min="2573" max="2816" width="9.140625" style="1986"/>
    <col min="2817" max="2817" width="4.7109375" style="1986" customWidth="1"/>
    <col min="2818" max="2818" width="6.7109375" style="1986" customWidth="1"/>
    <col min="2819" max="2819" width="8.85546875" style="1986" customWidth="1"/>
    <col min="2820" max="2820" width="46.42578125" style="1986" customWidth="1"/>
    <col min="2821" max="2821" width="12.85546875" style="1986" customWidth="1"/>
    <col min="2822" max="2822" width="15.5703125" style="1986" customWidth="1"/>
    <col min="2823" max="2823" width="15.85546875" style="1986" customWidth="1"/>
    <col min="2824" max="2824" width="6.42578125" style="1986" customWidth="1"/>
    <col min="2825" max="2825" width="14.28515625" style="1986" bestFit="1" customWidth="1"/>
    <col min="2826" max="2826" width="9.140625" style="1986"/>
    <col min="2827" max="2827" width="12.7109375" style="1986" bestFit="1" customWidth="1"/>
    <col min="2828" max="2828" width="13.140625" style="1986" customWidth="1"/>
    <col min="2829" max="3072" width="9.140625" style="1986"/>
    <col min="3073" max="3073" width="4.7109375" style="1986" customWidth="1"/>
    <col min="3074" max="3074" width="6.7109375" style="1986" customWidth="1"/>
    <col min="3075" max="3075" width="8.85546875" style="1986" customWidth="1"/>
    <col min="3076" max="3076" width="46.42578125" style="1986" customWidth="1"/>
    <col min="3077" max="3077" width="12.85546875" style="1986" customWidth="1"/>
    <col min="3078" max="3078" width="15.5703125" style="1986" customWidth="1"/>
    <col min="3079" max="3079" width="15.85546875" style="1986" customWidth="1"/>
    <col min="3080" max="3080" width="6.42578125" style="1986" customWidth="1"/>
    <col min="3081" max="3081" width="14.28515625" style="1986" bestFit="1" customWidth="1"/>
    <col min="3082" max="3082" width="9.140625" style="1986"/>
    <col min="3083" max="3083" width="12.7109375" style="1986" bestFit="1" customWidth="1"/>
    <col min="3084" max="3084" width="13.140625" style="1986" customWidth="1"/>
    <col min="3085" max="3328" width="9.140625" style="1986"/>
    <col min="3329" max="3329" width="4.7109375" style="1986" customWidth="1"/>
    <col min="3330" max="3330" width="6.7109375" style="1986" customWidth="1"/>
    <col min="3331" max="3331" width="8.85546875" style="1986" customWidth="1"/>
    <col min="3332" max="3332" width="46.42578125" style="1986" customWidth="1"/>
    <col min="3333" max="3333" width="12.85546875" style="1986" customWidth="1"/>
    <col min="3334" max="3334" width="15.5703125" style="1986" customWidth="1"/>
    <col min="3335" max="3335" width="15.85546875" style="1986" customWidth="1"/>
    <col min="3336" max="3336" width="6.42578125" style="1986" customWidth="1"/>
    <col min="3337" max="3337" width="14.28515625" style="1986" bestFit="1" customWidth="1"/>
    <col min="3338" max="3338" width="9.140625" style="1986"/>
    <col min="3339" max="3339" width="12.7109375" style="1986" bestFit="1" customWidth="1"/>
    <col min="3340" max="3340" width="13.140625" style="1986" customWidth="1"/>
    <col min="3341" max="3584" width="9.140625" style="1986"/>
    <col min="3585" max="3585" width="4.7109375" style="1986" customWidth="1"/>
    <col min="3586" max="3586" width="6.7109375" style="1986" customWidth="1"/>
    <col min="3587" max="3587" width="8.85546875" style="1986" customWidth="1"/>
    <col min="3588" max="3588" width="46.42578125" style="1986" customWidth="1"/>
    <col min="3589" max="3589" width="12.85546875" style="1986" customWidth="1"/>
    <col min="3590" max="3590" width="15.5703125" style="1986" customWidth="1"/>
    <col min="3591" max="3591" width="15.85546875" style="1986" customWidth="1"/>
    <col min="3592" max="3592" width="6.42578125" style="1986" customWidth="1"/>
    <col min="3593" max="3593" width="14.28515625" style="1986" bestFit="1" customWidth="1"/>
    <col min="3594" max="3594" width="9.140625" style="1986"/>
    <col min="3595" max="3595" width="12.7109375" style="1986" bestFit="1" customWidth="1"/>
    <col min="3596" max="3596" width="13.140625" style="1986" customWidth="1"/>
    <col min="3597" max="3840" width="9.140625" style="1986"/>
    <col min="3841" max="3841" width="4.7109375" style="1986" customWidth="1"/>
    <col min="3842" max="3842" width="6.7109375" style="1986" customWidth="1"/>
    <col min="3843" max="3843" width="8.85546875" style="1986" customWidth="1"/>
    <col min="3844" max="3844" width="46.42578125" style="1986" customWidth="1"/>
    <col min="3845" max="3845" width="12.85546875" style="1986" customWidth="1"/>
    <col min="3846" max="3846" width="15.5703125" style="1986" customWidth="1"/>
    <col min="3847" max="3847" width="15.85546875" style="1986" customWidth="1"/>
    <col min="3848" max="3848" width="6.42578125" style="1986" customWidth="1"/>
    <col min="3849" max="3849" width="14.28515625" style="1986" bestFit="1" customWidth="1"/>
    <col min="3850" max="3850" width="9.140625" style="1986"/>
    <col min="3851" max="3851" width="12.7109375" style="1986" bestFit="1" customWidth="1"/>
    <col min="3852" max="3852" width="13.140625" style="1986" customWidth="1"/>
    <col min="3853" max="4096" width="9.140625" style="1986"/>
    <col min="4097" max="4097" width="4.7109375" style="1986" customWidth="1"/>
    <col min="4098" max="4098" width="6.7109375" style="1986" customWidth="1"/>
    <col min="4099" max="4099" width="8.85546875" style="1986" customWidth="1"/>
    <col min="4100" max="4100" width="46.42578125" style="1986" customWidth="1"/>
    <col min="4101" max="4101" width="12.85546875" style="1986" customWidth="1"/>
    <col min="4102" max="4102" width="15.5703125" style="1986" customWidth="1"/>
    <col min="4103" max="4103" width="15.85546875" style="1986" customWidth="1"/>
    <col min="4104" max="4104" width="6.42578125" style="1986" customWidth="1"/>
    <col min="4105" max="4105" width="14.28515625" style="1986" bestFit="1" customWidth="1"/>
    <col min="4106" max="4106" width="9.140625" style="1986"/>
    <col min="4107" max="4107" width="12.7109375" style="1986" bestFit="1" customWidth="1"/>
    <col min="4108" max="4108" width="13.140625" style="1986" customWidth="1"/>
    <col min="4109" max="4352" width="9.140625" style="1986"/>
    <col min="4353" max="4353" width="4.7109375" style="1986" customWidth="1"/>
    <col min="4354" max="4354" width="6.7109375" style="1986" customWidth="1"/>
    <col min="4355" max="4355" width="8.85546875" style="1986" customWidth="1"/>
    <col min="4356" max="4356" width="46.42578125" style="1986" customWidth="1"/>
    <col min="4357" max="4357" width="12.85546875" style="1986" customWidth="1"/>
    <col min="4358" max="4358" width="15.5703125" style="1986" customWidth="1"/>
    <col min="4359" max="4359" width="15.85546875" style="1986" customWidth="1"/>
    <col min="4360" max="4360" width="6.42578125" style="1986" customWidth="1"/>
    <col min="4361" max="4361" width="14.28515625" style="1986" bestFit="1" customWidth="1"/>
    <col min="4362" max="4362" width="9.140625" style="1986"/>
    <col min="4363" max="4363" width="12.7109375" style="1986" bestFit="1" customWidth="1"/>
    <col min="4364" max="4364" width="13.140625" style="1986" customWidth="1"/>
    <col min="4365" max="4608" width="9.140625" style="1986"/>
    <col min="4609" max="4609" width="4.7109375" style="1986" customWidth="1"/>
    <col min="4610" max="4610" width="6.7109375" style="1986" customWidth="1"/>
    <col min="4611" max="4611" width="8.85546875" style="1986" customWidth="1"/>
    <col min="4612" max="4612" width="46.42578125" style="1986" customWidth="1"/>
    <col min="4613" max="4613" width="12.85546875" style="1986" customWidth="1"/>
    <col min="4614" max="4614" width="15.5703125" style="1986" customWidth="1"/>
    <col min="4615" max="4615" width="15.85546875" style="1986" customWidth="1"/>
    <col min="4616" max="4616" width="6.42578125" style="1986" customWidth="1"/>
    <col min="4617" max="4617" width="14.28515625" style="1986" bestFit="1" customWidth="1"/>
    <col min="4618" max="4618" width="9.140625" style="1986"/>
    <col min="4619" max="4619" width="12.7109375" style="1986" bestFit="1" customWidth="1"/>
    <col min="4620" max="4620" width="13.140625" style="1986" customWidth="1"/>
    <col min="4621" max="4864" width="9.140625" style="1986"/>
    <col min="4865" max="4865" width="4.7109375" style="1986" customWidth="1"/>
    <col min="4866" max="4866" width="6.7109375" style="1986" customWidth="1"/>
    <col min="4867" max="4867" width="8.85546875" style="1986" customWidth="1"/>
    <col min="4868" max="4868" width="46.42578125" style="1986" customWidth="1"/>
    <col min="4869" max="4869" width="12.85546875" style="1986" customWidth="1"/>
    <col min="4870" max="4870" width="15.5703125" style="1986" customWidth="1"/>
    <col min="4871" max="4871" width="15.85546875" style="1986" customWidth="1"/>
    <col min="4872" max="4872" width="6.42578125" style="1986" customWidth="1"/>
    <col min="4873" max="4873" width="14.28515625" style="1986" bestFit="1" customWidth="1"/>
    <col min="4874" max="4874" width="9.140625" style="1986"/>
    <col min="4875" max="4875" width="12.7109375" style="1986" bestFit="1" customWidth="1"/>
    <col min="4876" max="4876" width="13.140625" style="1986" customWidth="1"/>
    <col min="4877" max="5120" width="9.140625" style="1986"/>
    <col min="5121" max="5121" width="4.7109375" style="1986" customWidth="1"/>
    <col min="5122" max="5122" width="6.7109375" style="1986" customWidth="1"/>
    <col min="5123" max="5123" width="8.85546875" style="1986" customWidth="1"/>
    <col min="5124" max="5124" width="46.42578125" style="1986" customWidth="1"/>
    <col min="5125" max="5125" width="12.85546875" style="1986" customWidth="1"/>
    <col min="5126" max="5126" width="15.5703125" style="1986" customWidth="1"/>
    <col min="5127" max="5127" width="15.85546875" style="1986" customWidth="1"/>
    <col min="5128" max="5128" width="6.42578125" style="1986" customWidth="1"/>
    <col min="5129" max="5129" width="14.28515625" style="1986" bestFit="1" customWidth="1"/>
    <col min="5130" max="5130" width="9.140625" style="1986"/>
    <col min="5131" max="5131" width="12.7109375" style="1986" bestFit="1" customWidth="1"/>
    <col min="5132" max="5132" width="13.140625" style="1986" customWidth="1"/>
    <col min="5133" max="5376" width="9.140625" style="1986"/>
    <col min="5377" max="5377" width="4.7109375" style="1986" customWidth="1"/>
    <col min="5378" max="5378" width="6.7109375" style="1986" customWidth="1"/>
    <col min="5379" max="5379" width="8.85546875" style="1986" customWidth="1"/>
    <col min="5380" max="5380" width="46.42578125" style="1986" customWidth="1"/>
    <col min="5381" max="5381" width="12.85546875" style="1986" customWidth="1"/>
    <col min="5382" max="5382" width="15.5703125" style="1986" customWidth="1"/>
    <col min="5383" max="5383" width="15.85546875" style="1986" customWidth="1"/>
    <col min="5384" max="5384" width="6.42578125" style="1986" customWidth="1"/>
    <col min="5385" max="5385" width="14.28515625" style="1986" bestFit="1" customWidth="1"/>
    <col min="5386" max="5386" width="9.140625" style="1986"/>
    <col min="5387" max="5387" width="12.7109375" style="1986" bestFit="1" customWidth="1"/>
    <col min="5388" max="5388" width="13.140625" style="1986" customWidth="1"/>
    <col min="5389" max="5632" width="9.140625" style="1986"/>
    <col min="5633" max="5633" width="4.7109375" style="1986" customWidth="1"/>
    <col min="5634" max="5634" width="6.7109375" style="1986" customWidth="1"/>
    <col min="5635" max="5635" width="8.85546875" style="1986" customWidth="1"/>
    <col min="5636" max="5636" width="46.42578125" style="1986" customWidth="1"/>
    <col min="5637" max="5637" width="12.85546875" style="1986" customWidth="1"/>
    <col min="5638" max="5638" width="15.5703125" style="1986" customWidth="1"/>
    <col min="5639" max="5639" width="15.85546875" style="1986" customWidth="1"/>
    <col min="5640" max="5640" width="6.42578125" style="1986" customWidth="1"/>
    <col min="5641" max="5641" width="14.28515625" style="1986" bestFit="1" customWidth="1"/>
    <col min="5642" max="5642" width="9.140625" style="1986"/>
    <col min="5643" max="5643" width="12.7109375" style="1986" bestFit="1" customWidth="1"/>
    <col min="5644" max="5644" width="13.140625" style="1986" customWidth="1"/>
    <col min="5645" max="5888" width="9.140625" style="1986"/>
    <col min="5889" max="5889" width="4.7109375" style="1986" customWidth="1"/>
    <col min="5890" max="5890" width="6.7109375" style="1986" customWidth="1"/>
    <col min="5891" max="5891" width="8.85546875" style="1986" customWidth="1"/>
    <col min="5892" max="5892" width="46.42578125" style="1986" customWidth="1"/>
    <col min="5893" max="5893" width="12.85546875" style="1986" customWidth="1"/>
    <col min="5894" max="5894" width="15.5703125" style="1986" customWidth="1"/>
    <col min="5895" max="5895" width="15.85546875" style="1986" customWidth="1"/>
    <col min="5896" max="5896" width="6.42578125" style="1986" customWidth="1"/>
    <col min="5897" max="5897" width="14.28515625" style="1986" bestFit="1" customWidth="1"/>
    <col min="5898" max="5898" width="9.140625" style="1986"/>
    <col min="5899" max="5899" width="12.7109375" style="1986" bestFit="1" customWidth="1"/>
    <col min="5900" max="5900" width="13.140625" style="1986" customWidth="1"/>
    <col min="5901" max="6144" width="9.140625" style="1986"/>
    <col min="6145" max="6145" width="4.7109375" style="1986" customWidth="1"/>
    <col min="6146" max="6146" width="6.7109375" style="1986" customWidth="1"/>
    <col min="6147" max="6147" width="8.85546875" style="1986" customWidth="1"/>
    <col min="6148" max="6148" width="46.42578125" style="1986" customWidth="1"/>
    <col min="6149" max="6149" width="12.85546875" style="1986" customWidth="1"/>
    <col min="6150" max="6150" width="15.5703125" style="1986" customWidth="1"/>
    <col min="6151" max="6151" width="15.85546875" style="1986" customWidth="1"/>
    <col min="6152" max="6152" width="6.42578125" style="1986" customWidth="1"/>
    <col min="6153" max="6153" width="14.28515625" style="1986" bestFit="1" customWidth="1"/>
    <col min="6154" max="6154" width="9.140625" style="1986"/>
    <col min="6155" max="6155" width="12.7109375" style="1986" bestFit="1" customWidth="1"/>
    <col min="6156" max="6156" width="13.140625" style="1986" customWidth="1"/>
    <col min="6157" max="6400" width="9.140625" style="1986"/>
    <col min="6401" max="6401" width="4.7109375" style="1986" customWidth="1"/>
    <col min="6402" max="6402" width="6.7109375" style="1986" customWidth="1"/>
    <col min="6403" max="6403" width="8.85546875" style="1986" customWidth="1"/>
    <col min="6404" max="6404" width="46.42578125" style="1986" customWidth="1"/>
    <col min="6405" max="6405" width="12.85546875" style="1986" customWidth="1"/>
    <col min="6406" max="6406" width="15.5703125" style="1986" customWidth="1"/>
    <col min="6407" max="6407" width="15.85546875" style="1986" customWidth="1"/>
    <col min="6408" max="6408" width="6.42578125" style="1986" customWidth="1"/>
    <col min="6409" max="6409" width="14.28515625" style="1986" bestFit="1" customWidth="1"/>
    <col min="6410" max="6410" width="9.140625" style="1986"/>
    <col min="6411" max="6411" width="12.7109375" style="1986" bestFit="1" customWidth="1"/>
    <col min="6412" max="6412" width="13.140625" style="1986" customWidth="1"/>
    <col min="6413" max="6656" width="9.140625" style="1986"/>
    <col min="6657" max="6657" width="4.7109375" style="1986" customWidth="1"/>
    <col min="6658" max="6658" width="6.7109375" style="1986" customWidth="1"/>
    <col min="6659" max="6659" width="8.85546875" style="1986" customWidth="1"/>
    <col min="6660" max="6660" width="46.42578125" style="1986" customWidth="1"/>
    <col min="6661" max="6661" width="12.85546875" style="1986" customWidth="1"/>
    <col min="6662" max="6662" width="15.5703125" style="1986" customWidth="1"/>
    <col min="6663" max="6663" width="15.85546875" style="1986" customWidth="1"/>
    <col min="6664" max="6664" width="6.42578125" style="1986" customWidth="1"/>
    <col min="6665" max="6665" width="14.28515625" style="1986" bestFit="1" customWidth="1"/>
    <col min="6666" max="6666" width="9.140625" style="1986"/>
    <col min="6667" max="6667" width="12.7109375" style="1986" bestFit="1" customWidth="1"/>
    <col min="6668" max="6668" width="13.140625" style="1986" customWidth="1"/>
    <col min="6669" max="6912" width="9.140625" style="1986"/>
    <col min="6913" max="6913" width="4.7109375" style="1986" customWidth="1"/>
    <col min="6914" max="6914" width="6.7109375" style="1986" customWidth="1"/>
    <col min="6915" max="6915" width="8.85546875" style="1986" customWidth="1"/>
    <col min="6916" max="6916" width="46.42578125" style="1986" customWidth="1"/>
    <col min="6917" max="6917" width="12.85546875" style="1986" customWidth="1"/>
    <col min="6918" max="6918" width="15.5703125" style="1986" customWidth="1"/>
    <col min="6919" max="6919" width="15.85546875" style="1986" customWidth="1"/>
    <col min="6920" max="6920" width="6.42578125" style="1986" customWidth="1"/>
    <col min="6921" max="6921" width="14.28515625" style="1986" bestFit="1" customWidth="1"/>
    <col min="6922" max="6922" width="9.140625" style="1986"/>
    <col min="6923" max="6923" width="12.7109375" style="1986" bestFit="1" customWidth="1"/>
    <col min="6924" max="6924" width="13.140625" style="1986" customWidth="1"/>
    <col min="6925" max="7168" width="9.140625" style="1986"/>
    <col min="7169" max="7169" width="4.7109375" style="1986" customWidth="1"/>
    <col min="7170" max="7170" width="6.7109375" style="1986" customWidth="1"/>
    <col min="7171" max="7171" width="8.85546875" style="1986" customWidth="1"/>
    <col min="7172" max="7172" width="46.42578125" style="1986" customWidth="1"/>
    <col min="7173" max="7173" width="12.85546875" style="1986" customWidth="1"/>
    <col min="7174" max="7174" width="15.5703125" style="1986" customWidth="1"/>
    <col min="7175" max="7175" width="15.85546875" style="1986" customWidth="1"/>
    <col min="7176" max="7176" width="6.42578125" style="1986" customWidth="1"/>
    <col min="7177" max="7177" width="14.28515625" style="1986" bestFit="1" customWidth="1"/>
    <col min="7178" max="7178" width="9.140625" style="1986"/>
    <col min="7179" max="7179" width="12.7109375" style="1986" bestFit="1" customWidth="1"/>
    <col min="7180" max="7180" width="13.140625" style="1986" customWidth="1"/>
    <col min="7181" max="7424" width="9.140625" style="1986"/>
    <col min="7425" max="7425" width="4.7109375" style="1986" customWidth="1"/>
    <col min="7426" max="7426" width="6.7109375" style="1986" customWidth="1"/>
    <col min="7427" max="7427" width="8.85546875" style="1986" customWidth="1"/>
    <col min="7428" max="7428" width="46.42578125" style="1986" customWidth="1"/>
    <col min="7429" max="7429" width="12.85546875" style="1986" customWidth="1"/>
    <col min="7430" max="7430" width="15.5703125" style="1986" customWidth="1"/>
    <col min="7431" max="7431" width="15.85546875" style="1986" customWidth="1"/>
    <col min="7432" max="7432" width="6.42578125" style="1986" customWidth="1"/>
    <col min="7433" max="7433" width="14.28515625" style="1986" bestFit="1" customWidth="1"/>
    <col min="7434" max="7434" width="9.140625" style="1986"/>
    <col min="7435" max="7435" width="12.7109375" style="1986" bestFit="1" customWidth="1"/>
    <col min="7436" max="7436" width="13.140625" style="1986" customWidth="1"/>
    <col min="7437" max="7680" width="9.140625" style="1986"/>
    <col min="7681" max="7681" width="4.7109375" style="1986" customWidth="1"/>
    <col min="7682" max="7682" width="6.7109375" style="1986" customWidth="1"/>
    <col min="7683" max="7683" width="8.85546875" style="1986" customWidth="1"/>
    <col min="7684" max="7684" width="46.42578125" style="1986" customWidth="1"/>
    <col min="7685" max="7685" width="12.85546875" style="1986" customWidth="1"/>
    <col min="7686" max="7686" width="15.5703125" style="1986" customWidth="1"/>
    <col min="7687" max="7687" width="15.85546875" style="1986" customWidth="1"/>
    <col min="7688" max="7688" width="6.42578125" style="1986" customWidth="1"/>
    <col min="7689" max="7689" width="14.28515625" style="1986" bestFit="1" customWidth="1"/>
    <col min="7690" max="7690" width="9.140625" style="1986"/>
    <col min="7691" max="7691" width="12.7109375" style="1986" bestFit="1" customWidth="1"/>
    <col min="7692" max="7692" width="13.140625" style="1986" customWidth="1"/>
    <col min="7693" max="7936" width="9.140625" style="1986"/>
    <col min="7937" max="7937" width="4.7109375" style="1986" customWidth="1"/>
    <col min="7938" max="7938" width="6.7109375" style="1986" customWidth="1"/>
    <col min="7939" max="7939" width="8.85546875" style="1986" customWidth="1"/>
    <col min="7940" max="7940" width="46.42578125" style="1986" customWidth="1"/>
    <col min="7941" max="7941" width="12.85546875" style="1986" customWidth="1"/>
    <col min="7942" max="7942" width="15.5703125" style="1986" customWidth="1"/>
    <col min="7943" max="7943" width="15.85546875" style="1986" customWidth="1"/>
    <col min="7944" max="7944" width="6.42578125" style="1986" customWidth="1"/>
    <col min="7945" max="7945" width="14.28515625" style="1986" bestFit="1" customWidth="1"/>
    <col min="7946" max="7946" width="9.140625" style="1986"/>
    <col min="7947" max="7947" width="12.7109375" style="1986" bestFit="1" customWidth="1"/>
    <col min="7948" max="7948" width="13.140625" style="1986" customWidth="1"/>
    <col min="7949" max="8192" width="9.140625" style="1986"/>
    <col min="8193" max="8193" width="4.7109375" style="1986" customWidth="1"/>
    <col min="8194" max="8194" width="6.7109375" style="1986" customWidth="1"/>
    <col min="8195" max="8195" width="8.85546875" style="1986" customWidth="1"/>
    <col min="8196" max="8196" width="46.42578125" style="1986" customWidth="1"/>
    <col min="8197" max="8197" width="12.85546875" style="1986" customWidth="1"/>
    <col min="8198" max="8198" width="15.5703125" style="1986" customWidth="1"/>
    <col min="8199" max="8199" width="15.85546875" style="1986" customWidth="1"/>
    <col min="8200" max="8200" width="6.42578125" style="1986" customWidth="1"/>
    <col min="8201" max="8201" width="14.28515625" style="1986" bestFit="1" customWidth="1"/>
    <col min="8202" max="8202" width="9.140625" style="1986"/>
    <col min="8203" max="8203" width="12.7109375" style="1986" bestFit="1" customWidth="1"/>
    <col min="8204" max="8204" width="13.140625" style="1986" customWidth="1"/>
    <col min="8205" max="8448" width="9.140625" style="1986"/>
    <col min="8449" max="8449" width="4.7109375" style="1986" customWidth="1"/>
    <col min="8450" max="8450" width="6.7109375" style="1986" customWidth="1"/>
    <col min="8451" max="8451" width="8.85546875" style="1986" customWidth="1"/>
    <col min="8452" max="8452" width="46.42578125" style="1986" customWidth="1"/>
    <col min="8453" max="8453" width="12.85546875" style="1986" customWidth="1"/>
    <col min="8454" max="8454" width="15.5703125" style="1986" customWidth="1"/>
    <col min="8455" max="8455" width="15.85546875" style="1986" customWidth="1"/>
    <col min="8456" max="8456" width="6.42578125" style="1986" customWidth="1"/>
    <col min="8457" max="8457" width="14.28515625" style="1986" bestFit="1" customWidth="1"/>
    <col min="8458" max="8458" width="9.140625" style="1986"/>
    <col min="8459" max="8459" width="12.7109375" style="1986" bestFit="1" customWidth="1"/>
    <col min="8460" max="8460" width="13.140625" style="1986" customWidth="1"/>
    <col min="8461" max="8704" width="9.140625" style="1986"/>
    <col min="8705" max="8705" width="4.7109375" style="1986" customWidth="1"/>
    <col min="8706" max="8706" width="6.7109375" style="1986" customWidth="1"/>
    <col min="8707" max="8707" width="8.85546875" style="1986" customWidth="1"/>
    <col min="8708" max="8708" width="46.42578125" style="1986" customWidth="1"/>
    <col min="8709" max="8709" width="12.85546875" style="1986" customWidth="1"/>
    <col min="8710" max="8710" width="15.5703125" style="1986" customWidth="1"/>
    <col min="8711" max="8711" width="15.85546875" style="1986" customWidth="1"/>
    <col min="8712" max="8712" width="6.42578125" style="1986" customWidth="1"/>
    <col min="8713" max="8713" width="14.28515625" style="1986" bestFit="1" customWidth="1"/>
    <col min="8714" max="8714" width="9.140625" style="1986"/>
    <col min="8715" max="8715" width="12.7109375" style="1986" bestFit="1" customWidth="1"/>
    <col min="8716" max="8716" width="13.140625" style="1986" customWidth="1"/>
    <col min="8717" max="8960" width="9.140625" style="1986"/>
    <col min="8961" max="8961" width="4.7109375" style="1986" customWidth="1"/>
    <col min="8962" max="8962" width="6.7109375" style="1986" customWidth="1"/>
    <col min="8963" max="8963" width="8.85546875" style="1986" customWidth="1"/>
    <col min="8964" max="8964" width="46.42578125" style="1986" customWidth="1"/>
    <col min="8965" max="8965" width="12.85546875" style="1986" customWidth="1"/>
    <col min="8966" max="8966" width="15.5703125" style="1986" customWidth="1"/>
    <col min="8967" max="8967" width="15.85546875" style="1986" customWidth="1"/>
    <col min="8968" max="8968" width="6.42578125" style="1986" customWidth="1"/>
    <col min="8969" max="8969" width="14.28515625" style="1986" bestFit="1" customWidth="1"/>
    <col min="8970" max="8970" width="9.140625" style="1986"/>
    <col min="8971" max="8971" width="12.7109375" style="1986" bestFit="1" customWidth="1"/>
    <col min="8972" max="8972" width="13.140625" style="1986" customWidth="1"/>
    <col min="8973" max="9216" width="9.140625" style="1986"/>
    <col min="9217" max="9217" width="4.7109375" style="1986" customWidth="1"/>
    <col min="9218" max="9218" width="6.7109375" style="1986" customWidth="1"/>
    <col min="9219" max="9219" width="8.85546875" style="1986" customWidth="1"/>
    <col min="9220" max="9220" width="46.42578125" style="1986" customWidth="1"/>
    <col min="9221" max="9221" width="12.85546875" style="1986" customWidth="1"/>
    <col min="9222" max="9222" width="15.5703125" style="1986" customWidth="1"/>
    <col min="9223" max="9223" width="15.85546875" style="1986" customWidth="1"/>
    <col min="9224" max="9224" width="6.42578125" style="1986" customWidth="1"/>
    <col min="9225" max="9225" width="14.28515625" style="1986" bestFit="1" customWidth="1"/>
    <col min="9226" max="9226" width="9.140625" style="1986"/>
    <col min="9227" max="9227" width="12.7109375" style="1986" bestFit="1" customWidth="1"/>
    <col min="9228" max="9228" width="13.140625" style="1986" customWidth="1"/>
    <col min="9229" max="9472" width="9.140625" style="1986"/>
    <col min="9473" max="9473" width="4.7109375" style="1986" customWidth="1"/>
    <col min="9474" max="9474" width="6.7109375" style="1986" customWidth="1"/>
    <col min="9475" max="9475" width="8.85546875" style="1986" customWidth="1"/>
    <col min="9476" max="9476" width="46.42578125" style="1986" customWidth="1"/>
    <col min="9477" max="9477" width="12.85546875" style="1986" customWidth="1"/>
    <col min="9478" max="9478" width="15.5703125" style="1986" customWidth="1"/>
    <col min="9479" max="9479" width="15.85546875" style="1986" customWidth="1"/>
    <col min="9480" max="9480" width="6.42578125" style="1986" customWidth="1"/>
    <col min="9481" max="9481" width="14.28515625" style="1986" bestFit="1" customWidth="1"/>
    <col min="9482" max="9482" width="9.140625" style="1986"/>
    <col min="9483" max="9483" width="12.7109375" style="1986" bestFit="1" customWidth="1"/>
    <col min="9484" max="9484" width="13.140625" style="1986" customWidth="1"/>
    <col min="9485" max="9728" width="9.140625" style="1986"/>
    <col min="9729" max="9729" width="4.7109375" style="1986" customWidth="1"/>
    <col min="9730" max="9730" width="6.7109375" style="1986" customWidth="1"/>
    <col min="9731" max="9731" width="8.85546875" style="1986" customWidth="1"/>
    <col min="9732" max="9732" width="46.42578125" style="1986" customWidth="1"/>
    <col min="9733" max="9733" width="12.85546875" style="1986" customWidth="1"/>
    <col min="9734" max="9734" width="15.5703125" style="1986" customWidth="1"/>
    <col min="9735" max="9735" width="15.85546875" style="1986" customWidth="1"/>
    <col min="9736" max="9736" width="6.42578125" style="1986" customWidth="1"/>
    <col min="9737" max="9737" width="14.28515625" style="1986" bestFit="1" customWidth="1"/>
    <col min="9738" max="9738" width="9.140625" style="1986"/>
    <col min="9739" max="9739" width="12.7109375" style="1986" bestFit="1" customWidth="1"/>
    <col min="9740" max="9740" width="13.140625" style="1986" customWidth="1"/>
    <col min="9741" max="9984" width="9.140625" style="1986"/>
    <col min="9985" max="9985" width="4.7109375" style="1986" customWidth="1"/>
    <col min="9986" max="9986" width="6.7109375" style="1986" customWidth="1"/>
    <col min="9987" max="9987" width="8.85546875" style="1986" customWidth="1"/>
    <col min="9988" max="9988" width="46.42578125" style="1986" customWidth="1"/>
    <col min="9989" max="9989" width="12.85546875" style="1986" customWidth="1"/>
    <col min="9990" max="9990" width="15.5703125" style="1986" customWidth="1"/>
    <col min="9991" max="9991" width="15.85546875" style="1986" customWidth="1"/>
    <col min="9992" max="9992" width="6.42578125" style="1986" customWidth="1"/>
    <col min="9993" max="9993" width="14.28515625" style="1986" bestFit="1" customWidth="1"/>
    <col min="9994" max="9994" width="9.140625" style="1986"/>
    <col min="9995" max="9995" width="12.7109375" style="1986" bestFit="1" customWidth="1"/>
    <col min="9996" max="9996" width="13.140625" style="1986" customWidth="1"/>
    <col min="9997" max="10240" width="9.140625" style="1986"/>
    <col min="10241" max="10241" width="4.7109375" style="1986" customWidth="1"/>
    <col min="10242" max="10242" width="6.7109375" style="1986" customWidth="1"/>
    <col min="10243" max="10243" width="8.85546875" style="1986" customWidth="1"/>
    <col min="10244" max="10244" width="46.42578125" style="1986" customWidth="1"/>
    <col min="10245" max="10245" width="12.85546875" style="1986" customWidth="1"/>
    <col min="10246" max="10246" width="15.5703125" style="1986" customWidth="1"/>
    <col min="10247" max="10247" width="15.85546875" style="1986" customWidth="1"/>
    <col min="10248" max="10248" width="6.42578125" style="1986" customWidth="1"/>
    <col min="10249" max="10249" width="14.28515625" style="1986" bestFit="1" customWidth="1"/>
    <col min="10250" max="10250" width="9.140625" style="1986"/>
    <col min="10251" max="10251" width="12.7109375" style="1986" bestFit="1" customWidth="1"/>
    <col min="10252" max="10252" width="13.140625" style="1986" customWidth="1"/>
    <col min="10253" max="10496" width="9.140625" style="1986"/>
    <col min="10497" max="10497" width="4.7109375" style="1986" customWidth="1"/>
    <col min="10498" max="10498" width="6.7109375" style="1986" customWidth="1"/>
    <col min="10499" max="10499" width="8.85546875" style="1986" customWidth="1"/>
    <col min="10500" max="10500" width="46.42578125" style="1986" customWidth="1"/>
    <col min="10501" max="10501" width="12.85546875" style="1986" customWidth="1"/>
    <col min="10502" max="10502" width="15.5703125" style="1986" customWidth="1"/>
    <col min="10503" max="10503" width="15.85546875" style="1986" customWidth="1"/>
    <col min="10504" max="10504" width="6.42578125" style="1986" customWidth="1"/>
    <col min="10505" max="10505" width="14.28515625" style="1986" bestFit="1" customWidth="1"/>
    <col min="10506" max="10506" width="9.140625" style="1986"/>
    <col min="10507" max="10507" width="12.7109375" style="1986" bestFit="1" customWidth="1"/>
    <col min="10508" max="10508" width="13.140625" style="1986" customWidth="1"/>
    <col min="10509" max="10752" width="9.140625" style="1986"/>
    <col min="10753" max="10753" width="4.7109375" style="1986" customWidth="1"/>
    <col min="10754" max="10754" width="6.7109375" style="1986" customWidth="1"/>
    <col min="10755" max="10755" width="8.85546875" style="1986" customWidth="1"/>
    <col min="10756" max="10756" width="46.42578125" style="1986" customWidth="1"/>
    <col min="10757" max="10757" width="12.85546875" style="1986" customWidth="1"/>
    <col min="10758" max="10758" width="15.5703125" style="1986" customWidth="1"/>
    <col min="10759" max="10759" width="15.85546875" style="1986" customWidth="1"/>
    <col min="10760" max="10760" width="6.42578125" style="1986" customWidth="1"/>
    <col min="10761" max="10761" width="14.28515625" style="1986" bestFit="1" customWidth="1"/>
    <col min="10762" max="10762" width="9.140625" style="1986"/>
    <col min="10763" max="10763" width="12.7109375" style="1986" bestFit="1" customWidth="1"/>
    <col min="10764" max="10764" width="13.140625" style="1986" customWidth="1"/>
    <col min="10765" max="11008" width="9.140625" style="1986"/>
    <col min="11009" max="11009" width="4.7109375" style="1986" customWidth="1"/>
    <col min="11010" max="11010" width="6.7109375" style="1986" customWidth="1"/>
    <col min="11011" max="11011" width="8.85546875" style="1986" customWidth="1"/>
    <col min="11012" max="11012" width="46.42578125" style="1986" customWidth="1"/>
    <col min="11013" max="11013" width="12.85546875" style="1986" customWidth="1"/>
    <col min="11014" max="11014" width="15.5703125" style="1986" customWidth="1"/>
    <col min="11015" max="11015" width="15.85546875" style="1986" customWidth="1"/>
    <col min="11016" max="11016" width="6.42578125" style="1986" customWidth="1"/>
    <col min="11017" max="11017" width="14.28515625" style="1986" bestFit="1" customWidth="1"/>
    <col min="11018" max="11018" width="9.140625" style="1986"/>
    <col min="11019" max="11019" width="12.7109375" style="1986" bestFit="1" customWidth="1"/>
    <col min="11020" max="11020" width="13.140625" style="1986" customWidth="1"/>
    <col min="11021" max="11264" width="9.140625" style="1986"/>
    <col min="11265" max="11265" width="4.7109375" style="1986" customWidth="1"/>
    <col min="11266" max="11266" width="6.7109375" style="1986" customWidth="1"/>
    <col min="11267" max="11267" width="8.85546875" style="1986" customWidth="1"/>
    <col min="11268" max="11268" width="46.42578125" style="1986" customWidth="1"/>
    <col min="11269" max="11269" width="12.85546875" style="1986" customWidth="1"/>
    <col min="11270" max="11270" width="15.5703125" style="1986" customWidth="1"/>
    <col min="11271" max="11271" width="15.85546875" style="1986" customWidth="1"/>
    <col min="11272" max="11272" width="6.42578125" style="1986" customWidth="1"/>
    <col min="11273" max="11273" width="14.28515625" style="1986" bestFit="1" customWidth="1"/>
    <col min="11274" max="11274" width="9.140625" style="1986"/>
    <col min="11275" max="11275" width="12.7109375" style="1986" bestFit="1" customWidth="1"/>
    <col min="11276" max="11276" width="13.140625" style="1986" customWidth="1"/>
    <col min="11277" max="11520" width="9.140625" style="1986"/>
    <col min="11521" max="11521" width="4.7109375" style="1986" customWidth="1"/>
    <col min="11522" max="11522" width="6.7109375" style="1986" customWidth="1"/>
    <col min="11523" max="11523" width="8.85546875" style="1986" customWidth="1"/>
    <col min="11524" max="11524" width="46.42578125" style="1986" customWidth="1"/>
    <col min="11525" max="11525" width="12.85546875" style="1986" customWidth="1"/>
    <col min="11526" max="11526" width="15.5703125" style="1986" customWidth="1"/>
    <col min="11527" max="11527" width="15.85546875" style="1986" customWidth="1"/>
    <col min="11528" max="11528" width="6.42578125" style="1986" customWidth="1"/>
    <col min="11529" max="11529" width="14.28515625" style="1986" bestFit="1" customWidth="1"/>
    <col min="11530" max="11530" width="9.140625" style="1986"/>
    <col min="11531" max="11531" width="12.7109375" style="1986" bestFit="1" customWidth="1"/>
    <col min="11532" max="11532" width="13.140625" style="1986" customWidth="1"/>
    <col min="11533" max="11776" width="9.140625" style="1986"/>
    <col min="11777" max="11777" width="4.7109375" style="1986" customWidth="1"/>
    <col min="11778" max="11778" width="6.7109375" style="1986" customWidth="1"/>
    <col min="11779" max="11779" width="8.85546875" style="1986" customWidth="1"/>
    <col min="11780" max="11780" width="46.42578125" style="1986" customWidth="1"/>
    <col min="11781" max="11781" width="12.85546875" style="1986" customWidth="1"/>
    <col min="11782" max="11782" width="15.5703125" style="1986" customWidth="1"/>
    <col min="11783" max="11783" width="15.85546875" style="1986" customWidth="1"/>
    <col min="11784" max="11784" width="6.42578125" style="1986" customWidth="1"/>
    <col min="11785" max="11785" width="14.28515625" style="1986" bestFit="1" customWidth="1"/>
    <col min="11786" max="11786" width="9.140625" style="1986"/>
    <col min="11787" max="11787" width="12.7109375" style="1986" bestFit="1" customWidth="1"/>
    <col min="11788" max="11788" width="13.140625" style="1986" customWidth="1"/>
    <col min="11789" max="12032" width="9.140625" style="1986"/>
    <col min="12033" max="12033" width="4.7109375" style="1986" customWidth="1"/>
    <col min="12034" max="12034" width="6.7109375" style="1986" customWidth="1"/>
    <col min="12035" max="12035" width="8.85546875" style="1986" customWidth="1"/>
    <col min="12036" max="12036" width="46.42578125" style="1986" customWidth="1"/>
    <col min="12037" max="12037" width="12.85546875" style="1986" customWidth="1"/>
    <col min="12038" max="12038" width="15.5703125" style="1986" customWidth="1"/>
    <col min="12039" max="12039" width="15.85546875" style="1986" customWidth="1"/>
    <col min="12040" max="12040" width="6.42578125" style="1986" customWidth="1"/>
    <col min="12041" max="12041" width="14.28515625" style="1986" bestFit="1" customWidth="1"/>
    <col min="12042" max="12042" width="9.140625" style="1986"/>
    <col min="12043" max="12043" width="12.7109375" style="1986" bestFit="1" customWidth="1"/>
    <col min="12044" max="12044" width="13.140625" style="1986" customWidth="1"/>
    <col min="12045" max="12288" width="9.140625" style="1986"/>
    <col min="12289" max="12289" width="4.7109375" style="1986" customWidth="1"/>
    <col min="12290" max="12290" width="6.7109375" style="1986" customWidth="1"/>
    <col min="12291" max="12291" width="8.85546875" style="1986" customWidth="1"/>
    <col min="12292" max="12292" width="46.42578125" style="1986" customWidth="1"/>
    <col min="12293" max="12293" width="12.85546875" style="1986" customWidth="1"/>
    <col min="12294" max="12294" width="15.5703125" style="1986" customWidth="1"/>
    <col min="12295" max="12295" width="15.85546875" style="1986" customWidth="1"/>
    <col min="12296" max="12296" width="6.42578125" style="1986" customWidth="1"/>
    <col min="12297" max="12297" width="14.28515625" style="1986" bestFit="1" customWidth="1"/>
    <col min="12298" max="12298" width="9.140625" style="1986"/>
    <col min="12299" max="12299" width="12.7109375" style="1986" bestFit="1" customWidth="1"/>
    <col min="12300" max="12300" width="13.140625" style="1986" customWidth="1"/>
    <col min="12301" max="12544" width="9.140625" style="1986"/>
    <col min="12545" max="12545" width="4.7109375" style="1986" customWidth="1"/>
    <col min="12546" max="12546" width="6.7109375" style="1986" customWidth="1"/>
    <col min="12547" max="12547" width="8.85546875" style="1986" customWidth="1"/>
    <col min="12548" max="12548" width="46.42578125" style="1986" customWidth="1"/>
    <col min="12549" max="12549" width="12.85546875" style="1986" customWidth="1"/>
    <col min="12550" max="12550" width="15.5703125" style="1986" customWidth="1"/>
    <col min="12551" max="12551" width="15.85546875" style="1986" customWidth="1"/>
    <col min="12552" max="12552" width="6.42578125" style="1986" customWidth="1"/>
    <col min="12553" max="12553" width="14.28515625" style="1986" bestFit="1" customWidth="1"/>
    <col min="12554" max="12554" width="9.140625" style="1986"/>
    <col min="12555" max="12555" width="12.7109375" style="1986" bestFit="1" customWidth="1"/>
    <col min="12556" max="12556" width="13.140625" style="1986" customWidth="1"/>
    <col min="12557" max="12800" width="9.140625" style="1986"/>
    <col min="12801" max="12801" width="4.7109375" style="1986" customWidth="1"/>
    <col min="12802" max="12802" width="6.7109375" style="1986" customWidth="1"/>
    <col min="12803" max="12803" width="8.85546875" style="1986" customWidth="1"/>
    <col min="12804" max="12804" width="46.42578125" style="1986" customWidth="1"/>
    <col min="12805" max="12805" width="12.85546875" style="1986" customWidth="1"/>
    <col min="12806" max="12806" width="15.5703125" style="1986" customWidth="1"/>
    <col min="12807" max="12807" width="15.85546875" style="1986" customWidth="1"/>
    <col min="12808" max="12808" width="6.42578125" style="1986" customWidth="1"/>
    <col min="12809" max="12809" width="14.28515625" style="1986" bestFit="1" customWidth="1"/>
    <col min="12810" max="12810" width="9.140625" style="1986"/>
    <col min="12811" max="12811" width="12.7109375" style="1986" bestFit="1" customWidth="1"/>
    <col min="12812" max="12812" width="13.140625" style="1986" customWidth="1"/>
    <col min="12813" max="13056" width="9.140625" style="1986"/>
    <col min="13057" max="13057" width="4.7109375" style="1986" customWidth="1"/>
    <col min="13058" max="13058" width="6.7109375" style="1986" customWidth="1"/>
    <col min="13059" max="13059" width="8.85546875" style="1986" customWidth="1"/>
    <col min="13060" max="13060" width="46.42578125" style="1986" customWidth="1"/>
    <col min="13061" max="13061" width="12.85546875" style="1986" customWidth="1"/>
    <col min="13062" max="13062" width="15.5703125" style="1986" customWidth="1"/>
    <col min="13063" max="13063" width="15.85546875" style="1986" customWidth="1"/>
    <col min="13064" max="13064" width="6.42578125" style="1986" customWidth="1"/>
    <col min="13065" max="13065" width="14.28515625" style="1986" bestFit="1" customWidth="1"/>
    <col min="13066" max="13066" width="9.140625" style="1986"/>
    <col min="13067" max="13067" width="12.7109375" style="1986" bestFit="1" customWidth="1"/>
    <col min="13068" max="13068" width="13.140625" style="1986" customWidth="1"/>
    <col min="13069" max="13312" width="9.140625" style="1986"/>
    <col min="13313" max="13313" width="4.7109375" style="1986" customWidth="1"/>
    <col min="13314" max="13314" width="6.7109375" style="1986" customWidth="1"/>
    <col min="13315" max="13315" width="8.85546875" style="1986" customWidth="1"/>
    <col min="13316" max="13316" width="46.42578125" style="1986" customWidth="1"/>
    <col min="13317" max="13317" width="12.85546875" style="1986" customWidth="1"/>
    <col min="13318" max="13318" width="15.5703125" style="1986" customWidth="1"/>
    <col min="13319" max="13319" width="15.85546875" style="1986" customWidth="1"/>
    <col min="13320" max="13320" width="6.42578125" style="1986" customWidth="1"/>
    <col min="13321" max="13321" width="14.28515625" style="1986" bestFit="1" customWidth="1"/>
    <col min="13322" max="13322" width="9.140625" style="1986"/>
    <col min="13323" max="13323" width="12.7109375" style="1986" bestFit="1" customWidth="1"/>
    <col min="13324" max="13324" width="13.140625" style="1986" customWidth="1"/>
    <col min="13325" max="13568" width="9.140625" style="1986"/>
    <col min="13569" max="13569" width="4.7109375" style="1986" customWidth="1"/>
    <col min="13570" max="13570" width="6.7109375" style="1986" customWidth="1"/>
    <col min="13571" max="13571" width="8.85546875" style="1986" customWidth="1"/>
    <col min="13572" max="13572" width="46.42578125" style="1986" customWidth="1"/>
    <col min="13573" max="13573" width="12.85546875" style="1986" customWidth="1"/>
    <col min="13574" max="13574" width="15.5703125" style="1986" customWidth="1"/>
    <col min="13575" max="13575" width="15.85546875" style="1986" customWidth="1"/>
    <col min="13576" max="13576" width="6.42578125" style="1986" customWidth="1"/>
    <col min="13577" max="13577" width="14.28515625" style="1986" bestFit="1" customWidth="1"/>
    <col min="13578" max="13578" width="9.140625" style="1986"/>
    <col min="13579" max="13579" width="12.7109375" style="1986" bestFit="1" customWidth="1"/>
    <col min="13580" max="13580" width="13.140625" style="1986" customWidth="1"/>
    <col min="13581" max="13824" width="9.140625" style="1986"/>
    <col min="13825" max="13825" width="4.7109375" style="1986" customWidth="1"/>
    <col min="13826" max="13826" width="6.7109375" style="1986" customWidth="1"/>
    <col min="13827" max="13827" width="8.85546875" style="1986" customWidth="1"/>
    <col min="13828" max="13828" width="46.42578125" style="1986" customWidth="1"/>
    <col min="13829" max="13829" width="12.85546875" style="1986" customWidth="1"/>
    <col min="13830" max="13830" width="15.5703125" style="1986" customWidth="1"/>
    <col min="13831" max="13831" width="15.85546875" style="1986" customWidth="1"/>
    <col min="13832" max="13832" width="6.42578125" style="1986" customWidth="1"/>
    <col min="13833" max="13833" width="14.28515625" style="1986" bestFit="1" customWidth="1"/>
    <col min="13834" max="13834" width="9.140625" style="1986"/>
    <col min="13835" max="13835" width="12.7109375" style="1986" bestFit="1" customWidth="1"/>
    <col min="13836" max="13836" width="13.140625" style="1986" customWidth="1"/>
    <col min="13837" max="14080" width="9.140625" style="1986"/>
    <col min="14081" max="14081" width="4.7109375" style="1986" customWidth="1"/>
    <col min="14082" max="14082" width="6.7109375" style="1986" customWidth="1"/>
    <col min="14083" max="14083" width="8.85546875" style="1986" customWidth="1"/>
    <col min="14084" max="14084" width="46.42578125" style="1986" customWidth="1"/>
    <col min="14085" max="14085" width="12.85546875" style="1986" customWidth="1"/>
    <col min="14086" max="14086" width="15.5703125" style="1986" customWidth="1"/>
    <col min="14087" max="14087" width="15.85546875" style="1986" customWidth="1"/>
    <col min="14088" max="14088" width="6.42578125" style="1986" customWidth="1"/>
    <col min="14089" max="14089" width="14.28515625" style="1986" bestFit="1" customWidth="1"/>
    <col min="14090" max="14090" width="9.140625" style="1986"/>
    <col min="14091" max="14091" width="12.7109375" style="1986" bestFit="1" customWidth="1"/>
    <col min="14092" max="14092" width="13.140625" style="1986" customWidth="1"/>
    <col min="14093" max="14336" width="9.140625" style="1986"/>
    <col min="14337" max="14337" width="4.7109375" style="1986" customWidth="1"/>
    <col min="14338" max="14338" width="6.7109375" style="1986" customWidth="1"/>
    <col min="14339" max="14339" width="8.85546875" style="1986" customWidth="1"/>
    <col min="14340" max="14340" width="46.42578125" style="1986" customWidth="1"/>
    <col min="14341" max="14341" width="12.85546875" style="1986" customWidth="1"/>
    <col min="14342" max="14342" width="15.5703125" style="1986" customWidth="1"/>
    <col min="14343" max="14343" width="15.85546875" style="1986" customWidth="1"/>
    <col min="14344" max="14344" width="6.42578125" style="1986" customWidth="1"/>
    <col min="14345" max="14345" width="14.28515625" style="1986" bestFit="1" customWidth="1"/>
    <col min="14346" max="14346" width="9.140625" style="1986"/>
    <col min="14347" max="14347" width="12.7109375" style="1986" bestFit="1" customWidth="1"/>
    <col min="14348" max="14348" width="13.140625" style="1986" customWidth="1"/>
    <col min="14349" max="14592" width="9.140625" style="1986"/>
    <col min="14593" max="14593" width="4.7109375" style="1986" customWidth="1"/>
    <col min="14594" max="14594" width="6.7109375" style="1986" customWidth="1"/>
    <col min="14595" max="14595" width="8.85546875" style="1986" customWidth="1"/>
    <col min="14596" max="14596" width="46.42578125" style="1986" customWidth="1"/>
    <col min="14597" max="14597" width="12.85546875" style="1986" customWidth="1"/>
    <col min="14598" max="14598" width="15.5703125" style="1986" customWidth="1"/>
    <col min="14599" max="14599" width="15.85546875" style="1986" customWidth="1"/>
    <col min="14600" max="14600" width="6.42578125" style="1986" customWidth="1"/>
    <col min="14601" max="14601" width="14.28515625" style="1986" bestFit="1" customWidth="1"/>
    <col min="14602" max="14602" width="9.140625" style="1986"/>
    <col min="14603" max="14603" width="12.7109375" style="1986" bestFit="1" customWidth="1"/>
    <col min="14604" max="14604" width="13.140625" style="1986" customWidth="1"/>
    <col min="14605" max="14848" width="9.140625" style="1986"/>
    <col min="14849" max="14849" width="4.7109375" style="1986" customWidth="1"/>
    <col min="14850" max="14850" width="6.7109375" style="1986" customWidth="1"/>
    <col min="14851" max="14851" width="8.85546875" style="1986" customWidth="1"/>
    <col min="14852" max="14852" width="46.42578125" style="1986" customWidth="1"/>
    <col min="14853" max="14853" width="12.85546875" style="1986" customWidth="1"/>
    <col min="14854" max="14854" width="15.5703125" style="1986" customWidth="1"/>
    <col min="14855" max="14855" width="15.85546875" style="1986" customWidth="1"/>
    <col min="14856" max="14856" width="6.42578125" style="1986" customWidth="1"/>
    <col min="14857" max="14857" width="14.28515625" style="1986" bestFit="1" customWidth="1"/>
    <col min="14858" max="14858" width="9.140625" style="1986"/>
    <col min="14859" max="14859" width="12.7109375" style="1986" bestFit="1" customWidth="1"/>
    <col min="14860" max="14860" width="13.140625" style="1986" customWidth="1"/>
    <col min="14861" max="15104" width="9.140625" style="1986"/>
    <col min="15105" max="15105" width="4.7109375" style="1986" customWidth="1"/>
    <col min="15106" max="15106" width="6.7109375" style="1986" customWidth="1"/>
    <col min="15107" max="15107" width="8.85546875" style="1986" customWidth="1"/>
    <col min="15108" max="15108" width="46.42578125" style="1986" customWidth="1"/>
    <col min="15109" max="15109" width="12.85546875" style="1986" customWidth="1"/>
    <col min="15110" max="15110" width="15.5703125" style="1986" customWidth="1"/>
    <col min="15111" max="15111" width="15.85546875" style="1986" customWidth="1"/>
    <col min="15112" max="15112" width="6.42578125" style="1986" customWidth="1"/>
    <col min="15113" max="15113" width="14.28515625" style="1986" bestFit="1" customWidth="1"/>
    <col min="15114" max="15114" width="9.140625" style="1986"/>
    <col min="15115" max="15115" width="12.7109375" style="1986" bestFit="1" customWidth="1"/>
    <col min="15116" max="15116" width="13.140625" style="1986" customWidth="1"/>
    <col min="15117" max="15360" width="9.140625" style="1986"/>
    <col min="15361" max="15361" width="4.7109375" style="1986" customWidth="1"/>
    <col min="15362" max="15362" width="6.7109375" style="1986" customWidth="1"/>
    <col min="15363" max="15363" width="8.85546875" style="1986" customWidth="1"/>
    <col min="15364" max="15364" width="46.42578125" style="1986" customWidth="1"/>
    <col min="15365" max="15365" width="12.85546875" style="1986" customWidth="1"/>
    <col min="15366" max="15366" width="15.5703125" style="1986" customWidth="1"/>
    <col min="15367" max="15367" width="15.85546875" style="1986" customWidth="1"/>
    <col min="15368" max="15368" width="6.42578125" style="1986" customWidth="1"/>
    <col min="15369" max="15369" width="14.28515625" style="1986" bestFit="1" customWidth="1"/>
    <col min="15370" max="15370" width="9.140625" style="1986"/>
    <col min="15371" max="15371" width="12.7109375" style="1986" bestFit="1" customWidth="1"/>
    <col min="15372" max="15372" width="13.140625" style="1986" customWidth="1"/>
    <col min="15373" max="15616" width="9.140625" style="1986"/>
    <col min="15617" max="15617" width="4.7109375" style="1986" customWidth="1"/>
    <col min="15618" max="15618" width="6.7109375" style="1986" customWidth="1"/>
    <col min="15619" max="15619" width="8.85546875" style="1986" customWidth="1"/>
    <col min="15620" max="15620" width="46.42578125" style="1986" customWidth="1"/>
    <col min="15621" max="15621" width="12.85546875" style="1986" customWidth="1"/>
    <col min="15622" max="15622" width="15.5703125" style="1986" customWidth="1"/>
    <col min="15623" max="15623" width="15.85546875" style="1986" customWidth="1"/>
    <col min="15624" max="15624" width="6.42578125" style="1986" customWidth="1"/>
    <col min="15625" max="15625" width="14.28515625" style="1986" bestFit="1" customWidth="1"/>
    <col min="15626" max="15626" width="9.140625" style="1986"/>
    <col min="15627" max="15627" width="12.7109375" style="1986" bestFit="1" customWidth="1"/>
    <col min="15628" max="15628" width="13.140625" style="1986" customWidth="1"/>
    <col min="15629" max="15872" width="9.140625" style="1986"/>
    <col min="15873" max="15873" width="4.7109375" style="1986" customWidth="1"/>
    <col min="15874" max="15874" width="6.7109375" style="1986" customWidth="1"/>
    <col min="15875" max="15875" width="8.85546875" style="1986" customWidth="1"/>
    <col min="15876" max="15876" width="46.42578125" style="1986" customWidth="1"/>
    <col min="15877" max="15877" width="12.85546875" style="1986" customWidth="1"/>
    <col min="15878" max="15878" width="15.5703125" style="1986" customWidth="1"/>
    <col min="15879" max="15879" width="15.85546875" style="1986" customWidth="1"/>
    <col min="15880" max="15880" width="6.42578125" style="1986" customWidth="1"/>
    <col min="15881" max="15881" width="14.28515625" style="1986" bestFit="1" customWidth="1"/>
    <col min="15882" max="15882" width="9.140625" style="1986"/>
    <col min="15883" max="15883" width="12.7109375" style="1986" bestFit="1" customWidth="1"/>
    <col min="15884" max="15884" width="13.140625" style="1986" customWidth="1"/>
    <col min="15885" max="16128" width="9.140625" style="1986"/>
    <col min="16129" max="16129" width="4.7109375" style="1986" customWidth="1"/>
    <col min="16130" max="16130" width="6.7109375" style="1986" customWidth="1"/>
    <col min="16131" max="16131" width="8.85546875" style="1986" customWidth="1"/>
    <col min="16132" max="16132" width="46.42578125" style="1986" customWidth="1"/>
    <col min="16133" max="16133" width="12.85546875" style="1986" customWidth="1"/>
    <col min="16134" max="16134" width="15.5703125" style="1986" customWidth="1"/>
    <col min="16135" max="16135" width="15.85546875" style="1986" customWidth="1"/>
    <col min="16136" max="16136" width="6.42578125" style="1986" customWidth="1"/>
    <col min="16137" max="16137" width="14.28515625" style="1986" bestFit="1" customWidth="1"/>
    <col min="16138" max="16138" width="9.140625" style="1986"/>
    <col min="16139" max="16139" width="12.7109375" style="1986" bestFit="1" customWidth="1"/>
    <col min="16140" max="16140" width="13.140625" style="1986" customWidth="1"/>
    <col min="16141" max="16384" width="9.140625" style="1986"/>
  </cols>
  <sheetData>
    <row r="1" spans="1:8" ht="19.5" customHeight="1" thickBot="1" x14ac:dyDescent="0.3">
      <c r="A1" s="1980" t="s">
        <v>1577</v>
      </c>
      <c r="B1" s="1981"/>
      <c r="C1" s="1982"/>
      <c r="D1" s="1983"/>
      <c r="E1" s="1984"/>
      <c r="F1" s="1983"/>
      <c r="G1" s="1985"/>
      <c r="H1" s="1980"/>
    </row>
    <row r="2" spans="1:8" ht="18" x14ac:dyDescent="0.25">
      <c r="A2" s="1987"/>
      <c r="B2" s="1988"/>
      <c r="C2" s="1988"/>
      <c r="D2" s="1988"/>
      <c r="E2" s="1988"/>
      <c r="F2" s="1988"/>
      <c r="G2" s="1988"/>
      <c r="H2" s="1989" t="s">
        <v>1578</v>
      </c>
    </row>
    <row r="3" spans="1:8" ht="18" x14ac:dyDescent="0.25">
      <c r="A3" s="1990" t="s">
        <v>367</v>
      </c>
      <c r="B3" s="1988"/>
      <c r="C3" s="1991" t="s">
        <v>347</v>
      </c>
      <c r="D3" s="1988"/>
      <c r="E3" s="1988"/>
      <c r="F3" s="1988"/>
      <c r="G3" s="1988"/>
      <c r="H3" s="1989"/>
    </row>
    <row r="4" spans="1:8" ht="18" x14ac:dyDescent="0.25">
      <c r="A4" s="1987"/>
      <c r="B4" s="1988"/>
      <c r="C4" s="1991" t="s">
        <v>348</v>
      </c>
      <c r="D4" s="1988"/>
      <c r="E4" s="1988"/>
      <c r="F4" s="1988"/>
      <c r="G4" s="1988"/>
      <c r="H4" s="1989"/>
    </row>
    <row r="5" spans="1:8" ht="18" x14ac:dyDescent="0.25">
      <c r="A5" s="1992" t="s">
        <v>1409</v>
      </c>
      <c r="B5" s="1988"/>
      <c r="C5" s="1988"/>
      <c r="D5" s="1988"/>
      <c r="E5" s="1988"/>
      <c r="F5" s="1988"/>
      <c r="G5" s="1988"/>
      <c r="H5" s="1989"/>
    </row>
    <row r="6" spans="1:8" ht="18" x14ac:dyDescent="0.25">
      <c r="A6" s="1992"/>
      <c r="B6" s="1988"/>
      <c r="C6" s="1988"/>
      <c r="D6" s="1988"/>
      <c r="E6" s="1988"/>
      <c r="F6" s="1988"/>
      <c r="G6" s="1988"/>
      <c r="H6" s="1989"/>
    </row>
    <row r="7" spans="1:8" ht="18" x14ac:dyDescent="0.25">
      <c r="A7" s="1992"/>
      <c r="B7" s="1988"/>
      <c r="C7" s="1988"/>
      <c r="D7" s="1988"/>
      <c r="E7" s="1988"/>
      <c r="F7" s="1988"/>
      <c r="G7" s="1988"/>
      <c r="H7" s="1989"/>
    </row>
    <row r="8" spans="1:8" ht="15" x14ac:dyDescent="0.25">
      <c r="A8" s="2067" t="s">
        <v>1579</v>
      </c>
      <c r="B8" s="1988"/>
      <c r="C8" s="1988"/>
      <c r="D8" s="1988"/>
    </row>
    <row r="9" spans="1:8" ht="15.75" thickBot="1" x14ac:dyDescent="0.3">
      <c r="A9" s="2068" t="s">
        <v>1580</v>
      </c>
      <c r="B9" s="2069"/>
      <c r="C9" s="2069"/>
      <c r="H9" s="1995" t="s">
        <v>161</v>
      </c>
    </row>
    <row r="10" spans="1:8" s="2070" customFormat="1" ht="25.5" thickTop="1" thickBot="1" x14ac:dyDescent="0.25">
      <c r="A10" s="1996" t="s">
        <v>162</v>
      </c>
      <c r="B10" s="1997" t="s">
        <v>761</v>
      </c>
      <c r="C10" s="1997" t="s">
        <v>377</v>
      </c>
      <c r="D10" s="1998" t="s">
        <v>164</v>
      </c>
      <c r="E10" s="1999" t="s">
        <v>632</v>
      </c>
      <c r="F10" s="1999" t="s">
        <v>633</v>
      </c>
      <c r="G10" s="2000" t="s">
        <v>882</v>
      </c>
      <c r="H10" s="2001" t="s">
        <v>883</v>
      </c>
    </row>
    <row r="11" spans="1:8" s="2070" customFormat="1" ht="13.5" thickTop="1" thickBot="1" x14ac:dyDescent="0.25">
      <c r="A11" s="2002">
        <v>1</v>
      </c>
      <c r="B11" s="2003">
        <v>2</v>
      </c>
      <c r="C11" s="2003">
        <v>3</v>
      </c>
      <c r="D11" s="2003">
        <v>4</v>
      </c>
      <c r="E11" s="2004">
        <v>5</v>
      </c>
      <c r="F11" s="2004">
        <v>6</v>
      </c>
      <c r="G11" s="2005">
        <v>7</v>
      </c>
      <c r="H11" s="2006" t="s">
        <v>61</v>
      </c>
    </row>
    <row r="12" spans="1:8" s="2072" customFormat="1" ht="15.75" hidden="1" thickTop="1" x14ac:dyDescent="0.2">
      <c r="A12" s="2012">
        <v>3636</v>
      </c>
      <c r="B12" s="2013">
        <v>5011</v>
      </c>
      <c r="C12" s="2071">
        <v>38100880</v>
      </c>
      <c r="D12" s="2014" t="s">
        <v>206</v>
      </c>
      <c r="E12" s="2015"/>
      <c r="F12" s="2015"/>
      <c r="G12" s="2015"/>
      <c r="H12" s="2016" t="e">
        <f>G12/F12*100</f>
        <v>#DIV/0!</v>
      </c>
    </row>
    <row r="13" spans="1:8" s="2072" customFormat="1" ht="15.75" thickTop="1" x14ac:dyDescent="0.2">
      <c r="A13" s="2012">
        <v>3299</v>
      </c>
      <c r="B13" s="2013">
        <v>5139</v>
      </c>
      <c r="C13" s="2071">
        <v>32133007</v>
      </c>
      <c r="D13" s="2014" t="s">
        <v>270</v>
      </c>
      <c r="E13" s="2015">
        <v>0</v>
      </c>
      <c r="F13" s="2015">
        <v>5</v>
      </c>
      <c r="G13" s="2015">
        <v>0</v>
      </c>
      <c r="H13" s="2016">
        <v>0</v>
      </c>
    </row>
    <row r="14" spans="1:8" s="2072" customFormat="1" ht="15" x14ac:dyDescent="0.2">
      <c r="A14" s="2012">
        <v>3299</v>
      </c>
      <c r="B14" s="2013">
        <v>5139</v>
      </c>
      <c r="C14" s="2071">
        <v>32533007</v>
      </c>
      <c r="D14" s="2014" t="s">
        <v>270</v>
      </c>
      <c r="E14" s="2015">
        <v>0</v>
      </c>
      <c r="F14" s="2015">
        <v>30</v>
      </c>
      <c r="G14" s="2015">
        <v>0</v>
      </c>
      <c r="H14" s="2016">
        <f>G14/F14*100</f>
        <v>0</v>
      </c>
    </row>
    <row r="15" spans="1:8" s="2072" customFormat="1" ht="15" x14ac:dyDescent="0.2">
      <c r="A15" s="2012">
        <v>3299</v>
      </c>
      <c r="B15" s="2013">
        <v>5164</v>
      </c>
      <c r="C15" s="2071">
        <v>32133007</v>
      </c>
      <c r="D15" s="2014" t="s">
        <v>170</v>
      </c>
      <c r="E15" s="2015">
        <v>0</v>
      </c>
      <c r="F15" s="2015">
        <v>5</v>
      </c>
      <c r="G15" s="2015">
        <v>3</v>
      </c>
      <c r="H15" s="2016">
        <f t="shared" ref="H15:H16" si="0">G15/F15*100</f>
        <v>60</v>
      </c>
    </row>
    <row r="16" spans="1:8" s="2072" customFormat="1" ht="15" x14ac:dyDescent="0.2">
      <c r="A16" s="2012">
        <v>3299</v>
      </c>
      <c r="B16" s="2013">
        <v>5164</v>
      </c>
      <c r="C16" s="2071">
        <v>32533007</v>
      </c>
      <c r="D16" s="2014" t="s">
        <v>170</v>
      </c>
      <c r="E16" s="2015">
        <v>0</v>
      </c>
      <c r="F16" s="2015">
        <v>28</v>
      </c>
      <c r="G16" s="2015">
        <v>15</v>
      </c>
      <c r="H16" s="2016">
        <f t="shared" si="0"/>
        <v>53.571428571428569</v>
      </c>
    </row>
    <row r="17" spans="1:8" s="2072" customFormat="1" ht="15" x14ac:dyDescent="0.2">
      <c r="A17" s="2012">
        <v>3299</v>
      </c>
      <c r="B17" s="2013">
        <v>5169</v>
      </c>
      <c r="C17" s="2071">
        <v>32133007</v>
      </c>
      <c r="D17" s="2014" t="s">
        <v>852</v>
      </c>
      <c r="E17" s="2015">
        <v>0</v>
      </c>
      <c r="F17" s="2015">
        <v>4</v>
      </c>
      <c r="G17" s="2015">
        <v>0</v>
      </c>
      <c r="H17" s="2016">
        <f>G17/F17*100</f>
        <v>0</v>
      </c>
    </row>
    <row r="18" spans="1:8" s="2072" customFormat="1" ht="15" hidden="1" x14ac:dyDescent="0.2">
      <c r="A18" s="2012">
        <v>3299</v>
      </c>
      <c r="B18" s="2013">
        <v>5021</v>
      </c>
      <c r="C18" s="2071">
        <v>38100882</v>
      </c>
      <c r="D18" s="2014" t="s">
        <v>389</v>
      </c>
      <c r="E18" s="2015"/>
      <c r="F18" s="2015"/>
      <c r="G18" s="2015"/>
      <c r="H18" s="2016">
        <v>0</v>
      </c>
    </row>
    <row r="19" spans="1:8" s="2072" customFormat="1" ht="15" x14ac:dyDescent="0.2">
      <c r="A19" s="2012">
        <v>3299</v>
      </c>
      <c r="B19" s="2013">
        <v>5169</v>
      </c>
      <c r="C19" s="2071">
        <v>32533007</v>
      </c>
      <c r="D19" s="2014" t="s">
        <v>852</v>
      </c>
      <c r="E19" s="2015">
        <v>0</v>
      </c>
      <c r="F19" s="2015">
        <v>21</v>
      </c>
      <c r="G19" s="2015">
        <v>0</v>
      </c>
      <c r="H19" s="2016">
        <f>G19/F19*100</f>
        <v>0</v>
      </c>
    </row>
    <row r="20" spans="1:8" s="2072" customFormat="1" ht="30" hidden="1" x14ac:dyDescent="0.2">
      <c r="A20" s="2012">
        <v>3299</v>
      </c>
      <c r="B20" s="2013">
        <v>5031</v>
      </c>
      <c r="C20" s="2071">
        <v>38100880</v>
      </c>
      <c r="D20" s="2014" t="s">
        <v>1299</v>
      </c>
      <c r="E20" s="2015"/>
      <c r="F20" s="2015"/>
      <c r="G20" s="2015"/>
      <c r="H20" s="2016" t="e">
        <f>G20/F20*100</f>
        <v>#DIV/0!</v>
      </c>
    </row>
    <row r="21" spans="1:8" s="2072" customFormat="1" ht="30" hidden="1" x14ac:dyDescent="0.2">
      <c r="A21" s="2012">
        <v>3299</v>
      </c>
      <c r="B21" s="2013">
        <v>5031</v>
      </c>
      <c r="C21" s="2071">
        <v>38100882</v>
      </c>
      <c r="D21" s="2014" t="s">
        <v>1299</v>
      </c>
      <c r="E21" s="2015"/>
      <c r="F21" s="2015"/>
      <c r="G21" s="2015"/>
      <c r="H21" s="2016">
        <v>0</v>
      </c>
    </row>
    <row r="22" spans="1:8" s="2072" customFormat="1" ht="30" hidden="1" x14ac:dyDescent="0.2">
      <c r="A22" s="2012">
        <v>3299</v>
      </c>
      <c r="B22" s="2013">
        <v>5031</v>
      </c>
      <c r="C22" s="2071">
        <v>38500881</v>
      </c>
      <c r="D22" s="2014" t="s">
        <v>1299</v>
      </c>
      <c r="E22" s="2015"/>
      <c r="F22" s="2015"/>
      <c r="G22" s="2015"/>
      <c r="H22" s="2016" t="e">
        <f>G22/F22*100</f>
        <v>#DIV/0!</v>
      </c>
    </row>
    <row r="23" spans="1:8" s="2072" customFormat="1" ht="30" hidden="1" x14ac:dyDescent="0.2">
      <c r="A23" s="2012">
        <v>3299</v>
      </c>
      <c r="B23" s="2013">
        <v>5032</v>
      </c>
      <c r="C23" s="2071">
        <v>38100880</v>
      </c>
      <c r="D23" s="2014" t="s">
        <v>1177</v>
      </c>
      <c r="E23" s="2015"/>
      <c r="F23" s="2015"/>
      <c r="G23" s="2015"/>
      <c r="H23" s="2016" t="e">
        <f>G23/F23*100</f>
        <v>#DIV/0!</v>
      </c>
    </row>
    <row r="24" spans="1:8" s="2072" customFormat="1" ht="30" hidden="1" x14ac:dyDescent="0.2">
      <c r="A24" s="2012">
        <v>3299</v>
      </c>
      <c r="B24" s="2013">
        <v>5032</v>
      </c>
      <c r="C24" s="2071">
        <v>38100882</v>
      </c>
      <c r="D24" s="2014" t="s">
        <v>1177</v>
      </c>
      <c r="E24" s="2015"/>
      <c r="F24" s="2015"/>
      <c r="G24" s="2015"/>
      <c r="H24" s="2016">
        <v>0</v>
      </c>
    </row>
    <row r="25" spans="1:8" s="2072" customFormat="1" ht="30" hidden="1" x14ac:dyDescent="0.2">
      <c r="A25" s="2012">
        <v>3299</v>
      </c>
      <c r="B25" s="2013">
        <v>5032</v>
      </c>
      <c r="C25" s="2071">
        <v>38500881</v>
      </c>
      <c r="D25" s="2014" t="s">
        <v>1177</v>
      </c>
      <c r="E25" s="2015"/>
      <c r="F25" s="2015"/>
      <c r="G25" s="2015"/>
      <c r="H25" s="2016" t="e">
        <f>G25/F25*100</f>
        <v>#DIV/0!</v>
      </c>
    </row>
    <row r="26" spans="1:8" s="2072" customFormat="1" ht="15" hidden="1" x14ac:dyDescent="0.2">
      <c r="A26" s="2012">
        <v>3299</v>
      </c>
      <c r="B26" s="2013">
        <v>5136</v>
      </c>
      <c r="C26" s="2071">
        <v>38100880</v>
      </c>
      <c r="D26" s="2014" t="s">
        <v>608</v>
      </c>
      <c r="E26" s="2015"/>
      <c r="F26" s="2015"/>
      <c r="G26" s="2015"/>
      <c r="H26" s="2016" t="e">
        <f>G26/F26*100</f>
        <v>#DIV/0!</v>
      </c>
    </row>
    <row r="27" spans="1:8" s="2072" customFormat="1" ht="15" hidden="1" x14ac:dyDescent="0.2">
      <c r="A27" s="2012">
        <v>3299</v>
      </c>
      <c r="B27" s="2013">
        <v>5136</v>
      </c>
      <c r="C27" s="2071">
        <v>38500881</v>
      </c>
      <c r="D27" s="2014" t="s">
        <v>608</v>
      </c>
      <c r="E27" s="2015"/>
      <c r="F27" s="2015"/>
      <c r="G27" s="2015"/>
      <c r="H27" s="2016" t="e">
        <f>G27/F27*100</f>
        <v>#DIV/0!</v>
      </c>
    </row>
    <row r="28" spans="1:8" s="2072" customFormat="1" ht="15" hidden="1" x14ac:dyDescent="0.2">
      <c r="A28" s="2012">
        <v>3299</v>
      </c>
      <c r="B28" s="2013">
        <v>5139</v>
      </c>
      <c r="C28" s="2071">
        <v>38100880</v>
      </c>
      <c r="D28" s="2014" t="s">
        <v>270</v>
      </c>
      <c r="E28" s="2015"/>
      <c r="F28" s="2015"/>
      <c r="G28" s="2015"/>
      <c r="H28" s="2016" t="e">
        <f>G28/F28*100</f>
        <v>#DIV/0!</v>
      </c>
    </row>
    <row r="29" spans="1:8" s="2072" customFormat="1" ht="15" hidden="1" x14ac:dyDescent="0.2">
      <c r="A29" s="2012">
        <v>3299</v>
      </c>
      <c r="B29" s="2013">
        <v>5139</v>
      </c>
      <c r="C29" s="2071">
        <v>38100882</v>
      </c>
      <c r="D29" s="2014" t="s">
        <v>270</v>
      </c>
      <c r="E29" s="2015"/>
      <c r="F29" s="2015"/>
      <c r="G29" s="2015"/>
      <c r="H29" s="2016">
        <v>0</v>
      </c>
    </row>
    <row r="30" spans="1:8" s="2072" customFormat="1" ht="15" hidden="1" x14ac:dyDescent="0.2">
      <c r="A30" s="2012">
        <v>3299</v>
      </c>
      <c r="B30" s="2013">
        <v>5139</v>
      </c>
      <c r="C30" s="2071">
        <v>38500881</v>
      </c>
      <c r="D30" s="2014" t="s">
        <v>270</v>
      </c>
      <c r="E30" s="2015"/>
      <c r="F30" s="2015"/>
      <c r="G30" s="2015"/>
      <c r="H30" s="2016" t="e">
        <f>G30/F30*100</f>
        <v>#DIV/0!</v>
      </c>
    </row>
    <row r="31" spans="1:8" s="2072" customFormat="1" ht="15" hidden="1" x14ac:dyDescent="0.2">
      <c r="A31" s="2012">
        <v>3299</v>
      </c>
      <c r="B31" s="2013">
        <v>5162</v>
      </c>
      <c r="C31" s="2071">
        <v>38100880</v>
      </c>
      <c r="D31" s="2014" t="s">
        <v>864</v>
      </c>
      <c r="E31" s="2015"/>
      <c r="F31" s="2015"/>
      <c r="G31" s="2015"/>
      <c r="H31" s="2016" t="e">
        <f>G31/F31*100</f>
        <v>#DIV/0!</v>
      </c>
    </row>
    <row r="32" spans="1:8" s="2072" customFormat="1" ht="15" hidden="1" x14ac:dyDescent="0.2">
      <c r="A32" s="2012">
        <v>3299</v>
      </c>
      <c r="B32" s="2013">
        <v>5162</v>
      </c>
      <c r="C32" s="2071">
        <v>38100882</v>
      </c>
      <c r="D32" s="2014" t="s">
        <v>864</v>
      </c>
      <c r="E32" s="2015"/>
      <c r="F32" s="2015"/>
      <c r="G32" s="2015"/>
      <c r="H32" s="2016">
        <v>0</v>
      </c>
    </row>
    <row r="33" spans="1:8" s="2074" customFormat="1" ht="15" hidden="1" x14ac:dyDescent="0.2">
      <c r="A33" s="2012">
        <v>3299</v>
      </c>
      <c r="B33" s="2073">
        <v>5162</v>
      </c>
      <c r="C33" s="2071">
        <v>38500881</v>
      </c>
      <c r="D33" s="2014" t="s">
        <v>864</v>
      </c>
      <c r="E33" s="2015"/>
      <c r="F33" s="2015"/>
      <c r="G33" s="2015"/>
      <c r="H33" s="2016" t="e">
        <f>G33/F33*100</f>
        <v>#DIV/0!</v>
      </c>
    </row>
    <row r="34" spans="1:8" s="2074" customFormat="1" ht="15" hidden="1" x14ac:dyDescent="0.2">
      <c r="A34" s="2012">
        <v>3299</v>
      </c>
      <c r="B34" s="2073">
        <v>5163</v>
      </c>
      <c r="C34" s="2071">
        <v>38100880</v>
      </c>
      <c r="D34" s="2014" t="s">
        <v>892</v>
      </c>
      <c r="E34" s="2015">
        <v>0</v>
      </c>
      <c r="F34" s="2015">
        <v>0</v>
      </c>
      <c r="G34" s="2015">
        <v>0</v>
      </c>
      <c r="H34" s="2016">
        <v>0</v>
      </c>
    </row>
    <row r="35" spans="1:8" ht="17.25" hidden="1" customHeight="1" x14ac:dyDescent="0.2">
      <c r="A35" s="2012">
        <v>3299</v>
      </c>
      <c r="B35" s="2073">
        <v>5163</v>
      </c>
      <c r="C35" s="2071">
        <v>38100882</v>
      </c>
      <c r="D35" s="2014" t="s">
        <v>892</v>
      </c>
      <c r="E35" s="2015"/>
      <c r="F35" s="2015"/>
      <c r="G35" s="2015"/>
      <c r="H35" s="2016">
        <v>0</v>
      </c>
    </row>
    <row r="36" spans="1:8" ht="17.25" hidden="1" customHeight="1" x14ac:dyDescent="0.2">
      <c r="A36" s="2012">
        <v>3299</v>
      </c>
      <c r="B36" s="2073">
        <v>5163</v>
      </c>
      <c r="C36" s="2071">
        <v>38500881</v>
      </c>
      <c r="D36" s="2014" t="s">
        <v>892</v>
      </c>
      <c r="E36" s="2015">
        <v>0</v>
      </c>
      <c r="F36" s="2015">
        <v>0</v>
      </c>
      <c r="G36" s="2015">
        <v>0</v>
      </c>
      <c r="H36" s="2016" t="e">
        <f>G36/F36*100</f>
        <v>#DIV/0!</v>
      </c>
    </row>
    <row r="37" spans="1:8" ht="17.25" hidden="1" customHeight="1" x14ac:dyDescent="0.2">
      <c r="A37" s="2012">
        <v>3299</v>
      </c>
      <c r="B37" s="2073">
        <v>5164</v>
      </c>
      <c r="C37" s="2071">
        <v>38100880</v>
      </c>
      <c r="D37" s="2014" t="s">
        <v>170</v>
      </c>
      <c r="E37" s="2015">
        <v>0</v>
      </c>
      <c r="F37" s="2015">
        <v>0</v>
      </c>
      <c r="G37" s="2015">
        <v>0</v>
      </c>
      <c r="H37" s="2016" t="e">
        <f>G37/F37*100</f>
        <v>#DIV/0!</v>
      </c>
    </row>
    <row r="38" spans="1:8" ht="17.25" hidden="1" customHeight="1" x14ac:dyDescent="0.2">
      <c r="A38" s="2012">
        <v>3299</v>
      </c>
      <c r="B38" s="2073">
        <v>5164</v>
      </c>
      <c r="C38" s="2071">
        <v>38100882</v>
      </c>
      <c r="D38" s="2014" t="s">
        <v>170</v>
      </c>
      <c r="E38" s="2015"/>
      <c r="F38" s="2015"/>
      <c r="G38" s="2015"/>
      <c r="H38" s="2016">
        <v>0</v>
      </c>
    </row>
    <row r="39" spans="1:8" ht="17.25" hidden="1" customHeight="1" x14ac:dyDescent="0.2">
      <c r="A39" s="2012">
        <v>3299</v>
      </c>
      <c r="B39" s="2073">
        <v>5164</v>
      </c>
      <c r="C39" s="2071">
        <v>38500881</v>
      </c>
      <c r="D39" s="2014" t="s">
        <v>170</v>
      </c>
      <c r="E39" s="2015">
        <v>0</v>
      </c>
      <c r="F39" s="2015">
        <v>0</v>
      </c>
      <c r="G39" s="2015">
        <v>0</v>
      </c>
      <c r="H39" s="2016" t="e">
        <f>G39/F39*100</f>
        <v>#DIV/0!</v>
      </c>
    </row>
    <row r="40" spans="1:8" ht="17.25" hidden="1" customHeight="1" x14ac:dyDescent="0.2">
      <c r="A40" s="2012">
        <v>3299</v>
      </c>
      <c r="B40" s="2073">
        <v>5166</v>
      </c>
      <c r="C40" s="2071">
        <v>38100880</v>
      </c>
      <c r="D40" s="2014" t="s">
        <v>609</v>
      </c>
      <c r="E40" s="2015">
        <v>0</v>
      </c>
      <c r="F40" s="2015">
        <v>0</v>
      </c>
      <c r="G40" s="2015">
        <v>0</v>
      </c>
      <c r="H40" s="2016" t="e">
        <f>G40/F40*100</f>
        <v>#DIV/0!</v>
      </c>
    </row>
    <row r="41" spans="1:8" ht="17.25" hidden="1" customHeight="1" x14ac:dyDescent="0.2">
      <c r="A41" s="2012">
        <v>3299</v>
      </c>
      <c r="B41" s="2073">
        <v>5166</v>
      </c>
      <c r="C41" s="2071">
        <v>38100882</v>
      </c>
      <c r="D41" s="2014" t="s">
        <v>609</v>
      </c>
      <c r="E41" s="2015"/>
      <c r="F41" s="2015"/>
      <c r="G41" s="2015"/>
      <c r="H41" s="2016">
        <v>0</v>
      </c>
    </row>
    <row r="42" spans="1:8" ht="17.25" hidden="1" customHeight="1" x14ac:dyDescent="0.2">
      <c r="A42" s="2012">
        <v>3299</v>
      </c>
      <c r="B42" s="2073">
        <v>5166</v>
      </c>
      <c r="C42" s="2071">
        <v>38500881</v>
      </c>
      <c r="D42" s="2014" t="s">
        <v>609</v>
      </c>
      <c r="E42" s="2015">
        <v>0</v>
      </c>
      <c r="F42" s="2015">
        <v>0</v>
      </c>
      <c r="G42" s="2015">
        <v>0</v>
      </c>
      <c r="H42" s="2016" t="e">
        <f>G42/F42*100</f>
        <v>#DIV/0!</v>
      </c>
    </row>
    <row r="43" spans="1:8" ht="17.25" hidden="1" customHeight="1" x14ac:dyDescent="0.2">
      <c r="A43" s="2012">
        <v>3299</v>
      </c>
      <c r="B43" s="2073">
        <v>5167</v>
      </c>
      <c r="C43" s="2071">
        <v>38100880</v>
      </c>
      <c r="D43" s="2014" t="s">
        <v>300</v>
      </c>
      <c r="E43" s="2015"/>
      <c r="F43" s="2015"/>
      <c r="G43" s="2015"/>
      <c r="H43" s="2016" t="e">
        <f>G43/F43*100</f>
        <v>#DIV/0!</v>
      </c>
    </row>
    <row r="44" spans="1:8" ht="17.25" hidden="1" customHeight="1" x14ac:dyDescent="0.2">
      <c r="A44" s="2012">
        <v>3299</v>
      </c>
      <c r="B44" s="2073">
        <v>5167</v>
      </c>
      <c r="C44" s="2071">
        <v>38100882</v>
      </c>
      <c r="D44" s="2014" t="s">
        <v>300</v>
      </c>
      <c r="E44" s="2015"/>
      <c r="F44" s="2015"/>
      <c r="G44" s="2015"/>
      <c r="H44" s="2016">
        <v>0</v>
      </c>
    </row>
    <row r="45" spans="1:8" ht="17.25" hidden="1" customHeight="1" x14ac:dyDescent="0.2">
      <c r="A45" s="2012">
        <v>3299</v>
      </c>
      <c r="B45" s="2073">
        <v>5167</v>
      </c>
      <c r="C45" s="2071">
        <v>38500881</v>
      </c>
      <c r="D45" s="2014" t="s">
        <v>300</v>
      </c>
      <c r="E45" s="2015"/>
      <c r="F45" s="2015"/>
      <c r="G45" s="2015"/>
      <c r="H45" s="2016" t="e">
        <f>G45/F45*100</f>
        <v>#DIV/0!</v>
      </c>
    </row>
    <row r="46" spans="1:8" ht="17.25" hidden="1" customHeight="1" x14ac:dyDescent="0.2">
      <c r="A46" s="2012">
        <v>3299</v>
      </c>
      <c r="B46" s="2073">
        <v>5169</v>
      </c>
      <c r="C46" s="2071">
        <v>38100880</v>
      </c>
      <c r="D46" s="2014" t="s">
        <v>852</v>
      </c>
      <c r="E46" s="2015">
        <v>0</v>
      </c>
      <c r="F46" s="2015">
        <v>0</v>
      </c>
      <c r="G46" s="2015">
        <v>0</v>
      </c>
      <c r="H46" s="2016" t="e">
        <f>G46/F46*100</f>
        <v>#DIV/0!</v>
      </c>
    </row>
    <row r="47" spans="1:8" ht="17.25" hidden="1" customHeight="1" x14ac:dyDescent="0.2">
      <c r="A47" s="2012">
        <v>3299</v>
      </c>
      <c r="B47" s="2073">
        <v>5169</v>
      </c>
      <c r="C47" s="2071">
        <v>38100882</v>
      </c>
      <c r="D47" s="2014" t="s">
        <v>852</v>
      </c>
      <c r="E47" s="2015"/>
      <c r="F47" s="2015"/>
      <c r="G47" s="2015"/>
      <c r="H47" s="2016">
        <v>0</v>
      </c>
    </row>
    <row r="48" spans="1:8" ht="17.25" hidden="1" customHeight="1" x14ac:dyDescent="0.2">
      <c r="A48" s="2012">
        <v>3299</v>
      </c>
      <c r="B48" s="2073">
        <v>5169</v>
      </c>
      <c r="C48" s="2071">
        <v>38500881</v>
      </c>
      <c r="D48" s="2014" t="s">
        <v>852</v>
      </c>
      <c r="E48" s="2015">
        <v>0</v>
      </c>
      <c r="F48" s="2015">
        <v>0</v>
      </c>
      <c r="G48" s="2015">
        <v>0</v>
      </c>
      <c r="H48" s="2016" t="e">
        <f>G48/F48*100</f>
        <v>#DIV/0!</v>
      </c>
    </row>
    <row r="49" spans="1:9" ht="17.25" hidden="1" customHeight="1" x14ac:dyDescent="0.2">
      <c r="A49" s="2012">
        <v>3299</v>
      </c>
      <c r="B49" s="2073">
        <v>5173</v>
      </c>
      <c r="C49" s="2071">
        <v>38100880</v>
      </c>
      <c r="D49" s="2014" t="s">
        <v>1152</v>
      </c>
      <c r="E49" s="2015">
        <v>0</v>
      </c>
      <c r="F49" s="2015">
        <v>0</v>
      </c>
      <c r="G49" s="2015">
        <v>0</v>
      </c>
      <c r="H49" s="2016" t="e">
        <f>G49/F49*100</f>
        <v>#DIV/0!</v>
      </c>
    </row>
    <row r="50" spans="1:9" ht="17.25" hidden="1" customHeight="1" x14ac:dyDescent="0.2">
      <c r="A50" s="2012">
        <v>3299</v>
      </c>
      <c r="B50" s="2073">
        <v>5173</v>
      </c>
      <c r="C50" s="2071">
        <v>38100882</v>
      </c>
      <c r="D50" s="2014" t="s">
        <v>1152</v>
      </c>
      <c r="E50" s="2015"/>
      <c r="F50" s="2015"/>
      <c r="G50" s="2015"/>
      <c r="H50" s="2016">
        <v>0</v>
      </c>
    </row>
    <row r="51" spans="1:9" ht="17.25" hidden="1" customHeight="1" x14ac:dyDescent="0.2">
      <c r="A51" s="2012">
        <v>3299</v>
      </c>
      <c r="B51" s="2073">
        <v>5173</v>
      </c>
      <c r="C51" s="2071">
        <v>38500881</v>
      </c>
      <c r="D51" s="2014" t="s">
        <v>1152</v>
      </c>
      <c r="E51" s="2015">
        <v>0</v>
      </c>
      <c r="F51" s="2015">
        <v>0</v>
      </c>
      <c r="G51" s="2015">
        <v>0</v>
      </c>
      <c r="H51" s="2016" t="e">
        <f>G51/F51*100</f>
        <v>#DIV/0!</v>
      </c>
    </row>
    <row r="52" spans="1:9" ht="17.25" hidden="1" customHeight="1" x14ac:dyDescent="0.2">
      <c r="A52" s="2012">
        <v>3299</v>
      </c>
      <c r="B52" s="2073">
        <v>5175</v>
      </c>
      <c r="C52" s="2071">
        <v>38100880</v>
      </c>
      <c r="D52" s="2014" t="s">
        <v>669</v>
      </c>
      <c r="E52" s="2015">
        <v>0</v>
      </c>
      <c r="F52" s="2015">
        <v>0</v>
      </c>
      <c r="G52" s="2015">
        <v>0</v>
      </c>
      <c r="H52" s="2016" t="e">
        <f>G52/F52*100</f>
        <v>#DIV/0!</v>
      </c>
    </row>
    <row r="53" spans="1:9" ht="15" x14ac:dyDescent="0.2">
      <c r="A53" s="2012">
        <v>3299</v>
      </c>
      <c r="B53" s="2073">
        <v>5175</v>
      </c>
      <c r="C53" s="2071">
        <v>32133007</v>
      </c>
      <c r="D53" s="2014" t="s">
        <v>669</v>
      </c>
      <c r="E53" s="2015">
        <v>0</v>
      </c>
      <c r="F53" s="2015">
        <v>6</v>
      </c>
      <c r="G53" s="2015">
        <v>2</v>
      </c>
      <c r="H53" s="2016">
        <v>0</v>
      </c>
    </row>
    <row r="54" spans="1:9" ht="15" x14ac:dyDescent="0.2">
      <c r="A54" s="2012">
        <v>3299</v>
      </c>
      <c r="B54" s="2073">
        <v>5175</v>
      </c>
      <c r="C54" s="2071">
        <v>32533007</v>
      </c>
      <c r="D54" s="2014" t="s">
        <v>669</v>
      </c>
      <c r="E54" s="2015">
        <v>0</v>
      </c>
      <c r="F54" s="2015">
        <v>36</v>
      </c>
      <c r="G54" s="2015">
        <v>15</v>
      </c>
      <c r="H54" s="2016">
        <f>G54/F54*100</f>
        <v>41.666666666666671</v>
      </c>
    </row>
    <row r="55" spans="1:9" ht="15" hidden="1" x14ac:dyDescent="0.2">
      <c r="A55" s="2012">
        <v>3636</v>
      </c>
      <c r="B55" s="2013">
        <v>5176</v>
      </c>
      <c r="C55" s="2071">
        <v>38100880</v>
      </c>
      <c r="D55" s="2014" t="s">
        <v>1247</v>
      </c>
      <c r="E55" s="2015"/>
      <c r="F55" s="2015"/>
      <c r="G55" s="2015"/>
      <c r="H55" s="2016" t="e">
        <f>G55/F55*100</f>
        <v>#DIV/0!</v>
      </c>
    </row>
    <row r="56" spans="1:9" ht="15" hidden="1" x14ac:dyDescent="0.2">
      <c r="A56" s="2012">
        <v>3636</v>
      </c>
      <c r="B56" s="2013">
        <v>5176</v>
      </c>
      <c r="C56" s="2071">
        <v>38100881</v>
      </c>
      <c r="D56" s="2014" t="s">
        <v>1247</v>
      </c>
      <c r="E56" s="2015"/>
      <c r="F56" s="2015"/>
      <c r="G56" s="2015"/>
      <c r="H56" s="2016" t="e">
        <f>G56/F56*100</f>
        <v>#DIV/0!</v>
      </c>
    </row>
    <row r="57" spans="1:9" ht="15" hidden="1" x14ac:dyDescent="0.2">
      <c r="A57" s="2012">
        <v>3636</v>
      </c>
      <c r="B57" s="2013">
        <v>6111</v>
      </c>
      <c r="C57" s="2071">
        <v>38100880</v>
      </c>
      <c r="D57" s="2014" t="s">
        <v>897</v>
      </c>
      <c r="E57" s="2015"/>
      <c r="F57" s="2015"/>
      <c r="G57" s="2015"/>
      <c r="H57" s="2016" t="e">
        <f>G57/F57*100</f>
        <v>#DIV/0!</v>
      </c>
    </row>
    <row r="58" spans="1:9" ht="15" hidden="1" x14ac:dyDescent="0.2">
      <c r="A58" s="2012">
        <v>3636</v>
      </c>
      <c r="B58" s="2013">
        <v>6111</v>
      </c>
      <c r="C58" s="2071">
        <v>38100882</v>
      </c>
      <c r="D58" s="2014" t="s">
        <v>897</v>
      </c>
      <c r="E58" s="2015"/>
      <c r="F58" s="2015"/>
      <c r="G58" s="2015"/>
      <c r="H58" s="2016">
        <v>0</v>
      </c>
    </row>
    <row r="59" spans="1:9" s="2074" customFormat="1" ht="15" hidden="1" x14ac:dyDescent="0.2">
      <c r="A59" s="2012">
        <v>3636</v>
      </c>
      <c r="B59" s="2013">
        <v>6111</v>
      </c>
      <c r="C59" s="2071">
        <v>38500881</v>
      </c>
      <c r="D59" s="2014" t="s">
        <v>897</v>
      </c>
      <c r="E59" s="2015"/>
      <c r="F59" s="2015"/>
      <c r="G59" s="2015"/>
      <c r="H59" s="2016" t="e">
        <f>G59/F59*100</f>
        <v>#DIV/0!</v>
      </c>
    </row>
    <row r="60" spans="1:9" s="2074" customFormat="1" ht="15" hidden="1" x14ac:dyDescent="0.2">
      <c r="A60" s="2012">
        <v>6409</v>
      </c>
      <c r="B60" s="2013">
        <v>5909</v>
      </c>
      <c r="C60" s="2071">
        <v>0</v>
      </c>
      <c r="D60" s="2014"/>
      <c r="E60" s="2015"/>
      <c r="F60" s="2015"/>
      <c r="G60" s="2015"/>
      <c r="H60" s="2016"/>
    </row>
    <row r="61" spans="1:9" s="2074" customFormat="1" ht="15.75" thickBot="1" x14ac:dyDescent="0.25">
      <c r="A61" s="2012">
        <v>6330</v>
      </c>
      <c r="B61" s="2013">
        <v>5345</v>
      </c>
      <c r="C61" s="2071">
        <v>0</v>
      </c>
      <c r="D61" s="2014" t="s">
        <v>767</v>
      </c>
      <c r="E61" s="2015"/>
      <c r="F61" s="2015">
        <v>0</v>
      </c>
      <c r="G61" s="2015">
        <v>60</v>
      </c>
      <c r="H61" s="2018">
        <v>0</v>
      </c>
    </row>
    <row r="62" spans="1:9" s="2076" customFormat="1" ht="16.5" thickTop="1" thickBot="1" x14ac:dyDescent="0.3">
      <c r="A62" s="2757" t="s">
        <v>763</v>
      </c>
      <c r="B62" s="2758"/>
      <c r="C62" s="2758"/>
      <c r="D62" s="2758"/>
      <c r="E62" s="2019">
        <f>SUM(E12:E61)</f>
        <v>0</v>
      </c>
      <c r="F62" s="2019">
        <f>SUM(F12:F61)</f>
        <v>135</v>
      </c>
      <c r="G62" s="2019">
        <f>SUM(G12:G61)</f>
        <v>95</v>
      </c>
      <c r="H62" s="2020">
        <f>G62/F62*100</f>
        <v>70.370370370370367</v>
      </c>
      <c r="I62" s="2075"/>
    </row>
    <row r="63" spans="1:9" ht="13.5" thickTop="1" x14ac:dyDescent="0.2">
      <c r="I63" s="1994"/>
    </row>
    <row r="64" spans="1:9" x14ac:dyDescent="0.2">
      <c r="I64" s="1994"/>
    </row>
    <row r="66" spans="1:12" ht="16.5" x14ac:dyDescent="0.25">
      <c r="A66" s="2040" t="s">
        <v>465</v>
      </c>
      <c r="B66" s="2041"/>
      <c r="C66" s="2042"/>
      <c r="D66" s="2043"/>
      <c r="E66" s="2044">
        <f>SUM(E67:E69)</f>
        <v>0</v>
      </c>
      <c r="F66" s="2044">
        <f>F67+F68+F69+F70</f>
        <v>135</v>
      </c>
      <c r="G66" s="2044">
        <f>G67+G68+G69+G70</f>
        <v>95</v>
      </c>
      <c r="H66" s="2045">
        <f>G66/F66*100</f>
        <v>70.370370370370367</v>
      </c>
      <c r="J66" s="2046">
        <f>J67+J68+J69</f>
        <v>0</v>
      </c>
      <c r="K66" s="2046">
        <f>K67+K68+K69</f>
        <v>134940.88</v>
      </c>
      <c r="L66" s="2046">
        <f>L67+L68+L69</f>
        <v>94904.08</v>
      </c>
    </row>
    <row r="67" spans="1:12" ht="15" x14ac:dyDescent="0.2">
      <c r="A67" s="2047" t="s">
        <v>263</v>
      </c>
      <c r="B67" s="2048"/>
      <c r="C67" s="2049"/>
      <c r="D67" s="2050"/>
      <c r="E67" s="2051">
        <f>E13+E14+E15+E16+E17+E19+E53+E54</f>
        <v>0</v>
      </c>
      <c r="F67" s="2051">
        <f t="shared" ref="F67:G67" si="1">F13+F14+F15+F16+F17+F19+F53+F54</f>
        <v>135</v>
      </c>
      <c r="G67" s="2051">
        <f t="shared" si="1"/>
        <v>35</v>
      </c>
      <c r="H67" s="2052">
        <f>G67/F67*100</f>
        <v>25.925925925925924</v>
      </c>
      <c r="J67" s="2053">
        <v>0</v>
      </c>
      <c r="K67" s="2053">
        <v>134940.88</v>
      </c>
      <c r="L67" s="2053">
        <v>34952</v>
      </c>
    </row>
    <row r="68" spans="1:12" ht="15" x14ac:dyDescent="0.2">
      <c r="A68" s="2047" t="s">
        <v>264</v>
      </c>
      <c r="B68" s="2054"/>
      <c r="C68" s="2049"/>
      <c r="D68" s="2055"/>
      <c r="E68" s="2051">
        <f>E57+E58+E59</f>
        <v>0</v>
      </c>
      <c r="F68" s="2051">
        <f>F57+F58+F59</f>
        <v>0</v>
      </c>
      <c r="G68" s="2051">
        <f>G57+G58+G59</f>
        <v>0</v>
      </c>
      <c r="H68" s="2052">
        <v>0</v>
      </c>
      <c r="J68" s="2053">
        <v>0</v>
      </c>
      <c r="K68" s="2053">
        <v>0</v>
      </c>
      <c r="L68" s="2053">
        <v>0</v>
      </c>
    </row>
    <row r="69" spans="1:12" ht="15" x14ac:dyDescent="0.2">
      <c r="A69" s="2047" t="s">
        <v>466</v>
      </c>
      <c r="B69" s="2054"/>
      <c r="C69" s="2049"/>
      <c r="D69" s="2055"/>
      <c r="E69" s="2051">
        <v>0</v>
      </c>
      <c r="F69" s="2051">
        <v>0</v>
      </c>
      <c r="G69" s="2051">
        <f>G61</f>
        <v>60</v>
      </c>
      <c r="H69" s="2052">
        <v>0</v>
      </c>
      <c r="J69" s="2053">
        <v>0</v>
      </c>
      <c r="K69" s="2053">
        <v>0</v>
      </c>
      <c r="L69" s="2053">
        <v>59952.08</v>
      </c>
    </row>
    <row r="70" spans="1:12" ht="15" x14ac:dyDescent="0.2">
      <c r="A70" s="2047"/>
      <c r="B70" s="2054"/>
      <c r="C70" s="2049"/>
      <c r="D70" s="2055"/>
      <c r="E70" s="2051"/>
      <c r="F70" s="2051"/>
      <c r="G70" s="2051"/>
      <c r="H70" s="2056"/>
    </row>
    <row r="71" spans="1:12" ht="46.5" customHeight="1" thickBot="1" x14ac:dyDescent="0.4">
      <c r="A71" s="2754" t="s">
        <v>1579</v>
      </c>
      <c r="B71" s="2755"/>
      <c r="C71" s="2755"/>
      <c r="D71" s="2755"/>
      <c r="E71" s="2057">
        <f>SUM(E66)</f>
        <v>0</v>
      </c>
      <c r="F71" s="2057">
        <f>SUM(F66)</f>
        <v>135</v>
      </c>
      <c r="G71" s="2057">
        <f>SUM(G66)</f>
        <v>95</v>
      </c>
      <c r="H71" s="2058">
        <f>(G71/F71)*100</f>
        <v>70.370370370370367</v>
      </c>
    </row>
    <row r="72" spans="1:12" ht="13.5" thickTop="1" x14ac:dyDescent="0.2"/>
    <row r="191" spans="1:5" ht="13.5" thickBot="1" x14ac:dyDescent="0.25">
      <c r="A191" s="2077"/>
      <c r="B191" s="2077"/>
      <c r="C191" s="2077"/>
      <c r="D191" s="2078"/>
      <c r="E191" s="2079"/>
    </row>
    <row r="192" spans="1:5" ht="13.5" thickTop="1" x14ac:dyDescent="0.2">
      <c r="A192" s="2080"/>
      <c r="B192" s="2080"/>
      <c r="C192" s="2080"/>
      <c r="D192" s="2081"/>
      <c r="E192" s="2082"/>
    </row>
    <row r="193" spans="4:4" x14ac:dyDescent="0.2">
      <c r="D193" s="1986" t="e">
        <f>#REF!+#REF!</f>
        <v>#REF!</v>
      </c>
    </row>
  </sheetData>
  <mergeCells count="2">
    <mergeCell ref="A62:D62"/>
    <mergeCell ref="A71:D71"/>
  </mergeCells>
  <pageMargins left="0.70866141732283472" right="0.70866141732283472" top="0.78740157480314965" bottom="0.78740157480314965" header="0.31496062992125984" footer="0.31496062992125984"/>
  <pageSetup paperSize="9" scale="74" firstPageNumber="172" orientation="portrait" useFirstPageNumber="1" r:id="rId1"/>
  <headerFooter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colBreaks count="1" manualBreakCount="1">
    <brk id="8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81"/>
  <sheetViews>
    <sheetView view="pageBreakPreview" topLeftCell="D1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1993" customWidth="1"/>
    <col min="2" max="2" width="6.7109375" style="1993" customWidth="1"/>
    <col min="3" max="3" width="8.85546875" style="1993" customWidth="1"/>
    <col min="4" max="4" width="46.42578125" style="1986" customWidth="1"/>
    <col min="5" max="5" width="12.85546875" style="1994" customWidth="1"/>
    <col min="6" max="6" width="15.5703125" style="1994" customWidth="1"/>
    <col min="7" max="7" width="15.85546875" style="1994" customWidth="1"/>
    <col min="8" max="8" width="8.28515625" style="1986" customWidth="1"/>
    <col min="9" max="9" width="14.28515625" style="1986" bestFit="1" customWidth="1"/>
    <col min="10" max="10" width="9.140625" style="1986"/>
    <col min="11" max="11" width="12.7109375" style="1986" bestFit="1" customWidth="1"/>
    <col min="12" max="12" width="13.140625" style="1986" customWidth="1"/>
    <col min="13" max="256" width="9.140625" style="1986"/>
    <col min="257" max="257" width="4.7109375" style="1986" customWidth="1"/>
    <col min="258" max="258" width="6.7109375" style="1986" customWidth="1"/>
    <col min="259" max="259" width="8.85546875" style="1986" customWidth="1"/>
    <col min="260" max="260" width="46.42578125" style="1986" customWidth="1"/>
    <col min="261" max="261" width="12.85546875" style="1986" customWidth="1"/>
    <col min="262" max="262" width="15.5703125" style="1986" customWidth="1"/>
    <col min="263" max="263" width="15.85546875" style="1986" customWidth="1"/>
    <col min="264" max="264" width="6.42578125" style="1986" customWidth="1"/>
    <col min="265" max="265" width="14.28515625" style="1986" bestFit="1" customWidth="1"/>
    <col min="266" max="266" width="9.140625" style="1986"/>
    <col min="267" max="267" width="12.7109375" style="1986" bestFit="1" customWidth="1"/>
    <col min="268" max="268" width="13.140625" style="1986" customWidth="1"/>
    <col min="269" max="512" width="9.140625" style="1986"/>
    <col min="513" max="513" width="4.7109375" style="1986" customWidth="1"/>
    <col min="514" max="514" width="6.7109375" style="1986" customWidth="1"/>
    <col min="515" max="515" width="8.85546875" style="1986" customWidth="1"/>
    <col min="516" max="516" width="46.42578125" style="1986" customWidth="1"/>
    <col min="517" max="517" width="12.85546875" style="1986" customWidth="1"/>
    <col min="518" max="518" width="15.5703125" style="1986" customWidth="1"/>
    <col min="519" max="519" width="15.85546875" style="1986" customWidth="1"/>
    <col min="520" max="520" width="6.42578125" style="1986" customWidth="1"/>
    <col min="521" max="521" width="14.28515625" style="1986" bestFit="1" customWidth="1"/>
    <col min="522" max="522" width="9.140625" style="1986"/>
    <col min="523" max="523" width="12.7109375" style="1986" bestFit="1" customWidth="1"/>
    <col min="524" max="524" width="13.140625" style="1986" customWidth="1"/>
    <col min="525" max="768" width="9.140625" style="1986"/>
    <col min="769" max="769" width="4.7109375" style="1986" customWidth="1"/>
    <col min="770" max="770" width="6.7109375" style="1986" customWidth="1"/>
    <col min="771" max="771" width="8.85546875" style="1986" customWidth="1"/>
    <col min="772" max="772" width="46.42578125" style="1986" customWidth="1"/>
    <col min="773" max="773" width="12.85546875" style="1986" customWidth="1"/>
    <col min="774" max="774" width="15.5703125" style="1986" customWidth="1"/>
    <col min="775" max="775" width="15.85546875" style="1986" customWidth="1"/>
    <col min="776" max="776" width="6.42578125" style="1986" customWidth="1"/>
    <col min="777" max="777" width="14.28515625" style="1986" bestFit="1" customWidth="1"/>
    <col min="778" max="778" width="9.140625" style="1986"/>
    <col min="779" max="779" width="12.7109375" style="1986" bestFit="1" customWidth="1"/>
    <col min="780" max="780" width="13.140625" style="1986" customWidth="1"/>
    <col min="781" max="1024" width="9.140625" style="1986"/>
    <col min="1025" max="1025" width="4.7109375" style="1986" customWidth="1"/>
    <col min="1026" max="1026" width="6.7109375" style="1986" customWidth="1"/>
    <col min="1027" max="1027" width="8.85546875" style="1986" customWidth="1"/>
    <col min="1028" max="1028" width="46.42578125" style="1986" customWidth="1"/>
    <col min="1029" max="1029" width="12.85546875" style="1986" customWidth="1"/>
    <col min="1030" max="1030" width="15.5703125" style="1986" customWidth="1"/>
    <col min="1031" max="1031" width="15.85546875" style="1986" customWidth="1"/>
    <col min="1032" max="1032" width="6.42578125" style="1986" customWidth="1"/>
    <col min="1033" max="1033" width="14.28515625" style="1986" bestFit="1" customWidth="1"/>
    <col min="1034" max="1034" width="9.140625" style="1986"/>
    <col min="1035" max="1035" width="12.7109375" style="1986" bestFit="1" customWidth="1"/>
    <col min="1036" max="1036" width="13.140625" style="1986" customWidth="1"/>
    <col min="1037" max="1280" width="9.140625" style="1986"/>
    <col min="1281" max="1281" width="4.7109375" style="1986" customWidth="1"/>
    <col min="1282" max="1282" width="6.7109375" style="1986" customWidth="1"/>
    <col min="1283" max="1283" width="8.85546875" style="1986" customWidth="1"/>
    <col min="1284" max="1284" width="46.42578125" style="1986" customWidth="1"/>
    <col min="1285" max="1285" width="12.85546875" style="1986" customWidth="1"/>
    <col min="1286" max="1286" width="15.5703125" style="1986" customWidth="1"/>
    <col min="1287" max="1287" width="15.85546875" style="1986" customWidth="1"/>
    <col min="1288" max="1288" width="6.42578125" style="1986" customWidth="1"/>
    <col min="1289" max="1289" width="14.28515625" style="1986" bestFit="1" customWidth="1"/>
    <col min="1290" max="1290" width="9.140625" style="1986"/>
    <col min="1291" max="1291" width="12.7109375" style="1986" bestFit="1" customWidth="1"/>
    <col min="1292" max="1292" width="13.140625" style="1986" customWidth="1"/>
    <col min="1293" max="1536" width="9.140625" style="1986"/>
    <col min="1537" max="1537" width="4.7109375" style="1986" customWidth="1"/>
    <col min="1538" max="1538" width="6.7109375" style="1986" customWidth="1"/>
    <col min="1539" max="1539" width="8.85546875" style="1986" customWidth="1"/>
    <col min="1540" max="1540" width="46.42578125" style="1986" customWidth="1"/>
    <col min="1541" max="1541" width="12.85546875" style="1986" customWidth="1"/>
    <col min="1542" max="1542" width="15.5703125" style="1986" customWidth="1"/>
    <col min="1543" max="1543" width="15.85546875" style="1986" customWidth="1"/>
    <col min="1544" max="1544" width="6.42578125" style="1986" customWidth="1"/>
    <col min="1545" max="1545" width="14.28515625" style="1986" bestFit="1" customWidth="1"/>
    <col min="1546" max="1546" width="9.140625" style="1986"/>
    <col min="1547" max="1547" width="12.7109375" style="1986" bestFit="1" customWidth="1"/>
    <col min="1548" max="1548" width="13.140625" style="1986" customWidth="1"/>
    <col min="1549" max="1792" width="9.140625" style="1986"/>
    <col min="1793" max="1793" width="4.7109375" style="1986" customWidth="1"/>
    <col min="1794" max="1794" width="6.7109375" style="1986" customWidth="1"/>
    <col min="1795" max="1795" width="8.85546875" style="1986" customWidth="1"/>
    <col min="1796" max="1796" width="46.42578125" style="1986" customWidth="1"/>
    <col min="1797" max="1797" width="12.85546875" style="1986" customWidth="1"/>
    <col min="1798" max="1798" width="15.5703125" style="1986" customWidth="1"/>
    <col min="1799" max="1799" width="15.85546875" style="1986" customWidth="1"/>
    <col min="1800" max="1800" width="6.42578125" style="1986" customWidth="1"/>
    <col min="1801" max="1801" width="14.28515625" style="1986" bestFit="1" customWidth="1"/>
    <col min="1802" max="1802" width="9.140625" style="1986"/>
    <col min="1803" max="1803" width="12.7109375" style="1986" bestFit="1" customWidth="1"/>
    <col min="1804" max="1804" width="13.140625" style="1986" customWidth="1"/>
    <col min="1805" max="2048" width="9.140625" style="1986"/>
    <col min="2049" max="2049" width="4.7109375" style="1986" customWidth="1"/>
    <col min="2050" max="2050" width="6.7109375" style="1986" customWidth="1"/>
    <col min="2051" max="2051" width="8.85546875" style="1986" customWidth="1"/>
    <col min="2052" max="2052" width="46.42578125" style="1986" customWidth="1"/>
    <col min="2053" max="2053" width="12.85546875" style="1986" customWidth="1"/>
    <col min="2054" max="2054" width="15.5703125" style="1986" customWidth="1"/>
    <col min="2055" max="2055" width="15.85546875" style="1986" customWidth="1"/>
    <col min="2056" max="2056" width="6.42578125" style="1986" customWidth="1"/>
    <col min="2057" max="2057" width="14.28515625" style="1986" bestFit="1" customWidth="1"/>
    <col min="2058" max="2058" width="9.140625" style="1986"/>
    <col min="2059" max="2059" width="12.7109375" style="1986" bestFit="1" customWidth="1"/>
    <col min="2060" max="2060" width="13.140625" style="1986" customWidth="1"/>
    <col min="2061" max="2304" width="9.140625" style="1986"/>
    <col min="2305" max="2305" width="4.7109375" style="1986" customWidth="1"/>
    <col min="2306" max="2306" width="6.7109375" style="1986" customWidth="1"/>
    <col min="2307" max="2307" width="8.85546875" style="1986" customWidth="1"/>
    <col min="2308" max="2308" width="46.42578125" style="1986" customWidth="1"/>
    <col min="2309" max="2309" width="12.85546875" style="1986" customWidth="1"/>
    <col min="2310" max="2310" width="15.5703125" style="1986" customWidth="1"/>
    <col min="2311" max="2311" width="15.85546875" style="1986" customWidth="1"/>
    <col min="2312" max="2312" width="6.42578125" style="1986" customWidth="1"/>
    <col min="2313" max="2313" width="14.28515625" style="1986" bestFit="1" customWidth="1"/>
    <col min="2314" max="2314" width="9.140625" style="1986"/>
    <col min="2315" max="2315" width="12.7109375" style="1986" bestFit="1" customWidth="1"/>
    <col min="2316" max="2316" width="13.140625" style="1986" customWidth="1"/>
    <col min="2317" max="2560" width="9.140625" style="1986"/>
    <col min="2561" max="2561" width="4.7109375" style="1986" customWidth="1"/>
    <col min="2562" max="2562" width="6.7109375" style="1986" customWidth="1"/>
    <col min="2563" max="2563" width="8.85546875" style="1986" customWidth="1"/>
    <col min="2564" max="2564" width="46.42578125" style="1986" customWidth="1"/>
    <col min="2565" max="2565" width="12.85546875" style="1986" customWidth="1"/>
    <col min="2566" max="2566" width="15.5703125" style="1986" customWidth="1"/>
    <col min="2567" max="2567" width="15.85546875" style="1986" customWidth="1"/>
    <col min="2568" max="2568" width="6.42578125" style="1986" customWidth="1"/>
    <col min="2569" max="2569" width="14.28515625" style="1986" bestFit="1" customWidth="1"/>
    <col min="2570" max="2570" width="9.140625" style="1986"/>
    <col min="2571" max="2571" width="12.7109375" style="1986" bestFit="1" customWidth="1"/>
    <col min="2572" max="2572" width="13.140625" style="1986" customWidth="1"/>
    <col min="2573" max="2816" width="9.140625" style="1986"/>
    <col min="2817" max="2817" width="4.7109375" style="1986" customWidth="1"/>
    <col min="2818" max="2818" width="6.7109375" style="1986" customWidth="1"/>
    <col min="2819" max="2819" width="8.85546875" style="1986" customWidth="1"/>
    <col min="2820" max="2820" width="46.42578125" style="1986" customWidth="1"/>
    <col min="2821" max="2821" width="12.85546875" style="1986" customWidth="1"/>
    <col min="2822" max="2822" width="15.5703125" style="1986" customWidth="1"/>
    <col min="2823" max="2823" width="15.85546875" style="1986" customWidth="1"/>
    <col min="2824" max="2824" width="6.42578125" style="1986" customWidth="1"/>
    <col min="2825" max="2825" width="14.28515625" style="1986" bestFit="1" customWidth="1"/>
    <col min="2826" max="2826" width="9.140625" style="1986"/>
    <col min="2827" max="2827" width="12.7109375" style="1986" bestFit="1" customWidth="1"/>
    <col min="2828" max="2828" width="13.140625" style="1986" customWidth="1"/>
    <col min="2829" max="3072" width="9.140625" style="1986"/>
    <col min="3073" max="3073" width="4.7109375" style="1986" customWidth="1"/>
    <col min="3074" max="3074" width="6.7109375" style="1986" customWidth="1"/>
    <col min="3075" max="3075" width="8.85546875" style="1986" customWidth="1"/>
    <col min="3076" max="3076" width="46.42578125" style="1986" customWidth="1"/>
    <col min="3077" max="3077" width="12.85546875" style="1986" customWidth="1"/>
    <col min="3078" max="3078" width="15.5703125" style="1986" customWidth="1"/>
    <col min="3079" max="3079" width="15.85546875" style="1986" customWidth="1"/>
    <col min="3080" max="3080" width="6.42578125" style="1986" customWidth="1"/>
    <col min="3081" max="3081" width="14.28515625" style="1986" bestFit="1" customWidth="1"/>
    <col min="3082" max="3082" width="9.140625" style="1986"/>
    <col min="3083" max="3083" width="12.7109375" style="1986" bestFit="1" customWidth="1"/>
    <col min="3084" max="3084" width="13.140625" style="1986" customWidth="1"/>
    <col min="3085" max="3328" width="9.140625" style="1986"/>
    <col min="3329" max="3329" width="4.7109375" style="1986" customWidth="1"/>
    <col min="3330" max="3330" width="6.7109375" style="1986" customWidth="1"/>
    <col min="3331" max="3331" width="8.85546875" style="1986" customWidth="1"/>
    <col min="3332" max="3332" width="46.42578125" style="1986" customWidth="1"/>
    <col min="3333" max="3333" width="12.85546875" style="1986" customWidth="1"/>
    <col min="3334" max="3334" width="15.5703125" style="1986" customWidth="1"/>
    <col min="3335" max="3335" width="15.85546875" style="1986" customWidth="1"/>
    <col min="3336" max="3336" width="6.42578125" style="1986" customWidth="1"/>
    <col min="3337" max="3337" width="14.28515625" style="1986" bestFit="1" customWidth="1"/>
    <col min="3338" max="3338" width="9.140625" style="1986"/>
    <col min="3339" max="3339" width="12.7109375" style="1986" bestFit="1" customWidth="1"/>
    <col min="3340" max="3340" width="13.140625" style="1986" customWidth="1"/>
    <col min="3341" max="3584" width="9.140625" style="1986"/>
    <col min="3585" max="3585" width="4.7109375" style="1986" customWidth="1"/>
    <col min="3586" max="3586" width="6.7109375" style="1986" customWidth="1"/>
    <col min="3587" max="3587" width="8.85546875" style="1986" customWidth="1"/>
    <col min="3588" max="3588" width="46.42578125" style="1986" customWidth="1"/>
    <col min="3589" max="3589" width="12.85546875" style="1986" customWidth="1"/>
    <col min="3590" max="3590" width="15.5703125" style="1986" customWidth="1"/>
    <col min="3591" max="3591" width="15.85546875" style="1986" customWidth="1"/>
    <col min="3592" max="3592" width="6.42578125" style="1986" customWidth="1"/>
    <col min="3593" max="3593" width="14.28515625" style="1986" bestFit="1" customWidth="1"/>
    <col min="3594" max="3594" width="9.140625" style="1986"/>
    <col min="3595" max="3595" width="12.7109375" style="1986" bestFit="1" customWidth="1"/>
    <col min="3596" max="3596" width="13.140625" style="1986" customWidth="1"/>
    <col min="3597" max="3840" width="9.140625" style="1986"/>
    <col min="3841" max="3841" width="4.7109375" style="1986" customWidth="1"/>
    <col min="3842" max="3842" width="6.7109375" style="1986" customWidth="1"/>
    <col min="3843" max="3843" width="8.85546875" style="1986" customWidth="1"/>
    <col min="3844" max="3844" width="46.42578125" style="1986" customWidth="1"/>
    <col min="3845" max="3845" width="12.85546875" style="1986" customWidth="1"/>
    <col min="3846" max="3846" width="15.5703125" style="1986" customWidth="1"/>
    <col min="3847" max="3847" width="15.85546875" style="1986" customWidth="1"/>
    <col min="3848" max="3848" width="6.42578125" style="1986" customWidth="1"/>
    <col min="3849" max="3849" width="14.28515625" style="1986" bestFit="1" customWidth="1"/>
    <col min="3850" max="3850" width="9.140625" style="1986"/>
    <col min="3851" max="3851" width="12.7109375" style="1986" bestFit="1" customWidth="1"/>
    <col min="3852" max="3852" width="13.140625" style="1986" customWidth="1"/>
    <col min="3853" max="4096" width="9.140625" style="1986"/>
    <col min="4097" max="4097" width="4.7109375" style="1986" customWidth="1"/>
    <col min="4098" max="4098" width="6.7109375" style="1986" customWidth="1"/>
    <col min="4099" max="4099" width="8.85546875" style="1986" customWidth="1"/>
    <col min="4100" max="4100" width="46.42578125" style="1986" customWidth="1"/>
    <col min="4101" max="4101" width="12.85546875" style="1986" customWidth="1"/>
    <col min="4102" max="4102" width="15.5703125" style="1986" customWidth="1"/>
    <col min="4103" max="4103" width="15.85546875" style="1986" customWidth="1"/>
    <col min="4104" max="4104" width="6.42578125" style="1986" customWidth="1"/>
    <col min="4105" max="4105" width="14.28515625" style="1986" bestFit="1" customWidth="1"/>
    <col min="4106" max="4106" width="9.140625" style="1986"/>
    <col min="4107" max="4107" width="12.7109375" style="1986" bestFit="1" customWidth="1"/>
    <col min="4108" max="4108" width="13.140625" style="1986" customWidth="1"/>
    <col min="4109" max="4352" width="9.140625" style="1986"/>
    <col min="4353" max="4353" width="4.7109375" style="1986" customWidth="1"/>
    <col min="4354" max="4354" width="6.7109375" style="1986" customWidth="1"/>
    <col min="4355" max="4355" width="8.85546875" style="1986" customWidth="1"/>
    <col min="4356" max="4356" width="46.42578125" style="1986" customWidth="1"/>
    <col min="4357" max="4357" width="12.85546875" style="1986" customWidth="1"/>
    <col min="4358" max="4358" width="15.5703125" style="1986" customWidth="1"/>
    <col min="4359" max="4359" width="15.85546875" style="1986" customWidth="1"/>
    <col min="4360" max="4360" width="6.42578125" style="1986" customWidth="1"/>
    <col min="4361" max="4361" width="14.28515625" style="1986" bestFit="1" customWidth="1"/>
    <col min="4362" max="4362" width="9.140625" style="1986"/>
    <col min="4363" max="4363" width="12.7109375" style="1986" bestFit="1" customWidth="1"/>
    <col min="4364" max="4364" width="13.140625" style="1986" customWidth="1"/>
    <col min="4365" max="4608" width="9.140625" style="1986"/>
    <col min="4609" max="4609" width="4.7109375" style="1986" customWidth="1"/>
    <col min="4610" max="4610" width="6.7109375" style="1986" customWidth="1"/>
    <col min="4611" max="4611" width="8.85546875" style="1986" customWidth="1"/>
    <col min="4612" max="4612" width="46.42578125" style="1986" customWidth="1"/>
    <col min="4613" max="4613" width="12.85546875" style="1986" customWidth="1"/>
    <col min="4614" max="4614" width="15.5703125" style="1986" customWidth="1"/>
    <col min="4615" max="4615" width="15.85546875" style="1986" customWidth="1"/>
    <col min="4616" max="4616" width="6.42578125" style="1986" customWidth="1"/>
    <col min="4617" max="4617" width="14.28515625" style="1986" bestFit="1" customWidth="1"/>
    <col min="4618" max="4618" width="9.140625" style="1986"/>
    <col min="4619" max="4619" width="12.7109375" style="1986" bestFit="1" customWidth="1"/>
    <col min="4620" max="4620" width="13.140625" style="1986" customWidth="1"/>
    <col min="4621" max="4864" width="9.140625" style="1986"/>
    <col min="4865" max="4865" width="4.7109375" style="1986" customWidth="1"/>
    <col min="4866" max="4866" width="6.7109375" style="1986" customWidth="1"/>
    <col min="4867" max="4867" width="8.85546875" style="1986" customWidth="1"/>
    <col min="4868" max="4868" width="46.42578125" style="1986" customWidth="1"/>
    <col min="4869" max="4869" width="12.85546875" style="1986" customWidth="1"/>
    <col min="4870" max="4870" width="15.5703125" style="1986" customWidth="1"/>
    <col min="4871" max="4871" width="15.85546875" style="1986" customWidth="1"/>
    <col min="4872" max="4872" width="6.42578125" style="1986" customWidth="1"/>
    <col min="4873" max="4873" width="14.28515625" style="1986" bestFit="1" customWidth="1"/>
    <col min="4874" max="4874" width="9.140625" style="1986"/>
    <col min="4875" max="4875" width="12.7109375" style="1986" bestFit="1" customWidth="1"/>
    <col min="4876" max="4876" width="13.140625" style="1986" customWidth="1"/>
    <col min="4877" max="5120" width="9.140625" style="1986"/>
    <col min="5121" max="5121" width="4.7109375" style="1986" customWidth="1"/>
    <col min="5122" max="5122" width="6.7109375" style="1986" customWidth="1"/>
    <col min="5123" max="5123" width="8.85546875" style="1986" customWidth="1"/>
    <col min="5124" max="5124" width="46.42578125" style="1986" customWidth="1"/>
    <col min="5125" max="5125" width="12.85546875" style="1986" customWidth="1"/>
    <col min="5126" max="5126" width="15.5703125" style="1986" customWidth="1"/>
    <col min="5127" max="5127" width="15.85546875" style="1986" customWidth="1"/>
    <col min="5128" max="5128" width="6.42578125" style="1986" customWidth="1"/>
    <col min="5129" max="5129" width="14.28515625" style="1986" bestFit="1" customWidth="1"/>
    <col min="5130" max="5130" width="9.140625" style="1986"/>
    <col min="5131" max="5131" width="12.7109375" style="1986" bestFit="1" customWidth="1"/>
    <col min="5132" max="5132" width="13.140625" style="1986" customWidth="1"/>
    <col min="5133" max="5376" width="9.140625" style="1986"/>
    <col min="5377" max="5377" width="4.7109375" style="1986" customWidth="1"/>
    <col min="5378" max="5378" width="6.7109375" style="1986" customWidth="1"/>
    <col min="5379" max="5379" width="8.85546875" style="1986" customWidth="1"/>
    <col min="5380" max="5380" width="46.42578125" style="1986" customWidth="1"/>
    <col min="5381" max="5381" width="12.85546875" style="1986" customWidth="1"/>
    <col min="5382" max="5382" width="15.5703125" style="1986" customWidth="1"/>
    <col min="5383" max="5383" width="15.85546875" style="1986" customWidth="1"/>
    <col min="5384" max="5384" width="6.42578125" style="1986" customWidth="1"/>
    <col min="5385" max="5385" width="14.28515625" style="1986" bestFit="1" customWidth="1"/>
    <col min="5386" max="5386" width="9.140625" style="1986"/>
    <col min="5387" max="5387" width="12.7109375" style="1986" bestFit="1" customWidth="1"/>
    <col min="5388" max="5388" width="13.140625" style="1986" customWidth="1"/>
    <col min="5389" max="5632" width="9.140625" style="1986"/>
    <col min="5633" max="5633" width="4.7109375" style="1986" customWidth="1"/>
    <col min="5634" max="5634" width="6.7109375" style="1986" customWidth="1"/>
    <col min="5635" max="5635" width="8.85546875" style="1986" customWidth="1"/>
    <col min="5636" max="5636" width="46.42578125" style="1986" customWidth="1"/>
    <col min="5637" max="5637" width="12.85546875" style="1986" customWidth="1"/>
    <col min="5638" max="5638" width="15.5703125" style="1986" customWidth="1"/>
    <col min="5639" max="5639" width="15.85546875" style="1986" customWidth="1"/>
    <col min="5640" max="5640" width="6.42578125" style="1986" customWidth="1"/>
    <col min="5641" max="5641" width="14.28515625" style="1986" bestFit="1" customWidth="1"/>
    <col min="5642" max="5642" width="9.140625" style="1986"/>
    <col min="5643" max="5643" width="12.7109375" style="1986" bestFit="1" customWidth="1"/>
    <col min="5644" max="5644" width="13.140625" style="1986" customWidth="1"/>
    <col min="5645" max="5888" width="9.140625" style="1986"/>
    <col min="5889" max="5889" width="4.7109375" style="1986" customWidth="1"/>
    <col min="5890" max="5890" width="6.7109375" style="1986" customWidth="1"/>
    <col min="5891" max="5891" width="8.85546875" style="1986" customWidth="1"/>
    <col min="5892" max="5892" width="46.42578125" style="1986" customWidth="1"/>
    <col min="5893" max="5893" width="12.85546875" style="1986" customWidth="1"/>
    <col min="5894" max="5894" width="15.5703125" style="1986" customWidth="1"/>
    <col min="5895" max="5895" width="15.85546875" style="1986" customWidth="1"/>
    <col min="5896" max="5896" width="6.42578125" style="1986" customWidth="1"/>
    <col min="5897" max="5897" width="14.28515625" style="1986" bestFit="1" customWidth="1"/>
    <col min="5898" max="5898" width="9.140625" style="1986"/>
    <col min="5899" max="5899" width="12.7109375" style="1986" bestFit="1" customWidth="1"/>
    <col min="5900" max="5900" width="13.140625" style="1986" customWidth="1"/>
    <col min="5901" max="6144" width="9.140625" style="1986"/>
    <col min="6145" max="6145" width="4.7109375" style="1986" customWidth="1"/>
    <col min="6146" max="6146" width="6.7109375" style="1986" customWidth="1"/>
    <col min="6147" max="6147" width="8.85546875" style="1986" customWidth="1"/>
    <col min="6148" max="6148" width="46.42578125" style="1986" customWidth="1"/>
    <col min="6149" max="6149" width="12.85546875" style="1986" customWidth="1"/>
    <col min="6150" max="6150" width="15.5703125" style="1986" customWidth="1"/>
    <col min="6151" max="6151" width="15.85546875" style="1986" customWidth="1"/>
    <col min="6152" max="6152" width="6.42578125" style="1986" customWidth="1"/>
    <col min="6153" max="6153" width="14.28515625" style="1986" bestFit="1" customWidth="1"/>
    <col min="6154" max="6154" width="9.140625" style="1986"/>
    <col min="6155" max="6155" width="12.7109375" style="1986" bestFit="1" customWidth="1"/>
    <col min="6156" max="6156" width="13.140625" style="1986" customWidth="1"/>
    <col min="6157" max="6400" width="9.140625" style="1986"/>
    <col min="6401" max="6401" width="4.7109375" style="1986" customWidth="1"/>
    <col min="6402" max="6402" width="6.7109375" style="1986" customWidth="1"/>
    <col min="6403" max="6403" width="8.85546875" style="1986" customWidth="1"/>
    <col min="6404" max="6404" width="46.42578125" style="1986" customWidth="1"/>
    <col min="6405" max="6405" width="12.85546875" style="1986" customWidth="1"/>
    <col min="6406" max="6406" width="15.5703125" style="1986" customWidth="1"/>
    <col min="6407" max="6407" width="15.85546875" style="1986" customWidth="1"/>
    <col min="6408" max="6408" width="6.42578125" style="1986" customWidth="1"/>
    <col min="6409" max="6409" width="14.28515625" style="1986" bestFit="1" customWidth="1"/>
    <col min="6410" max="6410" width="9.140625" style="1986"/>
    <col min="6411" max="6411" width="12.7109375" style="1986" bestFit="1" customWidth="1"/>
    <col min="6412" max="6412" width="13.140625" style="1986" customWidth="1"/>
    <col min="6413" max="6656" width="9.140625" style="1986"/>
    <col min="6657" max="6657" width="4.7109375" style="1986" customWidth="1"/>
    <col min="6658" max="6658" width="6.7109375" style="1986" customWidth="1"/>
    <col min="6659" max="6659" width="8.85546875" style="1986" customWidth="1"/>
    <col min="6660" max="6660" width="46.42578125" style="1986" customWidth="1"/>
    <col min="6661" max="6661" width="12.85546875" style="1986" customWidth="1"/>
    <col min="6662" max="6662" width="15.5703125" style="1986" customWidth="1"/>
    <col min="6663" max="6663" width="15.85546875" style="1986" customWidth="1"/>
    <col min="6664" max="6664" width="6.42578125" style="1986" customWidth="1"/>
    <col min="6665" max="6665" width="14.28515625" style="1986" bestFit="1" customWidth="1"/>
    <col min="6666" max="6666" width="9.140625" style="1986"/>
    <col min="6667" max="6667" width="12.7109375" style="1986" bestFit="1" customWidth="1"/>
    <col min="6668" max="6668" width="13.140625" style="1986" customWidth="1"/>
    <col min="6669" max="6912" width="9.140625" style="1986"/>
    <col min="6913" max="6913" width="4.7109375" style="1986" customWidth="1"/>
    <col min="6914" max="6914" width="6.7109375" style="1986" customWidth="1"/>
    <col min="6915" max="6915" width="8.85546875" style="1986" customWidth="1"/>
    <col min="6916" max="6916" width="46.42578125" style="1986" customWidth="1"/>
    <col min="6917" max="6917" width="12.85546875" style="1986" customWidth="1"/>
    <col min="6918" max="6918" width="15.5703125" style="1986" customWidth="1"/>
    <col min="6919" max="6919" width="15.85546875" style="1986" customWidth="1"/>
    <col min="6920" max="6920" width="6.42578125" style="1986" customWidth="1"/>
    <col min="6921" max="6921" width="14.28515625" style="1986" bestFit="1" customWidth="1"/>
    <col min="6922" max="6922" width="9.140625" style="1986"/>
    <col min="6923" max="6923" width="12.7109375" style="1986" bestFit="1" customWidth="1"/>
    <col min="6924" max="6924" width="13.140625" style="1986" customWidth="1"/>
    <col min="6925" max="7168" width="9.140625" style="1986"/>
    <col min="7169" max="7169" width="4.7109375" style="1986" customWidth="1"/>
    <col min="7170" max="7170" width="6.7109375" style="1986" customWidth="1"/>
    <col min="7171" max="7171" width="8.85546875" style="1986" customWidth="1"/>
    <col min="7172" max="7172" width="46.42578125" style="1986" customWidth="1"/>
    <col min="7173" max="7173" width="12.85546875" style="1986" customWidth="1"/>
    <col min="7174" max="7174" width="15.5703125" style="1986" customWidth="1"/>
    <col min="7175" max="7175" width="15.85546875" style="1986" customWidth="1"/>
    <col min="7176" max="7176" width="6.42578125" style="1986" customWidth="1"/>
    <col min="7177" max="7177" width="14.28515625" style="1986" bestFit="1" customWidth="1"/>
    <col min="7178" max="7178" width="9.140625" style="1986"/>
    <col min="7179" max="7179" width="12.7109375" style="1986" bestFit="1" customWidth="1"/>
    <col min="7180" max="7180" width="13.140625" style="1986" customWidth="1"/>
    <col min="7181" max="7424" width="9.140625" style="1986"/>
    <col min="7425" max="7425" width="4.7109375" style="1986" customWidth="1"/>
    <col min="7426" max="7426" width="6.7109375" style="1986" customWidth="1"/>
    <col min="7427" max="7427" width="8.85546875" style="1986" customWidth="1"/>
    <col min="7428" max="7428" width="46.42578125" style="1986" customWidth="1"/>
    <col min="7429" max="7429" width="12.85546875" style="1986" customWidth="1"/>
    <col min="7430" max="7430" width="15.5703125" style="1986" customWidth="1"/>
    <col min="7431" max="7431" width="15.85546875" style="1986" customWidth="1"/>
    <col min="7432" max="7432" width="6.42578125" style="1986" customWidth="1"/>
    <col min="7433" max="7433" width="14.28515625" style="1986" bestFit="1" customWidth="1"/>
    <col min="7434" max="7434" width="9.140625" style="1986"/>
    <col min="7435" max="7435" width="12.7109375" style="1986" bestFit="1" customWidth="1"/>
    <col min="7436" max="7436" width="13.140625" style="1986" customWidth="1"/>
    <col min="7437" max="7680" width="9.140625" style="1986"/>
    <col min="7681" max="7681" width="4.7109375" style="1986" customWidth="1"/>
    <col min="7682" max="7682" width="6.7109375" style="1986" customWidth="1"/>
    <col min="7683" max="7683" width="8.85546875" style="1986" customWidth="1"/>
    <col min="7684" max="7684" width="46.42578125" style="1986" customWidth="1"/>
    <col min="7685" max="7685" width="12.85546875" style="1986" customWidth="1"/>
    <col min="7686" max="7686" width="15.5703125" style="1986" customWidth="1"/>
    <col min="7687" max="7687" width="15.85546875" style="1986" customWidth="1"/>
    <col min="7688" max="7688" width="6.42578125" style="1986" customWidth="1"/>
    <col min="7689" max="7689" width="14.28515625" style="1986" bestFit="1" customWidth="1"/>
    <col min="7690" max="7690" width="9.140625" style="1986"/>
    <col min="7691" max="7691" width="12.7109375" style="1986" bestFit="1" customWidth="1"/>
    <col min="7692" max="7692" width="13.140625" style="1986" customWidth="1"/>
    <col min="7693" max="7936" width="9.140625" style="1986"/>
    <col min="7937" max="7937" width="4.7109375" style="1986" customWidth="1"/>
    <col min="7938" max="7938" width="6.7109375" style="1986" customWidth="1"/>
    <col min="7939" max="7939" width="8.85546875" style="1986" customWidth="1"/>
    <col min="7940" max="7940" width="46.42578125" style="1986" customWidth="1"/>
    <col min="7941" max="7941" width="12.85546875" style="1986" customWidth="1"/>
    <col min="7942" max="7942" width="15.5703125" style="1986" customWidth="1"/>
    <col min="7943" max="7943" width="15.85546875" style="1986" customWidth="1"/>
    <col min="7944" max="7944" width="6.42578125" style="1986" customWidth="1"/>
    <col min="7945" max="7945" width="14.28515625" style="1986" bestFit="1" customWidth="1"/>
    <col min="7946" max="7946" width="9.140625" style="1986"/>
    <col min="7947" max="7947" width="12.7109375" style="1986" bestFit="1" customWidth="1"/>
    <col min="7948" max="7948" width="13.140625" style="1986" customWidth="1"/>
    <col min="7949" max="8192" width="9.140625" style="1986"/>
    <col min="8193" max="8193" width="4.7109375" style="1986" customWidth="1"/>
    <col min="8194" max="8194" width="6.7109375" style="1986" customWidth="1"/>
    <col min="8195" max="8195" width="8.85546875" style="1986" customWidth="1"/>
    <col min="8196" max="8196" width="46.42578125" style="1986" customWidth="1"/>
    <col min="8197" max="8197" width="12.85546875" style="1986" customWidth="1"/>
    <col min="8198" max="8198" width="15.5703125" style="1986" customWidth="1"/>
    <col min="8199" max="8199" width="15.85546875" style="1986" customWidth="1"/>
    <col min="8200" max="8200" width="6.42578125" style="1986" customWidth="1"/>
    <col min="8201" max="8201" width="14.28515625" style="1986" bestFit="1" customWidth="1"/>
    <col min="8202" max="8202" width="9.140625" style="1986"/>
    <col min="8203" max="8203" width="12.7109375" style="1986" bestFit="1" customWidth="1"/>
    <col min="8204" max="8204" width="13.140625" style="1986" customWidth="1"/>
    <col min="8205" max="8448" width="9.140625" style="1986"/>
    <col min="8449" max="8449" width="4.7109375" style="1986" customWidth="1"/>
    <col min="8450" max="8450" width="6.7109375" style="1986" customWidth="1"/>
    <col min="8451" max="8451" width="8.85546875" style="1986" customWidth="1"/>
    <col min="8452" max="8452" width="46.42578125" style="1986" customWidth="1"/>
    <col min="8453" max="8453" width="12.85546875" style="1986" customWidth="1"/>
    <col min="8454" max="8454" width="15.5703125" style="1986" customWidth="1"/>
    <col min="8455" max="8455" width="15.85546875" style="1986" customWidth="1"/>
    <col min="8456" max="8456" width="6.42578125" style="1986" customWidth="1"/>
    <col min="8457" max="8457" width="14.28515625" style="1986" bestFit="1" customWidth="1"/>
    <col min="8458" max="8458" width="9.140625" style="1986"/>
    <col min="8459" max="8459" width="12.7109375" style="1986" bestFit="1" customWidth="1"/>
    <col min="8460" max="8460" width="13.140625" style="1986" customWidth="1"/>
    <col min="8461" max="8704" width="9.140625" style="1986"/>
    <col min="8705" max="8705" width="4.7109375" style="1986" customWidth="1"/>
    <col min="8706" max="8706" width="6.7109375" style="1986" customWidth="1"/>
    <col min="8707" max="8707" width="8.85546875" style="1986" customWidth="1"/>
    <col min="8708" max="8708" width="46.42578125" style="1986" customWidth="1"/>
    <col min="8709" max="8709" width="12.85546875" style="1986" customWidth="1"/>
    <col min="8710" max="8710" width="15.5703125" style="1986" customWidth="1"/>
    <col min="8711" max="8711" width="15.85546875" style="1986" customWidth="1"/>
    <col min="8712" max="8712" width="6.42578125" style="1986" customWidth="1"/>
    <col min="8713" max="8713" width="14.28515625" style="1986" bestFit="1" customWidth="1"/>
    <col min="8714" max="8714" width="9.140625" style="1986"/>
    <col min="8715" max="8715" width="12.7109375" style="1986" bestFit="1" customWidth="1"/>
    <col min="8716" max="8716" width="13.140625" style="1986" customWidth="1"/>
    <col min="8717" max="8960" width="9.140625" style="1986"/>
    <col min="8961" max="8961" width="4.7109375" style="1986" customWidth="1"/>
    <col min="8962" max="8962" width="6.7109375" style="1986" customWidth="1"/>
    <col min="8963" max="8963" width="8.85546875" style="1986" customWidth="1"/>
    <col min="8964" max="8964" width="46.42578125" style="1986" customWidth="1"/>
    <col min="8965" max="8965" width="12.85546875" style="1986" customWidth="1"/>
    <col min="8966" max="8966" width="15.5703125" style="1986" customWidth="1"/>
    <col min="8967" max="8967" width="15.85546875" style="1986" customWidth="1"/>
    <col min="8968" max="8968" width="6.42578125" style="1986" customWidth="1"/>
    <col min="8969" max="8969" width="14.28515625" style="1986" bestFit="1" customWidth="1"/>
    <col min="8970" max="8970" width="9.140625" style="1986"/>
    <col min="8971" max="8971" width="12.7109375" style="1986" bestFit="1" customWidth="1"/>
    <col min="8972" max="8972" width="13.140625" style="1986" customWidth="1"/>
    <col min="8973" max="9216" width="9.140625" style="1986"/>
    <col min="9217" max="9217" width="4.7109375" style="1986" customWidth="1"/>
    <col min="9218" max="9218" width="6.7109375" style="1986" customWidth="1"/>
    <col min="9219" max="9219" width="8.85546875" style="1986" customWidth="1"/>
    <col min="9220" max="9220" width="46.42578125" style="1986" customWidth="1"/>
    <col min="9221" max="9221" width="12.85546875" style="1986" customWidth="1"/>
    <col min="9222" max="9222" width="15.5703125" style="1986" customWidth="1"/>
    <col min="9223" max="9223" width="15.85546875" style="1986" customWidth="1"/>
    <col min="9224" max="9224" width="6.42578125" style="1986" customWidth="1"/>
    <col min="9225" max="9225" width="14.28515625" style="1986" bestFit="1" customWidth="1"/>
    <col min="9226" max="9226" width="9.140625" style="1986"/>
    <col min="9227" max="9227" width="12.7109375" style="1986" bestFit="1" customWidth="1"/>
    <col min="9228" max="9228" width="13.140625" style="1986" customWidth="1"/>
    <col min="9229" max="9472" width="9.140625" style="1986"/>
    <col min="9473" max="9473" width="4.7109375" style="1986" customWidth="1"/>
    <col min="9474" max="9474" width="6.7109375" style="1986" customWidth="1"/>
    <col min="9475" max="9475" width="8.85546875" style="1986" customWidth="1"/>
    <col min="9476" max="9476" width="46.42578125" style="1986" customWidth="1"/>
    <col min="9477" max="9477" width="12.85546875" style="1986" customWidth="1"/>
    <col min="9478" max="9478" width="15.5703125" style="1986" customWidth="1"/>
    <col min="9479" max="9479" width="15.85546875" style="1986" customWidth="1"/>
    <col min="9480" max="9480" width="6.42578125" style="1986" customWidth="1"/>
    <col min="9481" max="9481" width="14.28515625" style="1986" bestFit="1" customWidth="1"/>
    <col min="9482" max="9482" width="9.140625" style="1986"/>
    <col min="9483" max="9483" width="12.7109375" style="1986" bestFit="1" customWidth="1"/>
    <col min="9484" max="9484" width="13.140625" style="1986" customWidth="1"/>
    <col min="9485" max="9728" width="9.140625" style="1986"/>
    <col min="9729" max="9729" width="4.7109375" style="1986" customWidth="1"/>
    <col min="9730" max="9730" width="6.7109375" style="1986" customWidth="1"/>
    <col min="9731" max="9731" width="8.85546875" style="1986" customWidth="1"/>
    <col min="9732" max="9732" width="46.42578125" style="1986" customWidth="1"/>
    <col min="9733" max="9733" width="12.85546875" style="1986" customWidth="1"/>
    <col min="9734" max="9734" width="15.5703125" style="1986" customWidth="1"/>
    <col min="9735" max="9735" width="15.85546875" style="1986" customWidth="1"/>
    <col min="9736" max="9736" width="6.42578125" style="1986" customWidth="1"/>
    <col min="9737" max="9737" width="14.28515625" style="1986" bestFit="1" customWidth="1"/>
    <col min="9738" max="9738" width="9.140625" style="1986"/>
    <col min="9739" max="9739" width="12.7109375" style="1986" bestFit="1" customWidth="1"/>
    <col min="9740" max="9740" width="13.140625" style="1986" customWidth="1"/>
    <col min="9741" max="9984" width="9.140625" style="1986"/>
    <col min="9985" max="9985" width="4.7109375" style="1986" customWidth="1"/>
    <col min="9986" max="9986" width="6.7109375" style="1986" customWidth="1"/>
    <col min="9987" max="9987" width="8.85546875" style="1986" customWidth="1"/>
    <col min="9988" max="9988" width="46.42578125" style="1986" customWidth="1"/>
    <col min="9989" max="9989" width="12.85546875" style="1986" customWidth="1"/>
    <col min="9990" max="9990" width="15.5703125" style="1986" customWidth="1"/>
    <col min="9991" max="9991" width="15.85546875" style="1986" customWidth="1"/>
    <col min="9992" max="9992" width="6.42578125" style="1986" customWidth="1"/>
    <col min="9993" max="9993" width="14.28515625" style="1986" bestFit="1" customWidth="1"/>
    <col min="9994" max="9994" width="9.140625" style="1986"/>
    <col min="9995" max="9995" width="12.7109375" style="1986" bestFit="1" customWidth="1"/>
    <col min="9996" max="9996" width="13.140625" style="1986" customWidth="1"/>
    <col min="9997" max="10240" width="9.140625" style="1986"/>
    <col min="10241" max="10241" width="4.7109375" style="1986" customWidth="1"/>
    <col min="10242" max="10242" width="6.7109375" style="1986" customWidth="1"/>
    <col min="10243" max="10243" width="8.85546875" style="1986" customWidth="1"/>
    <col min="10244" max="10244" width="46.42578125" style="1986" customWidth="1"/>
    <col min="10245" max="10245" width="12.85546875" style="1986" customWidth="1"/>
    <col min="10246" max="10246" width="15.5703125" style="1986" customWidth="1"/>
    <col min="10247" max="10247" width="15.85546875" style="1986" customWidth="1"/>
    <col min="10248" max="10248" width="6.42578125" style="1986" customWidth="1"/>
    <col min="10249" max="10249" width="14.28515625" style="1986" bestFit="1" customWidth="1"/>
    <col min="10250" max="10250" width="9.140625" style="1986"/>
    <col min="10251" max="10251" width="12.7109375" style="1986" bestFit="1" customWidth="1"/>
    <col min="10252" max="10252" width="13.140625" style="1986" customWidth="1"/>
    <col min="10253" max="10496" width="9.140625" style="1986"/>
    <col min="10497" max="10497" width="4.7109375" style="1986" customWidth="1"/>
    <col min="10498" max="10498" width="6.7109375" style="1986" customWidth="1"/>
    <col min="10499" max="10499" width="8.85546875" style="1986" customWidth="1"/>
    <col min="10500" max="10500" width="46.42578125" style="1986" customWidth="1"/>
    <col min="10501" max="10501" width="12.85546875" style="1986" customWidth="1"/>
    <col min="10502" max="10502" width="15.5703125" style="1986" customWidth="1"/>
    <col min="10503" max="10503" width="15.85546875" style="1986" customWidth="1"/>
    <col min="10504" max="10504" width="6.42578125" style="1986" customWidth="1"/>
    <col min="10505" max="10505" width="14.28515625" style="1986" bestFit="1" customWidth="1"/>
    <col min="10506" max="10506" width="9.140625" style="1986"/>
    <col min="10507" max="10507" width="12.7109375" style="1986" bestFit="1" customWidth="1"/>
    <col min="10508" max="10508" width="13.140625" style="1986" customWidth="1"/>
    <col min="10509" max="10752" width="9.140625" style="1986"/>
    <col min="10753" max="10753" width="4.7109375" style="1986" customWidth="1"/>
    <col min="10754" max="10754" width="6.7109375" style="1986" customWidth="1"/>
    <col min="10755" max="10755" width="8.85546875" style="1986" customWidth="1"/>
    <col min="10756" max="10756" width="46.42578125" style="1986" customWidth="1"/>
    <col min="10757" max="10757" width="12.85546875" style="1986" customWidth="1"/>
    <col min="10758" max="10758" width="15.5703125" style="1986" customWidth="1"/>
    <col min="10759" max="10759" width="15.85546875" style="1986" customWidth="1"/>
    <col min="10760" max="10760" width="6.42578125" style="1986" customWidth="1"/>
    <col min="10761" max="10761" width="14.28515625" style="1986" bestFit="1" customWidth="1"/>
    <col min="10762" max="10762" width="9.140625" style="1986"/>
    <col min="10763" max="10763" width="12.7109375" style="1986" bestFit="1" customWidth="1"/>
    <col min="10764" max="10764" width="13.140625" style="1986" customWidth="1"/>
    <col min="10765" max="11008" width="9.140625" style="1986"/>
    <col min="11009" max="11009" width="4.7109375" style="1986" customWidth="1"/>
    <col min="11010" max="11010" width="6.7109375" style="1986" customWidth="1"/>
    <col min="11011" max="11011" width="8.85546875" style="1986" customWidth="1"/>
    <col min="11012" max="11012" width="46.42578125" style="1986" customWidth="1"/>
    <col min="11013" max="11013" width="12.85546875" style="1986" customWidth="1"/>
    <col min="11014" max="11014" width="15.5703125" style="1986" customWidth="1"/>
    <col min="11015" max="11015" width="15.85546875" style="1986" customWidth="1"/>
    <col min="11016" max="11016" width="6.42578125" style="1986" customWidth="1"/>
    <col min="11017" max="11017" width="14.28515625" style="1986" bestFit="1" customWidth="1"/>
    <col min="11018" max="11018" width="9.140625" style="1986"/>
    <col min="11019" max="11019" width="12.7109375" style="1986" bestFit="1" customWidth="1"/>
    <col min="11020" max="11020" width="13.140625" style="1986" customWidth="1"/>
    <col min="11021" max="11264" width="9.140625" style="1986"/>
    <col min="11265" max="11265" width="4.7109375" style="1986" customWidth="1"/>
    <col min="11266" max="11266" width="6.7109375" style="1986" customWidth="1"/>
    <col min="11267" max="11267" width="8.85546875" style="1986" customWidth="1"/>
    <col min="11268" max="11268" width="46.42578125" style="1986" customWidth="1"/>
    <col min="11269" max="11269" width="12.85546875" style="1986" customWidth="1"/>
    <col min="11270" max="11270" width="15.5703125" style="1986" customWidth="1"/>
    <col min="11271" max="11271" width="15.85546875" style="1986" customWidth="1"/>
    <col min="11272" max="11272" width="6.42578125" style="1986" customWidth="1"/>
    <col min="11273" max="11273" width="14.28515625" style="1986" bestFit="1" customWidth="1"/>
    <col min="11274" max="11274" width="9.140625" style="1986"/>
    <col min="11275" max="11275" width="12.7109375" style="1986" bestFit="1" customWidth="1"/>
    <col min="11276" max="11276" width="13.140625" style="1986" customWidth="1"/>
    <col min="11277" max="11520" width="9.140625" style="1986"/>
    <col min="11521" max="11521" width="4.7109375" style="1986" customWidth="1"/>
    <col min="11522" max="11522" width="6.7109375" style="1986" customWidth="1"/>
    <col min="11523" max="11523" width="8.85546875" style="1986" customWidth="1"/>
    <col min="11524" max="11524" width="46.42578125" style="1986" customWidth="1"/>
    <col min="11525" max="11525" width="12.85546875" style="1986" customWidth="1"/>
    <col min="11526" max="11526" width="15.5703125" style="1986" customWidth="1"/>
    <col min="11527" max="11527" width="15.85546875" style="1986" customWidth="1"/>
    <col min="11528" max="11528" width="6.42578125" style="1986" customWidth="1"/>
    <col min="11529" max="11529" width="14.28515625" style="1986" bestFit="1" customWidth="1"/>
    <col min="11530" max="11530" width="9.140625" style="1986"/>
    <col min="11531" max="11531" width="12.7109375" style="1986" bestFit="1" customWidth="1"/>
    <col min="11532" max="11532" width="13.140625" style="1986" customWidth="1"/>
    <col min="11533" max="11776" width="9.140625" style="1986"/>
    <col min="11777" max="11777" width="4.7109375" style="1986" customWidth="1"/>
    <col min="11778" max="11778" width="6.7109375" style="1986" customWidth="1"/>
    <col min="11779" max="11779" width="8.85546875" style="1986" customWidth="1"/>
    <col min="11780" max="11780" width="46.42578125" style="1986" customWidth="1"/>
    <col min="11781" max="11781" width="12.85546875" style="1986" customWidth="1"/>
    <col min="11782" max="11782" width="15.5703125" style="1986" customWidth="1"/>
    <col min="11783" max="11783" width="15.85546875" style="1986" customWidth="1"/>
    <col min="11784" max="11784" width="6.42578125" style="1986" customWidth="1"/>
    <col min="11785" max="11785" width="14.28515625" style="1986" bestFit="1" customWidth="1"/>
    <col min="11786" max="11786" width="9.140625" style="1986"/>
    <col min="11787" max="11787" width="12.7109375" style="1986" bestFit="1" customWidth="1"/>
    <col min="11788" max="11788" width="13.140625" style="1986" customWidth="1"/>
    <col min="11789" max="12032" width="9.140625" style="1986"/>
    <col min="12033" max="12033" width="4.7109375" style="1986" customWidth="1"/>
    <col min="12034" max="12034" width="6.7109375" style="1986" customWidth="1"/>
    <col min="12035" max="12035" width="8.85546875" style="1986" customWidth="1"/>
    <col min="12036" max="12036" width="46.42578125" style="1986" customWidth="1"/>
    <col min="12037" max="12037" width="12.85546875" style="1986" customWidth="1"/>
    <col min="12038" max="12038" width="15.5703125" style="1986" customWidth="1"/>
    <col min="12039" max="12039" width="15.85546875" style="1986" customWidth="1"/>
    <col min="12040" max="12040" width="6.42578125" style="1986" customWidth="1"/>
    <col min="12041" max="12041" width="14.28515625" style="1986" bestFit="1" customWidth="1"/>
    <col min="12042" max="12042" width="9.140625" style="1986"/>
    <col min="12043" max="12043" width="12.7109375" style="1986" bestFit="1" customWidth="1"/>
    <col min="12044" max="12044" width="13.140625" style="1986" customWidth="1"/>
    <col min="12045" max="12288" width="9.140625" style="1986"/>
    <col min="12289" max="12289" width="4.7109375" style="1986" customWidth="1"/>
    <col min="12290" max="12290" width="6.7109375" style="1986" customWidth="1"/>
    <col min="12291" max="12291" width="8.85546875" style="1986" customWidth="1"/>
    <col min="12292" max="12292" width="46.42578125" style="1986" customWidth="1"/>
    <col min="12293" max="12293" width="12.85546875" style="1986" customWidth="1"/>
    <col min="12294" max="12294" width="15.5703125" style="1986" customWidth="1"/>
    <col min="12295" max="12295" width="15.85546875" style="1986" customWidth="1"/>
    <col min="12296" max="12296" width="6.42578125" style="1986" customWidth="1"/>
    <col min="12297" max="12297" width="14.28515625" style="1986" bestFit="1" customWidth="1"/>
    <col min="12298" max="12298" width="9.140625" style="1986"/>
    <col min="12299" max="12299" width="12.7109375" style="1986" bestFit="1" customWidth="1"/>
    <col min="12300" max="12300" width="13.140625" style="1986" customWidth="1"/>
    <col min="12301" max="12544" width="9.140625" style="1986"/>
    <col min="12545" max="12545" width="4.7109375" style="1986" customWidth="1"/>
    <col min="12546" max="12546" width="6.7109375" style="1986" customWidth="1"/>
    <col min="12547" max="12547" width="8.85546875" style="1986" customWidth="1"/>
    <col min="12548" max="12548" width="46.42578125" style="1986" customWidth="1"/>
    <col min="12549" max="12549" width="12.85546875" style="1986" customWidth="1"/>
    <col min="12550" max="12550" width="15.5703125" style="1986" customWidth="1"/>
    <col min="12551" max="12551" width="15.85546875" style="1986" customWidth="1"/>
    <col min="12552" max="12552" width="6.42578125" style="1986" customWidth="1"/>
    <col min="12553" max="12553" width="14.28515625" style="1986" bestFit="1" customWidth="1"/>
    <col min="12554" max="12554" width="9.140625" style="1986"/>
    <col min="12555" max="12555" width="12.7109375" style="1986" bestFit="1" customWidth="1"/>
    <col min="12556" max="12556" width="13.140625" style="1986" customWidth="1"/>
    <col min="12557" max="12800" width="9.140625" style="1986"/>
    <col min="12801" max="12801" width="4.7109375" style="1986" customWidth="1"/>
    <col min="12802" max="12802" width="6.7109375" style="1986" customWidth="1"/>
    <col min="12803" max="12803" width="8.85546875" style="1986" customWidth="1"/>
    <col min="12804" max="12804" width="46.42578125" style="1986" customWidth="1"/>
    <col min="12805" max="12805" width="12.85546875" style="1986" customWidth="1"/>
    <col min="12806" max="12806" width="15.5703125" style="1986" customWidth="1"/>
    <col min="12807" max="12807" width="15.85546875" style="1986" customWidth="1"/>
    <col min="12808" max="12808" width="6.42578125" style="1986" customWidth="1"/>
    <col min="12809" max="12809" width="14.28515625" style="1986" bestFit="1" customWidth="1"/>
    <col min="12810" max="12810" width="9.140625" style="1986"/>
    <col min="12811" max="12811" width="12.7109375" style="1986" bestFit="1" customWidth="1"/>
    <col min="12812" max="12812" width="13.140625" style="1986" customWidth="1"/>
    <col min="12813" max="13056" width="9.140625" style="1986"/>
    <col min="13057" max="13057" width="4.7109375" style="1986" customWidth="1"/>
    <col min="13058" max="13058" width="6.7109375" style="1986" customWidth="1"/>
    <col min="13059" max="13059" width="8.85546875" style="1986" customWidth="1"/>
    <col min="13060" max="13060" width="46.42578125" style="1986" customWidth="1"/>
    <col min="13061" max="13061" width="12.85546875" style="1986" customWidth="1"/>
    <col min="13062" max="13062" width="15.5703125" style="1986" customWidth="1"/>
    <col min="13063" max="13063" width="15.85546875" style="1986" customWidth="1"/>
    <col min="13064" max="13064" width="6.42578125" style="1986" customWidth="1"/>
    <col min="13065" max="13065" width="14.28515625" style="1986" bestFit="1" customWidth="1"/>
    <col min="13066" max="13066" width="9.140625" style="1986"/>
    <col min="13067" max="13067" width="12.7109375" style="1986" bestFit="1" customWidth="1"/>
    <col min="13068" max="13068" width="13.140625" style="1986" customWidth="1"/>
    <col min="13069" max="13312" width="9.140625" style="1986"/>
    <col min="13313" max="13313" width="4.7109375" style="1986" customWidth="1"/>
    <col min="13314" max="13314" width="6.7109375" style="1986" customWidth="1"/>
    <col min="13315" max="13315" width="8.85546875" style="1986" customWidth="1"/>
    <col min="13316" max="13316" width="46.42578125" style="1986" customWidth="1"/>
    <col min="13317" max="13317" width="12.85546875" style="1986" customWidth="1"/>
    <col min="13318" max="13318" width="15.5703125" style="1986" customWidth="1"/>
    <col min="13319" max="13319" width="15.85546875" style="1986" customWidth="1"/>
    <col min="13320" max="13320" width="6.42578125" style="1986" customWidth="1"/>
    <col min="13321" max="13321" width="14.28515625" style="1986" bestFit="1" customWidth="1"/>
    <col min="13322" max="13322" width="9.140625" style="1986"/>
    <col min="13323" max="13323" width="12.7109375" style="1986" bestFit="1" customWidth="1"/>
    <col min="13324" max="13324" width="13.140625" style="1986" customWidth="1"/>
    <col min="13325" max="13568" width="9.140625" style="1986"/>
    <col min="13569" max="13569" width="4.7109375" style="1986" customWidth="1"/>
    <col min="13570" max="13570" width="6.7109375" style="1986" customWidth="1"/>
    <col min="13571" max="13571" width="8.85546875" style="1986" customWidth="1"/>
    <col min="13572" max="13572" width="46.42578125" style="1986" customWidth="1"/>
    <col min="13573" max="13573" width="12.85546875" style="1986" customWidth="1"/>
    <col min="13574" max="13574" width="15.5703125" style="1986" customWidth="1"/>
    <col min="13575" max="13575" width="15.85546875" style="1986" customWidth="1"/>
    <col min="13576" max="13576" width="6.42578125" style="1986" customWidth="1"/>
    <col min="13577" max="13577" width="14.28515625" style="1986" bestFit="1" customWidth="1"/>
    <col min="13578" max="13578" width="9.140625" style="1986"/>
    <col min="13579" max="13579" width="12.7109375" style="1986" bestFit="1" customWidth="1"/>
    <col min="13580" max="13580" width="13.140625" style="1986" customWidth="1"/>
    <col min="13581" max="13824" width="9.140625" style="1986"/>
    <col min="13825" max="13825" width="4.7109375" style="1986" customWidth="1"/>
    <col min="13826" max="13826" width="6.7109375" style="1986" customWidth="1"/>
    <col min="13827" max="13827" width="8.85546875" style="1986" customWidth="1"/>
    <col min="13828" max="13828" width="46.42578125" style="1986" customWidth="1"/>
    <col min="13829" max="13829" width="12.85546875" style="1986" customWidth="1"/>
    <col min="13830" max="13830" width="15.5703125" style="1986" customWidth="1"/>
    <col min="13831" max="13831" width="15.85546875" style="1986" customWidth="1"/>
    <col min="13832" max="13832" width="6.42578125" style="1986" customWidth="1"/>
    <col min="13833" max="13833" width="14.28515625" style="1986" bestFit="1" customWidth="1"/>
    <col min="13834" max="13834" width="9.140625" style="1986"/>
    <col min="13835" max="13835" width="12.7109375" style="1986" bestFit="1" customWidth="1"/>
    <col min="13836" max="13836" width="13.140625" style="1986" customWidth="1"/>
    <col min="13837" max="14080" width="9.140625" style="1986"/>
    <col min="14081" max="14081" width="4.7109375" style="1986" customWidth="1"/>
    <col min="14082" max="14082" width="6.7109375" style="1986" customWidth="1"/>
    <col min="14083" max="14083" width="8.85546875" style="1986" customWidth="1"/>
    <col min="14084" max="14084" width="46.42578125" style="1986" customWidth="1"/>
    <col min="14085" max="14085" width="12.85546875" style="1986" customWidth="1"/>
    <col min="14086" max="14086" width="15.5703125" style="1986" customWidth="1"/>
    <col min="14087" max="14087" width="15.85546875" style="1986" customWidth="1"/>
    <col min="14088" max="14088" width="6.42578125" style="1986" customWidth="1"/>
    <col min="14089" max="14089" width="14.28515625" style="1986" bestFit="1" customWidth="1"/>
    <col min="14090" max="14090" width="9.140625" style="1986"/>
    <col min="14091" max="14091" width="12.7109375" style="1986" bestFit="1" customWidth="1"/>
    <col min="14092" max="14092" width="13.140625" style="1986" customWidth="1"/>
    <col min="14093" max="14336" width="9.140625" style="1986"/>
    <col min="14337" max="14337" width="4.7109375" style="1986" customWidth="1"/>
    <col min="14338" max="14338" width="6.7109375" style="1986" customWidth="1"/>
    <col min="14339" max="14339" width="8.85546875" style="1986" customWidth="1"/>
    <col min="14340" max="14340" width="46.42578125" style="1986" customWidth="1"/>
    <col min="14341" max="14341" width="12.85546875" style="1986" customWidth="1"/>
    <col min="14342" max="14342" width="15.5703125" style="1986" customWidth="1"/>
    <col min="14343" max="14343" width="15.85546875" style="1986" customWidth="1"/>
    <col min="14344" max="14344" width="6.42578125" style="1986" customWidth="1"/>
    <col min="14345" max="14345" width="14.28515625" style="1986" bestFit="1" customWidth="1"/>
    <col min="14346" max="14346" width="9.140625" style="1986"/>
    <col min="14347" max="14347" width="12.7109375" style="1986" bestFit="1" customWidth="1"/>
    <col min="14348" max="14348" width="13.140625" style="1986" customWidth="1"/>
    <col min="14349" max="14592" width="9.140625" style="1986"/>
    <col min="14593" max="14593" width="4.7109375" style="1986" customWidth="1"/>
    <col min="14594" max="14594" width="6.7109375" style="1986" customWidth="1"/>
    <col min="14595" max="14595" width="8.85546875" style="1986" customWidth="1"/>
    <col min="14596" max="14596" width="46.42578125" style="1986" customWidth="1"/>
    <col min="14597" max="14597" width="12.85546875" style="1986" customWidth="1"/>
    <col min="14598" max="14598" width="15.5703125" style="1986" customWidth="1"/>
    <col min="14599" max="14599" width="15.85546875" style="1986" customWidth="1"/>
    <col min="14600" max="14600" width="6.42578125" style="1986" customWidth="1"/>
    <col min="14601" max="14601" width="14.28515625" style="1986" bestFit="1" customWidth="1"/>
    <col min="14602" max="14602" width="9.140625" style="1986"/>
    <col min="14603" max="14603" width="12.7109375" style="1986" bestFit="1" customWidth="1"/>
    <col min="14604" max="14604" width="13.140625" style="1986" customWidth="1"/>
    <col min="14605" max="14848" width="9.140625" style="1986"/>
    <col min="14849" max="14849" width="4.7109375" style="1986" customWidth="1"/>
    <col min="14850" max="14850" width="6.7109375" style="1986" customWidth="1"/>
    <col min="14851" max="14851" width="8.85546875" style="1986" customWidth="1"/>
    <col min="14852" max="14852" width="46.42578125" style="1986" customWidth="1"/>
    <col min="14853" max="14853" width="12.85546875" style="1986" customWidth="1"/>
    <col min="14854" max="14854" width="15.5703125" style="1986" customWidth="1"/>
    <col min="14855" max="14855" width="15.85546875" style="1986" customWidth="1"/>
    <col min="14856" max="14856" width="6.42578125" style="1986" customWidth="1"/>
    <col min="14857" max="14857" width="14.28515625" style="1986" bestFit="1" customWidth="1"/>
    <col min="14858" max="14858" width="9.140625" style="1986"/>
    <col min="14859" max="14859" width="12.7109375" style="1986" bestFit="1" customWidth="1"/>
    <col min="14860" max="14860" width="13.140625" style="1986" customWidth="1"/>
    <col min="14861" max="15104" width="9.140625" style="1986"/>
    <col min="15105" max="15105" width="4.7109375" style="1986" customWidth="1"/>
    <col min="15106" max="15106" width="6.7109375" style="1986" customWidth="1"/>
    <col min="15107" max="15107" width="8.85546875" style="1986" customWidth="1"/>
    <col min="15108" max="15108" width="46.42578125" style="1986" customWidth="1"/>
    <col min="15109" max="15109" width="12.85546875" style="1986" customWidth="1"/>
    <col min="15110" max="15110" width="15.5703125" style="1986" customWidth="1"/>
    <col min="15111" max="15111" width="15.85546875" style="1986" customWidth="1"/>
    <col min="15112" max="15112" width="6.42578125" style="1986" customWidth="1"/>
    <col min="15113" max="15113" width="14.28515625" style="1986" bestFit="1" customWidth="1"/>
    <col min="15114" max="15114" width="9.140625" style="1986"/>
    <col min="15115" max="15115" width="12.7109375" style="1986" bestFit="1" customWidth="1"/>
    <col min="15116" max="15116" width="13.140625" style="1986" customWidth="1"/>
    <col min="15117" max="15360" width="9.140625" style="1986"/>
    <col min="15361" max="15361" width="4.7109375" style="1986" customWidth="1"/>
    <col min="15362" max="15362" width="6.7109375" style="1986" customWidth="1"/>
    <col min="15363" max="15363" width="8.85546875" style="1986" customWidth="1"/>
    <col min="15364" max="15364" width="46.42578125" style="1986" customWidth="1"/>
    <col min="15365" max="15365" width="12.85546875" style="1986" customWidth="1"/>
    <col min="15366" max="15366" width="15.5703125" style="1986" customWidth="1"/>
    <col min="15367" max="15367" width="15.85546875" style="1986" customWidth="1"/>
    <col min="15368" max="15368" width="6.42578125" style="1986" customWidth="1"/>
    <col min="15369" max="15369" width="14.28515625" style="1986" bestFit="1" customWidth="1"/>
    <col min="15370" max="15370" width="9.140625" style="1986"/>
    <col min="15371" max="15371" width="12.7109375" style="1986" bestFit="1" customWidth="1"/>
    <col min="15372" max="15372" width="13.140625" style="1986" customWidth="1"/>
    <col min="15373" max="15616" width="9.140625" style="1986"/>
    <col min="15617" max="15617" width="4.7109375" style="1986" customWidth="1"/>
    <col min="15618" max="15618" width="6.7109375" style="1986" customWidth="1"/>
    <col min="15619" max="15619" width="8.85546875" style="1986" customWidth="1"/>
    <col min="15620" max="15620" width="46.42578125" style="1986" customWidth="1"/>
    <col min="15621" max="15621" width="12.85546875" style="1986" customWidth="1"/>
    <col min="15622" max="15622" width="15.5703125" style="1986" customWidth="1"/>
    <col min="15623" max="15623" width="15.85546875" style="1986" customWidth="1"/>
    <col min="15624" max="15624" width="6.42578125" style="1986" customWidth="1"/>
    <col min="15625" max="15625" width="14.28515625" style="1986" bestFit="1" customWidth="1"/>
    <col min="15626" max="15626" width="9.140625" style="1986"/>
    <col min="15627" max="15627" width="12.7109375" style="1986" bestFit="1" customWidth="1"/>
    <col min="15628" max="15628" width="13.140625" style="1986" customWidth="1"/>
    <col min="15629" max="15872" width="9.140625" style="1986"/>
    <col min="15873" max="15873" width="4.7109375" style="1986" customWidth="1"/>
    <col min="15874" max="15874" width="6.7109375" style="1986" customWidth="1"/>
    <col min="15875" max="15875" width="8.85546875" style="1986" customWidth="1"/>
    <col min="15876" max="15876" width="46.42578125" style="1986" customWidth="1"/>
    <col min="15877" max="15877" width="12.85546875" style="1986" customWidth="1"/>
    <col min="15878" max="15878" width="15.5703125" style="1986" customWidth="1"/>
    <col min="15879" max="15879" width="15.85546875" style="1986" customWidth="1"/>
    <col min="15880" max="15880" width="6.42578125" style="1986" customWidth="1"/>
    <col min="15881" max="15881" width="14.28515625" style="1986" bestFit="1" customWidth="1"/>
    <col min="15882" max="15882" width="9.140625" style="1986"/>
    <col min="15883" max="15883" width="12.7109375" style="1986" bestFit="1" customWidth="1"/>
    <col min="15884" max="15884" width="13.140625" style="1986" customWidth="1"/>
    <col min="15885" max="16128" width="9.140625" style="1986"/>
    <col min="16129" max="16129" width="4.7109375" style="1986" customWidth="1"/>
    <col min="16130" max="16130" width="6.7109375" style="1986" customWidth="1"/>
    <col min="16131" max="16131" width="8.85546875" style="1986" customWidth="1"/>
    <col min="16132" max="16132" width="46.42578125" style="1986" customWidth="1"/>
    <col min="16133" max="16133" width="12.85546875" style="1986" customWidth="1"/>
    <col min="16134" max="16134" width="15.5703125" style="1986" customWidth="1"/>
    <col min="16135" max="16135" width="15.85546875" style="1986" customWidth="1"/>
    <col min="16136" max="16136" width="6.42578125" style="1986" customWidth="1"/>
    <col min="16137" max="16137" width="14.28515625" style="1986" bestFit="1" customWidth="1"/>
    <col min="16138" max="16138" width="9.140625" style="1986"/>
    <col min="16139" max="16139" width="12.7109375" style="1986" bestFit="1" customWidth="1"/>
    <col min="16140" max="16140" width="13.140625" style="1986" customWidth="1"/>
    <col min="16141" max="16384" width="9.140625" style="1986"/>
  </cols>
  <sheetData>
    <row r="1" spans="1:8" ht="19.5" customHeight="1" thickBot="1" x14ac:dyDescent="0.3">
      <c r="A1" s="1980" t="s">
        <v>1581</v>
      </c>
      <c r="B1" s="1981"/>
      <c r="C1" s="1982"/>
      <c r="D1" s="1983"/>
      <c r="E1" s="1984"/>
      <c r="F1" s="1983"/>
      <c r="G1" s="1985"/>
      <c r="H1" s="1980"/>
    </row>
    <row r="2" spans="1:8" ht="18" x14ac:dyDescent="0.25">
      <c r="A2" s="1987"/>
      <c r="B2" s="1988"/>
      <c r="C2" s="1988"/>
      <c r="D2" s="1988"/>
      <c r="E2" s="1988"/>
      <c r="F2" s="1988"/>
      <c r="G2" s="1988"/>
      <c r="H2" s="1989" t="s">
        <v>1582</v>
      </c>
    </row>
    <row r="3" spans="1:8" ht="18" x14ac:dyDescent="0.25">
      <c r="A3" s="1990" t="s">
        <v>367</v>
      </c>
      <c r="B3" s="1988"/>
      <c r="C3" s="1991" t="s">
        <v>347</v>
      </c>
      <c r="D3" s="1988"/>
      <c r="E3" s="1988"/>
      <c r="F3" s="1988"/>
      <c r="G3" s="1988"/>
      <c r="H3" s="1989"/>
    </row>
    <row r="4" spans="1:8" ht="18" x14ac:dyDescent="0.25">
      <c r="A4" s="1987"/>
      <c r="B4" s="1988"/>
      <c r="C4" s="1991" t="s">
        <v>348</v>
      </c>
      <c r="D4" s="1988"/>
      <c r="E4" s="1988"/>
      <c r="F4" s="1988"/>
      <c r="G4" s="1988"/>
      <c r="H4" s="1989"/>
    </row>
    <row r="5" spans="1:8" ht="18" x14ac:dyDescent="0.25">
      <c r="A5" s="1992" t="s">
        <v>1583</v>
      </c>
      <c r="B5" s="1988"/>
      <c r="C5" s="1988"/>
      <c r="D5" s="1988"/>
      <c r="E5" s="1988"/>
      <c r="F5" s="1988"/>
      <c r="G5" s="1988"/>
      <c r="H5" s="1989"/>
    </row>
    <row r="6" spans="1:8" ht="18" x14ac:dyDescent="0.25">
      <c r="A6" s="1992"/>
      <c r="B6" s="1988"/>
      <c r="C6" s="1988"/>
      <c r="D6" s="1988"/>
      <c r="E6" s="1988"/>
      <c r="F6" s="1988"/>
      <c r="G6" s="1988"/>
      <c r="H6" s="1989"/>
    </row>
    <row r="7" spans="1:8" ht="18" x14ac:dyDescent="0.25">
      <c r="A7" s="1992"/>
      <c r="B7" s="1988"/>
      <c r="C7" s="1988"/>
      <c r="D7" s="1988"/>
      <c r="E7" s="1988"/>
      <c r="F7" s="1988"/>
      <c r="G7" s="1988"/>
      <c r="H7" s="1989"/>
    </row>
    <row r="8" spans="1:8" ht="15" x14ac:dyDescent="0.25">
      <c r="A8" s="2067" t="s">
        <v>1584</v>
      </c>
      <c r="B8" s="1988"/>
      <c r="C8" s="1988"/>
      <c r="D8" s="1988"/>
    </row>
    <row r="9" spans="1:8" ht="15.75" thickBot="1" x14ac:dyDescent="0.3">
      <c r="A9" s="2068" t="s">
        <v>1580</v>
      </c>
      <c r="B9" s="2069"/>
      <c r="C9" s="2069"/>
      <c r="H9" s="1995" t="s">
        <v>161</v>
      </c>
    </row>
    <row r="10" spans="1:8" s="2070" customFormat="1" ht="25.5" thickTop="1" thickBot="1" x14ac:dyDescent="0.25">
      <c r="A10" s="1996" t="s">
        <v>162</v>
      </c>
      <c r="B10" s="1997" t="s">
        <v>761</v>
      </c>
      <c r="C10" s="1997" t="s">
        <v>377</v>
      </c>
      <c r="D10" s="1998" t="s">
        <v>164</v>
      </c>
      <c r="E10" s="1999" t="s">
        <v>632</v>
      </c>
      <c r="F10" s="1999" t="s">
        <v>633</v>
      </c>
      <c r="G10" s="2000" t="s">
        <v>882</v>
      </c>
      <c r="H10" s="2001" t="s">
        <v>883</v>
      </c>
    </row>
    <row r="11" spans="1:8" s="2070" customFormat="1" ht="13.5" thickTop="1" thickBot="1" x14ac:dyDescent="0.25">
      <c r="A11" s="2002">
        <v>1</v>
      </c>
      <c r="B11" s="2003">
        <v>2</v>
      </c>
      <c r="C11" s="2003">
        <v>3</v>
      </c>
      <c r="D11" s="2003">
        <v>4</v>
      </c>
      <c r="E11" s="2004">
        <v>5</v>
      </c>
      <c r="F11" s="2004">
        <v>6</v>
      </c>
      <c r="G11" s="2005">
        <v>7</v>
      </c>
      <c r="H11" s="2006" t="s">
        <v>61</v>
      </c>
    </row>
    <row r="12" spans="1:8" s="2072" customFormat="1" ht="15.75" hidden="1" thickTop="1" x14ac:dyDescent="0.2">
      <c r="A12" s="2012">
        <v>3299</v>
      </c>
      <c r="B12" s="2013">
        <v>5137</v>
      </c>
      <c r="C12" s="2071">
        <v>32133007</v>
      </c>
      <c r="D12" s="2014" t="s">
        <v>155</v>
      </c>
      <c r="E12" s="2015">
        <v>0</v>
      </c>
      <c r="F12" s="2015">
        <v>0</v>
      </c>
      <c r="G12" s="2015">
        <v>0</v>
      </c>
      <c r="H12" s="2016" t="e">
        <f>G12/F12*100</f>
        <v>#DIV/0!</v>
      </c>
    </row>
    <row r="13" spans="1:8" s="2072" customFormat="1" ht="15.75" hidden="1" thickTop="1" x14ac:dyDescent="0.2">
      <c r="A13" s="2012">
        <v>3299</v>
      </c>
      <c r="B13" s="2013">
        <v>5137</v>
      </c>
      <c r="C13" s="2071">
        <v>32533007</v>
      </c>
      <c r="D13" s="2014" t="s">
        <v>608</v>
      </c>
      <c r="E13" s="2015">
        <v>0</v>
      </c>
      <c r="F13" s="2015">
        <v>0</v>
      </c>
      <c r="G13" s="2015">
        <v>0</v>
      </c>
      <c r="H13" s="2016" t="e">
        <f>G13/F13*100</f>
        <v>#DIV/0!</v>
      </c>
    </row>
    <row r="14" spans="1:8" s="2072" customFormat="1" ht="15.75" hidden="1" thickTop="1" x14ac:dyDescent="0.2">
      <c r="A14" s="2012">
        <v>3299</v>
      </c>
      <c r="B14" s="2013">
        <v>5139</v>
      </c>
      <c r="C14" s="2071">
        <v>38100880</v>
      </c>
      <c r="D14" s="2014" t="s">
        <v>270</v>
      </c>
      <c r="E14" s="2015"/>
      <c r="F14" s="2015"/>
      <c r="G14" s="2015"/>
      <c r="H14" s="2016" t="e">
        <f>G14/F14*100</f>
        <v>#DIV/0!</v>
      </c>
    </row>
    <row r="15" spans="1:8" s="2072" customFormat="1" ht="15.75" hidden="1" thickTop="1" x14ac:dyDescent="0.2">
      <c r="A15" s="2012">
        <v>3299</v>
      </c>
      <c r="B15" s="2013">
        <v>5139</v>
      </c>
      <c r="C15" s="2071">
        <v>38100882</v>
      </c>
      <c r="D15" s="2014" t="s">
        <v>270</v>
      </c>
      <c r="E15" s="2015"/>
      <c r="F15" s="2015"/>
      <c r="G15" s="2015"/>
      <c r="H15" s="2016">
        <v>0</v>
      </c>
    </row>
    <row r="16" spans="1:8" s="2072" customFormat="1" ht="15.75" hidden="1" thickTop="1" x14ac:dyDescent="0.2">
      <c r="A16" s="2012">
        <v>3299</v>
      </c>
      <c r="B16" s="2013">
        <v>5139</v>
      </c>
      <c r="C16" s="2071">
        <v>38500881</v>
      </c>
      <c r="D16" s="2014" t="s">
        <v>270</v>
      </c>
      <c r="E16" s="2015"/>
      <c r="F16" s="2015"/>
      <c r="G16" s="2015"/>
      <c r="H16" s="2016" t="e">
        <f>G16/F16*100</f>
        <v>#DIV/0!</v>
      </c>
    </row>
    <row r="17" spans="1:8" s="2072" customFormat="1" ht="15.75" hidden="1" thickTop="1" x14ac:dyDescent="0.2">
      <c r="A17" s="2012">
        <v>3299</v>
      </c>
      <c r="B17" s="2013">
        <v>5162</v>
      </c>
      <c r="C17" s="2071">
        <v>38100880</v>
      </c>
      <c r="D17" s="2014" t="s">
        <v>864</v>
      </c>
      <c r="E17" s="2015"/>
      <c r="F17" s="2015"/>
      <c r="G17" s="2015"/>
      <c r="H17" s="2016" t="e">
        <f>G17/F17*100</f>
        <v>#DIV/0!</v>
      </c>
    </row>
    <row r="18" spans="1:8" s="2072" customFormat="1" ht="15.75" hidden="1" thickTop="1" x14ac:dyDescent="0.2">
      <c r="A18" s="2012">
        <v>3299</v>
      </c>
      <c r="B18" s="2013">
        <v>5162</v>
      </c>
      <c r="C18" s="2071">
        <v>38100882</v>
      </c>
      <c r="D18" s="2014" t="s">
        <v>864</v>
      </c>
      <c r="E18" s="2015"/>
      <c r="F18" s="2015"/>
      <c r="G18" s="2015"/>
      <c r="H18" s="2016">
        <v>0</v>
      </c>
    </row>
    <row r="19" spans="1:8" s="2074" customFormat="1" ht="15.75" hidden="1" thickTop="1" x14ac:dyDescent="0.2">
      <c r="A19" s="2012">
        <v>3299</v>
      </c>
      <c r="B19" s="2073">
        <v>5162</v>
      </c>
      <c r="C19" s="2071">
        <v>38500881</v>
      </c>
      <c r="D19" s="2014" t="s">
        <v>864</v>
      </c>
      <c r="E19" s="2015"/>
      <c r="F19" s="2015"/>
      <c r="G19" s="2015"/>
      <c r="H19" s="2016" t="e">
        <f>G19/F19*100</f>
        <v>#DIV/0!</v>
      </c>
    </row>
    <row r="20" spans="1:8" s="2074" customFormat="1" ht="15.75" hidden="1" thickTop="1" x14ac:dyDescent="0.2">
      <c r="A20" s="2012">
        <v>3299</v>
      </c>
      <c r="B20" s="2073">
        <v>5163</v>
      </c>
      <c r="C20" s="2071">
        <v>38100880</v>
      </c>
      <c r="D20" s="2014" t="s">
        <v>892</v>
      </c>
      <c r="E20" s="2015">
        <v>0</v>
      </c>
      <c r="F20" s="2015">
        <v>0</v>
      </c>
      <c r="G20" s="2015">
        <v>0</v>
      </c>
      <c r="H20" s="2016">
        <v>0</v>
      </c>
    </row>
    <row r="21" spans="1:8" ht="15.75" hidden="1" thickTop="1" x14ac:dyDescent="0.2">
      <c r="A21" s="2012">
        <v>3299</v>
      </c>
      <c r="B21" s="2073">
        <v>5163</v>
      </c>
      <c r="C21" s="2071">
        <v>38100882</v>
      </c>
      <c r="D21" s="2014" t="s">
        <v>892</v>
      </c>
      <c r="E21" s="2015"/>
      <c r="F21" s="2015"/>
      <c r="G21" s="2015"/>
      <c r="H21" s="2016">
        <v>0</v>
      </c>
    </row>
    <row r="22" spans="1:8" ht="15.75" hidden="1" thickTop="1" x14ac:dyDescent="0.2">
      <c r="A22" s="2012">
        <v>3299</v>
      </c>
      <c r="B22" s="2073">
        <v>5163</v>
      </c>
      <c r="C22" s="2071">
        <v>38500881</v>
      </c>
      <c r="D22" s="2014" t="s">
        <v>892</v>
      </c>
      <c r="E22" s="2015">
        <v>0</v>
      </c>
      <c r="F22" s="2015">
        <v>0</v>
      </c>
      <c r="G22" s="2015">
        <v>0</v>
      </c>
      <c r="H22" s="2016" t="e">
        <f>G22/F22*100</f>
        <v>#DIV/0!</v>
      </c>
    </row>
    <row r="23" spans="1:8" ht="15.75" thickTop="1" x14ac:dyDescent="0.2">
      <c r="A23" s="2012">
        <v>3299</v>
      </c>
      <c r="B23" s="2073">
        <v>5164</v>
      </c>
      <c r="C23" s="2071">
        <v>32133007</v>
      </c>
      <c r="D23" s="2014" t="s">
        <v>170</v>
      </c>
      <c r="E23" s="2015">
        <v>0</v>
      </c>
      <c r="F23" s="2015">
        <v>3</v>
      </c>
      <c r="G23" s="2015">
        <v>0</v>
      </c>
      <c r="H23" s="2016">
        <f>G23/F23*100</f>
        <v>0</v>
      </c>
    </row>
    <row r="24" spans="1:8" ht="15" x14ac:dyDescent="0.2">
      <c r="A24" s="2012">
        <v>3299</v>
      </c>
      <c r="B24" s="2073">
        <v>5164</v>
      </c>
      <c r="C24" s="2071">
        <v>32533007</v>
      </c>
      <c r="D24" s="2014" t="s">
        <v>170</v>
      </c>
      <c r="E24" s="2015">
        <v>0</v>
      </c>
      <c r="F24" s="2015">
        <v>17</v>
      </c>
      <c r="G24" s="2015">
        <v>0</v>
      </c>
      <c r="H24" s="2016">
        <f t="shared" ref="H24:H37" si="0">G24/F24*100</f>
        <v>0</v>
      </c>
    </row>
    <row r="25" spans="1:8" ht="15" hidden="1" x14ac:dyDescent="0.2">
      <c r="A25" s="2012">
        <v>3299</v>
      </c>
      <c r="B25" s="2073">
        <v>5164</v>
      </c>
      <c r="C25" s="2071">
        <v>38500881</v>
      </c>
      <c r="D25" s="2014" t="s">
        <v>170</v>
      </c>
      <c r="E25" s="2015">
        <v>0</v>
      </c>
      <c r="F25" s="2015">
        <v>0</v>
      </c>
      <c r="G25" s="2015">
        <v>0</v>
      </c>
      <c r="H25" s="2016" t="e">
        <f t="shared" si="0"/>
        <v>#DIV/0!</v>
      </c>
    </row>
    <row r="26" spans="1:8" ht="15" hidden="1" x14ac:dyDescent="0.2">
      <c r="A26" s="2012">
        <v>3299</v>
      </c>
      <c r="B26" s="2073">
        <v>5166</v>
      </c>
      <c r="C26" s="2071">
        <v>38100880</v>
      </c>
      <c r="D26" s="2014" t="s">
        <v>609</v>
      </c>
      <c r="E26" s="2015">
        <v>0</v>
      </c>
      <c r="F26" s="2015">
        <v>0</v>
      </c>
      <c r="G26" s="2015">
        <v>0</v>
      </c>
      <c r="H26" s="2016" t="e">
        <f t="shared" si="0"/>
        <v>#DIV/0!</v>
      </c>
    </row>
    <row r="27" spans="1:8" ht="15" x14ac:dyDescent="0.2">
      <c r="A27" s="2012">
        <v>3299</v>
      </c>
      <c r="B27" s="2073">
        <v>5166</v>
      </c>
      <c r="C27" s="2071">
        <v>32133007</v>
      </c>
      <c r="D27" s="2014" t="s">
        <v>609</v>
      </c>
      <c r="E27" s="2015">
        <v>0</v>
      </c>
      <c r="F27" s="2015">
        <v>5</v>
      </c>
      <c r="G27" s="2015">
        <v>0</v>
      </c>
      <c r="H27" s="2016">
        <f t="shared" si="0"/>
        <v>0</v>
      </c>
    </row>
    <row r="28" spans="1:8" ht="15" x14ac:dyDescent="0.2">
      <c r="A28" s="2012">
        <v>3299</v>
      </c>
      <c r="B28" s="2073">
        <v>5166</v>
      </c>
      <c r="C28" s="2071">
        <v>32533007</v>
      </c>
      <c r="D28" s="2014" t="s">
        <v>609</v>
      </c>
      <c r="E28" s="2015">
        <v>0</v>
      </c>
      <c r="F28" s="2015">
        <v>28</v>
      </c>
      <c r="G28" s="2015">
        <v>0</v>
      </c>
      <c r="H28" s="2016">
        <f t="shared" si="0"/>
        <v>0</v>
      </c>
    </row>
    <row r="29" spans="1:8" ht="15" hidden="1" x14ac:dyDescent="0.2">
      <c r="A29" s="2012">
        <v>3299</v>
      </c>
      <c r="B29" s="2073">
        <v>5167</v>
      </c>
      <c r="C29" s="2071">
        <v>38100880</v>
      </c>
      <c r="D29" s="2014" t="s">
        <v>300</v>
      </c>
      <c r="E29" s="2015"/>
      <c r="F29" s="2015"/>
      <c r="G29" s="2015"/>
      <c r="H29" s="2016" t="e">
        <f t="shared" si="0"/>
        <v>#DIV/0!</v>
      </c>
    </row>
    <row r="30" spans="1:8" ht="15" hidden="1" x14ac:dyDescent="0.2">
      <c r="A30" s="2012">
        <v>3299</v>
      </c>
      <c r="B30" s="2073">
        <v>5167</v>
      </c>
      <c r="C30" s="2071">
        <v>38100882</v>
      </c>
      <c r="D30" s="2014" t="s">
        <v>300</v>
      </c>
      <c r="E30" s="2015"/>
      <c r="F30" s="2015"/>
      <c r="G30" s="2015"/>
      <c r="H30" s="2016" t="e">
        <f t="shared" si="0"/>
        <v>#DIV/0!</v>
      </c>
    </row>
    <row r="31" spans="1:8" ht="15" hidden="1" x14ac:dyDescent="0.2">
      <c r="A31" s="2012">
        <v>3299</v>
      </c>
      <c r="B31" s="2073">
        <v>5167</v>
      </c>
      <c r="C31" s="2071">
        <v>38500881</v>
      </c>
      <c r="D31" s="2014" t="s">
        <v>300</v>
      </c>
      <c r="E31" s="2015"/>
      <c r="F31" s="2015"/>
      <c r="G31" s="2015"/>
      <c r="H31" s="2016" t="e">
        <f t="shared" si="0"/>
        <v>#DIV/0!</v>
      </c>
    </row>
    <row r="32" spans="1:8" ht="15" hidden="1" x14ac:dyDescent="0.2">
      <c r="A32" s="2012">
        <v>3299</v>
      </c>
      <c r="B32" s="2073">
        <v>5169</v>
      </c>
      <c r="C32" s="2071">
        <v>38100880</v>
      </c>
      <c r="D32" s="2014" t="s">
        <v>852</v>
      </c>
      <c r="E32" s="2015">
        <v>0</v>
      </c>
      <c r="F32" s="2015">
        <v>0</v>
      </c>
      <c r="G32" s="2015">
        <v>0</v>
      </c>
      <c r="H32" s="2016" t="e">
        <f t="shared" si="0"/>
        <v>#DIV/0!</v>
      </c>
    </row>
    <row r="33" spans="1:9" ht="15" hidden="1" x14ac:dyDescent="0.2">
      <c r="A33" s="2012">
        <v>3299</v>
      </c>
      <c r="B33" s="2073">
        <v>5169</v>
      </c>
      <c r="C33" s="2071">
        <v>38100882</v>
      </c>
      <c r="D33" s="2014" t="s">
        <v>852</v>
      </c>
      <c r="E33" s="2015"/>
      <c r="F33" s="2015"/>
      <c r="G33" s="2015"/>
      <c r="H33" s="2016" t="e">
        <f t="shared" si="0"/>
        <v>#DIV/0!</v>
      </c>
    </row>
    <row r="34" spans="1:9" ht="15" hidden="1" x14ac:dyDescent="0.2">
      <c r="A34" s="2012">
        <v>3299</v>
      </c>
      <c r="B34" s="2073">
        <v>5169</v>
      </c>
      <c r="C34" s="2071">
        <v>38500881</v>
      </c>
      <c r="D34" s="2014" t="s">
        <v>852</v>
      </c>
      <c r="E34" s="2015">
        <v>0</v>
      </c>
      <c r="F34" s="2015">
        <v>0</v>
      </c>
      <c r="G34" s="2015">
        <v>0</v>
      </c>
      <c r="H34" s="2016" t="e">
        <f t="shared" si="0"/>
        <v>#DIV/0!</v>
      </c>
    </row>
    <row r="35" spans="1:9" ht="15" hidden="1" x14ac:dyDescent="0.2">
      <c r="A35" s="2012">
        <v>3299</v>
      </c>
      <c r="B35" s="2073">
        <v>5173</v>
      </c>
      <c r="C35" s="2071">
        <v>38100880</v>
      </c>
      <c r="D35" s="2014" t="s">
        <v>1152</v>
      </c>
      <c r="E35" s="2015">
        <v>0</v>
      </c>
      <c r="F35" s="2015">
        <v>0</v>
      </c>
      <c r="G35" s="2015">
        <v>0</v>
      </c>
      <c r="H35" s="2016" t="e">
        <f t="shared" si="0"/>
        <v>#DIV/0!</v>
      </c>
    </row>
    <row r="36" spans="1:9" ht="15" hidden="1" x14ac:dyDescent="0.2">
      <c r="A36" s="2012">
        <v>3299</v>
      </c>
      <c r="B36" s="2073">
        <v>5173</v>
      </c>
      <c r="C36" s="2071">
        <v>38100882</v>
      </c>
      <c r="D36" s="2014" t="s">
        <v>1152</v>
      </c>
      <c r="E36" s="2015"/>
      <c r="F36" s="2015"/>
      <c r="G36" s="2015"/>
      <c r="H36" s="2016" t="e">
        <f t="shared" si="0"/>
        <v>#DIV/0!</v>
      </c>
    </row>
    <row r="37" spans="1:9" ht="15" hidden="1" x14ac:dyDescent="0.2">
      <c r="A37" s="2012">
        <v>3299</v>
      </c>
      <c r="B37" s="2073">
        <v>5173</v>
      </c>
      <c r="C37" s="2071">
        <v>38500881</v>
      </c>
      <c r="D37" s="2014" t="s">
        <v>1152</v>
      </c>
      <c r="E37" s="2015">
        <v>0</v>
      </c>
      <c r="F37" s="2015">
        <v>0</v>
      </c>
      <c r="G37" s="2015">
        <v>0</v>
      </c>
      <c r="H37" s="2016" t="e">
        <f t="shared" si="0"/>
        <v>#DIV/0!</v>
      </c>
    </row>
    <row r="38" spans="1:9" ht="15" x14ac:dyDescent="0.2">
      <c r="A38" s="2012">
        <v>3299</v>
      </c>
      <c r="B38" s="2073">
        <v>5175</v>
      </c>
      <c r="C38" s="2071">
        <v>32133007</v>
      </c>
      <c r="D38" s="2014" t="s">
        <v>669</v>
      </c>
      <c r="E38" s="2015">
        <v>0</v>
      </c>
      <c r="F38" s="2015">
        <v>6</v>
      </c>
      <c r="G38" s="2015">
        <v>0</v>
      </c>
      <c r="H38" s="2016">
        <f>G38/F38*100</f>
        <v>0</v>
      </c>
    </row>
    <row r="39" spans="1:9" ht="15" hidden="1" x14ac:dyDescent="0.2">
      <c r="A39" s="2012">
        <v>3299</v>
      </c>
      <c r="B39" s="2073">
        <v>5175</v>
      </c>
      <c r="C39" s="2071">
        <v>38100882</v>
      </c>
      <c r="D39" s="2014" t="s">
        <v>669</v>
      </c>
      <c r="E39" s="2015"/>
      <c r="F39" s="2015"/>
      <c r="G39" s="2015"/>
      <c r="H39" s="2016">
        <v>0</v>
      </c>
    </row>
    <row r="40" spans="1:9" ht="15" x14ac:dyDescent="0.2">
      <c r="A40" s="2012">
        <v>3299</v>
      </c>
      <c r="B40" s="2073">
        <v>5175</v>
      </c>
      <c r="C40" s="2071">
        <v>32533007</v>
      </c>
      <c r="D40" s="2014" t="s">
        <v>669</v>
      </c>
      <c r="E40" s="2015">
        <v>0</v>
      </c>
      <c r="F40" s="2015">
        <v>34</v>
      </c>
      <c r="G40" s="2015">
        <v>2</v>
      </c>
      <c r="H40" s="2016">
        <f>G40/F40*100</f>
        <v>5.8823529411764701</v>
      </c>
    </row>
    <row r="41" spans="1:9" ht="15" hidden="1" x14ac:dyDescent="0.2">
      <c r="A41" s="2012">
        <v>3299</v>
      </c>
      <c r="B41" s="2013">
        <v>5176</v>
      </c>
      <c r="C41" s="2071">
        <v>38100880</v>
      </c>
      <c r="D41" s="2014" t="s">
        <v>1247</v>
      </c>
      <c r="E41" s="2015"/>
      <c r="F41" s="2015"/>
      <c r="G41" s="2015"/>
      <c r="H41" s="2016" t="e">
        <f>G41/F41*100</f>
        <v>#DIV/0!</v>
      </c>
    </row>
    <row r="42" spans="1:9" ht="15" hidden="1" x14ac:dyDescent="0.2">
      <c r="A42" s="2012">
        <v>3299</v>
      </c>
      <c r="B42" s="2013">
        <v>5176</v>
      </c>
      <c r="C42" s="2071">
        <v>38100881</v>
      </c>
      <c r="D42" s="2014" t="s">
        <v>1247</v>
      </c>
      <c r="E42" s="2015"/>
      <c r="F42" s="2015"/>
      <c r="G42" s="2015"/>
      <c r="H42" s="2016" t="e">
        <f>G42/F42*100</f>
        <v>#DIV/0!</v>
      </c>
    </row>
    <row r="43" spans="1:9" ht="15" hidden="1" x14ac:dyDescent="0.2">
      <c r="A43" s="2012">
        <v>3299</v>
      </c>
      <c r="B43" s="2013">
        <v>6111</v>
      </c>
      <c r="C43" s="2071">
        <v>38100880</v>
      </c>
      <c r="D43" s="2014" t="s">
        <v>897</v>
      </c>
      <c r="E43" s="2015"/>
      <c r="F43" s="2015"/>
      <c r="G43" s="2015"/>
      <c r="H43" s="2016" t="e">
        <f>G43/F43*100</f>
        <v>#DIV/0!</v>
      </c>
    </row>
    <row r="44" spans="1:9" ht="15" hidden="1" x14ac:dyDescent="0.2">
      <c r="A44" s="2012">
        <v>3299</v>
      </c>
      <c r="B44" s="2013">
        <v>6111</v>
      </c>
      <c r="C44" s="2071">
        <v>38100882</v>
      </c>
      <c r="D44" s="2014" t="s">
        <v>897</v>
      </c>
      <c r="E44" s="2015"/>
      <c r="F44" s="2015"/>
      <c r="G44" s="2015"/>
      <c r="H44" s="2016">
        <v>0</v>
      </c>
    </row>
    <row r="45" spans="1:9" s="2074" customFormat="1" ht="15" hidden="1" x14ac:dyDescent="0.2">
      <c r="A45" s="2012">
        <v>3299</v>
      </c>
      <c r="B45" s="2013">
        <v>6111</v>
      </c>
      <c r="C45" s="2071">
        <v>38500881</v>
      </c>
      <c r="D45" s="2014" t="s">
        <v>897</v>
      </c>
      <c r="E45" s="2015"/>
      <c r="F45" s="2015"/>
      <c r="G45" s="2015"/>
      <c r="H45" s="2016" t="e">
        <f>G45/F45*100</f>
        <v>#DIV/0!</v>
      </c>
    </row>
    <row r="46" spans="1:9" s="2074" customFormat="1" ht="15" hidden="1" x14ac:dyDescent="0.2">
      <c r="A46" s="2012">
        <v>6409</v>
      </c>
      <c r="B46" s="2013">
        <v>5909</v>
      </c>
      <c r="C46" s="2071">
        <v>0</v>
      </c>
      <c r="D46" s="2014"/>
      <c r="E46" s="2015"/>
      <c r="F46" s="2015"/>
      <c r="G46" s="2015"/>
      <c r="H46" s="2016"/>
    </row>
    <row r="47" spans="1:9" s="2074" customFormat="1" ht="15.75" thickBot="1" x14ac:dyDescent="0.25">
      <c r="A47" s="2012">
        <v>6330</v>
      </c>
      <c r="B47" s="2013">
        <v>5345</v>
      </c>
      <c r="C47" s="2071">
        <v>0</v>
      </c>
      <c r="D47" s="2014" t="s">
        <v>767</v>
      </c>
      <c r="E47" s="2015">
        <v>0</v>
      </c>
      <c r="F47" s="2015">
        <v>0</v>
      </c>
      <c r="G47" s="2015">
        <v>23</v>
      </c>
      <c r="H47" s="2018">
        <v>0</v>
      </c>
    </row>
    <row r="48" spans="1:9" s="2076" customFormat="1" ht="16.5" thickTop="1" thickBot="1" x14ac:dyDescent="0.3">
      <c r="A48" s="2757" t="s">
        <v>763</v>
      </c>
      <c r="B48" s="2758"/>
      <c r="C48" s="2758"/>
      <c r="D48" s="2758"/>
      <c r="E48" s="2019">
        <f>SUM(E12:E47)</f>
        <v>0</v>
      </c>
      <c r="F48" s="2019">
        <f>SUM(F12:F47)</f>
        <v>93</v>
      </c>
      <c r="G48" s="2019">
        <f>SUM(G12:G47)</f>
        <v>25</v>
      </c>
      <c r="H48" s="2020">
        <f>G48/F48*100</f>
        <v>26.881720430107524</v>
      </c>
      <c r="I48" s="2075"/>
    </row>
    <row r="49" spans="1:12" ht="13.5" thickTop="1" x14ac:dyDescent="0.2">
      <c r="I49" s="1994"/>
    </row>
    <row r="50" spans="1:12" x14ac:dyDescent="0.2">
      <c r="I50" s="1994"/>
    </row>
    <row r="51" spans="1:12" x14ac:dyDescent="0.2">
      <c r="I51" s="1994"/>
    </row>
    <row r="52" spans="1:12" x14ac:dyDescent="0.2">
      <c r="I52" s="1994"/>
    </row>
    <row r="54" spans="1:12" ht="16.5" x14ac:dyDescent="0.25">
      <c r="A54" s="2040" t="s">
        <v>465</v>
      </c>
      <c r="B54" s="2041"/>
      <c r="C54" s="2042"/>
      <c r="D54" s="2043"/>
      <c r="E54" s="2044">
        <f>SUM(E55:E57)</f>
        <v>0</v>
      </c>
      <c r="F54" s="2044">
        <f>F55+F56+F57+F58</f>
        <v>93</v>
      </c>
      <c r="G54" s="2044">
        <f>G55+G56+G57+G58</f>
        <v>25</v>
      </c>
      <c r="H54" s="2045">
        <f>G54/F54*100</f>
        <v>26.881720430107524</v>
      </c>
      <c r="J54" s="2046">
        <f>J55+J56+J57</f>
        <v>0</v>
      </c>
      <c r="K54" s="2046">
        <f>K55+K56+K57</f>
        <v>93181.84</v>
      </c>
      <c r="L54" s="2046">
        <f>L55+L56+L57</f>
        <v>25097.17</v>
      </c>
    </row>
    <row r="55" spans="1:12" ht="15" x14ac:dyDescent="0.2">
      <c r="A55" s="2047" t="s">
        <v>263</v>
      </c>
      <c r="B55" s="2048"/>
      <c r="C55" s="2049"/>
      <c r="D55" s="2050"/>
      <c r="E55" s="2051">
        <f>E23+E24+E27+E28+E38+E40</f>
        <v>0</v>
      </c>
      <c r="F55" s="2051">
        <f t="shared" ref="F55:G55" si="1">F23+F24+F27+F28+F38+F40</f>
        <v>93</v>
      </c>
      <c r="G55" s="2051">
        <f t="shared" si="1"/>
        <v>2</v>
      </c>
      <c r="H55" s="2052">
        <f>G55/F55*100</f>
        <v>2.1505376344086025</v>
      </c>
      <c r="J55" s="2053">
        <v>0</v>
      </c>
      <c r="K55" s="2053">
        <v>93181.84</v>
      </c>
      <c r="L55" s="2053">
        <v>2265</v>
      </c>
    </row>
    <row r="56" spans="1:12" ht="15" x14ac:dyDescent="0.2">
      <c r="A56" s="2047" t="s">
        <v>264</v>
      </c>
      <c r="B56" s="2054"/>
      <c r="C56" s="2049"/>
      <c r="D56" s="2055"/>
      <c r="E56" s="2051">
        <v>0</v>
      </c>
      <c r="F56" s="2051">
        <v>0</v>
      </c>
      <c r="G56" s="2051">
        <v>0</v>
      </c>
      <c r="H56" s="2052">
        <v>0</v>
      </c>
      <c r="J56" s="2053">
        <v>0</v>
      </c>
      <c r="K56" s="2053">
        <v>0</v>
      </c>
      <c r="L56" s="2053">
        <v>0</v>
      </c>
    </row>
    <row r="57" spans="1:12" ht="15" x14ac:dyDescent="0.2">
      <c r="A57" s="2047" t="s">
        <v>466</v>
      </c>
      <c r="B57" s="2054"/>
      <c r="C57" s="2049"/>
      <c r="D57" s="2055"/>
      <c r="E57" s="2051">
        <f>E47</f>
        <v>0</v>
      </c>
      <c r="F57" s="2051">
        <f>F47</f>
        <v>0</v>
      </c>
      <c r="G57" s="2051">
        <f>G47</f>
        <v>23</v>
      </c>
      <c r="H57" s="2052">
        <v>0</v>
      </c>
      <c r="J57" s="2053">
        <v>0</v>
      </c>
      <c r="K57" s="2053">
        <v>0</v>
      </c>
      <c r="L57" s="2053">
        <v>22832.17</v>
      </c>
    </row>
    <row r="58" spans="1:12" ht="15" x14ac:dyDescent="0.2">
      <c r="A58" s="2047"/>
      <c r="B58" s="2054"/>
      <c r="C58" s="2049"/>
      <c r="D58" s="2055"/>
      <c r="E58" s="2051"/>
      <c r="F58" s="2051"/>
      <c r="G58" s="2051"/>
      <c r="H58" s="2056"/>
    </row>
    <row r="59" spans="1:12" ht="46.5" customHeight="1" thickBot="1" x14ac:dyDescent="0.4">
      <c r="A59" s="2754" t="s">
        <v>1584</v>
      </c>
      <c r="B59" s="2755"/>
      <c r="C59" s="2755"/>
      <c r="D59" s="2755"/>
      <c r="E59" s="2057">
        <f>SUM(E54)</f>
        <v>0</v>
      </c>
      <c r="F59" s="2057">
        <f>SUM(F54)</f>
        <v>93</v>
      </c>
      <c r="G59" s="2057">
        <f>SUM(G54)</f>
        <v>25</v>
      </c>
      <c r="H59" s="2058">
        <f>(G59/F59)*100</f>
        <v>26.881720430107524</v>
      </c>
    </row>
    <row r="60" spans="1:12" ht="13.5" thickTop="1" x14ac:dyDescent="0.2"/>
    <row r="179" spans="1:5" ht="13.5" thickBot="1" x14ac:dyDescent="0.25">
      <c r="A179" s="2077"/>
      <c r="B179" s="2077"/>
      <c r="C179" s="2077"/>
      <c r="D179" s="2078"/>
      <c r="E179" s="2079"/>
    </row>
    <row r="180" spans="1:5" ht="13.5" thickTop="1" x14ac:dyDescent="0.2">
      <c r="A180" s="2080"/>
      <c r="B180" s="2080"/>
      <c r="C180" s="2080"/>
      <c r="D180" s="2081"/>
      <c r="E180" s="2082"/>
    </row>
    <row r="181" spans="1:5" x14ac:dyDescent="0.2">
      <c r="D181" s="1986" t="e">
        <f>#REF!+#REF!</f>
        <v>#REF!</v>
      </c>
    </row>
  </sheetData>
  <mergeCells count="2">
    <mergeCell ref="A48:D48"/>
    <mergeCell ref="A59:D59"/>
  </mergeCells>
  <pageMargins left="0.70866141732283472" right="0.70866141732283472" top="0.78740157480314965" bottom="0.78740157480314965" header="0.31496062992125984" footer="0.31496062992125984"/>
  <pageSetup paperSize="9" scale="70" firstPageNumber="173" orientation="portrait" useFirstPageNumber="1" r:id="rId1"/>
  <headerFooter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colBreaks count="1" manualBreakCount="1">
    <brk id="9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94"/>
  <sheetViews>
    <sheetView view="pageBreakPreview" topLeftCell="A2" zoomScaleNormal="100" zoomScaleSheetLayoutView="100" workbookViewId="0">
      <selection activeCell="I10" sqref="I10"/>
    </sheetView>
  </sheetViews>
  <sheetFormatPr defaultRowHeight="12.75" x14ac:dyDescent="0.2"/>
  <cols>
    <col min="1" max="1" width="5.5703125" style="1986" customWidth="1"/>
    <col min="2" max="2" width="6.7109375" style="1986" customWidth="1"/>
    <col min="3" max="3" width="8.85546875" style="1986" customWidth="1"/>
    <col min="4" max="4" width="47.85546875" style="1986" customWidth="1"/>
    <col min="5" max="5" width="12.85546875" style="1986" customWidth="1"/>
    <col min="6" max="6" width="15.5703125" style="1986" customWidth="1"/>
    <col min="7" max="7" width="15.85546875" style="1986" customWidth="1"/>
    <col min="8" max="8" width="8.7109375" style="1986" customWidth="1"/>
    <col min="9" max="9" width="9.140625" style="1986"/>
    <col min="10" max="11" width="16" style="1986" bestFit="1" customWidth="1"/>
    <col min="12" max="12" width="16.42578125" style="1986" customWidth="1"/>
    <col min="13" max="256" width="9.140625" style="1986"/>
    <col min="257" max="257" width="5.5703125" style="1986" customWidth="1"/>
    <col min="258" max="258" width="6.7109375" style="1986" customWidth="1"/>
    <col min="259" max="259" width="8.85546875" style="1986" customWidth="1"/>
    <col min="260" max="260" width="47.85546875" style="1986" customWidth="1"/>
    <col min="261" max="261" width="12.85546875" style="1986" customWidth="1"/>
    <col min="262" max="262" width="15.5703125" style="1986" customWidth="1"/>
    <col min="263" max="263" width="15.85546875" style="1986" customWidth="1"/>
    <col min="264" max="264" width="6.42578125" style="1986" customWidth="1"/>
    <col min="265" max="266" width="9.140625" style="1986"/>
    <col min="267" max="268" width="14.7109375" style="1986" bestFit="1" customWidth="1"/>
    <col min="269" max="512" width="9.140625" style="1986"/>
    <col min="513" max="513" width="5.5703125" style="1986" customWidth="1"/>
    <col min="514" max="514" width="6.7109375" style="1986" customWidth="1"/>
    <col min="515" max="515" width="8.85546875" style="1986" customWidth="1"/>
    <col min="516" max="516" width="47.85546875" style="1986" customWidth="1"/>
    <col min="517" max="517" width="12.85546875" style="1986" customWidth="1"/>
    <col min="518" max="518" width="15.5703125" style="1986" customWidth="1"/>
    <col min="519" max="519" width="15.85546875" style="1986" customWidth="1"/>
    <col min="520" max="520" width="6.42578125" style="1986" customWidth="1"/>
    <col min="521" max="522" width="9.140625" style="1986"/>
    <col min="523" max="524" width="14.7109375" style="1986" bestFit="1" customWidth="1"/>
    <col min="525" max="768" width="9.140625" style="1986"/>
    <col min="769" max="769" width="5.5703125" style="1986" customWidth="1"/>
    <col min="770" max="770" width="6.7109375" style="1986" customWidth="1"/>
    <col min="771" max="771" width="8.85546875" style="1986" customWidth="1"/>
    <col min="772" max="772" width="47.85546875" style="1986" customWidth="1"/>
    <col min="773" max="773" width="12.85546875" style="1986" customWidth="1"/>
    <col min="774" max="774" width="15.5703125" style="1986" customWidth="1"/>
    <col min="775" max="775" width="15.85546875" style="1986" customWidth="1"/>
    <col min="776" max="776" width="6.42578125" style="1986" customWidth="1"/>
    <col min="777" max="778" width="9.140625" style="1986"/>
    <col min="779" max="780" width="14.7109375" style="1986" bestFit="1" customWidth="1"/>
    <col min="781" max="1024" width="9.140625" style="1986"/>
    <col min="1025" max="1025" width="5.5703125" style="1986" customWidth="1"/>
    <col min="1026" max="1026" width="6.7109375" style="1986" customWidth="1"/>
    <col min="1027" max="1027" width="8.85546875" style="1986" customWidth="1"/>
    <col min="1028" max="1028" width="47.85546875" style="1986" customWidth="1"/>
    <col min="1029" max="1029" width="12.85546875" style="1986" customWidth="1"/>
    <col min="1030" max="1030" width="15.5703125" style="1986" customWidth="1"/>
    <col min="1031" max="1031" width="15.85546875" style="1986" customWidth="1"/>
    <col min="1032" max="1032" width="6.42578125" style="1986" customWidth="1"/>
    <col min="1033" max="1034" width="9.140625" style="1986"/>
    <col min="1035" max="1036" width="14.7109375" style="1986" bestFit="1" customWidth="1"/>
    <col min="1037" max="1280" width="9.140625" style="1986"/>
    <col min="1281" max="1281" width="5.5703125" style="1986" customWidth="1"/>
    <col min="1282" max="1282" width="6.7109375" style="1986" customWidth="1"/>
    <col min="1283" max="1283" width="8.85546875" style="1986" customWidth="1"/>
    <col min="1284" max="1284" width="47.85546875" style="1986" customWidth="1"/>
    <col min="1285" max="1285" width="12.85546875" style="1986" customWidth="1"/>
    <col min="1286" max="1286" width="15.5703125" style="1986" customWidth="1"/>
    <col min="1287" max="1287" width="15.85546875" style="1986" customWidth="1"/>
    <col min="1288" max="1288" width="6.42578125" style="1986" customWidth="1"/>
    <col min="1289" max="1290" width="9.140625" style="1986"/>
    <col min="1291" max="1292" width="14.7109375" style="1986" bestFit="1" customWidth="1"/>
    <col min="1293" max="1536" width="9.140625" style="1986"/>
    <col min="1537" max="1537" width="5.5703125" style="1986" customWidth="1"/>
    <col min="1538" max="1538" width="6.7109375" style="1986" customWidth="1"/>
    <col min="1539" max="1539" width="8.85546875" style="1986" customWidth="1"/>
    <col min="1540" max="1540" width="47.85546875" style="1986" customWidth="1"/>
    <col min="1541" max="1541" width="12.85546875" style="1986" customWidth="1"/>
    <col min="1542" max="1542" width="15.5703125" style="1986" customWidth="1"/>
    <col min="1543" max="1543" width="15.85546875" style="1986" customWidth="1"/>
    <col min="1544" max="1544" width="6.42578125" style="1986" customWidth="1"/>
    <col min="1545" max="1546" width="9.140625" style="1986"/>
    <col min="1547" max="1548" width="14.7109375" style="1986" bestFit="1" customWidth="1"/>
    <col min="1549" max="1792" width="9.140625" style="1986"/>
    <col min="1793" max="1793" width="5.5703125" style="1986" customWidth="1"/>
    <col min="1794" max="1794" width="6.7109375" style="1986" customWidth="1"/>
    <col min="1795" max="1795" width="8.85546875" style="1986" customWidth="1"/>
    <col min="1796" max="1796" width="47.85546875" style="1986" customWidth="1"/>
    <col min="1797" max="1797" width="12.85546875" style="1986" customWidth="1"/>
    <col min="1798" max="1798" width="15.5703125" style="1986" customWidth="1"/>
    <col min="1799" max="1799" width="15.85546875" style="1986" customWidth="1"/>
    <col min="1800" max="1800" width="6.42578125" style="1986" customWidth="1"/>
    <col min="1801" max="1802" width="9.140625" style="1986"/>
    <col min="1803" max="1804" width="14.7109375" style="1986" bestFit="1" customWidth="1"/>
    <col min="1805" max="2048" width="9.140625" style="1986"/>
    <col min="2049" max="2049" width="5.5703125" style="1986" customWidth="1"/>
    <col min="2050" max="2050" width="6.7109375" style="1986" customWidth="1"/>
    <col min="2051" max="2051" width="8.85546875" style="1986" customWidth="1"/>
    <col min="2052" max="2052" width="47.85546875" style="1986" customWidth="1"/>
    <col min="2053" max="2053" width="12.85546875" style="1986" customWidth="1"/>
    <col min="2054" max="2054" width="15.5703125" style="1986" customWidth="1"/>
    <col min="2055" max="2055" width="15.85546875" style="1986" customWidth="1"/>
    <col min="2056" max="2056" width="6.42578125" style="1986" customWidth="1"/>
    <col min="2057" max="2058" width="9.140625" style="1986"/>
    <col min="2059" max="2060" width="14.7109375" style="1986" bestFit="1" customWidth="1"/>
    <col min="2061" max="2304" width="9.140625" style="1986"/>
    <col min="2305" max="2305" width="5.5703125" style="1986" customWidth="1"/>
    <col min="2306" max="2306" width="6.7109375" style="1986" customWidth="1"/>
    <col min="2307" max="2307" width="8.85546875" style="1986" customWidth="1"/>
    <col min="2308" max="2308" width="47.85546875" style="1986" customWidth="1"/>
    <col min="2309" max="2309" width="12.85546875" style="1986" customWidth="1"/>
    <col min="2310" max="2310" width="15.5703125" style="1986" customWidth="1"/>
    <col min="2311" max="2311" width="15.85546875" style="1986" customWidth="1"/>
    <col min="2312" max="2312" width="6.42578125" style="1986" customWidth="1"/>
    <col min="2313" max="2314" width="9.140625" style="1986"/>
    <col min="2315" max="2316" width="14.7109375" style="1986" bestFit="1" customWidth="1"/>
    <col min="2317" max="2560" width="9.140625" style="1986"/>
    <col min="2561" max="2561" width="5.5703125" style="1986" customWidth="1"/>
    <col min="2562" max="2562" width="6.7109375" style="1986" customWidth="1"/>
    <col min="2563" max="2563" width="8.85546875" style="1986" customWidth="1"/>
    <col min="2564" max="2564" width="47.85546875" style="1986" customWidth="1"/>
    <col min="2565" max="2565" width="12.85546875" style="1986" customWidth="1"/>
    <col min="2566" max="2566" width="15.5703125" style="1986" customWidth="1"/>
    <col min="2567" max="2567" width="15.85546875" style="1986" customWidth="1"/>
    <col min="2568" max="2568" width="6.42578125" style="1986" customWidth="1"/>
    <col min="2569" max="2570" width="9.140625" style="1986"/>
    <col min="2571" max="2572" width="14.7109375" style="1986" bestFit="1" customWidth="1"/>
    <col min="2573" max="2816" width="9.140625" style="1986"/>
    <col min="2817" max="2817" width="5.5703125" style="1986" customWidth="1"/>
    <col min="2818" max="2818" width="6.7109375" style="1986" customWidth="1"/>
    <col min="2819" max="2819" width="8.85546875" style="1986" customWidth="1"/>
    <col min="2820" max="2820" width="47.85546875" style="1986" customWidth="1"/>
    <col min="2821" max="2821" width="12.85546875" style="1986" customWidth="1"/>
    <col min="2822" max="2822" width="15.5703125" style="1986" customWidth="1"/>
    <col min="2823" max="2823" width="15.85546875" style="1986" customWidth="1"/>
    <col min="2824" max="2824" width="6.42578125" style="1986" customWidth="1"/>
    <col min="2825" max="2826" width="9.140625" style="1986"/>
    <col min="2827" max="2828" width="14.7109375" style="1986" bestFit="1" customWidth="1"/>
    <col min="2829" max="3072" width="9.140625" style="1986"/>
    <col min="3073" max="3073" width="5.5703125" style="1986" customWidth="1"/>
    <col min="3074" max="3074" width="6.7109375" style="1986" customWidth="1"/>
    <col min="3075" max="3075" width="8.85546875" style="1986" customWidth="1"/>
    <col min="3076" max="3076" width="47.85546875" style="1986" customWidth="1"/>
    <col min="3077" max="3077" width="12.85546875" style="1986" customWidth="1"/>
    <col min="3078" max="3078" width="15.5703125" style="1986" customWidth="1"/>
    <col min="3079" max="3079" width="15.85546875" style="1986" customWidth="1"/>
    <col min="3080" max="3080" width="6.42578125" style="1986" customWidth="1"/>
    <col min="3081" max="3082" width="9.140625" style="1986"/>
    <col min="3083" max="3084" width="14.7109375" style="1986" bestFit="1" customWidth="1"/>
    <col min="3085" max="3328" width="9.140625" style="1986"/>
    <col min="3329" max="3329" width="5.5703125" style="1986" customWidth="1"/>
    <col min="3330" max="3330" width="6.7109375" style="1986" customWidth="1"/>
    <col min="3331" max="3331" width="8.85546875" style="1986" customWidth="1"/>
    <col min="3332" max="3332" width="47.85546875" style="1986" customWidth="1"/>
    <col min="3333" max="3333" width="12.85546875" style="1986" customWidth="1"/>
    <col min="3334" max="3334" width="15.5703125" style="1986" customWidth="1"/>
    <col min="3335" max="3335" width="15.85546875" style="1986" customWidth="1"/>
    <col min="3336" max="3336" width="6.42578125" style="1986" customWidth="1"/>
    <col min="3337" max="3338" width="9.140625" style="1986"/>
    <col min="3339" max="3340" width="14.7109375" style="1986" bestFit="1" customWidth="1"/>
    <col min="3341" max="3584" width="9.140625" style="1986"/>
    <col min="3585" max="3585" width="5.5703125" style="1986" customWidth="1"/>
    <col min="3586" max="3586" width="6.7109375" style="1986" customWidth="1"/>
    <col min="3587" max="3587" width="8.85546875" style="1986" customWidth="1"/>
    <col min="3588" max="3588" width="47.85546875" style="1986" customWidth="1"/>
    <col min="3589" max="3589" width="12.85546875" style="1986" customWidth="1"/>
    <col min="3590" max="3590" width="15.5703125" style="1986" customWidth="1"/>
    <col min="3591" max="3591" width="15.85546875" style="1986" customWidth="1"/>
    <col min="3592" max="3592" width="6.42578125" style="1986" customWidth="1"/>
    <col min="3593" max="3594" width="9.140625" style="1986"/>
    <col min="3595" max="3596" width="14.7109375" style="1986" bestFit="1" customWidth="1"/>
    <col min="3597" max="3840" width="9.140625" style="1986"/>
    <col min="3841" max="3841" width="5.5703125" style="1986" customWidth="1"/>
    <col min="3842" max="3842" width="6.7109375" style="1986" customWidth="1"/>
    <col min="3843" max="3843" width="8.85546875" style="1986" customWidth="1"/>
    <col min="3844" max="3844" width="47.85546875" style="1986" customWidth="1"/>
    <col min="3845" max="3845" width="12.85546875" style="1986" customWidth="1"/>
    <col min="3846" max="3846" width="15.5703125" style="1986" customWidth="1"/>
    <col min="3847" max="3847" width="15.85546875" style="1986" customWidth="1"/>
    <col min="3848" max="3848" width="6.42578125" style="1986" customWidth="1"/>
    <col min="3849" max="3850" width="9.140625" style="1986"/>
    <col min="3851" max="3852" width="14.7109375" style="1986" bestFit="1" customWidth="1"/>
    <col min="3853" max="4096" width="9.140625" style="1986"/>
    <col min="4097" max="4097" width="5.5703125" style="1986" customWidth="1"/>
    <col min="4098" max="4098" width="6.7109375" style="1986" customWidth="1"/>
    <col min="4099" max="4099" width="8.85546875" style="1986" customWidth="1"/>
    <col min="4100" max="4100" width="47.85546875" style="1986" customWidth="1"/>
    <col min="4101" max="4101" width="12.85546875" style="1986" customWidth="1"/>
    <col min="4102" max="4102" width="15.5703125" style="1986" customWidth="1"/>
    <col min="4103" max="4103" width="15.85546875" style="1986" customWidth="1"/>
    <col min="4104" max="4104" width="6.42578125" style="1986" customWidth="1"/>
    <col min="4105" max="4106" width="9.140625" style="1986"/>
    <col min="4107" max="4108" width="14.7109375" style="1986" bestFit="1" customWidth="1"/>
    <col min="4109" max="4352" width="9.140625" style="1986"/>
    <col min="4353" max="4353" width="5.5703125" style="1986" customWidth="1"/>
    <col min="4354" max="4354" width="6.7109375" style="1986" customWidth="1"/>
    <col min="4355" max="4355" width="8.85546875" style="1986" customWidth="1"/>
    <col min="4356" max="4356" width="47.85546875" style="1986" customWidth="1"/>
    <col min="4357" max="4357" width="12.85546875" style="1986" customWidth="1"/>
    <col min="4358" max="4358" width="15.5703125" style="1986" customWidth="1"/>
    <col min="4359" max="4359" width="15.85546875" style="1986" customWidth="1"/>
    <col min="4360" max="4360" width="6.42578125" style="1986" customWidth="1"/>
    <col min="4361" max="4362" width="9.140625" style="1986"/>
    <col min="4363" max="4364" width="14.7109375" style="1986" bestFit="1" customWidth="1"/>
    <col min="4365" max="4608" width="9.140625" style="1986"/>
    <col min="4609" max="4609" width="5.5703125" style="1986" customWidth="1"/>
    <col min="4610" max="4610" width="6.7109375" style="1986" customWidth="1"/>
    <col min="4611" max="4611" width="8.85546875" style="1986" customWidth="1"/>
    <col min="4612" max="4612" width="47.85546875" style="1986" customWidth="1"/>
    <col min="4613" max="4613" width="12.85546875" style="1986" customWidth="1"/>
    <col min="4614" max="4614" width="15.5703125" style="1986" customWidth="1"/>
    <col min="4615" max="4615" width="15.85546875" style="1986" customWidth="1"/>
    <col min="4616" max="4616" width="6.42578125" style="1986" customWidth="1"/>
    <col min="4617" max="4618" width="9.140625" style="1986"/>
    <col min="4619" max="4620" width="14.7109375" style="1986" bestFit="1" customWidth="1"/>
    <col min="4621" max="4864" width="9.140625" style="1986"/>
    <col min="4865" max="4865" width="5.5703125" style="1986" customWidth="1"/>
    <col min="4866" max="4866" width="6.7109375" style="1986" customWidth="1"/>
    <col min="4867" max="4867" width="8.85546875" style="1986" customWidth="1"/>
    <col min="4868" max="4868" width="47.85546875" style="1986" customWidth="1"/>
    <col min="4869" max="4869" width="12.85546875" style="1986" customWidth="1"/>
    <col min="4870" max="4870" width="15.5703125" style="1986" customWidth="1"/>
    <col min="4871" max="4871" width="15.85546875" style="1986" customWidth="1"/>
    <col min="4872" max="4872" width="6.42578125" style="1986" customWidth="1"/>
    <col min="4873" max="4874" width="9.140625" style="1986"/>
    <col min="4875" max="4876" width="14.7109375" style="1986" bestFit="1" customWidth="1"/>
    <col min="4877" max="5120" width="9.140625" style="1986"/>
    <col min="5121" max="5121" width="5.5703125" style="1986" customWidth="1"/>
    <col min="5122" max="5122" width="6.7109375" style="1986" customWidth="1"/>
    <col min="5123" max="5123" width="8.85546875" style="1986" customWidth="1"/>
    <col min="5124" max="5124" width="47.85546875" style="1986" customWidth="1"/>
    <col min="5125" max="5125" width="12.85546875" style="1986" customWidth="1"/>
    <col min="5126" max="5126" width="15.5703125" style="1986" customWidth="1"/>
    <col min="5127" max="5127" width="15.85546875" style="1986" customWidth="1"/>
    <col min="5128" max="5128" width="6.42578125" style="1986" customWidth="1"/>
    <col min="5129" max="5130" width="9.140625" style="1986"/>
    <col min="5131" max="5132" width="14.7109375" style="1986" bestFit="1" customWidth="1"/>
    <col min="5133" max="5376" width="9.140625" style="1986"/>
    <col min="5377" max="5377" width="5.5703125" style="1986" customWidth="1"/>
    <col min="5378" max="5378" width="6.7109375" style="1986" customWidth="1"/>
    <col min="5379" max="5379" width="8.85546875" style="1986" customWidth="1"/>
    <col min="5380" max="5380" width="47.85546875" style="1986" customWidth="1"/>
    <col min="5381" max="5381" width="12.85546875" style="1986" customWidth="1"/>
    <col min="5382" max="5382" width="15.5703125" style="1986" customWidth="1"/>
    <col min="5383" max="5383" width="15.85546875" style="1986" customWidth="1"/>
    <col min="5384" max="5384" width="6.42578125" style="1986" customWidth="1"/>
    <col min="5385" max="5386" width="9.140625" style="1986"/>
    <col min="5387" max="5388" width="14.7109375" style="1986" bestFit="1" customWidth="1"/>
    <col min="5389" max="5632" width="9.140625" style="1986"/>
    <col min="5633" max="5633" width="5.5703125" style="1986" customWidth="1"/>
    <col min="5634" max="5634" width="6.7109375" style="1986" customWidth="1"/>
    <col min="5635" max="5635" width="8.85546875" style="1986" customWidth="1"/>
    <col min="5636" max="5636" width="47.85546875" style="1986" customWidth="1"/>
    <col min="5637" max="5637" width="12.85546875" style="1986" customWidth="1"/>
    <col min="5638" max="5638" width="15.5703125" style="1986" customWidth="1"/>
    <col min="5639" max="5639" width="15.85546875" style="1986" customWidth="1"/>
    <col min="5640" max="5640" width="6.42578125" style="1986" customWidth="1"/>
    <col min="5641" max="5642" width="9.140625" style="1986"/>
    <col min="5643" max="5644" width="14.7109375" style="1986" bestFit="1" customWidth="1"/>
    <col min="5645" max="5888" width="9.140625" style="1986"/>
    <col min="5889" max="5889" width="5.5703125" style="1986" customWidth="1"/>
    <col min="5890" max="5890" width="6.7109375" style="1986" customWidth="1"/>
    <col min="5891" max="5891" width="8.85546875" style="1986" customWidth="1"/>
    <col min="5892" max="5892" width="47.85546875" style="1986" customWidth="1"/>
    <col min="5893" max="5893" width="12.85546875" style="1986" customWidth="1"/>
    <col min="5894" max="5894" width="15.5703125" style="1986" customWidth="1"/>
    <col min="5895" max="5895" width="15.85546875" style="1986" customWidth="1"/>
    <col min="5896" max="5896" width="6.42578125" style="1986" customWidth="1"/>
    <col min="5897" max="5898" width="9.140625" style="1986"/>
    <col min="5899" max="5900" width="14.7109375" style="1986" bestFit="1" customWidth="1"/>
    <col min="5901" max="6144" width="9.140625" style="1986"/>
    <col min="6145" max="6145" width="5.5703125" style="1986" customWidth="1"/>
    <col min="6146" max="6146" width="6.7109375" style="1986" customWidth="1"/>
    <col min="6147" max="6147" width="8.85546875" style="1986" customWidth="1"/>
    <col min="6148" max="6148" width="47.85546875" style="1986" customWidth="1"/>
    <col min="6149" max="6149" width="12.85546875" style="1986" customWidth="1"/>
    <col min="6150" max="6150" width="15.5703125" style="1986" customWidth="1"/>
    <col min="6151" max="6151" width="15.85546875" style="1986" customWidth="1"/>
    <col min="6152" max="6152" width="6.42578125" style="1986" customWidth="1"/>
    <col min="6153" max="6154" width="9.140625" style="1986"/>
    <col min="6155" max="6156" width="14.7109375" style="1986" bestFit="1" customWidth="1"/>
    <col min="6157" max="6400" width="9.140625" style="1986"/>
    <col min="6401" max="6401" width="5.5703125" style="1986" customWidth="1"/>
    <col min="6402" max="6402" width="6.7109375" style="1986" customWidth="1"/>
    <col min="6403" max="6403" width="8.85546875" style="1986" customWidth="1"/>
    <col min="6404" max="6404" width="47.85546875" style="1986" customWidth="1"/>
    <col min="6405" max="6405" width="12.85546875" style="1986" customWidth="1"/>
    <col min="6406" max="6406" width="15.5703125" style="1986" customWidth="1"/>
    <col min="6407" max="6407" width="15.85546875" style="1986" customWidth="1"/>
    <col min="6408" max="6408" width="6.42578125" style="1986" customWidth="1"/>
    <col min="6409" max="6410" width="9.140625" style="1986"/>
    <col min="6411" max="6412" width="14.7109375" style="1986" bestFit="1" customWidth="1"/>
    <col min="6413" max="6656" width="9.140625" style="1986"/>
    <col min="6657" max="6657" width="5.5703125" style="1986" customWidth="1"/>
    <col min="6658" max="6658" width="6.7109375" style="1986" customWidth="1"/>
    <col min="6659" max="6659" width="8.85546875" style="1986" customWidth="1"/>
    <col min="6660" max="6660" width="47.85546875" style="1986" customWidth="1"/>
    <col min="6661" max="6661" width="12.85546875" style="1986" customWidth="1"/>
    <col min="6662" max="6662" width="15.5703125" style="1986" customWidth="1"/>
    <col min="6663" max="6663" width="15.85546875" style="1986" customWidth="1"/>
    <col min="6664" max="6664" width="6.42578125" style="1986" customWidth="1"/>
    <col min="6665" max="6666" width="9.140625" style="1986"/>
    <col min="6667" max="6668" width="14.7109375" style="1986" bestFit="1" customWidth="1"/>
    <col min="6669" max="6912" width="9.140625" style="1986"/>
    <col min="6913" max="6913" width="5.5703125" style="1986" customWidth="1"/>
    <col min="6914" max="6914" width="6.7109375" style="1986" customWidth="1"/>
    <col min="6915" max="6915" width="8.85546875" style="1986" customWidth="1"/>
    <col min="6916" max="6916" width="47.85546875" style="1986" customWidth="1"/>
    <col min="6917" max="6917" width="12.85546875" style="1986" customWidth="1"/>
    <col min="6918" max="6918" width="15.5703125" style="1986" customWidth="1"/>
    <col min="6919" max="6919" width="15.85546875" style="1986" customWidth="1"/>
    <col min="6920" max="6920" width="6.42578125" style="1986" customWidth="1"/>
    <col min="6921" max="6922" width="9.140625" style="1986"/>
    <col min="6923" max="6924" width="14.7109375" style="1986" bestFit="1" customWidth="1"/>
    <col min="6925" max="7168" width="9.140625" style="1986"/>
    <col min="7169" max="7169" width="5.5703125" style="1986" customWidth="1"/>
    <col min="7170" max="7170" width="6.7109375" style="1986" customWidth="1"/>
    <col min="7171" max="7171" width="8.85546875" style="1986" customWidth="1"/>
    <col min="7172" max="7172" width="47.85546875" style="1986" customWidth="1"/>
    <col min="7173" max="7173" width="12.85546875" style="1986" customWidth="1"/>
    <col min="7174" max="7174" width="15.5703125" style="1986" customWidth="1"/>
    <col min="7175" max="7175" width="15.85546875" style="1986" customWidth="1"/>
    <col min="7176" max="7176" width="6.42578125" style="1986" customWidth="1"/>
    <col min="7177" max="7178" width="9.140625" style="1986"/>
    <col min="7179" max="7180" width="14.7109375" style="1986" bestFit="1" customWidth="1"/>
    <col min="7181" max="7424" width="9.140625" style="1986"/>
    <col min="7425" max="7425" width="5.5703125" style="1986" customWidth="1"/>
    <col min="7426" max="7426" width="6.7109375" style="1986" customWidth="1"/>
    <col min="7427" max="7427" width="8.85546875" style="1986" customWidth="1"/>
    <col min="7428" max="7428" width="47.85546875" style="1986" customWidth="1"/>
    <col min="7429" max="7429" width="12.85546875" style="1986" customWidth="1"/>
    <col min="7430" max="7430" width="15.5703125" style="1986" customWidth="1"/>
    <col min="7431" max="7431" width="15.85546875" style="1986" customWidth="1"/>
    <col min="7432" max="7432" width="6.42578125" style="1986" customWidth="1"/>
    <col min="7433" max="7434" width="9.140625" style="1986"/>
    <col min="7435" max="7436" width="14.7109375" style="1986" bestFit="1" customWidth="1"/>
    <col min="7437" max="7680" width="9.140625" style="1986"/>
    <col min="7681" max="7681" width="5.5703125" style="1986" customWidth="1"/>
    <col min="7682" max="7682" width="6.7109375" style="1986" customWidth="1"/>
    <col min="7683" max="7683" width="8.85546875" style="1986" customWidth="1"/>
    <col min="7684" max="7684" width="47.85546875" style="1986" customWidth="1"/>
    <col min="7685" max="7685" width="12.85546875" style="1986" customWidth="1"/>
    <col min="7686" max="7686" width="15.5703125" style="1986" customWidth="1"/>
    <col min="7687" max="7687" width="15.85546875" style="1986" customWidth="1"/>
    <col min="7688" max="7688" width="6.42578125" style="1986" customWidth="1"/>
    <col min="7689" max="7690" width="9.140625" style="1986"/>
    <col min="7691" max="7692" width="14.7109375" style="1986" bestFit="1" customWidth="1"/>
    <col min="7693" max="7936" width="9.140625" style="1986"/>
    <col min="7937" max="7937" width="5.5703125" style="1986" customWidth="1"/>
    <col min="7938" max="7938" width="6.7109375" style="1986" customWidth="1"/>
    <col min="7939" max="7939" width="8.85546875" style="1986" customWidth="1"/>
    <col min="7940" max="7940" width="47.85546875" style="1986" customWidth="1"/>
    <col min="7941" max="7941" width="12.85546875" style="1986" customWidth="1"/>
    <col min="7942" max="7942" width="15.5703125" style="1986" customWidth="1"/>
    <col min="7943" max="7943" width="15.85546875" style="1986" customWidth="1"/>
    <col min="7944" max="7944" width="6.42578125" style="1986" customWidth="1"/>
    <col min="7945" max="7946" width="9.140625" style="1986"/>
    <col min="7947" max="7948" width="14.7109375" style="1986" bestFit="1" customWidth="1"/>
    <col min="7949" max="8192" width="9.140625" style="1986"/>
    <col min="8193" max="8193" width="5.5703125" style="1986" customWidth="1"/>
    <col min="8194" max="8194" width="6.7109375" style="1986" customWidth="1"/>
    <col min="8195" max="8195" width="8.85546875" style="1986" customWidth="1"/>
    <col min="8196" max="8196" width="47.85546875" style="1986" customWidth="1"/>
    <col min="8197" max="8197" width="12.85546875" style="1986" customWidth="1"/>
    <col min="8198" max="8198" width="15.5703125" style="1986" customWidth="1"/>
    <col min="8199" max="8199" width="15.85546875" style="1986" customWidth="1"/>
    <col min="8200" max="8200" width="6.42578125" style="1986" customWidth="1"/>
    <col min="8201" max="8202" width="9.140625" style="1986"/>
    <col min="8203" max="8204" width="14.7109375" style="1986" bestFit="1" customWidth="1"/>
    <col min="8205" max="8448" width="9.140625" style="1986"/>
    <col min="8449" max="8449" width="5.5703125" style="1986" customWidth="1"/>
    <col min="8450" max="8450" width="6.7109375" style="1986" customWidth="1"/>
    <col min="8451" max="8451" width="8.85546875" style="1986" customWidth="1"/>
    <col min="8452" max="8452" width="47.85546875" style="1986" customWidth="1"/>
    <col min="8453" max="8453" width="12.85546875" style="1986" customWidth="1"/>
    <col min="8454" max="8454" width="15.5703125" style="1986" customWidth="1"/>
    <col min="8455" max="8455" width="15.85546875" style="1986" customWidth="1"/>
    <col min="8456" max="8456" width="6.42578125" style="1986" customWidth="1"/>
    <col min="8457" max="8458" width="9.140625" style="1986"/>
    <col min="8459" max="8460" width="14.7109375" style="1986" bestFit="1" customWidth="1"/>
    <col min="8461" max="8704" width="9.140625" style="1986"/>
    <col min="8705" max="8705" width="5.5703125" style="1986" customWidth="1"/>
    <col min="8706" max="8706" width="6.7109375" style="1986" customWidth="1"/>
    <col min="8707" max="8707" width="8.85546875" style="1986" customWidth="1"/>
    <col min="8708" max="8708" width="47.85546875" style="1986" customWidth="1"/>
    <col min="8709" max="8709" width="12.85546875" style="1986" customWidth="1"/>
    <col min="8710" max="8710" width="15.5703125" style="1986" customWidth="1"/>
    <col min="8711" max="8711" width="15.85546875" style="1986" customWidth="1"/>
    <col min="8712" max="8712" width="6.42578125" style="1986" customWidth="1"/>
    <col min="8713" max="8714" width="9.140625" style="1986"/>
    <col min="8715" max="8716" width="14.7109375" style="1986" bestFit="1" customWidth="1"/>
    <col min="8717" max="8960" width="9.140625" style="1986"/>
    <col min="8961" max="8961" width="5.5703125" style="1986" customWidth="1"/>
    <col min="8962" max="8962" width="6.7109375" style="1986" customWidth="1"/>
    <col min="8963" max="8963" width="8.85546875" style="1986" customWidth="1"/>
    <col min="8964" max="8964" width="47.85546875" style="1986" customWidth="1"/>
    <col min="8965" max="8965" width="12.85546875" style="1986" customWidth="1"/>
    <col min="8966" max="8966" width="15.5703125" style="1986" customWidth="1"/>
    <col min="8967" max="8967" width="15.85546875" style="1986" customWidth="1"/>
    <col min="8968" max="8968" width="6.42578125" style="1986" customWidth="1"/>
    <col min="8969" max="8970" width="9.140625" style="1986"/>
    <col min="8971" max="8972" width="14.7109375" style="1986" bestFit="1" customWidth="1"/>
    <col min="8973" max="9216" width="9.140625" style="1986"/>
    <col min="9217" max="9217" width="5.5703125" style="1986" customWidth="1"/>
    <col min="9218" max="9218" width="6.7109375" style="1986" customWidth="1"/>
    <col min="9219" max="9219" width="8.85546875" style="1986" customWidth="1"/>
    <col min="9220" max="9220" width="47.85546875" style="1986" customWidth="1"/>
    <col min="9221" max="9221" width="12.85546875" style="1986" customWidth="1"/>
    <col min="9222" max="9222" width="15.5703125" style="1986" customWidth="1"/>
    <col min="9223" max="9223" width="15.85546875" style="1986" customWidth="1"/>
    <col min="9224" max="9224" width="6.42578125" style="1986" customWidth="1"/>
    <col min="9225" max="9226" width="9.140625" style="1986"/>
    <col min="9227" max="9228" width="14.7109375" style="1986" bestFit="1" customWidth="1"/>
    <col min="9229" max="9472" width="9.140625" style="1986"/>
    <col min="9473" max="9473" width="5.5703125" style="1986" customWidth="1"/>
    <col min="9474" max="9474" width="6.7109375" style="1986" customWidth="1"/>
    <col min="9475" max="9475" width="8.85546875" style="1986" customWidth="1"/>
    <col min="9476" max="9476" width="47.85546875" style="1986" customWidth="1"/>
    <col min="9477" max="9477" width="12.85546875" style="1986" customWidth="1"/>
    <col min="9478" max="9478" width="15.5703125" style="1986" customWidth="1"/>
    <col min="9479" max="9479" width="15.85546875" style="1986" customWidth="1"/>
    <col min="9480" max="9480" width="6.42578125" style="1986" customWidth="1"/>
    <col min="9481" max="9482" width="9.140625" style="1986"/>
    <col min="9483" max="9484" width="14.7109375" style="1986" bestFit="1" customWidth="1"/>
    <col min="9485" max="9728" width="9.140625" style="1986"/>
    <col min="9729" max="9729" width="5.5703125" style="1986" customWidth="1"/>
    <col min="9730" max="9730" width="6.7109375" style="1986" customWidth="1"/>
    <col min="9731" max="9731" width="8.85546875" style="1986" customWidth="1"/>
    <col min="9732" max="9732" width="47.85546875" style="1986" customWidth="1"/>
    <col min="9733" max="9733" width="12.85546875" style="1986" customWidth="1"/>
    <col min="9734" max="9734" width="15.5703125" style="1986" customWidth="1"/>
    <col min="9735" max="9735" width="15.85546875" style="1986" customWidth="1"/>
    <col min="9736" max="9736" width="6.42578125" style="1986" customWidth="1"/>
    <col min="9737" max="9738" width="9.140625" style="1986"/>
    <col min="9739" max="9740" width="14.7109375" style="1986" bestFit="1" customWidth="1"/>
    <col min="9741" max="9984" width="9.140625" style="1986"/>
    <col min="9985" max="9985" width="5.5703125" style="1986" customWidth="1"/>
    <col min="9986" max="9986" width="6.7109375" style="1986" customWidth="1"/>
    <col min="9987" max="9987" width="8.85546875" style="1986" customWidth="1"/>
    <col min="9988" max="9988" width="47.85546875" style="1986" customWidth="1"/>
    <col min="9989" max="9989" width="12.85546875" style="1986" customWidth="1"/>
    <col min="9990" max="9990" width="15.5703125" style="1986" customWidth="1"/>
    <col min="9991" max="9991" width="15.85546875" style="1986" customWidth="1"/>
    <col min="9992" max="9992" width="6.42578125" style="1986" customWidth="1"/>
    <col min="9993" max="9994" width="9.140625" style="1986"/>
    <col min="9995" max="9996" width="14.7109375" style="1986" bestFit="1" customWidth="1"/>
    <col min="9997" max="10240" width="9.140625" style="1986"/>
    <col min="10241" max="10241" width="5.5703125" style="1986" customWidth="1"/>
    <col min="10242" max="10242" width="6.7109375" style="1986" customWidth="1"/>
    <col min="10243" max="10243" width="8.85546875" style="1986" customWidth="1"/>
    <col min="10244" max="10244" width="47.85546875" style="1986" customWidth="1"/>
    <col min="10245" max="10245" width="12.85546875" style="1986" customWidth="1"/>
    <col min="10246" max="10246" width="15.5703125" style="1986" customWidth="1"/>
    <col min="10247" max="10247" width="15.85546875" style="1986" customWidth="1"/>
    <col min="10248" max="10248" width="6.42578125" style="1986" customWidth="1"/>
    <col min="10249" max="10250" width="9.140625" style="1986"/>
    <col min="10251" max="10252" width="14.7109375" style="1986" bestFit="1" customWidth="1"/>
    <col min="10253" max="10496" width="9.140625" style="1986"/>
    <col min="10497" max="10497" width="5.5703125" style="1986" customWidth="1"/>
    <col min="10498" max="10498" width="6.7109375" style="1986" customWidth="1"/>
    <col min="10499" max="10499" width="8.85546875" style="1986" customWidth="1"/>
    <col min="10500" max="10500" width="47.85546875" style="1986" customWidth="1"/>
    <col min="10501" max="10501" width="12.85546875" style="1986" customWidth="1"/>
    <col min="10502" max="10502" width="15.5703125" style="1986" customWidth="1"/>
    <col min="10503" max="10503" width="15.85546875" style="1986" customWidth="1"/>
    <col min="10504" max="10504" width="6.42578125" style="1986" customWidth="1"/>
    <col min="10505" max="10506" width="9.140625" style="1986"/>
    <col min="10507" max="10508" width="14.7109375" style="1986" bestFit="1" customWidth="1"/>
    <col min="10509" max="10752" width="9.140625" style="1986"/>
    <col min="10753" max="10753" width="5.5703125" style="1986" customWidth="1"/>
    <col min="10754" max="10754" width="6.7109375" style="1986" customWidth="1"/>
    <col min="10755" max="10755" width="8.85546875" style="1986" customWidth="1"/>
    <col min="10756" max="10756" width="47.85546875" style="1986" customWidth="1"/>
    <col min="10757" max="10757" width="12.85546875" style="1986" customWidth="1"/>
    <col min="10758" max="10758" width="15.5703125" style="1986" customWidth="1"/>
    <col min="10759" max="10759" width="15.85546875" style="1986" customWidth="1"/>
    <col min="10760" max="10760" width="6.42578125" style="1986" customWidth="1"/>
    <col min="10761" max="10762" width="9.140625" style="1986"/>
    <col min="10763" max="10764" width="14.7109375" style="1986" bestFit="1" customWidth="1"/>
    <col min="10765" max="11008" width="9.140625" style="1986"/>
    <col min="11009" max="11009" width="5.5703125" style="1986" customWidth="1"/>
    <col min="11010" max="11010" width="6.7109375" style="1986" customWidth="1"/>
    <col min="11011" max="11011" width="8.85546875" style="1986" customWidth="1"/>
    <col min="11012" max="11012" width="47.85546875" style="1986" customWidth="1"/>
    <col min="11013" max="11013" width="12.85546875" style="1986" customWidth="1"/>
    <col min="11014" max="11014" width="15.5703125" style="1986" customWidth="1"/>
    <col min="11015" max="11015" width="15.85546875" style="1986" customWidth="1"/>
    <col min="11016" max="11016" width="6.42578125" style="1986" customWidth="1"/>
    <col min="11017" max="11018" width="9.140625" style="1986"/>
    <col min="11019" max="11020" width="14.7109375" style="1986" bestFit="1" customWidth="1"/>
    <col min="11021" max="11264" width="9.140625" style="1986"/>
    <col min="11265" max="11265" width="5.5703125" style="1986" customWidth="1"/>
    <col min="11266" max="11266" width="6.7109375" style="1986" customWidth="1"/>
    <col min="11267" max="11267" width="8.85546875" style="1986" customWidth="1"/>
    <col min="11268" max="11268" width="47.85546875" style="1986" customWidth="1"/>
    <col min="11269" max="11269" width="12.85546875" style="1986" customWidth="1"/>
    <col min="11270" max="11270" width="15.5703125" style="1986" customWidth="1"/>
    <col min="11271" max="11271" width="15.85546875" style="1986" customWidth="1"/>
    <col min="11272" max="11272" width="6.42578125" style="1986" customWidth="1"/>
    <col min="11273" max="11274" width="9.140625" style="1986"/>
    <col min="11275" max="11276" width="14.7109375" style="1986" bestFit="1" customWidth="1"/>
    <col min="11277" max="11520" width="9.140625" style="1986"/>
    <col min="11521" max="11521" width="5.5703125" style="1986" customWidth="1"/>
    <col min="11522" max="11522" width="6.7109375" style="1986" customWidth="1"/>
    <col min="11523" max="11523" width="8.85546875" style="1986" customWidth="1"/>
    <col min="11524" max="11524" width="47.85546875" style="1986" customWidth="1"/>
    <col min="11525" max="11525" width="12.85546875" style="1986" customWidth="1"/>
    <col min="11526" max="11526" width="15.5703125" style="1986" customWidth="1"/>
    <col min="11527" max="11527" width="15.85546875" style="1986" customWidth="1"/>
    <col min="11528" max="11528" width="6.42578125" style="1986" customWidth="1"/>
    <col min="11529" max="11530" width="9.140625" style="1986"/>
    <col min="11531" max="11532" width="14.7109375" style="1986" bestFit="1" customWidth="1"/>
    <col min="11533" max="11776" width="9.140625" style="1986"/>
    <col min="11777" max="11777" width="5.5703125" style="1986" customWidth="1"/>
    <col min="11778" max="11778" width="6.7109375" style="1986" customWidth="1"/>
    <col min="11779" max="11779" width="8.85546875" style="1986" customWidth="1"/>
    <col min="11780" max="11780" width="47.85546875" style="1986" customWidth="1"/>
    <col min="11781" max="11781" width="12.85546875" style="1986" customWidth="1"/>
    <col min="11782" max="11782" width="15.5703125" style="1986" customWidth="1"/>
    <col min="11783" max="11783" width="15.85546875" style="1986" customWidth="1"/>
    <col min="11784" max="11784" width="6.42578125" style="1986" customWidth="1"/>
    <col min="11785" max="11786" width="9.140625" style="1986"/>
    <col min="11787" max="11788" width="14.7109375" style="1986" bestFit="1" customWidth="1"/>
    <col min="11789" max="12032" width="9.140625" style="1986"/>
    <col min="12033" max="12033" width="5.5703125" style="1986" customWidth="1"/>
    <col min="12034" max="12034" width="6.7109375" style="1986" customWidth="1"/>
    <col min="12035" max="12035" width="8.85546875" style="1986" customWidth="1"/>
    <col min="12036" max="12036" width="47.85546875" style="1986" customWidth="1"/>
    <col min="12037" max="12037" width="12.85546875" style="1986" customWidth="1"/>
    <col min="12038" max="12038" width="15.5703125" style="1986" customWidth="1"/>
    <col min="12039" max="12039" width="15.85546875" style="1986" customWidth="1"/>
    <col min="12040" max="12040" width="6.42578125" style="1986" customWidth="1"/>
    <col min="12041" max="12042" width="9.140625" style="1986"/>
    <col min="12043" max="12044" width="14.7109375" style="1986" bestFit="1" customWidth="1"/>
    <col min="12045" max="12288" width="9.140625" style="1986"/>
    <col min="12289" max="12289" width="5.5703125" style="1986" customWidth="1"/>
    <col min="12290" max="12290" width="6.7109375" style="1986" customWidth="1"/>
    <col min="12291" max="12291" width="8.85546875" style="1986" customWidth="1"/>
    <col min="12292" max="12292" width="47.85546875" style="1986" customWidth="1"/>
    <col min="12293" max="12293" width="12.85546875" style="1986" customWidth="1"/>
    <col min="12294" max="12294" width="15.5703125" style="1986" customWidth="1"/>
    <col min="12295" max="12295" width="15.85546875" style="1986" customWidth="1"/>
    <col min="12296" max="12296" width="6.42578125" style="1986" customWidth="1"/>
    <col min="12297" max="12298" width="9.140625" style="1986"/>
    <col min="12299" max="12300" width="14.7109375" style="1986" bestFit="1" customWidth="1"/>
    <col min="12301" max="12544" width="9.140625" style="1986"/>
    <col min="12545" max="12545" width="5.5703125" style="1986" customWidth="1"/>
    <col min="12546" max="12546" width="6.7109375" style="1986" customWidth="1"/>
    <col min="12547" max="12547" width="8.85546875" style="1986" customWidth="1"/>
    <col min="12548" max="12548" width="47.85546875" style="1986" customWidth="1"/>
    <col min="12549" max="12549" width="12.85546875" style="1986" customWidth="1"/>
    <col min="12550" max="12550" width="15.5703125" style="1986" customWidth="1"/>
    <col min="12551" max="12551" width="15.85546875" style="1986" customWidth="1"/>
    <col min="12552" max="12552" width="6.42578125" style="1986" customWidth="1"/>
    <col min="12553" max="12554" width="9.140625" style="1986"/>
    <col min="12555" max="12556" width="14.7109375" style="1986" bestFit="1" customWidth="1"/>
    <col min="12557" max="12800" width="9.140625" style="1986"/>
    <col min="12801" max="12801" width="5.5703125" style="1986" customWidth="1"/>
    <col min="12802" max="12802" width="6.7109375" style="1986" customWidth="1"/>
    <col min="12803" max="12803" width="8.85546875" style="1986" customWidth="1"/>
    <col min="12804" max="12804" width="47.85546875" style="1986" customWidth="1"/>
    <col min="12805" max="12805" width="12.85546875" style="1986" customWidth="1"/>
    <col min="12806" max="12806" width="15.5703125" style="1986" customWidth="1"/>
    <col min="12807" max="12807" width="15.85546875" style="1986" customWidth="1"/>
    <col min="12808" max="12808" width="6.42578125" style="1986" customWidth="1"/>
    <col min="12809" max="12810" width="9.140625" style="1986"/>
    <col min="12811" max="12812" width="14.7109375" style="1986" bestFit="1" customWidth="1"/>
    <col min="12813" max="13056" width="9.140625" style="1986"/>
    <col min="13057" max="13057" width="5.5703125" style="1986" customWidth="1"/>
    <col min="13058" max="13058" width="6.7109375" style="1986" customWidth="1"/>
    <col min="13059" max="13059" width="8.85546875" style="1986" customWidth="1"/>
    <col min="13060" max="13060" width="47.85546875" style="1986" customWidth="1"/>
    <col min="13061" max="13061" width="12.85546875" style="1986" customWidth="1"/>
    <col min="13062" max="13062" width="15.5703125" style="1986" customWidth="1"/>
    <col min="13063" max="13063" width="15.85546875" style="1986" customWidth="1"/>
    <col min="13064" max="13064" width="6.42578125" style="1986" customWidth="1"/>
    <col min="13065" max="13066" width="9.140625" style="1986"/>
    <col min="13067" max="13068" width="14.7109375" style="1986" bestFit="1" customWidth="1"/>
    <col min="13069" max="13312" width="9.140625" style="1986"/>
    <col min="13313" max="13313" width="5.5703125" style="1986" customWidth="1"/>
    <col min="13314" max="13314" width="6.7109375" style="1986" customWidth="1"/>
    <col min="13315" max="13315" width="8.85546875" style="1986" customWidth="1"/>
    <col min="13316" max="13316" width="47.85546875" style="1986" customWidth="1"/>
    <col min="13317" max="13317" width="12.85546875" style="1986" customWidth="1"/>
    <col min="13318" max="13318" width="15.5703125" style="1986" customWidth="1"/>
    <col min="13319" max="13319" width="15.85546875" style="1986" customWidth="1"/>
    <col min="13320" max="13320" width="6.42578125" style="1986" customWidth="1"/>
    <col min="13321" max="13322" width="9.140625" style="1986"/>
    <col min="13323" max="13324" width="14.7109375" style="1986" bestFit="1" customWidth="1"/>
    <col min="13325" max="13568" width="9.140625" style="1986"/>
    <col min="13569" max="13569" width="5.5703125" style="1986" customWidth="1"/>
    <col min="13570" max="13570" width="6.7109375" style="1986" customWidth="1"/>
    <col min="13571" max="13571" width="8.85546875" style="1986" customWidth="1"/>
    <col min="13572" max="13572" width="47.85546875" style="1986" customWidth="1"/>
    <col min="13573" max="13573" width="12.85546875" style="1986" customWidth="1"/>
    <col min="13574" max="13574" width="15.5703125" style="1986" customWidth="1"/>
    <col min="13575" max="13575" width="15.85546875" style="1986" customWidth="1"/>
    <col min="13576" max="13576" width="6.42578125" style="1986" customWidth="1"/>
    <col min="13577" max="13578" width="9.140625" style="1986"/>
    <col min="13579" max="13580" width="14.7109375" style="1986" bestFit="1" customWidth="1"/>
    <col min="13581" max="13824" width="9.140625" style="1986"/>
    <col min="13825" max="13825" width="5.5703125" style="1986" customWidth="1"/>
    <col min="13826" max="13826" width="6.7109375" style="1986" customWidth="1"/>
    <col min="13827" max="13827" width="8.85546875" style="1986" customWidth="1"/>
    <col min="13828" max="13828" width="47.85546875" style="1986" customWidth="1"/>
    <col min="13829" max="13829" width="12.85546875" style="1986" customWidth="1"/>
    <col min="13830" max="13830" width="15.5703125" style="1986" customWidth="1"/>
    <col min="13831" max="13831" width="15.85546875" style="1986" customWidth="1"/>
    <col min="13832" max="13832" width="6.42578125" style="1986" customWidth="1"/>
    <col min="13833" max="13834" width="9.140625" style="1986"/>
    <col min="13835" max="13836" width="14.7109375" style="1986" bestFit="1" customWidth="1"/>
    <col min="13837" max="14080" width="9.140625" style="1986"/>
    <col min="14081" max="14081" width="5.5703125" style="1986" customWidth="1"/>
    <col min="14082" max="14082" width="6.7109375" style="1986" customWidth="1"/>
    <col min="14083" max="14083" width="8.85546875" style="1986" customWidth="1"/>
    <col min="14084" max="14084" width="47.85546875" style="1986" customWidth="1"/>
    <col min="14085" max="14085" width="12.85546875" style="1986" customWidth="1"/>
    <col min="14086" max="14086" width="15.5703125" style="1986" customWidth="1"/>
    <col min="14087" max="14087" width="15.85546875" style="1986" customWidth="1"/>
    <col min="14088" max="14088" width="6.42578125" style="1986" customWidth="1"/>
    <col min="14089" max="14090" width="9.140625" style="1986"/>
    <col min="14091" max="14092" width="14.7109375" style="1986" bestFit="1" customWidth="1"/>
    <col min="14093" max="14336" width="9.140625" style="1986"/>
    <col min="14337" max="14337" width="5.5703125" style="1986" customWidth="1"/>
    <col min="14338" max="14338" width="6.7109375" style="1986" customWidth="1"/>
    <col min="14339" max="14339" width="8.85546875" style="1986" customWidth="1"/>
    <col min="14340" max="14340" width="47.85546875" style="1986" customWidth="1"/>
    <col min="14341" max="14341" width="12.85546875" style="1986" customWidth="1"/>
    <col min="14342" max="14342" width="15.5703125" style="1986" customWidth="1"/>
    <col min="14343" max="14343" width="15.85546875" style="1986" customWidth="1"/>
    <col min="14344" max="14344" width="6.42578125" style="1986" customWidth="1"/>
    <col min="14345" max="14346" width="9.140625" style="1986"/>
    <col min="14347" max="14348" width="14.7109375" style="1986" bestFit="1" customWidth="1"/>
    <col min="14349" max="14592" width="9.140625" style="1986"/>
    <col min="14593" max="14593" width="5.5703125" style="1986" customWidth="1"/>
    <col min="14594" max="14594" width="6.7109375" style="1986" customWidth="1"/>
    <col min="14595" max="14595" width="8.85546875" style="1986" customWidth="1"/>
    <col min="14596" max="14596" width="47.85546875" style="1986" customWidth="1"/>
    <col min="14597" max="14597" width="12.85546875" style="1986" customWidth="1"/>
    <col min="14598" max="14598" width="15.5703125" style="1986" customWidth="1"/>
    <col min="14599" max="14599" width="15.85546875" style="1986" customWidth="1"/>
    <col min="14600" max="14600" width="6.42578125" style="1986" customWidth="1"/>
    <col min="14601" max="14602" width="9.140625" style="1986"/>
    <col min="14603" max="14604" width="14.7109375" style="1986" bestFit="1" customWidth="1"/>
    <col min="14605" max="14848" width="9.140625" style="1986"/>
    <col min="14849" max="14849" width="5.5703125" style="1986" customWidth="1"/>
    <col min="14850" max="14850" width="6.7109375" style="1986" customWidth="1"/>
    <col min="14851" max="14851" width="8.85546875" style="1986" customWidth="1"/>
    <col min="14852" max="14852" width="47.85546875" style="1986" customWidth="1"/>
    <col min="14853" max="14853" width="12.85546875" style="1986" customWidth="1"/>
    <col min="14854" max="14854" width="15.5703125" style="1986" customWidth="1"/>
    <col min="14855" max="14855" width="15.85546875" style="1986" customWidth="1"/>
    <col min="14856" max="14856" width="6.42578125" style="1986" customWidth="1"/>
    <col min="14857" max="14858" width="9.140625" style="1986"/>
    <col min="14859" max="14860" width="14.7109375" style="1986" bestFit="1" customWidth="1"/>
    <col min="14861" max="15104" width="9.140625" style="1986"/>
    <col min="15105" max="15105" width="5.5703125" style="1986" customWidth="1"/>
    <col min="15106" max="15106" width="6.7109375" style="1986" customWidth="1"/>
    <col min="15107" max="15107" width="8.85546875" style="1986" customWidth="1"/>
    <col min="15108" max="15108" width="47.85546875" style="1986" customWidth="1"/>
    <col min="15109" max="15109" width="12.85546875" style="1986" customWidth="1"/>
    <col min="15110" max="15110" width="15.5703125" style="1986" customWidth="1"/>
    <col min="15111" max="15111" width="15.85546875" style="1986" customWidth="1"/>
    <col min="15112" max="15112" width="6.42578125" style="1986" customWidth="1"/>
    <col min="15113" max="15114" width="9.140625" style="1986"/>
    <col min="15115" max="15116" width="14.7109375" style="1986" bestFit="1" customWidth="1"/>
    <col min="15117" max="15360" width="9.140625" style="1986"/>
    <col min="15361" max="15361" width="5.5703125" style="1986" customWidth="1"/>
    <col min="15362" max="15362" width="6.7109375" style="1986" customWidth="1"/>
    <col min="15363" max="15363" width="8.85546875" style="1986" customWidth="1"/>
    <col min="15364" max="15364" width="47.85546875" style="1986" customWidth="1"/>
    <col min="15365" max="15365" width="12.85546875" style="1986" customWidth="1"/>
    <col min="15366" max="15366" width="15.5703125" style="1986" customWidth="1"/>
    <col min="15367" max="15367" width="15.85546875" style="1986" customWidth="1"/>
    <col min="15368" max="15368" width="6.42578125" style="1986" customWidth="1"/>
    <col min="15369" max="15370" width="9.140625" style="1986"/>
    <col min="15371" max="15372" width="14.7109375" style="1986" bestFit="1" customWidth="1"/>
    <col min="15373" max="15616" width="9.140625" style="1986"/>
    <col min="15617" max="15617" width="5.5703125" style="1986" customWidth="1"/>
    <col min="15618" max="15618" width="6.7109375" style="1986" customWidth="1"/>
    <col min="15619" max="15619" width="8.85546875" style="1986" customWidth="1"/>
    <col min="15620" max="15620" width="47.85546875" style="1986" customWidth="1"/>
    <col min="15621" max="15621" width="12.85546875" style="1986" customWidth="1"/>
    <col min="15622" max="15622" width="15.5703125" style="1986" customWidth="1"/>
    <col min="15623" max="15623" width="15.85546875" style="1986" customWidth="1"/>
    <col min="15624" max="15624" width="6.42578125" style="1986" customWidth="1"/>
    <col min="15625" max="15626" width="9.140625" style="1986"/>
    <col min="15627" max="15628" width="14.7109375" style="1986" bestFit="1" customWidth="1"/>
    <col min="15629" max="15872" width="9.140625" style="1986"/>
    <col min="15873" max="15873" width="5.5703125" style="1986" customWidth="1"/>
    <col min="15874" max="15874" width="6.7109375" style="1986" customWidth="1"/>
    <col min="15875" max="15875" width="8.85546875" style="1986" customWidth="1"/>
    <col min="15876" max="15876" width="47.85546875" style="1986" customWidth="1"/>
    <col min="15877" max="15877" width="12.85546875" style="1986" customWidth="1"/>
    <col min="15878" max="15878" width="15.5703125" style="1986" customWidth="1"/>
    <col min="15879" max="15879" width="15.85546875" style="1986" customWidth="1"/>
    <col min="15880" max="15880" width="6.42578125" style="1986" customWidth="1"/>
    <col min="15881" max="15882" width="9.140625" style="1986"/>
    <col min="15883" max="15884" width="14.7109375" style="1986" bestFit="1" customWidth="1"/>
    <col min="15885" max="16128" width="9.140625" style="1986"/>
    <col min="16129" max="16129" width="5.5703125" style="1986" customWidth="1"/>
    <col min="16130" max="16130" width="6.7109375" style="1986" customWidth="1"/>
    <col min="16131" max="16131" width="8.85546875" style="1986" customWidth="1"/>
    <col min="16132" max="16132" width="47.85546875" style="1986" customWidth="1"/>
    <col min="16133" max="16133" width="12.85546875" style="1986" customWidth="1"/>
    <col min="16134" max="16134" width="15.5703125" style="1986" customWidth="1"/>
    <col min="16135" max="16135" width="15.85546875" style="1986" customWidth="1"/>
    <col min="16136" max="16136" width="6.42578125" style="1986" customWidth="1"/>
    <col min="16137" max="16138" width="9.140625" style="1986"/>
    <col min="16139" max="16140" width="14.7109375" style="1986" bestFit="1" customWidth="1"/>
    <col min="16141" max="16384" width="9.140625" style="1986"/>
  </cols>
  <sheetData>
    <row r="1" spans="1:8" ht="18.75" thickBot="1" x14ac:dyDescent="0.3">
      <c r="A1" s="1980" t="s">
        <v>1585</v>
      </c>
      <c r="B1" s="1981"/>
      <c r="C1" s="1982"/>
      <c r="D1" s="1983"/>
      <c r="E1" s="1984"/>
      <c r="F1" s="1983"/>
      <c r="G1" s="1985"/>
      <c r="H1" s="1980"/>
    </row>
    <row r="2" spans="1:8" ht="18" x14ac:dyDescent="0.25">
      <c r="A2" s="1987"/>
      <c r="B2" s="1988"/>
      <c r="C2" s="1988"/>
      <c r="D2" s="1988"/>
      <c r="E2" s="1988"/>
      <c r="F2" s="1988"/>
      <c r="G2" s="1988"/>
      <c r="H2" s="1989" t="s">
        <v>1586</v>
      </c>
    </row>
    <row r="3" spans="1:8" ht="18" x14ac:dyDescent="0.25">
      <c r="A3" s="1990" t="s">
        <v>367</v>
      </c>
      <c r="B3" s="1988"/>
      <c r="C3" s="1801" t="s">
        <v>214</v>
      </c>
      <c r="D3" s="1988"/>
      <c r="E3" s="1988"/>
      <c r="F3" s="1988"/>
      <c r="G3" s="1988"/>
      <c r="H3" s="1989"/>
    </row>
    <row r="4" spans="1:8" ht="18" x14ac:dyDescent="0.25">
      <c r="A4" s="1987"/>
      <c r="B4" s="1988"/>
      <c r="C4" s="2172" t="s">
        <v>1654</v>
      </c>
      <c r="D4" s="1988"/>
      <c r="E4" s="1988"/>
      <c r="F4" s="1988"/>
      <c r="G4" s="1988"/>
      <c r="H4" s="1989"/>
    </row>
    <row r="5" spans="1:8" ht="18" x14ac:dyDescent="0.25">
      <c r="A5" s="1992" t="s">
        <v>1587</v>
      </c>
      <c r="B5" s="1988"/>
      <c r="C5" s="1988"/>
      <c r="D5" s="1988"/>
      <c r="E5" s="1988"/>
      <c r="F5" s="1988"/>
      <c r="G5" s="1988"/>
      <c r="H5" s="1989"/>
    </row>
    <row r="6" spans="1:8" x14ac:dyDescent="0.2">
      <c r="A6" s="1993"/>
      <c r="B6" s="1993"/>
      <c r="C6" s="1993"/>
      <c r="E6" s="1994"/>
      <c r="F6" s="1994"/>
      <c r="G6" s="1994"/>
    </row>
    <row r="7" spans="1:8" x14ac:dyDescent="0.2">
      <c r="A7" s="1993"/>
      <c r="B7" s="1993"/>
      <c r="C7" s="1993"/>
      <c r="E7" s="1994"/>
      <c r="F7" s="1994"/>
      <c r="G7" s="1994"/>
    </row>
    <row r="8" spans="1:8" ht="13.5" x14ac:dyDescent="0.25">
      <c r="A8" s="2760" t="s">
        <v>1588</v>
      </c>
      <c r="B8" s="2761"/>
      <c r="C8" s="2761"/>
      <c r="D8" s="2761"/>
      <c r="E8" s="2761"/>
      <c r="F8" s="2761"/>
      <c r="G8" s="2761"/>
      <c r="H8" s="2761"/>
    </row>
    <row r="9" spans="1:8" ht="15.75" thickBot="1" x14ac:dyDescent="0.3">
      <c r="A9" s="1979" t="s">
        <v>1589</v>
      </c>
      <c r="B9" s="1993"/>
      <c r="C9" s="1993"/>
      <c r="E9" s="1994"/>
      <c r="F9" s="1994"/>
      <c r="G9" s="1994"/>
      <c r="H9" s="1995" t="s">
        <v>161</v>
      </c>
    </row>
    <row r="10" spans="1:8" s="2070" customFormat="1" ht="25.5" thickTop="1" thickBot="1" x14ac:dyDescent="0.25">
      <c r="A10" s="1996" t="s">
        <v>162</v>
      </c>
      <c r="B10" s="1997" t="s">
        <v>761</v>
      </c>
      <c r="C10" s="1997" t="s">
        <v>377</v>
      </c>
      <c r="D10" s="1998" t="s">
        <v>164</v>
      </c>
      <c r="E10" s="1999" t="s">
        <v>632</v>
      </c>
      <c r="F10" s="1999" t="s">
        <v>633</v>
      </c>
      <c r="G10" s="2000" t="s">
        <v>882</v>
      </c>
      <c r="H10" s="2001" t="s">
        <v>883</v>
      </c>
    </row>
    <row r="11" spans="1:8" s="2070" customFormat="1" ht="13.5" thickTop="1" thickBot="1" x14ac:dyDescent="0.25">
      <c r="A11" s="2002">
        <v>1</v>
      </c>
      <c r="B11" s="2003">
        <v>2</v>
      </c>
      <c r="C11" s="2003">
        <v>3</v>
      </c>
      <c r="D11" s="2003">
        <v>4</v>
      </c>
      <c r="E11" s="2004">
        <v>5</v>
      </c>
      <c r="F11" s="2004">
        <v>6</v>
      </c>
      <c r="G11" s="2005">
        <v>7</v>
      </c>
      <c r="H11" s="2006" t="s">
        <v>61</v>
      </c>
    </row>
    <row r="12" spans="1:8" ht="15.75" hidden="1" thickTop="1" x14ac:dyDescent="0.2">
      <c r="A12" s="2012">
        <v>3636</v>
      </c>
      <c r="B12" s="2013">
        <v>5164</v>
      </c>
      <c r="C12" s="2017">
        <v>0</v>
      </c>
      <c r="D12" s="2014" t="s">
        <v>170</v>
      </c>
      <c r="E12" s="2010">
        <v>0</v>
      </c>
      <c r="F12" s="2010">
        <v>0</v>
      </c>
      <c r="G12" s="2010">
        <v>0</v>
      </c>
      <c r="H12" s="2011" t="e">
        <f>G12/F12*100</f>
        <v>#DIV/0!</v>
      </c>
    </row>
    <row r="13" spans="1:8" ht="15.75" hidden="1" thickTop="1" x14ac:dyDescent="0.2">
      <c r="A13" s="2012">
        <v>6223</v>
      </c>
      <c r="B13" s="2013">
        <v>5169</v>
      </c>
      <c r="C13" s="2017">
        <v>0</v>
      </c>
      <c r="D13" s="2014" t="s">
        <v>852</v>
      </c>
      <c r="E13" s="2015">
        <v>0</v>
      </c>
      <c r="F13" s="2015"/>
      <c r="G13" s="2015"/>
      <c r="H13" s="2016" t="e">
        <f>G13/F13*100</f>
        <v>#DIV/0!</v>
      </c>
    </row>
    <row r="14" spans="1:8" ht="15.75" hidden="1" thickTop="1" x14ac:dyDescent="0.2">
      <c r="A14" s="2012">
        <v>6223</v>
      </c>
      <c r="B14" s="2013">
        <v>5175</v>
      </c>
      <c r="C14" s="2017">
        <v>0</v>
      </c>
      <c r="D14" s="2014" t="s">
        <v>669</v>
      </c>
      <c r="E14" s="2015">
        <v>0</v>
      </c>
      <c r="F14" s="2015"/>
      <c r="G14" s="2015"/>
      <c r="H14" s="2016">
        <v>0</v>
      </c>
    </row>
    <row r="15" spans="1:8" ht="16.5" hidden="1" thickTop="1" thickBot="1" x14ac:dyDescent="0.25">
      <c r="A15" s="2012">
        <v>3636</v>
      </c>
      <c r="B15" s="2013">
        <v>5169</v>
      </c>
      <c r="C15" s="2017"/>
      <c r="D15" s="2014" t="s">
        <v>767</v>
      </c>
      <c r="E15" s="2015">
        <v>0</v>
      </c>
      <c r="F15" s="2015">
        <v>0</v>
      </c>
      <c r="G15" s="2015">
        <v>0</v>
      </c>
      <c r="H15" s="2018">
        <v>0</v>
      </c>
    </row>
    <row r="16" spans="1:8" ht="16.5" hidden="1" thickTop="1" thickBot="1" x14ac:dyDescent="0.25">
      <c r="A16" s="2012"/>
      <c r="B16" s="2013"/>
      <c r="C16" s="2017"/>
      <c r="D16" s="2014"/>
      <c r="E16" s="2015"/>
      <c r="F16" s="2015"/>
      <c r="G16" s="2015"/>
      <c r="H16" s="2018"/>
    </row>
    <row r="17" spans="1:9" ht="16.5" thickTop="1" thickBot="1" x14ac:dyDescent="0.25">
      <c r="A17" s="2012">
        <v>6330</v>
      </c>
      <c r="B17" s="2013">
        <v>5345</v>
      </c>
      <c r="C17" s="2017">
        <v>0</v>
      </c>
      <c r="D17" s="2014" t="s">
        <v>767</v>
      </c>
      <c r="E17" s="2015">
        <v>0</v>
      </c>
      <c r="F17" s="2015">
        <v>0</v>
      </c>
      <c r="G17" s="2015">
        <v>235</v>
      </c>
      <c r="H17" s="2018">
        <v>0</v>
      </c>
    </row>
    <row r="18" spans="1:9" s="2076" customFormat="1" ht="16.5" thickTop="1" thickBot="1" x14ac:dyDescent="0.3">
      <c r="A18" s="2757" t="s">
        <v>763</v>
      </c>
      <c r="B18" s="2758"/>
      <c r="C18" s="2758"/>
      <c r="D18" s="2758"/>
      <c r="E18" s="2019">
        <f>SUM(E12:E17)</f>
        <v>0</v>
      </c>
      <c r="F18" s="2019">
        <f>SUM(F12:F17)</f>
        <v>0</v>
      </c>
      <c r="G18" s="2019">
        <f>SUM(G12:G17)</f>
        <v>235</v>
      </c>
      <c r="H18" s="2020">
        <v>0</v>
      </c>
      <c r="I18" s="2075"/>
    </row>
    <row r="19" spans="1:9" s="2076" customFormat="1" ht="15.75" thickTop="1" x14ac:dyDescent="0.25">
      <c r="A19" s="2059"/>
      <c r="B19" s="2059"/>
      <c r="C19" s="2059"/>
      <c r="D19" s="2059"/>
      <c r="E19" s="2060"/>
      <c r="F19" s="2060"/>
      <c r="G19" s="2060"/>
      <c r="H19" s="2061"/>
      <c r="I19" s="2075"/>
    </row>
    <row r="20" spans="1:9" x14ac:dyDescent="0.2">
      <c r="A20" s="1993"/>
      <c r="B20" s="1993"/>
      <c r="C20" s="1993"/>
      <c r="E20" s="1994"/>
      <c r="F20" s="1994"/>
      <c r="G20" s="1994"/>
    </row>
    <row r="21" spans="1:9" ht="27" customHeight="1" x14ac:dyDescent="0.25">
      <c r="A21" s="2760" t="s">
        <v>1762</v>
      </c>
      <c r="B21" s="2761"/>
      <c r="C21" s="2761"/>
      <c r="D21" s="2761"/>
      <c r="E21" s="2761"/>
      <c r="F21" s="2761"/>
      <c r="G21" s="2761"/>
      <c r="H21" s="2761"/>
    </row>
    <row r="22" spans="1:9" ht="15.75" thickBot="1" x14ac:dyDescent="0.3">
      <c r="A22" s="1979" t="s">
        <v>1763</v>
      </c>
      <c r="B22" s="1993"/>
      <c r="C22" s="1993"/>
      <c r="E22" s="1994"/>
      <c r="F22" s="1994"/>
      <c r="G22" s="1994"/>
      <c r="H22" s="1995" t="s">
        <v>161</v>
      </c>
    </row>
    <row r="23" spans="1:9" ht="25.5" thickTop="1" thickBot="1" x14ac:dyDescent="0.25">
      <c r="A23" s="1809" t="s">
        <v>162</v>
      </c>
      <c r="B23" s="1810" t="s">
        <v>761</v>
      </c>
      <c r="C23" s="1810" t="s">
        <v>377</v>
      </c>
      <c r="D23" s="1811" t="s">
        <v>164</v>
      </c>
      <c r="E23" s="1833" t="s">
        <v>632</v>
      </c>
      <c r="F23" s="1833" t="s">
        <v>633</v>
      </c>
      <c r="G23" s="1834" t="s">
        <v>882</v>
      </c>
      <c r="H23" s="1835" t="s">
        <v>883</v>
      </c>
    </row>
    <row r="24" spans="1:9" ht="14.25" thickTop="1" thickBot="1" x14ac:dyDescent="0.25">
      <c r="A24" s="1643">
        <v>1</v>
      </c>
      <c r="B24" s="1642">
        <v>2</v>
      </c>
      <c r="C24" s="1642">
        <v>3</v>
      </c>
      <c r="D24" s="1642">
        <v>4</v>
      </c>
      <c r="E24" s="1641">
        <v>5</v>
      </c>
      <c r="F24" s="1641">
        <v>6</v>
      </c>
      <c r="G24" s="1877">
        <v>7</v>
      </c>
      <c r="H24" s="1901" t="s">
        <v>61</v>
      </c>
    </row>
    <row r="25" spans="1:9" ht="15.75" hidden="1" thickTop="1" x14ac:dyDescent="0.2">
      <c r="A25" s="2007">
        <v>3636</v>
      </c>
      <c r="B25" s="2008">
        <v>5011</v>
      </c>
      <c r="C25" s="2017">
        <v>0</v>
      </c>
      <c r="D25" s="2009" t="s">
        <v>206</v>
      </c>
      <c r="E25" s="2010">
        <v>0</v>
      </c>
      <c r="F25" s="2010">
        <v>0</v>
      </c>
      <c r="G25" s="2010">
        <v>0</v>
      </c>
      <c r="H25" s="2011" t="e">
        <f t="shared" ref="H25:H54" si="0">G25/F25*100</f>
        <v>#DIV/0!</v>
      </c>
    </row>
    <row r="26" spans="1:9" ht="15.75" hidden="1" thickTop="1" x14ac:dyDescent="0.2">
      <c r="A26" s="2012">
        <v>3636</v>
      </c>
      <c r="B26" s="2013">
        <v>5011</v>
      </c>
      <c r="C26" s="2013">
        <v>38500881</v>
      </c>
      <c r="D26" s="2014" t="s">
        <v>206</v>
      </c>
      <c r="E26" s="2015">
        <v>0</v>
      </c>
      <c r="F26" s="2015">
        <v>0</v>
      </c>
      <c r="G26" s="2015">
        <v>0</v>
      </c>
      <c r="H26" s="2016" t="e">
        <f t="shared" si="0"/>
        <v>#DIV/0!</v>
      </c>
    </row>
    <row r="27" spans="1:9" ht="15.75" hidden="1" thickTop="1" x14ac:dyDescent="0.2">
      <c r="A27" s="2012">
        <v>6223</v>
      </c>
      <c r="B27" s="2013">
        <v>5021</v>
      </c>
      <c r="C27" s="2017">
        <v>0</v>
      </c>
      <c r="D27" s="2014" t="s">
        <v>389</v>
      </c>
      <c r="E27" s="2015">
        <v>0</v>
      </c>
      <c r="F27" s="2015">
        <v>0</v>
      </c>
      <c r="G27" s="2015">
        <v>0</v>
      </c>
      <c r="H27" s="2016" t="e">
        <f t="shared" si="0"/>
        <v>#DIV/0!</v>
      </c>
    </row>
    <row r="28" spans="1:9" ht="15.75" hidden="1" thickTop="1" x14ac:dyDescent="0.2">
      <c r="A28" s="2012">
        <v>3636</v>
      </c>
      <c r="B28" s="2013">
        <v>5021</v>
      </c>
      <c r="C28" s="2013">
        <v>38500881</v>
      </c>
      <c r="D28" s="2014" t="s">
        <v>389</v>
      </c>
      <c r="E28" s="2015">
        <v>0</v>
      </c>
      <c r="F28" s="2015">
        <v>0</v>
      </c>
      <c r="G28" s="2015">
        <v>0</v>
      </c>
      <c r="H28" s="2016" t="e">
        <f t="shared" si="0"/>
        <v>#DIV/0!</v>
      </c>
    </row>
    <row r="29" spans="1:9" ht="30.75" hidden="1" thickTop="1" x14ac:dyDescent="0.2">
      <c r="A29" s="2012">
        <v>3636</v>
      </c>
      <c r="B29" s="2013">
        <v>5031</v>
      </c>
      <c r="C29" s="2013">
        <v>38100880</v>
      </c>
      <c r="D29" s="2014" t="s">
        <v>1299</v>
      </c>
      <c r="E29" s="2015">
        <v>0</v>
      </c>
      <c r="F29" s="2015">
        <v>0</v>
      </c>
      <c r="G29" s="2015">
        <v>0</v>
      </c>
      <c r="H29" s="2016" t="e">
        <f t="shared" si="0"/>
        <v>#DIV/0!</v>
      </c>
    </row>
    <row r="30" spans="1:9" ht="30.75" hidden="1" thickTop="1" x14ac:dyDescent="0.2">
      <c r="A30" s="2012">
        <v>3636</v>
      </c>
      <c r="B30" s="2013">
        <v>5031</v>
      </c>
      <c r="C30" s="2013">
        <v>38500881</v>
      </c>
      <c r="D30" s="2014" t="s">
        <v>1299</v>
      </c>
      <c r="E30" s="2015">
        <v>0</v>
      </c>
      <c r="F30" s="2015">
        <v>0</v>
      </c>
      <c r="G30" s="2015">
        <v>0</v>
      </c>
      <c r="H30" s="2016" t="e">
        <f t="shared" si="0"/>
        <v>#DIV/0!</v>
      </c>
    </row>
    <row r="31" spans="1:9" ht="30.75" hidden="1" thickTop="1" x14ac:dyDescent="0.2">
      <c r="A31" s="2012">
        <v>3636</v>
      </c>
      <c r="B31" s="2013">
        <v>5032</v>
      </c>
      <c r="C31" s="2013">
        <v>38100880</v>
      </c>
      <c r="D31" s="2014" t="s">
        <v>1177</v>
      </c>
      <c r="E31" s="2015">
        <v>0</v>
      </c>
      <c r="F31" s="2015">
        <v>0</v>
      </c>
      <c r="G31" s="2015">
        <v>0</v>
      </c>
      <c r="H31" s="2016" t="e">
        <f t="shared" si="0"/>
        <v>#DIV/0!</v>
      </c>
    </row>
    <row r="32" spans="1:9" ht="30.75" hidden="1" thickTop="1" x14ac:dyDescent="0.2">
      <c r="A32" s="2012">
        <v>3636</v>
      </c>
      <c r="B32" s="2013">
        <v>5032</v>
      </c>
      <c r="C32" s="2013">
        <v>38500881</v>
      </c>
      <c r="D32" s="2014" t="s">
        <v>1177</v>
      </c>
      <c r="E32" s="2015">
        <v>0</v>
      </c>
      <c r="F32" s="2015">
        <v>0</v>
      </c>
      <c r="G32" s="2015">
        <v>0</v>
      </c>
      <c r="H32" s="2016" t="e">
        <f t="shared" si="0"/>
        <v>#DIV/0!</v>
      </c>
    </row>
    <row r="33" spans="1:8" ht="15.75" hidden="1" thickTop="1" x14ac:dyDescent="0.2">
      <c r="A33" s="2012">
        <v>3636</v>
      </c>
      <c r="B33" s="2013">
        <v>5139</v>
      </c>
      <c r="C33" s="2013">
        <v>38100880</v>
      </c>
      <c r="D33" s="2014" t="s">
        <v>270</v>
      </c>
      <c r="E33" s="2015">
        <v>0</v>
      </c>
      <c r="F33" s="2015">
        <v>0</v>
      </c>
      <c r="G33" s="2015">
        <v>0</v>
      </c>
      <c r="H33" s="2016" t="e">
        <f t="shared" si="0"/>
        <v>#DIV/0!</v>
      </c>
    </row>
    <row r="34" spans="1:8" ht="15.75" hidden="1" thickTop="1" x14ac:dyDescent="0.2">
      <c r="A34" s="2012">
        <v>3636</v>
      </c>
      <c r="B34" s="2013">
        <v>5139</v>
      </c>
      <c r="C34" s="2013">
        <v>38500881</v>
      </c>
      <c r="D34" s="2014" t="s">
        <v>270</v>
      </c>
      <c r="E34" s="2015">
        <v>0</v>
      </c>
      <c r="F34" s="2015">
        <v>0</v>
      </c>
      <c r="G34" s="2015">
        <v>0</v>
      </c>
      <c r="H34" s="2016" t="e">
        <f t="shared" si="0"/>
        <v>#DIV/0!</v>
      </c>
    </row>
    <row r="35" spans="1:8" ht="15.75" hidden="1" thickTop="1" x14ac:dyDescent="0.2">
      <c r="A35" s="2012">
        <v>3636</v>
      </c>
      <c r="B35" s="2013">
        <v>5162</v>
      </c>
      <c r="C35" s="2013">
        <v>38100880</v>
      </c>
      <c r="D35" s="2014" t="s">
        <v>864</v>
      </c>
      <c r="E35" s="2015">
        <v>0</v>
      </c>
      <c r="F35" s="2015">
        <v>0</v>
      </c>
      <c r="G35" s="2015">
        <v>0</v>
      </c>
      <c r="H35" s="2016" t="e">
        <f t="shared" si="0"/>
        <v>#DIV/0!</v>
      </c>
    </row>
    <row r="36" spans="1:8" ht="15.75" hidden="1" thickTop="1" x14ac:dyDescent="0.2">
      <c r="A36" s="2012">
        <v>3636</v>
      </c>
      <c r="B36" s="2013">
        <v>5162</v>
      </c>
      <c r="C36" s="2013">
        <v>38500881</v>
      </c>
      <c r="D36" s="2014" t="s">
        <v>864</v>
      </c>
      <c r="E36" s="2015">
        <v>0</v>
      </c>
      <c r="F36" s="2015">
        <v>0</v>
      </c>
      <c r="G36" s="2015">
        <v>0</v>
      </c>
      <c r="H36" s="2016" t="e">
        <f t="shared" si="0"/>
        <v>#DIV/0!</v>
      </c>
    </row>
    <row r="37" spans="1:8" ht="15.75" hidden="1" thickTop="1" x14ac:dyDescent="0.2">
      <c r="A37" s="2012">
        <v>3636</v>
      </c>
      <c r="B37" s="2013">
        <v>5164</v>
      </c>
      <c r="C37" s="2013">
        <v>38100880</v>
      </c>
      <c r="D37" s="2014" t="s">
        <v>170</v>
      </c>
      <c r="E37" s="2015">
        <v>0</v>
      </c>
      <c r="F37" s="2015">
        <v>0</v>
      </c>
      <c r="G37" s="2015">
        <v>0</v>
      </c>
      <c r="H37" s="2016" t="e">
        <f t="shared" si="0"/>
        <v>#DIV/0!</v>
      </c>
    </row>
    <row r="38" spans="1:8" ht="15.75" hidden="1" thickTop="1" x14ac:dyDescent="0.2">
      <c r="A38" s="2012">
        <v>3636</v>
      </c>
      <c r="B38" s="2013">
        <v>5164</v>
      </c>
      <c r="C38" s="2013">
        <v>38500881</v>
      </c>
      <c r="D38" s="2014" t="s">
        <v>170</v>
      </c>
      <c r="E38" s="2015">
        <v>0</v>
      </c>
      <c r="F38" s="2015">
        <v>0</v>
      </c>
      <c r="G38" s="2015">
        <v>0</v>
      </c>
      <c r="H38" s="2016" t="e">
        <f t="shared" si="0"/>
        <v>#DIV/0!</v>
      </c>
    </row>
    <row r="39" spans="1:8" ht="15.75" thickTop="1" x14ac:dyDescent="0.2">
      <c r="A39" s="2012">
        <v>6223</v>
      </c>
      <c r="B39" s="2013">
        <v>5166</v>
      </c>
      <c r="C39" s="2017">
        <v>41100880</v>
      </c>
      <c r="D39" s="2014" t="s">
        <v>609</v>
      </c>
      <c r="E39" s="2015">
        <v>0</v>
      </c>
      <c r="F39" s="2015">
        <v>1</v>
      </c>
      <c r="G39" s="2015">
        <v>1</v>
      </c>
      <c r="H39" s="2016">
        <f t="shared" si="0"/>
        <v>100</v>
      </c>
    </row>
    <row r="40" spans="1:8" ht="15" x14ac:dyDescent="0.2">
      <c r="A40" s="2012">
        <v>6223</v>
      </c>
      <c r="B40" s="2013">
        <v>5166</v>
      </c>
      <c r="C40" s="2013">
        <v>41100882</v>
      </c>
      <c r="D40" s="2014" t="s">
        <v>609</v>
      </c>
      <c r="E40" s="2015">
        <v>0</v>
      </c>
      <c r="F40" s="2015">
        <v>1</v>
      </c>
      <c r="G40" s="2015">
        <v>0</v>
      </c>
      <c r="H40" s="2016">
        <f t="shared" si="0"/>
        <v>0</v>
      </c>
    </row>
    <row r="41" spans="1:8" ht="15.75" thickBot="1" x14ac:dyDescent="0.25">
      <c r="A41" s="2012">
        <v>6223</v>
      </c>
      <c r="B41" s="2013">
        <v>5166</v>
      </c>
      <c r="C41" s="2013">
        <v>41500881</v>
      </c>
      <c r="D41" s="2014" t="s">
        <v>609</v>
      </c>
      <c r="E41" s="2015">
        <v>0</v>
      </c>
      <c r="F41" s="2015">
        <v>8</v>
      </c>
      <c r="G41" s="2015">
        <v>6</v>
      </c>
      <c r="H41" s="2016">
        <f t="shared" si="0"/>
        <v>75</v>
      </c>
    </row>
    <row r="42" spans="1:8" ht="15.75" hidden="1" thickBot="1" x14ac:dyDescent="0.25">
      <c r="A42" s="2012">
        <v>6223</v>
      </c>
      <c r="B42" s="2013">
        <v>5166</v>
      </c>
      <c r="C42" s="2013">
        <v>41500881</v>
      </c>
      <c r="D42" s="2014" t="s">
        <v>609</v>
      </c>
      <c r="E42" s="2015">
        <v>0</v>
      </c>
      <c r="F42" s="2015"/>
      <c r="G42" s="2015">
        <v>0</v>
      </c>
      <c r="H42" s="2016" t="e">
        <f t="shared" si="0"/>
        <v>#DIV/0!</v>
      </c>
    </row>
    <row r="43" spans="1:8" ht="15.75" hidden="1" thickBot="1" x14ac:dyDescent="0.25">
      <c r="A43" s="2012">
        <v>3636</v>
      </c>
      <c r="B43" s="2013">
        <v>5167</v>
      </c>
      <c r="C43" s="2013">
        <v>38100880</v>
      </c>
      <c r="D43" s="2014" t="s">
        <v>895</v>
      </c>
      <c r="E43" s="2015">
        <v>0</v>
      </c>
      <c r="F43" s="2015"/>
      <c r="G43" s="2015"/>
      <c r="H43" s="2016" t="e">
        <f t="shared" si="0"/>
        <v>#DIV/0!</v>
      </c>
    </row>
    <row r="44" spans="1:8" ht="15.75" hidden="1" thickBot="1" x14ac:dyDescent="0.25">
      <c r="A44" s="2012">
        <v>3636</v>
      </c>
      <c r="B44" s="2013">
        <v>5167</v>
      </c>
      <c r="C44" s="2013">
        <v>38500881</v>
      </c>
      <c r="D44" s="2014" t="s">
        <v>895</v>
      </c>
      <c r="E44" s="2015">
        <v>0</v>
      </c>
      <c r="F44" s="2015"/>
      <c r="G44" s="2015"/>
      <c r="H44" s="2016" t="e">
        <f t="shared" si="0"/>
        <v>#DIV/0!</v>
      </c>
    </row>
    <row r="45" spans="1:8" ht="15.75" hidden="1" thickBot="1" x14ac:dyDescent="0.25">
      <c r="A45" s="2012">
        <v>3636</v>
      </c>
      <c r="B45" s="2013">
        <v>5169</v>
      </c>
      <c r="C45" s="2013">
        <v>38100880</v>
      </c>
      <c r="D45" s="2014" t="s">
        <v>852</v>
      </c>
      <c r="E45" s="2015">
        <v>0</v>
      </c>
      <c r="F45" s="2015"/>
      <c r="G45" s="2015"/>
      <c r="H45" s="2016" t="e">
        <f t="shared" si="0"/>
        <v>#DIV/0!</v>
      </c>
    </row>
    <row r="46" spans="1:8" ht="15.75" hidden="1" thickBot="1" x14ac:dyDescent="0.25">
      <c r="A46" s="2012">
        <v>3636</v>
      </c>
      <c r="B46" s="2013">
        <v>5169</v>
      </c>
      <c r="C46" s="2013">
        <v>38500881</v>
      </c>
      <c r="D46" s="2014" t="s">
        <v>852</v>
      </c>
      <c r="E46" s="2015">
        <v>0</v>
      </c>
      <c r="F46" s="2015"/>
      <c r="G46" s="2015"/>
      <c r="H46" s="2016" t="e">
        <f t="shared" si="0"/>
        <v>#DIV/0!</v>
      </c>
    </row>
    <row r="47" spans="1:8" ht="15.75" hidden="1" thickBot="1" x14ac:dyDescent="0.25">
      <c r="A47" s="2012">
        <v>6223</v>
      </c>
      <c r="B47" s="2013">
        <v>5173</v>
      </c>
      <c r="C47" s="2017">
        <v>0</v>
      </c>
      <c r="D47" s="2014" t="s">
        <v>1152</v>
      </c>
      <c r="E47" s="2015"/>
      <c r="F47" s="2015">
        <v>0</v>
      </c>
      <c r="G47" s="2015">
        <v>0</v>
      </c>
      <c r="H47" s="2016" t="e">
        <f t="shared" si="0"/>
        <v>#DIV/0!</v>
      </c>
    </row>
    <row r="48" spans="1:8" ht="15.75" hidden="1" thickBot="1" x14ac:dyDescent="0.25">
      <c r="A48" s="2012">
        <v>3636</v>
      </c>
      <c r="B48" s="2013">
        <v>5173</v>
      </c>
      <c r="C48" s="2013">
        <v>38500881</v>
      </c>
      <c r="D48" s="2014" t="s">
        <v>1152</v>
      </c>
      <c r="E48" s="2015">
        <v>0</v>
      </c>
      <c r="F48" s="2015"/>
      <c r="G48" s="2015"/>
      <c r="H48" s="2016" t="e">
        <f t="shared" si="0"/>
        <v>#DIV/0!</v>
      </c>
    </row>
    <row r="49" spans="1:8" ht="15.75" hidden="1" thickBot="1" x14ac:dyDescent="0.25">
      <c r="A49" s="2012">
        <v>3636</v>
      </c>
      <c r="B49" s="2013">
        <v>5175</v>
      </c>
      <c r="C49" s="2013">
        <v>38100880</v>
      </c>
      <c r="D49" s="2014" t="s">
        <v>669</v>
      </c>
      <c r="E49" s="2015">
        <v>0</v>
      </c>
      <c r="F49" s="2015"/>
      <c r="G49" s="2015"/>
      <c r="H49" s="2016" t="e">
        <f t="shared" si="0"/>
        <v>#DIV/0!</v>
      </c>
    </row>
    <row r="50" spans="1:8" ht="15.75" hidden="1" thickBot="1" x14ac:dyDescent="0.25">
      <c r="A50" s="2012">
        <v>3636</v>
      </c>
      <c r="B50" s="2013">
        <v>5175</v>
      </c>
      <c r="C50" s="2013">
        <v>38500881</v>
      </c>
      <c r="D50" s="2014" t="s">
        <v>669</v>
      </c>
      <c r="E50" s="2015">
        <v>0</v>
      </c>
      <c r="F50" s="2015"/>
      <c r="G50" s="2015"/>
      <c r="H50" s="2016" t="e">
        <f t="shared" si="0"/>
        <v>#DIV/0!</v>
      </c>
    </row>
    <row r="51" spans="1:8" ht="15.75" hidden="1" thickBot="1" x14ac:dyDescent="0.25">
      <c r="A51" s="2012">
        <v>3636</v>
      </c>
      <c r="B51" s="2013">
        <v>5176</v>
      </c>
      <c r="C51" s="2013">
        <v>38100880</v>
      </c>
      <c r="D51" s="2014" t="s">
        <v>1247</v>
      </c>
      <c r="E51" s="2015">
        <v>0</v>
      </c>
      <c r="F51" s="2015"/>
      <c r="G51" s="2015"/>
      <c r="H51" s="2016" t="e">
        <f t="shared" si="0"/>
        <v>#DIV/0!</v>
      </c>
    </row>
    <row r="52" spans="1:8" ht="15.75" hidden="1" thickBot="1" x14ac:dyDescent="0.25">
      <c r="A52" s="2012">
        <v>3636</v>
      </c>
      <c r="B52" s="2013">
        <v>5176</v>
      </c>
      <c r="C52" s="2013">
        <v>38500881</v>
      </c>
      <c r="D52" s="2014" t="s">
        <v>1247</v>
      </c>
      <c r="E52" s="2015">
        <v>0</v>
      </c>
      <c r="F52" s="2015"/>
      <c r="G52" s="2015"/>
      <c r="H52" s="2016" t="e">
        <f t="shared" si="0"/>
        <v>#DIV/0!</v>
      </c>
    </row>
    <row r="53" spans="1:8" ht="15.75" hidden="1" thickBot="1" x14ac:dyDescent="0.25">
      <c r="A53" s="2012">
        <v>3636</v>
      </c>
      <c r="B53" s="2013">
        <v>6901</v>
      </c>
      <c r="C53" s="2013">
        <v>38100880</v>
      </c>
      <c r="D53" s="2014" t="s">
        <v>428</v>
      </c>
      <c r="E53" s="2015">
        <v>0</v>
      </c>
      <c r="F53" s="2015">
        <v>0</v>
      </c>
      <c r="G53" s="2015">
        <v>0</v>
      </c>
      <c r="H53" s="2016" t="e">
        <f t="shared" si="0"/>
        <v>#DIV/0!</v>
      </c>
    </row>
    <row r="54" spans="1:8" ht="15.75" hidden="1" thickBot="1" x14ac:dyDescent="0.25">
      <c r="A54" s="2012">
        <v>3636</v>
      </c>
      <c r="B54" s="2013">
        <v>5363</v>
      </c>
      <c r="C54" s="2013">
        <v>38500881</v>
      </c>
      <c r="D54" s="2014" t="s">
        <v>549</v>
      </c>
      <c r="E54" s="2015">
        <v>0</v>
      </c>
      <c r="F54" s="2015">
        <v>0</v>
      </c>
      <c r="G54" s="2015">
        <v>0</v>
      </c>
      <c r="H54" s="2018" t="e">
        <f t="shared" si="0"/>
        <v>#DIV/0!</v>
      </c>
    </row>
    <row r="55" spans="1:8" ht="16.5" thickTop="1" thickBot="1" x14ac:dyDescent="0.3">
      <c r="A55" s="2751" t="s">
        <v>763</v>
      </c>
      <c r="B55" s="2752"/>
      <c r="C55" s="2752"/>
      <c r="D55" s="2752"/>
      <c r="E55" s="1818">
        <f>SUM(E25:E54)</f>
        <v>0</v>
      </c>
      <c r="F55" s="1818">
        <f>SUM(F25:F54)</f>
        <v>10</v>
      </c>
      <c r="G55" s="1818">
        <f>SUM(G25:G54)</f>
        <v>7</v>
      </c>
      <c r="H55" s="1822">
        <f>G55/F55*100</f>
        <v>70</v>
      </c>
    </row>
    <row r="56" spans="1:8" ht="13.5" thickTop="1" x14ac:dyDescent="0.2"/>
    <row r="57" spans="1:8" ht="27" customHeight="1" x14ac:dyDescent="0.25">
      <c r="A57" s="2760" t="s">
        <v>1764</v>
      </c>
      <c r="B57" s="2761"/>
      <c r="C57" s="2761"/>
      <c r="D57" s="2761"/>
      <c r="E57" s="2761"/>
      <c r="F57" s="2761"/>
      <c r="G57" s="2761"/>
      <c r="H57" s="2761"/>
    </row>
    <row r="58" spans="1:8" ht="15.75" thickBot="1" x14ac:dyDescent="0.3">
      <c r="A58" s="1979" t="s">
        <v>1765</v>
      </c>
      <c r="B58" s="1993"/>
      <c r="C58" s="1993"/>
      <c r="E58" s="1994"/>
      <c r="F58" s="1994"/>
      <c r="G58" s="1994"/>
      <c r="H58" s="1995" t="s">
        <v>161</v>
      </c>
    </row>
    <row r="59" spans="1:8" ht="25.5" thickTop="1" thickBot="1" x14ac:dyDescent="0.25">
      <c r="A59" s="1809" t="s">
        <v>162</v>
      </c>
      <c r="B59" s="1810" t="s">
        <v>761</v>
      </c>
      <c r="C59" s="1810" t="s">
        <v>377</v>
      </c>
      <c r="D59" s="1811" t="s">
        <v>164</v>
      </c>
      <c r="E59" s="1833" t="s">
        <v>632</v>
      </c>
      <c r="F59" s="1833" t="s">
        <v>633</v>
      </c>
      <c r="G59" s="1834" t="s">
        <v>882</v>
      </c>
      <c r="H59" s="1835" t="s">
        <v>883</v>
      </c>
    </row>
    <row r="60" spans="1:8" ht="14.25" thickTop="1" thickBot="1" x14ac:dyDescent="0.25">
      <c r="A60" s="1643">
        <v>1</v>
      </c>
      <c r="B60" s="1642">
        <v>2</v>
      </c>
      <c r="C60" s="1642">
        <v>3</v>
      </c>
      <c r="D60" s="1642">
        <v>4</v>
      </c>
      <c r="E60" s="1641">
        <v>5</v>
      </c>
      <c r="F60" s="1641">
        <v>6</v>
      </c>
      <c r="G60" s="1877">
        <v>7</v>
      </c>
      <c r="H60" s="1901" t="s">
        <v>61</v>
      </c>
    </row>
    <row r="61" spans="1:8" ht="15.75" hidden="1" thickTop="1" x14ac:dyDescent="0.2">
      <c r="A61" s="2007">
        <v>3636</v>
      </c>
      <c r="B61" s="2008">
        <v>5011</v>
      </c>
      <c r="C61" s="2017">
        <v>0</v>
      </c>
      <c r="D61" s="2009" t="s">
        <v>206</v>
      </c>
      <c r="E61" s="2010">
        <v>0</v>
      </c>
      <c r="F61" s="2010">
        <v>0</v>
      </c>
      <c r="G61" s="2010">
        <v>0</v>
      </c>
      <c r="H61" s="2011" t="e">
        <f>G61/F61*100</f>
        <v>#DIV/0!</v>
      </c>
    </row>
    <row r="62" spans="1:8" ht="15.75" hidden="1" thickTop="1" x14ac:dyDescent="0.2">
      <c r="A62" s="2012">
        <v>3636</v>
      </c>
      <c r="B62" s="2013">
        <v>5011</v>
      </c>
      <c r="C62" s="2013">
        <v>38500881</v>
      </c>
      <c r="D62" s="2014" t="s">
        <v>206</v>
      </c>
      <c r="E62" s="2015">
        <v>0</v>
      </c>
      <c r="F62" s="2015">
        <v>0</v>
      </c>
      <c r="G62" s="2015">
        <v>0</v>
      </c>
      <c r="H62" s="2016" t="e">
        <f>G62/F62*100</f>
        <v>#DIV/0!</v>
      </c>
    </row>
    <row r="63" spans="1:8" ht="15.75" thickTop="1" x14ac:dyDescent="0.2">
      <c r="A63" s="2012">
        <v>6223</v>
      </c>
      <c r="B63" s="2013">
        <v>5021</v>
      </c>
      <c r="C63" s="2017">
        <v>0</v>
      </c>
      <c r="D63" s="2014" t="s">
        <v>389</v>
      </c>
      <c r="E63" s="2015">
        <v>615</v>
      </c>
      <c r="F63" s="2015">
        <v>0</v>
      </c>
      <c r="G63" s="2015">
        <v>0</v>
      </c>
      <c r="H63" s="2016">
        <v>0</v>
      </c>
    </row>
    <row r="64" spans="1:8" ht="15" hidden="1" x14ac:dyDescent="0.2">
      <c r="A64" s="2012">
        <v>3636</v>
      </c>
      <c r="B64" s="2013">
        <v>5021</v>
      </c>
      <c r="C64" s="2013">
        <v>38500881</v>
      </c>
      <c r="D64" s="2014" t="s">
        <v>389</v>
      </c>
      <c r="E64" s="2015">
        <v>0</v>
      </c>
      <c r="F64" s="2015">
        <v>0</v>
      </c>
      <c r="G64" s="2015">
        <v>0</v>
      </c>
      <c r="H64" s="2016" t="e">
        <f t="shared" ref="H64:H74" si="1">G64/F64*100</f>
        <v>#DIV/0!</v>
      </c>
    </row>
    <row r="65" spans="1:8" ht="30" hidden="1" x14ac:dyDescent="0.2">
      <c r="A65" s="2012">
        <v>3636</v>
      </c>
      <c r="B65" s="2013">
        <v>5031</v>
      </c>
      <c r="C65" s="2013">
        <v>38100880</v>
      </c>
      <c r="D65" s="2014" t="s">
        <v>1299</v>
      </c>
      <c r="E65" s="2015">
        <v>0</v>
      </c>
      <c r="F65" s="2015">
        <v>0</v>
      </c>
      <c r="G65" s="2015">
        <v>0</v>
      </c>
      <c r="H65" s="2016" t="e">
        <f t="shared" si="1"/>
        <v>#DIV/0!</v>
      </c>
    </row>
    <row r="66" spans="1:8" ht="30" hidden="1" x14ac:dyDescent="0.2">
      <c r="A66" s="2012">
        <v>3636</v>
      </c>
      <c r="B66" s="2013">
        <v>5031</v>
      </c>
      <c r="C66" s="2013">
        <v>38500881</v>
      </c>
      <c r="D66" s="2014" t="s">
        <v>1299</v>
      </c>
      <c r="E66" s="2015">
        <v>0</v>
      </c>
      <c r="F66" s="2015">
        <v>0</v>
      </c>
      <c r="G66" s="2015">
        <v>0</v>
      </c>
      <c r="H66" s="2016" t="e">
        <f t="shared" si="1"/>
        <v>#DIV/0!</v>
      </c>
    </row>
    <row r="67" spans="1:8" ht="30" hidden="1" x14ac:dyDescent="0.2">
      <c r="A67" s="2012">
        <v>3636</v>
      </c>
      <c r="B67" s="2013">
        <v>5032</v>
      </c>
      <c r="C67" s="2013">
        <v>38100880</v>
      </c>
      <c r="D67" s="2014" t="s">
        <v>1177</v>
      </c>
      <c r="E67" s="2015">
        <v>0</v>
      </c>
      <c r="F67" s="2015">
        <v>0</v>
      </c>
      <c r="G67" s="2015">
        <v>0</v>
      </c>
      <c r="H67" s="2016" t="e">
        <f t="shared" si="1"/>
        <v>#DIV/0!</v>
      </c>
    </row>
    <row r="68" spans="1:8" ht="30" hidden="1" x14ac:dyDescent="0.2">
      <c r="A68" s="2012">
        <v>3636</v>
      </c>
      <c r="B68" s="2013">
        <v>5032</v>
      </c>
      <c r="C68" s="2013">
        <v>38500881</v>
      </c>
      <c r="D68" s="2014" t="s">
        <v>1177</v>
      </c>
      <c r="E68" s="2015">
        <v>0</v>
      </c>
      <c r="F68" s="2015">
        <v>0</v>
      </c>
      <c r="G68" s="2015">
        <v>0</v>
      </c>
      <c r="H68" s="2016" t="e">
        <f t="shared" si="1"/>
        <v>#DIV/0!</v>
      </c>
    </row>
    <row r="69" spans="1:8" ht="15" x14ac:dyDescent="0.2">
      <c r="A69" s="2012">
        <v>6223</v>
      </c>
      <c r="B69" s="2013">
        <v>5139</v>
      </c>
      <c r="C69" s="2013">
        <v>42100880</v>
      </c>
      <c r="D69" s="2014" t="s">
        <v>270</v>
      </c>
      <c r="E69" s="2015">
        <v>0</v>
      </c>
      <c r="F69" s="2015">
        <v>10</v>
      </c>
      <c r="G69" s="2015">
        <v>8</v>
      </c>
      <c r="H69" s="2016">
        <f t="shared" si="1"/>
        <v>80</v>
      </c>
    </row>
    <row r="70" spans="1:8" ht="15" x14ac:dyDescent="0.2">
      <c r="A70" s="2012">
        <v>6223</v>
      </c>
      <c r="B70" s="2013">
        <v>5139</v>
      </c>
      <c r="C70" s="2013">
        <v>42500881</v>
      </c>
      <c r="D70" s="2014" t="s">
        <v>270</v>
      </c>
      <c r="E70" s="2015">
        <v>0</v>
      </c>
      <c r="F70" s="2015">
        <v>55</v>
      </c>
      <c r="G70" s="2015">
        <v>49</v>
      </c>
      <c r="H70" s="2016">
        <f t="shared" si="1"/>
        <v>89.090909090909093</v>
      </c>
    </row>
    <row r="71" spans="1:8" ht="15" hidden="1" x14ac:dyDescent="0.2">
      <c r="A71" s="2012">
        <v>3636</v>
      </c>
      <c r="B71" s="2013">
        <v>5162</v>
      </c>
      <c r="C71" s="2013">
        <v>38100880</v>
      </c>
      <c r="D71" s="2014" t="s">
        <v>864</v>
      </c>
      <c r="E71" s="2015">
        <v>0</v>
      </c>
      <c r="F71" s="2015">
        <v>0</v>
      </c>
      <c r="G71" s="2015">
        <v>0</v>
      </c>
      <c r="H71" s="2016" t="e">
        <f t="shared" si="1"/>
        <v>#DIV/0!</v>
      </c>
    </row>
    <row r="72" spans="1:8" ht="15" hidden="1" x14ac:dyDescent="0.2">
      <c r="A72" s="2012">
        <v>3636</v>
      </c>
      <c r="B72" s="2013">
        <v>5162</v>
      </c>
      <c r="C72" s="2013">
        <v>38500881</v>
      </c>
      <c r="D72" s="2014" t="s">
        <v>864</v>
      </c>
      <c r="E72" s="2015">
        <v>0</v>
      </c>
      <c r="F72" s="2015">
        <v>0</v>
      </c>
      <c r="G72" s="2015">
        <v>0</v>
      </c>
      <c r="H72" s="2016" t="e">
        <f t="shared" si="1"/>
        <v>#DIV/0!</v>
      </c>
    </row>
    <row r="73" spans="1:8" ht="15" hidden="1" x14ac:dyDescent="0.2">
      <c r="A73" s="2012">
        <v>6223</v>
      </c>
      <c r="B73" s="2013">
        <v>5164</v>
      </c>
      <c r="C73" s="2013">
        <v>42100880</v>
      </c>
      <c r="D73" s="2014" t="s">
        <v>170</v>
      </c>
      <c r="E73" s="2015">
        <v>0</v>
      </c>
      <c r="F73" s="2015"/>
      <c r="G73" s="2015"/>
      <c r="H73" s="2016" t="e">
        <f t="shared" si="1"/>
        <v>#DIV/0!</v>
      </c>
    </row>
    <row r="74" spans="1:8" ht="15" hidden="1" x14ac:dyDescent="0.2">
      <c r="A74" s="2012">
        <v>6223</v>
      </c>
      <c r="B74" s="2013">
        <v>5164</v>
      </c>
      <c r="C74" s="2013">
        <v>42500881</v>
      </c>
      <c r="D74" s="2014" t="s">
        <v>170</v>
      </c>
      <c r="E74" s="2015">
        <v>0</v>
      </c>
      <c r="F74" s="2015"/>
      <c r="G74" s="2015"/>
      <c r="H74" s="2016" t="e">
        <f t="shared" si="1"/>
        <v>#DIV/0!</v>
      </c>
    </row>
    <row r="75" spans="1:8" ht="15" hidden="1" x14ac:dyDescent="0.2">
      <c r="A75" s="2012">
        <v>6223</v>
      </c>
      <c r="B75" s="2013">
        <v>5166</v>
      </c>
      <c r="C75" s="2017">
        <v>0</v>
      </c>
      <c r="D75" s="2014" t="s">
        <v>609</v>
      </c>
      <c r="E75" s="2015">
        <v>0</v>
      </c>
      <c r="F75" s="2015">
        <v>0</v>
      </c>
      <c r="G75" s="2015">
        <v>0</v>
      </c>
      <c r="H75" s="2016">
        <v>0</v>
      </c>
    </row>
    <row r="76" spans="1:8" ht="15" hidden="1" x14ac:dyDescent="0.2">
      <c r="A76" s="2012">
        <v>6223</v>
      </c>
      <c r="B76" s="2013">
        <v>5166</v>
      </c>
      <c r="C76" s="2013">
        <v>41100880</v>
      </c>
      <c r="D76" s="2014" t="s">
        <v>609</v>
      </c>
      <c r="E76" s="2015">
        <v>0</v>
      </c>
      <c r="F76" s="2015">
        <v>0</v>
      </c>
      <c r="G76" s="2015">
        <v>0</v>
      </c>
      <c r="H76" s="2016" t="e">
        <f t="shared" ref="H76:H82" si="2">G76/F76*100</f>
        <v>#DIV/0!</v>
      </c>
    </row>
    <row r="77" spans="1:8" ht="15" hidden="1" x14ac:dyDescent="0.2">
      <c r="A77" s="2012">
        <v>6223</v>
      </c>
      <c r="B77" s="2013">
        <v>5166</v>
      </c>
      <c r="C77" s="2013">
        <v>41100882</v>
      </c>
      <c r="D77" s="2014" t="s">
        <v>609</v>
      </c>
      <c r="E77" s="2015">
        <v>0</v>
      </c>
      <c r="F77" s="2015">
        <v>0</v>
      </c>
      <c r="G77" s="2015">
        <v>0</v>
      </c>
      <c r="H77" s="2016" t="e">
        <f t="shared" si="2"/>
        <v>#DIV/0!</v>
      </c>
    </row>
    <row r="78" spans="1:8" ht="15" hidden="1" x14ac:dyDescent="0.2">
      <c r="A78" s="2012">
        <v>6223</v>
      </c>
      <c r="B78" s="2013">
        <v>5166</v>
      </c>
      <c r="C78" s="2013">
        <v>41500881</v>
      </c>
      <c r="D78" s="2014" t="s">
        <v>609</v>
      </c>
      <c r="E78" s="2015">
        <v>0</v>
      </c>
      <c r="F78" s="2015">
        <v>0</v>
      </c>
      <c r="G78" s="2015">
        <v>0</v>
      </c>
      <c r="H78" s="2016" t="e">
        <f t="shared" si="2"/>
        <v>#DIV/0!</v>
      </c>
    </row>
    <row r="79" spans="1:8" ht="15" hidden="1" x14ac:dyDescent="0.2">
      <c r="A79" s="2012">
        <v>6223</v>
      </c>
      <c r="B79" s="2013">
        <v>5167</v>
      </c>
      <c r="C79" s="2013">
        <v>38100880</v>
      </c>
      <c r="D79" s="2014" t="s">
        <v>895</v>
      </c>
      <c r="E79" s="2015">
        <v>0</v>
      </c>
      <c r="F79" s="2015"/>
      <c r="G79" s="2015"/>
      <c r="H79" s="2016" t="e">
        <f t="shared" si="2"/>
        <v>#DIV/0!</v>
      </c>
    </row>
    <row r="80" spans="1:8" ht="15" hidden="1" x14ac:dyDescent="0.2">
      <c r="A80" s="2012">
        <v>6223</v>
      </c>
      <c r="B80" s="2013">
        <v>5167</v>
      </c>
      <c r="C80" s="2013">
        <v>38500881</v>
      </c>
      <c r="D80" s="2014" t="s">
        <v>895</v>
      </c>
      <c r="E80" s="2015">
        <v>0</v>
      </c>
      <c r="F80" s="2015"/>
      <c r="G80" s="2015"/>
      <c r="H80" s="2016" t="e">
        <f t="shared" si="2"/>
        <v>#DIV/0!</v>
      </c>
    </row>
    <row r="81" spans="1:11" ht="15" x14ac:dyDescent="0.2">
      <c r="A81" s="2012">
        <v>6223</v>
      </c>
      <c r="B81" s="2013">
        <v>5169</v>
      </c>
      <c r="C81" s="2013">
        <v>42100880</v>
      </c>
      <c r="D81" s="2014" t="s">
        <v>852</v>
      </c>
      <c r="E81" s="2015">
        <v>15</v>
      </c>
      <c r="F81" s="2015">
        <v>8</v>
      </c>
      <c r="G81" s="2015">
        <v>8</v>
      </c>
      <c r="H81" s="2016">
        <f t="shared" si="2"/>
        <v>100</v>
      </c>
    </row>
    <row r="82" spans="1:11" ht="15" x14ac:dyDescent="0.2">
      <c r="A82" s="2012">
        <v>6223</v>
      </c>
      <c r="B82" s="2013">
        <v>5169</v>
      </c>
      <c r="C82" s="2013">
        <v>42500881</v>
      </c>
      <c r="D82" s="2014" t="s">
        <v>852</v>
      </c>
      <c r="E82" s="2015">
        <v>86</v>
      </c>
      <c r="F82" s="2015">
        <v>48</v>
      </c>
      <c r="G82" s="2015">
        <v>44</v>
      </c>
      <c r="H82" s="2016">
        <f t="shared" si="2"/>
        <v>91.666666666666657</v>
      </c>
    </row>
    <row r="83" spans="1:11" ht="15.75" thickBot="1" x14ac:dyDescent="0.25">
      <c r="A83" s="2012">
        <v>6223</v>
      </c>
      <c r="B83" s="2013">
        <v>5173</v>
      </c>
      <c r="C83" s="2017">
        <v>0</v>
      </c>
      <c r="D83" s="2014" t="s">
        <v>1152</v>
      </c>
      <c r="E83" s="2015">
        <v>500</v>
      </c>
      <c r="F83" s="2015">
        <v>0</v>
      </c>
      <c r="G83" s="2015">
        <v>0</v>
      </c>
      <c r="H83" s="2016">
        <v>0</v>
      </c>
    </row>
    <row r="84" spans="1:11" ht="15.75" hidden="1" thickBot="1" x14ac:dyDescent="0.25">
      <c r="A84" s="2012">
        <v>6223</v>
      </c>
      <c r="B84" s="2013">
        <v>5173</v>
      </c>
      <c r="C84" s="2013">
        <v>38500881</v>
      </c>
      <c r="D84" s="2014" t="s">
        <v>1152</v>
      </c>
      <c r="E84" s="2015">
        <v>0</v>
      </c>
      <c r="F84" s="2015"/>
      <c r="G84" s="2015"/>
      <c r="H84" s="2016" t="e">
        <f t="shared" ref="H84:H90" si="3">G84/F84*100</f>
        <v>#DIV/0!</v>
      </c>
    </row>
    <row r="85" spans="1:11" ht="15.75" hidden="1" thickBot="1" x14ac:dyDescent="0.25">
      <c r="A85" s="2012">
        <v>6223</v>
      </c>
      <c r="B85" s="2013">
        <v>5175</v>
      </c>
      <c r="C85" s="2013">
        <v>42100880</v>
      </c>
      <c r="D85" s="2014" t="s">
        <v>669</v>
      </c>
      <c r="E85" s="2015">
        <v>0</v>
      </c>
      <c r="F85" s="2015"/>
      <c r="G85" s="2015"/>
      <c r="H85" s="2016" t="e">
        <f t="shared" si="3"/>
        <v>#DIV/0!</v>
      </c>
    </row>
    <row r="86" spans="1:11" ht="15.75" hidden="1" thickBot="1" x14ac:dyDescent="0.25">
      <c r="A86" s="2012">
        <v>6223</v>
      </c>
      <c r="B86" s="2013">
        <v>5175</v>
      </c>
      <c r="C86" s="2013">
        <v>42500881</v>
      </c>
      <c r="D86" s="2014" t="s">
        <v>669</v>
      </c>
      <c r="E86" s="2015">
        <v>0</v>
      </c>
      <c r="F86" s="2015"/>
      <c r="G86" s="2015"/>
      <c r="H86" s="2016" t="e">
        <f t="shared" si="3"/>
        <v>#DIV/0!</v>
      </c>
    </row>
    <row r="87" spans="1:11" ht="15.75" hidden="1" thickBot="1" x14ac:dyDescent="0.25">
      <c r="A87" s="2012">
        <v>3636</v>
      </c>
      <c r="B87" s="2013">
        <v>5176</v>
      </c>
      <c r="C87" s="2013">
        <v>38100880</v>
      </c>
      <c r="D87" s="2014" t="s">
        <v>1247</v>
      </c>
      <c r="E87" s="2015">
        <v>0</v>
      </c>
      <c r="F87" s="2015"/>
      <c r="G87" s="2015"/>
      <c r="H87" s="2016" t="e">
        <f t="shared" si="3"/>
        <v>#DIV/0!</v>
      </c>
    </row>
    <row r="88" spans="1:11" ht="15.75" hidden="1" thickBot="1" x14ac:dyDescent="0.25">
      <c r="A88" s="2012">
        <v>3636</v>
      </c>
      <c r="B88" s="2013">
        <v>5176</v>
      </c>
      <c r="C88" s="2013">
        <v>38500881</v>
      </c>
      <c r="D88" s="2014" t="s">
        <v>1247</v>
      </c>
      <c r="E88" s="2015">
        <v>0</v>
      </c>
      <c r="F88" s="2015"/>
      <c r="G88" s="2015"/>
      <c r="H88" s="2016" t="e">
        <f t="shared" si="3"/>
        <v>#DIV/0!</v>
      </c>
    </row>
    <row r="89" spans="1:11" ht="15.75" hidden="1" thickBot="1" x14ac:dyDescent="0.25">
      <c r="A89" s="2012">
        <v>3636</v>
      </c>
      <c r="B89" s="2013">
        <v>6901</v>
      </c>
      <c r="C89" s="2013">
        <v>38100880</v>
      </c>
      <c r="D89" s="2014" t="s">
        <v>428</v>
      </c>
      <c r="E89" s="2015">
        <v>0</v>
      </c>
      <c r="F89" s="2015">
        <v>0</v>
      </c>
      <c r="G89" s="2015">
        <v>0</v>
      </c>
      <c r="H89" s="2016" t="e">
        <f t="shared" si="3"/>
        <v>#DIV/0!</v>
      </c>
    </row>
    <row r="90" spans="1:11" ht="15.75" hidden="1" thickBot="1" x14ac:dyDescent="0.25">
      <c r="A90" s="2012">
        <v>3636</v>
      </c>
      <c r="B90" s="2013">
        <v>5363</v>
      </c>
      <c r="C90" s="2013">
        <v>38500881</v>
      </c>
      <c r="D90" s="2014" t="s">
        <v>549</v>
      </c>
      <c r="E90" s="2015">
        <v>0</v>
      </c>
      <c r="F90" s="2015">
        <v>0</v>
      </c>
      <c r="G90" s="2015">
        <v>0</v>
      </c>
      <c r="H90" s="2018" t="e">
        <f t="shared" si="3"/>
        <v>#DIV/0!</v>
      </c>
    </row>
    <row r="91" spans="1:11" ht="16.5" thickTop="1" thickBot="1" x14ac:dyDescent="0.3">
      <c r="A91" s="2751" t="s">
        <v>763</v>
      </c>
      <c r="B91" s="2752"/>
      <c r="C91" s="2752"/>
      <c r="D91" s="2752"/>
      <c r="E91" s="1818">
        <f>SUM(E61:E90)</f>
        <v>1216</v>
      </c>
      <c r="F91" s="1818">
        <f>SUM(F61:F90)</f>
        <v>121</v>
      </c>
      <c r="G91" s="1818">
        <f>SUM(G61:G90)</f>
        <v>109</v>
      </c>
      <c r="H91" s="1822">
        <f>G91/F91*100</f>
        <v>90.082644628099175</v>
      </c>
    </row>
    <row r="92" spans="1:11" ht="13.5" thickTop="1" x14ac:dyDescent="0.2">
      <c r="K92" s="2081"/>
    </row>
    <row r="93" spans="1:11" ht="27" customHeight="1" x14ac:dyDescent="0.25">
      <c r="A93" s="2760" t="s">
        <v>1766</v>
      </c>
      <c r="B93" s="2761"/>
      <c r="C93" s="2761"/>
      <c r="D93" s="2761"/>
      <c r="E93" s="2761"/>
      <c r="F93" s="2761"/>
      <c r="G93" s="2761"/>
      <c r="H93" s="2761"/>
      <c r="K93" s="2081"/>
    </row>
    <row r="94" spans="1:11" ht="15.75" thickBot="1" x14ac:dyDescent="0.3">
      <c r="A94" s="1979" t="s">
        <v>1767</v>
      </c>
      <c r="B94" s="1993"/>
      <c r="C94" s="1993"/>
      <c r="E94" s="1994"/>
      <c r="F94" s="1994"/>
      <c r="G94" s="1994"/>
      <c r="H94" s="1995" t="s">
        <v>161</v>
      </c>
    </row>
    <row r="95" spans="1:11" ht="25.5" thickTop="1" thickBot="1" x14ac:dyDescent="0.25">
      <c r="A95" s="1809" t="s">
        <v>162</v>
      </c>
      <c r="B95" s="1810" t="s">
        <v>761</v>
      </c>
      <c r="C95" s="1810" t="s">
        <v>377</v>
      </c>
      <c r="D95" s="1811" t="s">
        <v>164</v>
      </c>
      <c r="E95" s="1833" t="s">
        <v>632</v>
      </c>
      <c r="F95" s="1833" t="s">
        <v>633</v>
      </c>
      <c r="G95" s="1834" t="s">
        <v>882</v>
      </c>
      <c r="H95" s="1835" t="s">
        <v>883</v>
      </c>
    </row>
    <row r="96" spans="1:11" ht="14.25" thickTop="1" thickBot="1" x14ac:dyDescent="0.25">
      <c r="A96" s="1643">
        <v>1</v>
      </c>
      <c r="B96" s="1642">
        <v>2</v>
      </c>
      <c r="C96" s="1642">
        <v>3</v>
      </c>
      <c r="D96" s="1642">
        <v>4</v>
      </c>
      <c r="E96" s="1641">
        <v>5</v>
      </c>
      <c r="F96" s="1641">
        <v>6</v>
      </c>
      <c r="G96" s="1877">
        <v>7</v>
      </c>
      <c r="H96" s="1901" t="s">
        <v>61</v>
      </c>
    </row>
    <row r="97" spans="1:8" ht="15.75" thickTop="1" x14ac:dyDescent="0.2">
      <c r="A97" s="2007">
        <v>3636</v>
      </c>
      <c r="B97" s="2008">
        <v>5011</v>
      </c>
      <c r="C97" s="2008">
        <v>38100880</v>
      </c>
      <c r="D97" s="2009" t="s">
        <v>206</v>
      </c>
      <c r="E97" s="2010">
        <v>540</v>
      </c>
      <c r="F97" s="2010">
        <v>500</v>
      </c>
      <c r="G97" s="2010">
        <v>381</v>
      </c>
      <c r="H97" s="2011">
        <f t="shared" ref="H97:H104" si="4">G97/F97*100</f>
        <v>76.2</v>
      </c>
    </row>
    <row r="98" spans="1:8" ht="15" x14ac:dyDescent="0.2">
      <c r="A98" s="2012">
        <v>3636</v>
      </c>
      <c r="B98" s="2013">
        <v>5011</v>
      </c>
      <c r="C98" s="2013">
        <v>38500881</v>
      </c>
      <c r="D98" s="2014" t="s">
        <v>206</v>
      </c>
      <c r="E98" s="2015">
        <v>1460</v>
      </c>
      <c r="F98" s="2015">
        <v>1460</v>
      </c>
      <c r="G98" s="2015">
        <v>1031</v>
      </c>
      <c r="H98" s="2016">
        <f t="shared" si="4"/>
        <v>70.61643835616438</v>
      </c>
    </row>
    <row r="99" spans="1:8" ht="15" hidden="1" x14ac:dyDescent="0.2">
      <c r="A99" s="2012">
        <v>3636</v>
      </c>
      <c r="B99" s="2013">
        <v>5021</v>
      </c>
      <c r="C99" s="2013">
        <v>38100880</v>
      </c>
      <c r="D99" s="2014" t="s">
        <v>389</v>
      </c>
      <c r="E99" s="2015"/>
      <c r="F99" s="2015"/>
      <c r="G99" s="2015"/>
      <c r="H99" s="2016" t="e">
        <f t="shared" si="4"/>
        <v>#DIV/0!</v>
      </c>
    </row>
    <row r="100" spans="1:8" ht="15" hidden="1" x14ac:dyDescent="0.2">
      <c r="A100" s="2012">
        <v>3636</v>
      </c>
      <c r="B100" s="2013">
        <v>5021</v>
      </c>
      <c r="C100" s="2013">
        <v>38500881</v>
      </c>
      <c r="D100" s="2014" t="s">
        <v>389</v>
      </c>
      <c r="E100" s="2015"/>
      <c r="F100" s="2015"/>
      <c r="G100" s="2015"/>
      <c r="H100" s="2016" t="e">
        <f t="shared" si="4"/>
        <v>#DIV/0!</v>
      </c>
    </row>
    <row r="101" spans="1:8" ht="30" x14ac:dyDescent="0.2">
      <c r="A101" s="2012">
        <v>3636</v>
      </c>
      <c r="B101" s="2013">
        <v>5031</v>
      </c>
      <c r="C101" s="2013">
        <v>38100880</v>
      </c>
      <c r="D101" s="2062" t="s">
        <v>1299</v>
      </c>
      <c r="E101" s="2015">
        <v>135</v>
      </c>
      <c r="F101" s="2015">
        <v>125</v>
      </c>
      <c r="G101" s="2015">
        <v>96</v>
      </c>
      <c r="H101" s="2016">
        <f t="shared" si="4"/>
        <v>76.8</v>
      </c>
    </row>
    <row r="102" spans="1:8" ht="30" x14ac:dyDescent="0.2">
      <c r="A102" s="2012">
        <v>3636</v>
      </c>
      <c r="B102" s="2013">
        <v>5031</v>
      </c>
      <c r="C102" s="2013">
        <v>38500881</v>
      </c>
      <c r="D102" s="2062" t="s">
        <v>1299</v>
      </c>
      <c r="E102" s="2015">
        <v>365</v>
      </c>
      <c r="F102" s="2015">
        <v>365</v>
      </c>
      <c r="G102" s="2015">
        <v>258</v>
      </c>
      <c r="H102" s="2016">
        <f t="shared" si="4"/>
        <v>70.68493150684931</v>
      </c>
    </row>
    <row r="103" spans="1:8" ht="30" x14ac:dyDescent="0.2">
      <c r="A103" s="2012">
        <v>3636</v>
      </c>
      <c r="B103" s="2013">
        <v>5032</v>
      </c>
      <c r="C103" s="2013">
        <v>38100880</v>
      </c>
      <c r="D103" s="2014" t="s">
        <v>1177</v>
      </c>
      <c r="E103" s="2015">
        <v>49</v>
      </c>
      <c r="F103" s="2015">
        <v>46</v>
      </c>
      <c r="G103" s="2015">
        <v>34</v>
      </c>
      <c r="H103" s="2016">
        <f t="shared" si="4"/>
        <v>73.91304347826086</v>
      </c>
    </row>
    <row r="104" spans="1:8" ht="30" x14ac:dyDescent="0.2">
      <c r="A104" s="2012">
        <v>3636</v>
      </c>
      <c r="B104" s="2013">
        <v>5032</v>
      </c>
      <c r="C104" s="2013">
        <v>38500881</v>
      </c>
      <c r="D104" s="2014" t="s">
        <v>1177</v>
      </c>
      <c r="E104" s="2015">
        <v>131</v>
      </c>
      <c r="F104" s="2015">
        <v>131</v>
      </c>
      <c r="G104" s="2015">
        <v>93</v>
      </c>
      <c r="H104" s="2016">
        <f t="shared" si="4"/>
        <v>70.992366412213741</v>
      </c>
    </row>
    <row r="105" spans="1:8" ht="15" hidden="1" x14ac:dyDescent="0.2">
      <c r="A105" s="2012">
        <v>3636</v>
      </c>
      <c r="B105" s="2013">
        <v>5137</v>
      </c>
      <c r="C105" s="2017">
        <v>32133019</v>
      </c>
      <c r="D105" s="2014" t="s">
        <v>155</v>
      </c>
      <c r="E105" s="2015">
        <v>0</v>
      </c>
      <c r="F105" s="2015">
        <v>0</v>
      </c>
      <c r="G105" s="2015">
        <v>0</v>
      </c>
      <c r="H105" s="2016">
        <v>0</v>
      </c>
    </row>
    <row r="106" spans="1:8" ht="15" hidden="1" x14ac:dyDescent="0.2">
      <c r="A106" s="2012">
        <v>3636</v>
      </c>
      <c r="B106" s="2013">
        <v>5137</v>
      </c>
      <c r="C106" s="2017">
        <v>32533019</v>
      </c>
      <c r="D106" s="2014" t="s">
        <v>155</v>
      </c>
      <c r="E106" s="2015">
        <v>0</v>
      </c>
      <c r="F106" s="2015">
        <v>0</v>
      </c>
      <c r="G106" s="2015">
        <v>0</v>
      </c>
      <c r="H106" s="2016" t="e">
        <f t="shared" ref="H106:H128" si="5">G106/F106*100</f>
        <v>#DIV/0!</v>
      </c>
    </row>
    <row r="107" spans="1:8" ht="15" x14ac:dyDescent="0.2">
      <c r="A107" s="2012">
        <v>3636</v>
      </c>
      <c r="B107" s="2013">
        <v>5139</v>
      </c>
      <c r="C107" s="2013">
        <v>38100880</v>
      </c>
      <c r="D107" s="2014" t="s">
        <v>270</v>
      </c>
      <c r="E107" s="2015">
        <v>16</v>
      </c>
      <c r="F107" s="2015">
        <v>16</v>
      </c>
      <c r="G107" s="2015">
        <v>12</v>
      </c>
      <c r="H107" s="2016">
        <f t="shared" si="5"/>
        <v>75</v>
      </c>
    </row>
    <row r="108" spans="1:8" ht="15" x14ac:dyDescent="0.2">
      <c r="A108" s="2012">
        <v>3636</v>
      </c>
      <c r="B108" s="2013">
        <v>5139</v>
      </c>
      <c r="C108" s="2013">
        <v>38500881</v>
      </c>
      <c r="D108" s="2014" t="s">
        <v>270</v>
      </c>
      <c r="E108" s="2015">
        <v>44</v>
      </c>
      <c r="F108" s="2015">
        <v>44</v>
      </c>
      <c r="G108" s="2015">
        <v>31</v>
      </c>
      <c r="H108" s="2016">
        <f t="shared" si="5"/>
        <v>70.454545454545453</v>
      </c>
    </row>
    <row r="109" spans="1:8" ht="15" x14ac:dyDescent="0.2">
      <c r="A109" s="2012">
        <v>3636</v>
      </c>
      <c r="B109" s="2013">
        <v>5162</v>
      </c>
      <c r="C109" s="2013">
        <v>38100880</v>
      </c>
      <c r="D109" s="2014" t="s">
        <v>864</v>
      </c>
      <c r="E109" s="2015">
        <v>1</v>
      </c>
      <c r="F109" s="2015">
        <v>1</v>
      </c>
      <c r="G109" s="2015">
        <v>0</v>
      </c>
      <c r="H109" s="2016">
        <f t="shared" si="5"/>
        <v>0</v>
      </c>
    </row>
    <row r="110" spans="1:8" ht="15" x14ac:dyDescent="0.2">
      <c r="A110" s="2012">
        <v>3636</v>
      </c>
      <c r="B110" s="2013">
        <v>5162</v>
      </c>
      <c r="C110" s="2013">
        <v>38500881</v>
      </c>
      <c r="D110" s="2014" t="s">
        <v>864</v>
      </c>
      <c r="E110" s="2015">
        <v>2</v>
      </c>
      <c r="F110" s="2015">
        <v>2</v>
      </c>
      <c r="G110" s="2015">
        <v>0</v>
      </c>
      <c r="H110" s="2016">
        <f t="shared" si="5"/>
        <v>0</v>
      </c>
    </row>
    <row r="111" spans="1:8" ht="15" x14ac:dyDescent="0.2">
      <c r="A111" s="2012">
        <v>3636</v>
      </c>
      <c r="B111" s="2013">
        <v>5164</v>
      </c>
      <c r="C111" s="2013">
        <v>38100880</v>
      </c>
      <c r="D111" s="2014" t="s">
        <v>170</v>
      </c>
      <c r="E111" s="2015">
        <v>40</v>
      </c>
      <c r="F111" s="2015">
        <v>27</v>
      </c>
      <c r="G111" s="2015">
        <v>7</v>
      </c>
      <c r="H111" s="2016">
        <f t="shared" si="5"/>
        <v>25.925925925925924</v>
      </c>
    </row>
    <row r="112" spans="1:8" ht="15.75" thickBot="1" x14ac:dyDescent="0.25">
      <c r="A112" s="2197">
        <v>3636</v>
      </c>
      <c r="B112" s="2030">
        <v>5164</v>
      </c>
      <c r="C112" s="2030">
        <v>38500881</v>
      </c>
      <c r="D112" s="2032" t="s">
        <v>170</v>
      </c>
      <c r="E112" s="2065">
        <v>110</v>
      </c>
      <c r="F112" s="2065">
        <v>110</v>
      </c>
      <c r="G112" s="2065">
        <v>20</v>
      </c>
      <c r="H112" s="2018">
        <f t="shared" si="5"/>
        <v>18.181818181818183</v>
      </c>
    </row>
    <row r="113" spans="1:8" ht="15.75" thickTop="1" x14ac:dyDescent="0.2">
      <c r="A113" s="2012">
        <v>3636</v>
      </c>
      <c r="B113" s="2013">
        <v>5166</v>
      </c>
      <c r="C113" s="2013">
        <v>38100880</v>
      </c>
      <c r="D113" s="2014" t="s">
        <v>609</v>
      </c>
      <c r="E113" s="2015">
        <v>405</v>
      </c>
      <c r="F113" s="2015">
        <v>25</v>
      </c>
      <c r="G113" s="2015">
        <v>6</v>
      </c>
      <c r="H113" s="2016">
        <f t="shared" si="5"/>
        <v>24</v>
      </c>
    </row>
    <row r="114" spans="1:8" ht="15" x14ac:dyDescent="0.2">
      <c r="A114" s="2012">
        <v>3636</v>
      </c>
      <c r="B114" s="2013">
        <v>5166</v>
      </c>
      <c r="C114" s="2013">
        <v>38500881</v>
      </c>
      <c r="D114" s="2014" t="s">
        <v>609</v>
      </c>
      <c r="E114" s="2015">
        <v>1095</v>
      </c>
      <c r="F114" s="2015">
        <v>1095</v>
      </c>
      <c r="G114" s="2015">
        <v>16</v>
      </c>
      <c r="H114" s="2016">
        <f t="shared" si="5"/>
        <v>1.4611872146118721</v>
      </c>
    </row>
    <row r="115" spans="1:8" ht="15" x14ac:dyDescent="0.2">
      <c r="A115" s="2012">
        <v>3636</v>
      </c>
      <c r="B115" s="2013">
        <v>5167</v>
      </c>
      <c r="C115" s="2013">
        <v>38100880</v>
      </c>
      <c r="D115" s="2014" t="s">
        <v>895</v>
      </c>
      <c r="E115" s="2015">
        <v>54</v>
      </c>
      <c r="F115" s="2015">
        <v>27</v>
      </c>
      <c r="G115" s="2015">
        <v>14</v>
      </c>
      <c r="H115" s="2016">
        <f t="shared" si="5"/>
        <v>51.851851851851848</v>
      </c>
    </row>
    <row r="116" spans="1:8" ht="15" x14ac:dyDescent="0.2">
      <c r="A116" s="2012">
        <v>3636</v>
      </c>
      <c r="B116" s="2013">
        <v>5167</v>
      </c>
      <c r="C116" s="2013">
        <v>38500881</v>
      </c>
      <c r="D116" s="2014" t="s">
        <v>895</v>
      </c>
      <c r="E116" s="2015">
        <v>146</v>
      </c>
      <c r="F116" s="2015">
        <v>146</v>
      </c>
      <c r="G116" s="2015">
        <v>36</v>
      </c>
      <c r="H116" s="2016">
        <f t="shared" si="5"/>
        <v>24.657534246575342</v>
      </c>
    </row>
    <row r="117" spans="1:8" ht="15" x14ac:dyDescent="0.2">
      <c r="A117" s="2012">
        <v>3636</v>
      </c>
      <c r="B117" s="2013">
        <v>5169</v>
      </c>
      <c r="C117" s="2013">
        <v>38100880</v>
      </c>
      <c r="D117" s="2014" t="s">
        <v>852</v>
      </c>
      <c r="E117" s="2015">
        <v>424</v>
      </c>
      <c r="F117" s="2015">
        <v>282</v>
      </c>
      <c r="G117" s="2015">
        <v>46</v>
      </c>
      <c r="H117" s="2016">
        <f t="shared" si="5"/>
        <v>16.312056737588655</v>
      </c>
    </row>
    <row r="118" spans="1:8" ht="15" x14ac:dyDescent="0.2">
      <c r="A118" s="2012">
        <v>3636</v>
      </c>
      <c r="B118" s="2013">
        <v>5169</v>
      </c>
      <c r="C118" s="2013">
        <v>38500881</v>
      </c>
      <c r="D118" s="2014" t="s">
        <v>852</v>
      </c>
      <c r="E118" s="2015">
        <v>1146</v>
      </c>
      <c r="F118" s="2015">
        <v>1088</v>
      </c>
      <c r="G118" s="2015">
        <v>124</v>
      </c>
      <c r="H118" s="2016">
        <f t="shared" si="5"/>
        <v>11.397058823529411</v>
      </c>
    </row>
    <row r="119" spans="1:8" ht="15" x14ac:dyDescent="0.2">
      <c r="A119" s="2012">
        <v>3636</v>
      </c>
      <c r="B119" s="2013">
        <v>5173</v>
      </c>
      <c r="C119" s="2013">
        <v>38100880</v>
      </c>
      <c r="D119" s="2014" t="s">
        <v>1152</v>
      </c>
      <c r="E119" s="2015">
        <v>11</v>
      </c>
      <c r="F119" s="2015">
        <v>33</v>
      </c>
      <c r="G119" s="2015">
        <v>16</v>
      </c>
      <c r="H119" s="2016">
        <f t="shared" si="5"/>
        <v>48.484848484848484</v>
      </c>
    </row>
    <row r="120" spans="1:8" ht="15" x14ac:dyDescent="0.2">
      <c r="A120" s="2012">
        <v>3636</v>
      </c>
      <c r="B120" s="2013">
        <v>5173</v>
      </c>
      <c r="C120" s="2013">
        <v>38500881</v>
      </c>
      <c r="D120" s="2014" t="s">
        <v>1152</v>
      </c>
      <c r="E120" s="2015">
        <v>29</v>
      </c>
      <c r="F120" s="2015">
        <v>87</v>
      </c>
      <c r="G120" s="2015">
        <v>44</v>
      </c>
      <c r="H120" s="2016">
        <f t="shared" si="5"/>
        <v>50.574712643678168</v>
      </c>
    </row>
    <row r="121" spans="1:8" ht="15" x14ac:dyDescent="0.2">
      <c r="A121" s="2012">
        <v>3636</v>
      </c>
      <c r="B121" s="2013">
        <v>5175</v>
      </c>
      <c r="C121" s="2013">
        <v>38100880</v>
      </c>
      <c r="D121" s="2014" t="s">
        <v>669</v>
      </c>
      <c r="E121" s="2015">
        <v>54</v>
      </c>
      <c r="F121" s="2015">
        <v>47</v>
      </c>
      <c r="G121" s="2015">
        <v>20</v>
      </c>
      <c r="H121" s="2016">
        <f t="shared" si="5"/>
        <v>42.553191489361701</v>
      </c>
    </row>
    <row r="122" spans="1:8" ht="15" x14ac:dyDescent="0.2">
      <c r="A122" s="2012">
        <v>3636</v>
      </c>
      <c r="B122" s="2013">
        <v>5175</v>
      </c>
      <c r="C122" s="2013">
        <v>38500881</v>
      </c>
      <c r="D122" s="2014" t="s">
        <v>669</v>
      </c>
      <c r="E122" s="2015">
        <v>146</v>
      </c>
      <c r="F122" s="2015">
        <v>146</v>
      </c>
      <c r="G122" s="2015">
        <v>53</v>
      </c>
      <c r="H122" s="2016">
        <f t="shared" si="5"/>
        <v>36.301369863013697</v>
      </c>
    </row>
    <row r="123" spans="1:8" ht="15" x14ac:dyDescent="0.2">
      <c r="A123" s="2012">
        <v>3636</v>
      </c>
      <c r="B123" s="2013">
        <v>5176</v>
      </c>
      <c r="C123" s="2013">
        <v>38100880</v>
      </c>
      <c r="D123" s="2014" t="s">
        <v>1247</v>
      </c>
      <c r="E123" s="2015">
        <v>3</v>
      </c>
      <c r="F123" s="2015">
        <v>3</v>
      </c>
      <c r="G123" s="2015">
        <v>0</v>
      </c>
      <c r="H123" s="2016">
        <f t="shared" si="5"/>
        <v>0</v>
      </c>
    </row>
    <row r="124" spans="1:8" ht="15" x14ac:dyDescent="0.2">
      <c r="A124" s="2012">
        <v>3636</v>
      </c>
      <c r="B124" s="2013">
        <v>5176</v>
      </c>
      <c r="C124" s="2013">
        <v>38500881</v>
      </c>
      <c r="D124" s="2014" t="s">
        <v>1247</v>
      </c>
      <c r="E124" s="2015">
        <v>7</v>
      </c>
      <c r="F124" s="2015">
        <v>7</v>
      </c>
      <c r="G124" s="2015">
        <v>1</v>
      </c>
      <c r="H124" s="2016">
        <f t="shared" si="5"/>
        <v>14.285714285714285</v>
      </c>
    </row>
    <row r="125" spans="1:8" ht="15" hidden="1" x14ac:dyDescent="0.2">
      <c r="A125" s="2012">
        <v>3299</v>
      </c>
      <c r="B125" s="2013">
        <v>5901</v>
      </c>
      <c r="C125" s="2017">
        <v>32533019</v>
      </c>
      <c r="D125" s="2014" t="s">
        <v>602</v>
      </c>
      <c r="E125" s="2015">
        <v>0</v>
      </c>
      <c r="F125" s="2015">
        <v>0</v>
      </c>
      <c r="G125" s="2015">
        <v>0</v>
      </c>
      <c r="H125" s="2016" t="e">
        <f t="shared" si="5"/>
        <v>#DIV/0!</v>
      </c>
    </row>
    <row r="126" spans="1:8" ht="15" hidden="1" x14ac:dyDescent="0.2">
      <c r="A126" s="2012">
        <v>3299</v>
      </c>
      <c r="B126" s="2013">
        <v>5323</v>
      </c>
      <c r="C126" s="2017">
        <v>32133019</v>
      </c>
      <c r="D126" s="2014" t="s">
        <v>222</v>
      </c>
      <c r="E126" s="2015">
        <v>0</v>
      </c>
      <c r="F126" s="2015">
        <v>0</v>
      </c>
      <c r="G126" s="2015">
        <v>0</v>
      </c>
      <c r="H126" s="2016" t="e">
        <f t="shared" si="5"/>
        <v>#DIV/0!</v>
      </c>
    </row>
    <row r="127" spans="1:8" ht="15" hidden="1" x14ac:dyDescent="0.2">
      <c r="A127" s="2012">
        <v>3636</v>
      </c>
      <c r="B127" s="2013">
        <v>5323</v>
      </c>
      <c r="C127" s="2017">
        <v>32533019</v>
      </c>
      <c r="D127" s="2014" t="s">
        <v>222</v>
      </c>
      <c r="E127" s="2015">
        <v>0</v>
      </c>
      <c r="F127" s="2015">
        <v>0</v>
      </c>
      <c r="G127" s="2015">
        <v>0</v>
      </c>
      <c r="H127" s="2016" t="e">
        <f t="shared" si="5"/>
        <v>#DIV/0!</v>
      </c>
    </row>
    <row r="128" spans="1:8" ht="15" hidden="1" x14ac:dyDescent="0.2">
      <c r="A128" s="2012">
        <v>3636</v>
      </c>
      <c r="B128" s="2013">
        <v>6901</v>
      </c>
      <c r="C128" s="2017">
        <v>32533926</v>
      </c>
      <c r="D128" s="2014" t="s">
        <v>428</v>
      </c>
      <c r="E128" s="2015">
        <v>0</v>
      </c>
      <c r="F128" s="2015">
        <v>0</v>
      </c>
      <c r="G128" s="2015">
        <v>0</v>
      </c>
      <c r="H128" s="2016" t="e">
        <f t="shared" si="5"/>
        <v>#DIV/0!</v>
      </c>
    </row>
    <row r="129" spans="1:8" ht="15.75" thickBot="1" x14ac:dyDescent="0.25">
      <c r="A129" s="2012">
        <v>6330</v>
      </c>
      <c r="B129" s="2013">
        <v>5345</v>
      </c>
      <c r="C129" s="2017">
        <v>0</v>
      </c>
      <c r="D129" s="2014" t="s">
        <v>767</v>
      </c>
      <c r="E129" s="2015">
        <v>0</v>
      </c>
      <c r="F129" s="2015">
        <v>0</v>
      </c>
      <c r="G129" s="2015">
        <v>2996</v>
      </c>
      <c r="H129" s="2018">
        <v>0</v>
      </c>
    </row>
    <row r="130" spans="1:8" ht="16.5" thickTop="1" thickBot="1" x14ac:dyDescent="0.3">
      <c r="A130" s="2751" t="s">
        <v>763</v>
      </c>
      <c r="B130" s="2752"/>
      <c r="C130" s="2752"/>
      <c r="D130" s="2752"/>
      <c r="E130" s="1818">
        <f>SUM(E97:E128)</f>
        <v>6413</v>
      </c>
      <c r="F130" s="1818">
        <f>SUM(F97:F129)</f>
        <v>5813</v>
      </c>
      <c r="G130" s="1818">
        <f>SUM(G97:G129)</f>
        <v>5335</v>
      </c>
      <c r="H130" s="1822">
        <f>G130/F130*100</f>
        <v>91.777051436435571</v>
      </c>
    </row>
    <row r="131" spans="1:8" ht="13.5" thickTop="1" x14ac:dyDescent="0.2"/>
    <row r="132" spans="1:8" ht="27" customHeight="1" x14ac:dyDescent="0.25">
      <c r="A132" s="2760" t="s">
        <v>1590</v>
      </c>
      <c r="B132" s="2761"/>
      <c r="C132" s="2761"/>
      <c r="D132" s="2761"/>
      <c r="E132" s="2761"/>
      <c r="F132" s="2761"/>
      <c r="G132" s="2761"/>
      <c r="H132" s="2761"/>
    </row>
    <row r="133" spans="1:8" ht="15.75" thickBot="1" x14ac:dyDescent="0.3">
      <c r="A133" s="1979" t="s">
        <v>1591</v>
      </c>
      <c r="B133" s="1993"/>
      <c r="C133" s="1993"/>
      <c r="E133" s="1994"/>
      <c r="F133" s="1994"/>
      <c r="G133" s="1994"/>
      <c r="H133" s="1995" t="s">
        <v>161</v>
      </c>
    </row>
    <row r="134" spans="1:8" ht="25.5" thickTop="1" thickBot="1" x14ac:dyDescent="0.25">
      <c r="A134" s="1809" t="s">
        <v>162</v>
      </c>
      <c r="B134" s="1810" t="s">
        <v>761</v>
      </c>
      <c r="C134" s="1810" t="s">
        <v>377</v>
      </c>
      <c r="D134" s="1811" t="s">
        <v>164</v>
      </c>
      <c r="E134" s="1833" t="s">
        <v>632</v>
      </c>
      <c r="F134" s="1833" t="s">
        <v>633</v>
      </c>
      <c r="G134" s="1834" t="s">
        <v>882</v>
      </c>
      <c r="H134" s="1835" t="s">
        <v>883</v>
      </c>
    </row>
    <row r="135" spans="1:8" ht="14.25" thickTop="1" thickBot="1" x14ac:dyDescent="0.25">
      <c r="A135" s="1643">
        <v>1</v>
      </c>
      <c r="B135" s="1642">
        <v>2</v>
      </c>
      <c r="C135" s="1642">
        <v>3</v>
      </c>
      <c r="D135" s="1642">
        <v>4</v>
      </c>
      <c r="E135" s="1641">
        <v>5</v>
      </c>
      <c r="F135" s="1641">
        <v>6</v>
      </c>
      <c r="G135" s="1877">
        <v>7</v>
      </c>
      <c r="H135" s="1901" t="s">
        <v>61</v>
      </c>
    </row>
    <row r="136" spans="1:8" ht="45.75" thickTop="1" x14ac:dyDescent="0.2">
      <c r="A136" s="2007">
        <v>2125</v>
      </c>
      <c r="B136" s="2008">
        <v>5213</v>
      </c>
      <c r="C136" s="2008">
        <v>38100016</v>
      </c>
      <c r="D136" s="2009" t="s">
        <v>1038</v>
      </c>
      <c r="E136" s="2010">
        <v>0</v>
      </c>
      <c r="F136" s="2010">
        <v>366</v>
      </c>
      <c r="G136" s="2010">
        <v>366</v>
      </c>
      <c r="H136" s="2011">
        <f t="shared" ref="H136:H144" si="6">G136/F136*100</f>
        <v>100</v>
      </c>
    </row>
    <row r="137" spans="1:8" ht="45" x14ac:dyDescent="0.2">
      <c r="A137" s="2012">
        <v>2125</v>
      </c>
      <c r="B137" s="2013">
        <v>5213</v>
      </c>
      <c r="C137" s="2013">
        <v>38100880</v>
      </c>
      <c r="D137" s="2014" t="s">
        <v>1038</v>
      </c>
      <c r="E137" s="2015">
        <v>753</v>
      </c>
      <c r="F137" s="2015">
        <v>984</v>
      </c>
      <c r="G137" s="2015">
        <v>855</v>
      </c>
      <c r="H137" s="2016">
        <f t="shared" si="6"/>
        <v>86.890243902439025</v>
      </c>
    </row>
    <row r="138" spans="1:8" ht="45" x14ac:dyDescent="0.2">
      <c r="A138" s="2012">
        <v>2125</v>
      </c>
      <c r="B138" s="2013">
        <v>5213</v>
      </c>
      <c r="C138" s="2013">
        <v>38500881</v>
      </c>
      <c r="D138" s="2014" t="s">
        <v>1038</v>
      </c>
      <c r="E138" s="2015">
        <v>3225</v>
      </c>
      <c r="F138" s="2015">
        <v>4214</v>
      </c>
      <c r="G138" s="2015">
        <v>3665</v>
      </c>
      <c r="H138" s="2016">
        <f t="shared" si="6"/>
        <v>86.9719981015662</v>
      </c>
    </row>
    <row r="139" spans="1:8" ht="15" hidden="1" x14ac:dyDescent="0.2">
      <c r="A139" s="2012">
        <v>3299</v>
      </c>
      <c r="B139" s="2013">
        <v>5021</v>
      </c>
      <c r="C139" s="2013">
        <v>32133019</v>
      </c>
      <c r="D139" s="2014" t="s">
        <v>389</v>
      </c>
      <c r="E139" s="2015">
        <v>0</v>
      </c>
      <c r="F139" s="2015">
        <v>0</v>
      </c>
      <c r="G139" s="2015">
        <v>0</v>
      </c>
      <c r="H139" s="2016" t="e">
        <f t="shared" si="6"/>
        <v>#DIV/0!</v>
      </c>
    </row>
    <row r="140" spans="1:8" ht="15" hidden="1" x14ac:dyDescent="0.2">
      <c r="A140" s="2012">
        <v>3299</v>
      </c>
      <c r="B140" s="2013">
        <v>5021</v>
      </c>
      <c r="C140" s="2013">
        <v>32533019</v>
      </c>
      <c r="D140" s="2014" t="s">
        <v>389</v>
      </c>
      <c r="E140" s="2015">
        <v>0</v>
      </c>
      <c r="F140" s="2015">
        <v>0</v>
      </c>
      <c r="G140" s="2015">
        <v>0</v>
      </c>
      <c r="H140" s="2016" t="e">
        <f t="shared" si="6"/>
        <v>#DIV/0!</v>
      </c>
    </row>
    <row r="141" spans="1:8" ht="30" hidden="1" x14ac:dyDescent="0.2">
      <c r="A141" s="2012">
        <v>3299</v>
      </c>
      <c r="B141" s="2013">
        <v>5031</v>
      </c>
      <c r="C141" s="2013">
        <v>32133019</v>
      </c>
      <c r="D141" s="2062" t="s">
        <v>1299</v>
      </c>
      <c r="E141" s="2015">
        <v>0</v>
      </c>
      <c r="F141" s="2015">
        <v>0</v>
      </c>
      <c r="G141" s="2015">
        <v>0</v>
      </c>
      <c r="H141" s="2016" t="e">
        <f t="shared" si="6"/>
        <v>#DIV/0!</v>
      </c>
    </row>
    <row r="142" spans="1:8" ht="30" hidden="1" x14ac:dyDescent="0.2">
      <c r="A142" s="2012">
        <v>3299</v>
      </c>
      <c r="B142" s="2013">
        <v>5031</v>
      </c>
      <c r="C142" s="2013">
        <v>32533019</v>
      </c>
      <c r="D142" s="2062" t="s">
        <v>1299</v>
      </c>
      <c r="E142" s="2015">
        <v>0</v>
      </c>
      <c r="F142" s="2015">
        <v>0</v>
      </c>
      <c r="G142" s="2015">
        <v>0</v>
      </c>
      <c r="H142" s="2016" t="e">
        <f t="shared" si="6"/>
        <v>#DIV/0!</v>
      </c>
    </row>
    <row r="143" spans="1:8" ht="30" hidden="1" x14ac:dyDescent="0.2">
      <c r="A143" s="2012">
        <v>3299</v>
      </c>
      <c r="B143" s="2013">
        <v>5032</v>
      </c>
      <c r="C143" s="2017">
        <v>32133019</v>
      </c>
      <c r="D143" s="2014" t="s">
        <v>1177</v>
      </c>
      <c r="E143" s="2015">
        <v>0</v>
      </c>
      <c r="F143" s="2015">
        <v>0</v>
      </c>
      <c r="G143" s="2015">
        <v>0</v>
      </c>
      <c r="H143" s="2016" t="e">
        <f t="shared" si="6"/>
        <v>#DIV/0!</v>
      </c>
    </row>
    <row r="144" spans="1:8" ht="30" hidden="1" x14ac:dyDescent="0.2">
      <c r="A144" s="2012">
        <v>3299</v>
      </c>
      <c r="B144" s="2013">
        <v>5032</v>
      </c>
      <c r="C144" s="2017">
        <v>32533019</v>
      </c>
      <c r="D144" s="2014" t="s">
        <v>1177</v>
      </c>
      <c r="E144" s="2015">
        <v>0</v>
      </c>
      <c r="F144" s="2015">
        <v>0</v>
      </c>
      <c r="G144" s="2015">
        <v>0</v>
      </c>
      <c r="H144" s="2016" t="e">
        <f t="shared" si="6"/>
        <v>#DIV/0!</v>
      </c>
    </row>
    <row r="145" spans="1:8" ht="15" hidden="1" x14ac:dyDescent="0.2">
      <c r="A145" s="2012">
        <v>3299</v>
      </c>
      <c r="B145" s="2013">
        <v>5137</v>
      </c>
      <c r="C145" s="2017">
        <v>32133019</v>
      </c>
      <c r="D145" s="2014" t="s">
        <v>155</v>
      </c>
      <c r="E145" s="2015">
        <v>0</v>
      </c>
      <c r="F145" s="2015">
        <v>0</v>
      </c>
      <c r="G145" s="2015">
        <v>0</v>
      </c>
      <c r="H145" s="2016">
        <v>0</v>
      </c>
    </row>
    <row r="146" spans="1:8" ht="15" hidden="1" x14ac:dyDescent="0.2">
      <c r="A146" s="2012">
        <v>3299</v>
      </c>
      <c r="B146" s="2013">
        <v>5137</v>
      </c>
      <c r="C146" s="2017">
        <v>32533019</v>
      </c>
      <c r="D146" s="2014" t="s">
        <v>155</v>
      </c>
      <c r="E146" s="2015">
        <v>0</v>
      </c>
      <c r="F146" s="2015">
        <v>0</v>
      </c>
      <c r="G146" s="2015">
        <v>0</v>
      </c>
      <c r="H146" s="2016" t="e">
        <f t="shared" ref="H146:H160" si="7">G146/F146*100</f>
        <v>#DIV/0!</v>
      </c>
    </row>
    <row r="147" spans="1:8" ht="15" hidden="1" x14ac:dyDescent="0.2">
      <c r="A147" s="2012">
        <v>3299</v>
      </c>
      <c r="B147" s="2013">
        <v>5139</v>
      </c>
      <c r="C147" s="2017">
        <v>32133019</v>
      </c>
      <c r="D147" s="2014" t="s">
        <v>270</v>
      </c>
      <c r="E147" s="2015">
        <v>0</v>
      </c>
      <c r="F147" s="2015">
        <v>0</v>
      </c>
      <c r="G147" s="2015">
        <v>0</v>
      </c>
      <c r="H147" s="2016" t="e">
        <f t="shared" si="7"/>
        <v>#DIV/0!</v>
      </c>
    </row>
    <row r="148" spans="1:8" ht="15" hidden="1" x14ac:dyDescent="0.2">
      <c r="A148" s="2012">
        <v>3299</v>
      </c>
      <c r="B148" s="2013">
        <v>5139</v>
      </c>
      <c r="C148" s="2017">
        <v>32533019</v>
      </c>
      <c r="D148" s="2014" t="s">
        <v>270</v>
      </c>
      <c r="E148" s="2015">
        <v>0</v>
      </c>
      <c r="F148" s="2015">
        <v>0</v>
      </c>
      <c r="G148" s="2015">
        <v>0</v>
      </c>
      <c r="H148" s="2016" t="e">
        <f t="shared" si="7"/>
        <v>#DIV/0!</v>
      </c>
    </row>
    <row r="149" spans="1:8" ht="15" hidden="1" x14ac:dyDescent="0.2">
      <c r="A149" s="2012">
        <v>3299</v>
      </c>
      <c r="B149" s="2013">
        <v>5162</v>
      </c>
      <c r="C149" s="2017">
        <v>32133019</v>
      </c>
      <c r="D149" s="2014" t="s">
        <v>864</v>
      </c>
      <c r="E149" s="2015">
        <v>0</v>
      </c>
      <c r="F149" s="2015">
        <v>0</v>
      </c>
      <c r="G149" s="2015">
        <v>0</v>
      </c>
      <c r="H149" s="2016" t="e">
        <f t="shared" si="7"/>
        <v>#DIV/0!</v>
      </c>
    </row>
    <row r="150" spans="1:8" ht="15" hidden="1" x14ac:dyDescent="0.2">
      <c r="A150" s="2012">
        <v>3299</v>
      </c>
      <c r="B150" s="2013">
        <v>5162</v>
      </c>
      <c r="C150" s="2017">
        <v>32533019</v>
      </c>
      <c r="D150" s="2014" t="s">
        <v>864</v>
      </c>
      <c r="E150" s="2015">
        <v>0</v>
      </c>
      <c r="F150" s="2015">
        <v>0</v>
      </c>
      <c r="G150" s="2015">
        <v>0</v>
      </c>
      <c r="H150" s="2016" t="e">
        <f t="shared" si="7"/>
        <v>#DIV/0!</v>
      </c>
    </row>
    <row r="151" spans="1:8" ht="15" hidden="1" x14ac:dyDescent="0.2">
      <c r="A151" s="2012">
        <v>3299</v>
      </c>
      <c r="B151" s="2013">
        <v>5169</v>
      </c>
      <c r="C151" s="2017">
        <v>32133019</v>
      </c>
      <c r="D151" s="2014" t="s">
        <v>852</v>
      </c>
      <c r="E151" s="2015">
        <v>0</v>
      </c>
      <c r="F151" s="2015">
        <v>0</v>
      </c>
      <c r="G151" s="2015">
        <v>0</v>
      </c>
      <c r="H151" s="2016" t="e">
        <f t="shared" si="7"/>
        <v>#DIV/0!</v>
      </c>
    </row>
    <row r="152" spans="1:8" ht="15" hidden="1" x14ac:dyDescent="0.2">
      <c r="A152" s="2012">
        <v>3299</v>
      </c>
      <c r="B152" s="2013">
        <v>5169</v>
      </c>
      <c r="C152" s="2017">
        <v>32533019</v>
      </c>
      <c r="D152" s="2014" t="s">
        <v>852</v>
      </c>
      <c r="E152" s="2015">
        <v>0</v>
      </c>
      <c r="F152" s="2015">
        <v>0</v>
      </c>
      <c r="G152" s="2015">
        <v>0</v>
      </c>
      <c r="H152" s="2016" t="e">
        <f t="shared" si="7"/>
        <v>#DIV/0!</v>
      </c>
    </row>
    <row r="153" spans="1:8" ht="15" hidden="1" x14ac:dyDescent="0.2">
      <c r="A153" s="2012">
        <v>3299</v>
      </c>
      <c r="B153" s="2013">
        <v>5175</v>
      </c>
      <c r="C153" s="2017">
        <v>32133019</v>
      </c>
      <c r="D153" s="2014" t="s">
        <v>669</v>
      </c>
      <c r="E153" s="2015">
        <v>0</v>
      </c>
      <c r="F153" s="2015">
        <v>0</v>
      </c>
      <c r="G153" s="2015">
        <v>0</v>
      </c>
      <c r="H153" s="2016" t="e">
        <f t="shared" si="7"/>
        <v>#DIV/0!</v>
      </c>
    </row>
    <row r="154" spans="1:8" ht="15" hidden="1" x14ac:dyDescent="0.2">
      <c r="A154" s="2012">
        <v>3299</v>
      </c>
      <c r="B154" s="2013">
        <v>5175</v>
      </c>
      <c r="C154" s="2017">
        <v>32533019</v>
      </c>
      <c r="D154" s="2014" t="s">
        <v>669</v>
      </c>
      <c r="E154" s="2015">
        <v>0</v>
      </c>
      <c r="F154" s="2015">
        <v>0</v>
      </c>
      <c r="G154" s="2015">
        <v>0</v>
      </c>
      <c r="H154" s="2016" t="e">
        <f t="shared" si="7"/>
        <v>#DIV/0!</v>
      </c>
    </row>
    <row r="155" spans="1:8" ht="15" hidden="1" x14ac:dyDescent="0.2">
      <c r="A155" s="2012">
        <v>3299</v>
      </c>
      <c r="B155" s="2013">
        <v>5901</v>
      </c>
      <c r="C155" s="2017">
        <v>0</v>
      </c>
      <c r="D155" s="2014" t="s">
        <v>602</v>
      </c>
      <c r="E155" s="2015">
        <v>0</v>
      </c>
      <c r="F155" s="2015">
        <v>0</v>
      </c>
      <c r="G155" s="2015">
        <v>0</v>
      </c>
      <c r="H155" s="2016" t="e">
        <f t="shared" si="7"/>
        <v>#DIV/0!</v>
      </c>
    </row>
    <row r="156" spans="1:8" ht="15" hidden="1" x14ac:dyDescent="0.2">
      <c r="A156" s="2012">
        <v>3299</v>
      </c>
      <c r="B156" s="2013">
        <v>5901</v>
      </c>
      <c r="C156" s="2017">
        <v>32133019</v>
      </c>
      <c r="D156" s="2014" t="s">
        <v>602</v>
      </c>
      <c r="E156" s="2015">
        <v>0</v>
      </c>
      <c r="F156" s="2015">
        <v>0</v>
      </c>
      <c r="G156" s="2015">
        <v>0</v>
      </c>
      <c r="H156" s="2016" t="e">
        <f t="shared" si="7"/>
        <v>#DIV/0!</v>
      </c>
    </row>
    <row r="157" spans="1:8" ht="15" hidden="1" x14ac:dyDescent="0.2">
      <c r="A157" s="2012">
        <v>3299</v>
      </c>
      <c r="B157" s="2013">
        <v>5901</v>
      </c>
      <c r="C157" s="2017">
        <v>32533019</v>
      </c>
      <c r="D157" s="2014" t="s">
        <v>602</v>
      </c>
      <c r="E157" s="2015">
        <v>0</v>
      </c>
      <c r="F157" s="2015">
        <v>0</v>
      </c>
      <c r="G157" s="2015">
        <v>0</v>
      </c>
      <c r="H157" s="2016" t="e">
        <f t="shared" si="7"/>
        <v>#DIV/0!</v>
      </c>
    </row>
    <row r="158" spans="1:8" ht="15" hidden="1" x14ac:dyDescent="0.2">
      <c r="A158" s="2012">
        <v>3299</v>
      </c>
      <c r="B158" s="2013">
        <v>5323</v>
      </c>
      <c r="C158" s="2017">
        <v>32133019</v>
      </c>
      <c r="D158" s="2014" t="s">
        <v>222</v>
      </c>
      <c r="E158" s="2015">
        <v>0</v>
      </c>
      <c r="F158" s="2015">
        <v>0</v>
      </c>
      <c r="G158" s="2015">
        <v>0</v>
      </c>
      <c r="H158" s="2016" t="e">
        <f t="shared" si="7"/>
        <v>#DIV/0!</v>
      </c>
    </row>
    <row r="159" spans="1:8" ht="15" hidden="1" x14ac:dyDescent="0.2">
      <c r="A159" s="2012">
        <v>3636</v>
      </c>
      <c r="B159" s="2013">
        <v>5323</v>
      </c>
      <c r="C159" s="2017">
        <v>32533019</v>
      </c>
      <c r="D159" s="2014" t="s">
        <v>222</v>
      </c>
      <c r="E159" s="2015">
        <v>0</v>
      </c>
      <c r="F159" s="2015">
        <v>0</v>
      </c>
      <c r="G159" s="2015">
        <v>0</v>
      </c>
      <c r="H159" s="2016" t="e">
        <f t="shared" si="7"/>
        <v>#DIV/0!</v>
      </c>
    </row>
    <row r="160" spans="1:8" ht="15" hidden="1" x14ac:dyDescent="0.2">
      <c r="A160" s="2012">
        <v>3636</v>
      </c>
      <c r="B160" s="2013">
        <v>6901</v>
      </c>
      <c r="C160" s="2017">
        <v>32533926</v>
      </c>
      <c r="D160" s="2014" t="s">
        <v>428</v>
      </c>
      <c r="E160" s="2015">
        <v>0</v>
      </c>
      <c r="F160" s="2015">
        <v>0</v>
      </c>
      <c r="G160" s="2015">
        <v>0</v>
      </c>
      <c r="H160" s="2016" t="e">
        <f t="shared" si="7"/>
        <v>#DIV/0!</v>
      </c>
    </row>
    <row r="161" spans="1:9" ht="15" hidden="1" x14ac:dyDescent="0.2">
      <c r="A161" s="2012">
        <v>6402</v>
      </c>
      <c r="B161" s="2013">
        <v>5363</v>
      </c>
      <c r="C161" s="2017">
        <v>19</v>
      </c>
      <c r="D161" s="2014" t="s">
        <v>549</v>
      </c>
      <c r="E161" s="2015">
        <v>0</v>
      </c>
      <c r="F161" s="2015">
        <v>0</v>
      </c>
      <c r="G161" s="2015">
        <v>0</v>
      </c>
      <c r="H161" s="2016" t="e">
        <f>G161/F161*100</f>
        <v>#DIV/0!</v>
      </c>
    </row>
    <row r="162" spans="1:9" ht="15.75" thickBot="1" x14ac:dyDescent="0.25">
      <c r="A162" s="2012">
        <v>6330</v>
      </c>
      <c r="B162" s="2013">
        <v>5345</v>
      </c>
      <c r="C162" s="2017">
        <v>0</v>
      </c>
      <c r="D162" s="2014" t="s">
        <v>767</v>
      </c>
      <c r="E162" s="2015">
        <v>0</v>
      </c>
      <c r="F162" s="2015">
        <v>0</v>
      </c>
      <c r="G162" s="2015">
        <v>3971</v>
      </c>
      <c r="H162" s="2018">
        <v>0</v>
      </c>
    </row>
    <row r="163" spans="1:9" ht="16.5" thickTop="1" thickBot="1" x14ac:dyDescent="0.3">
      <c r="A163" s="2751" t="s">
        <v>763</v>
      </c>
      <c r="B163" s="2752"/>
      <c r="C163" s="2752"/>
      <c r="D163" s="2752"/>
      <c r="E163" s="1818">
        <f>SUM(E136:E162)</f>
        <v>3978</v>
      </c>
      <c r="F163" s="1818">
        <f t="shared" ref="F163:G163" si="8">SUM(F136:F162)</f>
        <v>5564</v>
      </c>
      <c r="G163" s="1818">
        <f t="shared" si="8"/>
        <v>8857</v>
      </c>
      <c r="H163" s="1822">
        <f>G163/F163*100</f>
        <v>159.18404025880662</v>
      </c>
    </row>
    <row r="164" spans="1:9" ht="13.5" thickTop="1" x14ac:dyDescent="0.2"/>
    <row r="165" spans="1:9" ht="13.5" x14ac:dyDescent="0.25">
      <c r="A165" s="2760" t="s">
        <v>2027</v>
      </c>
      <c r="B165" s="2761"/>
      <c r="C165" s="2761"/>
      <c r="D165" s="2761"/>
      <c r="E165" s="2761"/>
      <c r="F165" s="2761"/>
      <c r="G165" s="2761"/>
      <c r="H165" s="2761"/>
    </row>
    <row r="166" spans="1:9" ht="15.75" thickBot="1" x14ac:dyDescent="0.3">
      <c r="A166" s="1979" t="s">
        <v>2028</v>
      </c>
      <c r="B166" s="1993"/>
      <c r="C166" s="1993"/>
      <c r="E166" s="1994"/>
      <c r="F166" s="1994"/>
      <c r="G166" s="1994"/>
      <c r="H166" s="1995" t="s">
        <v>161</v>
      </c>
    </row>
    <row r="167" spans="1:9" s="2070" customFormat="1" ht="25.5" thickTop="1" thickBot="1" x14ac:dyDescent="0.25">
      <c r="A167" s="1996" t="s">
        <v>162</v>
      </c>
      <c r="B167" s="1997" t="s">
        <v>761</v>
      </c>
      <c r="C167" s="1997" t="s">
        <v>377</v>
      </c>
      <c r="D167" s="1998" t="s">
        <v>164</v>
      </c>
      <c r="E167" s="1999" t="s">
        <v>632</v>
      </c>
      <c r="F167" s="1999" t="s">
        <v>633</v>
      </c>
      <c r="G167" s="2000" t="s">
        <v>882</v>
      </c>
      <c r="H167" s="2001" t="s">
        <v>883</v>
      </c>
    </row>
    <row r="168" spans="1:9" s="2070" customFormat="1" ht="13.5" thickTop="1" thickBot="1" x14ac:dyDescent="0.25">
      <c r="A168" s="2002">
        <v>1</v>
      </c>
      <c r="B168" s="2003">
        <v>2</v>
      </c>
      <c r="C168" s="2003">
        <v>3</v>
      </c>
      <c r="D168" s="2003">
        <v>4</v>
      </c>
      <c r="E168" s="2004">
        <v>5</v>
      </c>
      <c r="F168" s="2004">
        <v>6</v>
      </c>
      <c r="G168" s="2005">
        <v>7</v>
      </c>
      <c r="H168" s="2006" t="s">
        <v>61</v>
      </c>
    </row>
    <row r="169" spans="1:9" ht="16.5" hidden="1" thickTop="1" thickBot="1" x14ac:dyDescent="0.25">
      <c r="A169" s="2012">
        <v>3636</v>
      </c>
      <c r="B169" s="2013">
        <v>5164</v>
      </c>
      <c r="C169" s="2017">
        <v>0</v>
      </c>
      <c r="D169" s="2014" t="s">
        <v>170</v>
      </c>
      <c r="E169" s="2010">
        <v>0</v>
      </c>
      <c r="F169" s="2010">
        <v>0</v>
      </c>
      <c r="G169" s="2010">
        <v>0</v>
      </c>
      <c r="H169" s="2011" t="e">
        <f>G169/F169*100</f>
        <v>#DIV/0!</v>
      </c>
    </row>
    <row r="170" spans="1:9" ht="16.5" hidden="1" thickTop="1" thickBot="1" x14ac:dyDescent="0.25">
      <c r="A170" s="2012">
        <v>6223</v>
      </c>
      <c r="B170" s="2013">
        <v>5169</v>
      </c>
      <c r="C170" s="2017">
        <v>0</v>
      </c>
      <c r="D170" s="2014" t="s">
        <v>852</v>
      </c>
      <c r="E170" s="2015">
        <v>0</v>
      </c>
      <c r="F170" s="2015"/>
      <c r="G170" s="2015"/>
      <c r="H170" s="2016" t="e">
        <f>G170/F170*100</f>
        <v>#DIV/0!</v>
      </c>
    </row>
    <row r="171" spans="1:9" ht="16.5" hidden="1" thickTop="1" thickBot="1" x14ac:dyDescent="0.25">
      <c r="A171" s="2012">
        <v>6223</v>
      </c>
      <c r="B171" s="2013">
        <v>5175</v>
      </c>
      <c r="C171" s="2017">
        <v>0</v>
      </c>
      <c r="D171" s="2014" t="s">
        <v>669</v>
      </c>
      <c r="E171" s="2015">
        <v>0</v>
      </c>
      <c r="F171" s="2015"/>
      <c r="G171" s="2015"/>
      <c r="H171" s="2016">
        <v>0</v>
      </c>
    </row>
    <row r="172" spans="1:9" ht="45.75" thickTop="1" x14ac:dyDescent="0.2">
      <c r="A172" s="2012">
        <v>2125</v>
      </c>
      <c r="B172" s="2013">
        <v>5213</v>
      </c>
      <c r="C172" s="2017">
        <v>38100880</v>
      </c>
      <c r="D172" s="2009" t="s">
        <v>1038</v>
      </c>
      <c r="E172" s="2015">
        <v>834</v>
      </c>
      <c r="F172" s="2015">
        <v>551</v>
      </c>
      <c r="G172" s="2015">
        <v>99</v>
      </c>
      <c r="H172" s="2016">
        <f t="shared" ref="H172:H175" si="9">G172/F172*100</f>
        <v>17.967332123411978</v>
      </c>
    </row>
    <row r="173" spans="1:9" ht="45.75" thickBot="1" x14ac:dyDescent="0.25">
      <c r="A173" s="2012">
        <v>2125</v>
      </c>
      <c r="B173" s="2013">
        <v>5213</v>
      </c>
      <c r="C173" s="2017">
        <v>38500881</v>
      </c>
      <c r="D173" s="2014" t="s">
        <v>1038</v>
      </c>
      <c r="E173" s="2015">
        <v>2500</v>
      </c>
      <c r="F173" s="2015">
        <v>1386</v>
      </c>
      <c r="G173" s="2015">
        <v>296</v>
      </c>
      <c r="H173" s="2018">
        <f t="shared" si="9"/>
        <v>21.356421356421357</v>
      </c>
    </row>
    <row r="174" spans="1:9" ht="16.5" hidden="1" thickTop="1" thickBot="1" x14ac:dyDescent="0.25">
      <c r="A174" s="2012">
        <v>6330</v>
      </c>
      <c r="B174" s="2013">
        <v>5345</v>
      </c>
      <c r="C174" s="2017">
        <v>0</v>
      </c>
      <c r="D174" s="2014" t="s">
        <v>767</v>
      </c>
      <c r="E174" s="2015">
        <v>0</v>
      </c>
      <c r="F174" s="2015">
        <v>0</v>
      </c>
      <c r="G174" s="2015">
        <v>0</v>
      </c>
      <c r="H174" s="2018" t="e">
        <f t="shared" si="9"/>
        <v>#DIV/0!</v>
      </c>
    </row>
    <row r="175" spans="1:9" s="2076" customFormat="1" ht="16.5" thickTop="1" thickBot="1" x14ac:dyDescent="0.3">
      <c r="A175" s="2757" t="s">
        <v>763</v>
      </c>
      <c r="B175" s="2758"/>
      <c r="C175" s="2758"/>
      <c r="D175" s="2758"/>
      <c r="E175" s="2019">
        <f>SUM(E169:E174)</f>
        <v>3334</v>
      </c>
      <c r="F175" s="2019">
        <f>SUM(F169:F174)</f>
        <v>1937</v>
      </c>
      <c r="G175" s="2019">
        <f>SUM(G169:G174)</f>
        <v>395</v>
      </c>
      <c r="H175" s="2020">
        <f t="shared" si="9"/>
        <v>20.392359318533813</v>
      </c>
      <c r="I175" s="2075"/>
    </row>
    <row r="176" spans="1:9" ht="13.5" thickTop="1" x14ac:dyDescent="0.2"/>
    <row r="178" spans="1:12" ht="15.75" thickBot="1" x14ac:dyDescent="0.3">
      <c r="A178" s="1979" t="s">
        <v>766</v>
      </c>
      <c r="B178" s="1993"/>
      <c r="C178" s="1993"/>
      <c r="D178" s="1993"/>
      <c r="F178" s="1994"/>
      <c r="G178" s="1994"/>
      <c r="H178" s="1995" t="s">
        <v>161</v>
      </c>
      <c r="I178" s="2066"/>
    </row>
    <row r="179" spans="1:12" ht="25.5" thickTop="1" thickBot="1" x14ac:dyDescent="0.25">
      <c r="A179" s="1996" t="s">
        <v>162</v>
      </c>
      <c r="B179" s="1997" t="s">
        <v>761</v>
      </c>
      <c r="C179" s="1997" t="s">
        <v>377</v>
      </c>
      <c r="D179" s="1998" t="s">
        <v>164</v>
      </c>
      <c r="E179" s="1999" t="s">
        <v>632</v>
      </c>
      <c r="F179" s="1999" t="s">
        <v>633</v>
      </c>
      <c r="G179" s="2000" t="s">
        <v>882</v>
      </c>
      <c r="H179" s="2001" t="s">
        <v>883</v>
      </c>
    </row>
    <row r="180" spans="1:12" ht="14.25" thickTop="1" thickBot="1" x14ac:dyDescent="0.25">
      <c r="A180" s="2002">
        <v>1</v>
      </c>
      <c r="B180" s="2003">
        <v>2</v>
      </c>
      <c r="C180" s="2003">
        <v>3</v>
      </c>
      <c r="D180" s="2003">
        <v>5</v>
      </c>
      <c r="E180" s="2004">
        <v>6</v>
      </c>
      <c r="F180" s="2004">
        <v>7</v>
      </c>
      <c r="G180" s="2005">
        <v>8</v>
      </c>
      <c r="H180" s="2021" t="s">
        <v>762</v>
      </c>
    </row>
    <row r="181" spans="1:12" s="1988" customFormat="1" ht="15.75" thickTop="1" x14ac:dyDescent="0.25">
      <c r="A181" s="2063">
        <v>6330</v>
      </c>
      <c r="B181" s="2034">
        <v>5345</v>
      </c>
      <c r="C181" s="2120">
        <v>0</v>
      </c>
      <c r="D181" s="2035" t="s">
        <v>767</v>
      </c>
      <c r="E181" s="2010">
        <v>0</v>
      </c>
      <c r="F181" s="2010">
        <v>0</v>
      </c>
      <c r="G181" s="2022">
        <v>235</v>
      </c>
      <c r="H181" s="2011">
        <v>0</v>
      </c>
    </row>
    <row r="182" spans="1:12" s="1988" customFormat="1" ht="15" x14ac:dyDescent="0.25">
      <c r="A182" s="2033">
        <v>3636</v>
      </c>
      <c r="B182" s="2034">
        <v>5901</v>
      </c>
      <c r="C182" s="2120">
        <v>0</v>
      </c>
      <c r="D182" s="2035" t="s">
        <v>602</v>
      </c>
      <c r="E182" s="2015">
        <v>50</v>
      </c>
      <c r="F182" s="2015">
        <v>9</v>
      </c>
      <c r="G182" s="2023">
        <v>0</v>
      </c>
      <c r="H182" s="2016">
        <f t="shared" ref="H182:H184" si="10">G182/F182*100</f>
        <v>0</v>
      </c>
    </row>
    <row r="183" spans="1:12" s="1988" customFormat="1" ht="30.75" thickBot="1" x14ac:dyDescent="0.3">
      <c r="A183" s="2012">
        <v>6402</v>
      </c>
      <c r="B183" s="2013">
        <v>5366</v>
      </c>
      <c r="C183" s="2499">
        <v>19</v>
      </c>
      <c r="D183" s="2039" t="s">
        <v>2029</v>
      </c>
      <c r="E183" s="2015">
        <v>0</v>
      </c>
      <c r="F183" s="2015">
        <v>103</v>
      </c>
      <c r="G183" s="2015">
        <v>103</v>
      </c>
      <c r="H183" s="2016">
        <f t="shared" si="10"/>
        <v>100</v>
      </c>
    </row>
    <row r="184" spans="1:12" ht="16.5" thickTop="1" thickBot="1" x14ac:dyDescent="0.3">
      <c r="A184" s="2024" t="s">
        <v>763</v>
      </c>
      <c r="B184" s="2025"/>
      <c r="C184" s="2025"/>
      <c r="D184" s="2026"/>
      <c r="E184" s="2019">
        <f>SUM(E181:E182)</f>
        <v>50</v>
      </c>
      <c r="F184" s="2019">
        <f>SUM(F181:F182)</f>
        <v>9</v>
      </c>
      <c r="G184" s="2019">
        <f>SUM(G181:G182)</f>
        <v>235</v>
      </c>
      <c r="H184" s="2020">
        <f t="shared" si="10"/>
        <v>2611.1111111111109</v>
      </c>
    </row>
    <row r="185" spans="1:12" ht="13.5" thickTop="1" x14ac:dyDescent="0.2"/>
    <row r="188" spans="1:12" ht="16.5" x14ac:dyDescent="0.25">
      <c r="A188" s="2040" t="s">
        <v>465</v>
      </c>
      <c r="B188" s="2041"/>
      <c r="C188" s="2042"/>
      <c r="D188" s="2043"/>
      <c r="E188" s="2044">
        <f>SUM(E189:E191)</f>
        <v>14991</v>
      </c>
      <c r="F188" s="2044">
        <f>F189+F190+F191+F192</f>
        <v>13557</v>
      </c>
      <c r="G188" s="2044">
        <f>G189+G190+G191+G192</f>
        <v>15276</v>
      </c>
      <c r="H188" s="2045">
        <v>61.717249327698809</v>
      </c>
      <c r="J188" s="2046">
        <f>J189+J190+J191</f>
        <v>14991000</v>
      </c>
      <c r="K188" s="2046">
        <f>K189+K190+K191</f>
        <v>13556668.91</v>
      </c>
      <c r="L188" s="2046">
        <f>L189+L190+L191</f>
        <v>15276216.219999999</v>
      </c>
    </row>
    <row r="189" spans="1:12" ht="15" x14ac:dyDescent="0.2">
      <c r="A189" s="2047" t="s">
        <v>263</v>
      </c>
      <c r="B189" s="2048"/>
      <c r="C189" s="2049"/>
      <c r="D189" s="2050"/>
      <c r="E189" s="2051">
        <f>E39+E40+E41+E63+E69+E70+E81+E82+E83+E97+E98+E101+E102+E103+E104+E107+E108+E109+E110+E111+E112+E113+E114+E115+E116+E117+E118+E119+E120+E121+E122+E123+E124+E136+E137+E138+E172+E173+E182+E183</f>
        <v>14991</v>
      </c>
      <c r="F189" s="2051">
        <f t="shared" ref="F189:G189" si="11">F39+F40+F41+F63+F69+F70+F81+F82+F83+F97+F98+F101+F102+F103+F104+F107+F108+F109+F110+F111+F112+F113+F114+F115+F116+F117+F118+F119+F120+F121+F122+F123+F124+F136+F137+F138+F172+F173+F182+F183</f>
        <v>13557</v>
      </c>
      <c r="G189" s="2051">
        <f t="shared" si="11"/>
        <v>7839</v>
      </c>
      <c r="H189" s="2052">
        <v>61.717249327698809</v>
      </c>
      <c r="J189" s="2053">
        <v>14991000</v>
      </c>
      <c r="K189" s="2053">
        <v>13556668.91</v>
      </c>
      <c r="L189" s="2053">
        <v>7838822.46</v>
      </c>
    </row>
    <row r="190" spans="1:12" ht="15" x14ac:dyDescent="0.2">
      <c r="A190" s="2047" t="s">
        <v>264</v>
      </c>
      <c r="B190" s="2054"/>
      <c r="C190" s="2049"/>
      <c r="D190" s="2055"/>
      <c r="E190" s="2051">
        <f>E43+E53</f>
        <v>0</v>
      </c>
      <c r="F190" s="2051">
        <v>0</v>
      </c>
      <c r="G190" s="2051">
        <v>0</v>
      </c>
      <c r="H190" s="2052">
        <v>0</v>
      </c>
      <c r="J190" s="2053">
        <v>0</v>
      </c>
      <c r="K190" s="2053">
        <v>0</v>
      </c>
      <c r="L190" s="2053">
        <v>0</v>
      </c>
    </row>
    <row r="191" spans="1:12" ht="15" x14ac:dyDescent="0.2">
      <c r="A191" s="2047" t="s">
        <v>466</v>
      </c>
      <c r="B191" s="2054"/>
      <c r="C191" s="2049"/>
      <c r="D191" s="2055"/>
      <c r="E191" s="2051">
        <f>E17+E129+E162+E181</f>
        <v>0</v>
      </c>
      <c r="F191" s="2051">
        <f t="shared" ref="F191:G191" si="12">F17+F129+F162+F181</f>
        <v>0</v>
      </c>
      <c r="G191" s="2051">
        <f t="shared" si="12"/>
        <v>7437</v>
      </c>
      <c r="H191" s="2052">
        <v>0</v>
      </c>
      <c r="J191" s="2053">
        <v>0</v>
      </c>
      <c r="K191" s="2053">
        <v>0</v>
      </c>
      <c r="L191" s="2053">
        <v>7437393.7599999998</v>
      </c>
    </row>
    <row r="192" spans="1:12" ht="16.5" customHeight="1" x14ac:dyDescent="0.2">
      <c r="A192" s="2047"/>
      <c r="B192" s="2054"/>
      <c r="C192" s="2049"/>
      <c r="D192" s="2055"/>
      <c r="E192" s="2051"/>
      <c r="F192" s="2051"/>
      <c r="G192" s="2051"/>
      <c r="H192" s="2056"/>
    </row>
    <row r="193" spans="1:8" ht="57.75" customHeight="1" thickBot="1" x14ac:dyDescent="0.4">
      <c r="A193" s="2754" t="s">
        <v>1593</v>
      </c>
      <c r="B193" s="2759"/>
      <c r="C193" s="2759"/>
      <c r="D193" s="2759"/>
      <c r="E193" s="2057">
        <f>SUM(E188)</f>
        <v>14991</v>
      </c>
      <c r="F193" s="2057">
        <f>SUM(F188)</f>
        <v>13557</v>
      </c>
      <c r="G193" s="2057">
        <f>SUM(G188)</f>
        <v>15276</v>
      </c>
      <c r="H193" s="2058">
        <f>G193/F193*100</f>
        <v>112.6797964151361</v>
      </c>
    </row>
    <row r="194" spans="1:8" ht="13.5" thickTop="1" x14ac:dyDescent="0.2"/>
  </sheetData>
  <mergeCells count="13">
    <mergeCell ref="A193:D193"/>
    <mergeCell ref="A93:H93"/>
    <mergeCell ref="A130:D130"/>
    <mergeCell ref="A132:H132"/>
    <mergeCell ref="A163:D163"/>
    <mergeCell ref="A165:H165"/>
    <mergeCell ref="A175:D175"/>
    <mergeCell ref="A91:D91"/>
    <mergeCell ref="A8:H8"/>
    <mergeCell ref="A18:D18"/>
    <mergeCell ref="A21:H21"/>
    <mergeCell ref="A55:D55"/>
    <mergeCell ref="A57:H57"/>
  </mergeCells>
  <pageMargins left="0.70866141732283472" right="0.70866141732283472" top="0.78740157480314965" bottom="0.78740157480314965" header="0.31496062992125984" footer="0.31496062992125984"/>
  <pageSetup paperSize="9" scale="70" firstPageNumber="174" orientation="portrait" useFirstPageNumber="1" r:id="rId1"/>
  <headerFooter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1" manualBreakCount="1">
    <brk id="112" max="7" man="1"/>
  </rowBreaks>
  <colBreaks count="1" manualBreakCount="1">
    <brk id="8" max="10485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1258"/>
  <sheetViews>
    <sheetView view="pageBreakPreview" topLeftCell="A1190" zoomScaleNormal="100" zoomScaleSheetLayoutView="100" workbookViewId="0">
      <selection activeCell="I10" sqref="I10"/>
    </sheetView>
  </sheetViews>
  <sheetFormatPr defaultRowHeight="12.75" x14ac:dyDescent="0.2"/>
  <cols>
    <col min="1" max="1" width="5.5703125" style="1986" customWidth="1"/>
    <col min="2" max="2" width="6.7109375" style="1986" customWidth="1"/>
    <col min="3" max="3" width="9.28515625" style="1986" customWidth="1"/>
    <col min="4" max="4" width="47.85546875" style="1986" customWidth="1"/>
    <col min="5" max="5" width="12.85546875" style="1986" customWidth="1"/>
    <col min="6" max="6" width="15.5703125" style="1986" customWidth="1"/>
    <col min="7" max="7" width="15.85546875" style="1986" customWidth="1"/>
    <col min="8" max="8" width="8.7109375" style="1986" customWidth="1"/>
    <col min="9" max="10" width="9.140625" style="1986"/>
    <col min="11" max="11" width="16" style="1986" bestFit="1" customWidth="1"/>
    <col min="12" max="12" width="17" style="1986" customWidth="1"/>
    <col min="13" max="256" width="9.140625" style="1986"/>
    <col min="257" max="257" width="5.5703125" style="1986" customWidth="1"/>
    <col min="258" max="258" width="6.7109375" style="1986" customWidth="1"/>
    <col min="259" max="259" width="8.85546875" style="1986" customWidth="1"/>
    <col min="260" max="260" width="47.85546875" style="1986" customWidth="1"/>
    <col min="261" max="261" width="12.85546875" style="1986" customWidth="1"/>
    <col min="262" max="262" width="15.5703125" style="1986" customWidth="1"/>
    <col min="263" max="263" width="15.85546875" style="1986" customWidth="1"/>
    <col min="264" max="264" width="6.42578125" style="1986" customWidth="1"/>
    <col min="265" max="266" width="9.140625" style="1986"/>
    <col min="267" max="268" width="14.7109375" style="1986" bestFit="1" customWidth="1"/>
    <col min="269" max="512" width="9.140625" style="1986"/>
    <col min="513" max="513" width="5.5703125" style="1986" customWidth="1"/>
    <col min="514" max="514" width="6.7109375" style="1986" customWidth="1"/>
    <col min="515" max="515" width="8.85546875" style="1986" customWidth="1"/>
    <col min="516" max="516" width="47.85546875" style="1986" customWidth="1"/>
    <col min="517" max="517" width="12.85546875" style="1986" customWidth="1"/>
    <col min="518" max="518" width="15.5703125" style="1986" customWidth="1"/>
    <col min="519" max="519" width="15.85546875" style="1986" customWidth="1"/>
    <col min="520" max="520" width="6.42578125" style="1986" customWidth="1"/>
    <col min="521" max="522" width="9.140625" style="1986"/>
    <col min="523" max="524" width="14.7109375" style="1986" bestFit="1" customWidth="1"/>
    <col min="525" max="768" width="9.140625" style="1986"/>
    <col min="769" max="769" width="5.5703125" style="1986" customWidth="1"/>
    <col min="770" max="770" width="6.7109375" style="1986" customWidth="1"/>
    <col min="771" max="771" width="8.85546875" style="1986" customWidth="1"/>
    <col min="772" max="772" width="47.85546875" style="1986" customWidth="1"/>
    <col min="773" max="773" width="12.85546875" style="1986" customWidth="1"/>
    <col min="774" max="774" width="15.5703125" style="1986" customWidth="1"/>
    <col min="775" max="775" width="15.85546875" style="1986" customWidth="1"/>
    <col min="776" max="776" width="6.42578125" style="1986" customWidth="1"/>
    <col min="777" max="778" width="9.140625" style="1986"/>
    <col min="779" max="780" width="14.7109375" style="1986" bestFit="1" customWidth="1"/>
    <col min="781" max="1024" width="9.140625" style="1986"/>
    <col min="1025" max="1025" width="5.5703125" style="1986" customWidth="1"/>
    <col min="1026" max="1026" width="6.7109375" style="1986" customWidth="1"/>
    <col min="1027" max="1027" width="8.85546875" style="1986" customWidth="1"/>
    <col min="1028" max="1028" width="47.85546875" style="1986" customWidth="1"/>
    <col min="1029" max="1029" width="12.85546875" style="1986" customWidth="1"/>
    <col min="1030" max="1030" width="15.5703125" style="1986" customWidth="1"/>
    <col min="1031" max="1031" width="15.85546875" style="1986" customWidth="1"/>
    <col min="1032" max="1032" width="6.42578125" style="1986" customWidth="1"/>
    <col min="1033" max="1034" width="9.140625" style="1986"/>
    <col min="1035" max="1036" width="14.7109375" style="1986" bestFit="1" customWidth="1"/>
    <col min="1037" max="1280" width="9.140625" style="1986"/>
    <col min="1281" max="1281" width="5.5703125" style="1986" customWidth="1"/>
    <col min="1282" max="1282" width="6.7109375" style="1986" customWidth="1"/>
    <col min="1283" max="1283" width="8.85546875" style="1986" customWidth="1"/>
    <col min="1284" max="1284" width="47.85546875" style="1986" customWidth="1"/>
    <col min="1285" max="1285" width="12.85546875" style="1986" customWidth="1"/>
    <col min="1286" max="1286" width="15.5703125" style="1986" customWidth="1"/>
    <col min="1287" max="1287" width="15.85546875" style="1986" customWidth="1"/>
    <col min="1288" max="1288" width="6.42578125" style="1986" customWidth="1"/>
    <col min="1289" max="1290" width="9.140625" style="1986"/>
    <col min="1291" max="1292" width="14.7109375" style="1986" bestFit="1" customWidth="1"/>
    <col min="1293" max="1536" width="9.140625" style="1986"/>
    <col min="1537" max="1537" width="5.5703125" style="1986" customWidth="1"/>
    <col min="1538" max="1538" width="6.7109375" style="1986" customWidth="1"/>
    <col min="1539" max="1539" width="8.85546875" style="1986" customWidth="1"/>
    <col min="1540" max="1540" width="47.85546875" style="1986" customWidth="1"/>
    <col min="1541" max="1541" width="12.85546875" style="1986" customWidth="1"/>
    <col min="1542" max="1542" width="15.5703125" style="1986" customWidth="1"/>
    <col min="1543" max="1543" width="15.85546875" style="1986" customWidth="1"/>
    <col min="1544" max="1544" width="6.42578125" style="1986" customWidth="1"/>
    <col min="1545" max="1546" width="9.140625" style="1986"/>
    <col min="1547" max="1548" width="14.7109375" style="1986" bestFit="1" customWidth="1"/>
    <col min="1549" max="1792" width="9.140625" style="1986"/>
    <col min="1793" max="1793" width="5.5703125" style="1986" customWidth="1"/>
    <col min="1794" max="1794" width="6.7109375" style="1986" customWidth="1"/>
    <col min="1795" max="1795" width="8.85546875" style="1986" customWidth="1"/>
    <col min="1796" max="1796" width="47.85546875" style="1986" customWidth="1"/>
    <col min="1797" max="1797" width="12.85546875" style="1986" customWidth="1"/>
    <col min="1798" max="1798" width="15.5703125" style="1986" customWidth="1"/>
    <col min="1799" max="1799" width="15.85546875" style="1986" customWidth="1"/>
    <col min="1800" max="1800" width="6.42578125" style="1986" customWidth="1"/>
    <col min="1801" max="1802" width="9.140625" style="1986"/>
    <col min="1803" max="1804" width="14.7109375" style="1986" bestFit="1" customWidth="1"/>
    <col min="1805" max="2048" width="9.140625" style="1986"/>
    <col min="2049" max="2049" width="5.5703125" style="1986" customWidth="1"/>
    <col min="2050" max="2050" width="6.7109375" style="1986" customWidth="1"/>
    <col min="2051" max="2051" width="8.85546875" style="1986" customWidth="1"/>
    <col min="2052" max="2052" width="47.85546875" style="1986" customWidth="1"/>
    <col min="2053" max="2053" width="12.85546875" style="1986" customWidth="1"/>
    <col min="2054" max="2054" width="15.5703125" style="1986" customWidth="1"/>
    <col min="2055" max="2055" width="15.85546875" style="1986" customWidth="1"/>
    <col min="2056" max="2056" width="6.42578125" style="1986" customWidth="1"/>
    <col min="2057" max="2058" width="9.140625" style="1986"/>
    <col min="2059" max="2060" width="14.7109375" style="1986" bestFit="1" customWidth="1"/>
    <col min="2061" max="2304" width="9.140625" style="1986"/>
    <col min="2305" max="2305" width="5.5703125" style="1986" customWidth="1"/>
    <col min="2306" max="2306" width="6.7109375" style="1986" customWidth="1"/>
    <col min="2307" max="2307" width="8.85546875" style="1986" customWidth="1"/>
    <col min="2308" max="2308" width="47.85546875" style="1986" customWidth="1"/>
    <col min="2309" max="2309" width="12.85546875" style="1986" customWidth="1"/>
    <col min="2310" max="2310" width="15.5703125" style="1986" customWidth="1"/>
    <col min="2311" max="2311" width="15.85546875" style="1986" customWidth="1"/>
    <col min="2312" max="2312" width="6.42578125" style="1986" customWidth="1"/>
    <col min="2313" max="2314" width="9.140625" style="1986"/>
    <col min="2315" max="2316" width="14.7109375" style="1986" bestFit="1" customWidth="1"/>
    <col min="2317" max="2560" width="9.140625" style="1986"/>
    <col min="2561" max="2561" width="5.5703125" style="1986" customWidth="1"/>
    <col min="2562" max="2562" width="6.7109375" style="1986" customWidth="1"/>
    <col min="2563" max="2563" width="8.85546875" style="1986" customWidth="1"/>
    <col min="2564" max="2564" width="47.85546875" style="1986" customWidth="1"/>
    <col min="2565" max="2565" width="12.85546875" style="1986" customWidth="1"/>
    <col min="2566" max="2566" width="15.5703125" style="1986" customWidth="1"/>
    <col min="2567" max="2567" width="15.85546875" style="1986" customWidth="1"/>
    <col min="2568" max="2568" width="6.42578125" style="1986" customWidth="1"/>
    <col min="2569" max="2570" width="9.140625" style="1986"/>
    <col min="2571" max="2572" width="14.7109375" style="1986" bestFit="1" customWidth="1"/>
    <col min="2573" max="2816" width="9.140625" style="1986"/>
    <col min="2817" max="2817" width="5.5703125" style="1986" customWidth="1"/>
    <col min="2818" max="2818" width="6.7109375" style="1986" customWidth="1"/>
    <col min="2819" max="2819" width="8.85546875" style="1986" customWidth="1"/>
    <col min="2820" max="2820" width="47.85546875" style="1986" customWidth="1"/>
    <col min="2821" max="2821" width="12.85546875" style="1986" customWidth="1"/>
    <col min="2822" max="2822" width="15.5703125" style="1986" customWidth="1"/>
    <col min="2823" max="2823" width="15.85546875" style="1986" customWidth="1"/>
    <col min="2824" max="2824" width="6.42578125" style="1986" customWidth="1"/>
    <col min="2825" max="2826" width="9.140625" style="1986"/>
    <col min="2827" max="2828" width="14.7109375" style="1986" bestFit="1" customWidth="1"/>
    <col min="2829" max="3072" width="9.140625" style="1986"/>
    <col min="3073" max="3073" width="5.5703125" style="1986" customWidth="1"/>
    <col min="3074" max="3074" width="6.7109375" style="1986" customWidth="1"/>
    <col min="3075" max="3075" width="8.85546875" style="1986" customWidth="1"/>
    <col min="3076" max="3076" width="47.85546875" style="1986" customWidth="1"/>
    <col min="3077" max="3077" width="12.85546875" style="1986" customWidth="1"/>
    <col min="3078" max="3078" width="15.5703125" style="1986" customWidth="1"/>
    <col min="3079" max="3079" width="15.85546875" style="1986" customWidth="1"/>
    <col min="3080" max="3080" width="6.42578125" style="1986" customWidth="1"/>
    <col min="3081" max="3082" width="9.140625" style="1986"/>
    <col min="3083" max="3084" width="14.7109375" style="1986" bestFit="1" customWidth="1"/>
    <col min="3085" max="3328" width="9.140625" style="1986"/>
    <col min="3329" max="3329" width="5.5703125" style="1986" customWidth="1"/>
    <col min="3330" max="3330" width="6.7109375" style="1986" customWidth="1"/>
    <col min="3331" max="3331" width="8.85546875" style="1986" customWidth="1"/>
    <col min="3332" max="3332" width="47.85546875" style="1986" customWidth="1"/>
    <col min="3333" max="3333" width="12.85546875" style="1986" customWidth="1"/>
    <col min="3334" max="3334" width="15.5703125" style="1986" customWidth="1"/>
    <col min="3335" max="3335" width="15.85546875" style="1986" customWidth="1"/>
    <col min="3336" max="3336" width="6.42578125" style="1986" customWidth="1"/>
    <col min="3337" max="3338" width="9.140625" style="1986"/>
    <col min="3339" max="3340" width="14.7109375" style="1986" bestFit="1" customWidth="1"/>
    <col min="3341" max="3584" width="9.140625" style="1986"/>
    <col min="3585" max="3585" width="5.5703125" style="1986" customWidth="1"/>
    <col min="3586" max="3586" width="6.7109375" style="1986" customWidth="1"/>
    <col min="3587" max="3587" width="8.85546875" style="1986" customWidth="1"/>
    <col min="3588" max="3588" width="47.85546875" style="1986" customWidth="1"/>
    <col min="3589" max="3589" width="12.85546875" style="1986" customWidth="1"/>
    <col min="3590" max="3590" width="15.5703125" style="1986" customWidth="1"/>
    <col min="3591" max="3591" width="15.85546875" style="1986" customWidth="1"/>
    <col min="3592" max="3592" width="6.42578125" style="1986" customWidth="1"/>
    <col min="3593" max="3594" width="9.140625" style="1986"/>
    <col min="3595" max="3596" width="14.7109375" style="1986" bestFit="1" customWidth="1"/>
    <col min="3597" max="3840" width="9.140625" style="1986"/>
    <col min="3841" max="3841" width="5.5703125" style="1986" customWidth="1"/>
    <col min="3842" max="3842" width="6.7109375" style="1986" customWidth="1"/>
    <col min="3843" max="3843" width="8.85546875" style="1986" customWidth="1"/>
    <col min="3844" max="3844" width="47.85546875" style="1986" customWidth="1"/>
    <col min="3845" max="3845" width="12.85546875" style="1986" customWidth="1"/>
    <col min="3846" max="3846" width="15.5703125" style="1986" customWidth="1"/>
    <col min="3847" max="3847" width="15.85546875" style="1986" customWidth="1"/>
    <col min="3848" max="3848" width="6.42578125" style="1986" customWidth="1"/>
    <col min="3849" max="3850" width="9.140625" style="1986"/>
    <col min="3851" max="3852" width="14.7109375" style="1986" bestFit="1" customWidth="1"/>
    <col min="3853" max="4096" width="9.140625" style="1986"/>
    <col min="4097" max="4097" width="5.5703125" style="1986" customWidth="1"/>
    <col min="4098" max="4098" width="6.7109375" style="1986" customWidth="1"/>
    <col min="4099" max="4099" width="8.85546875" style="1986" customWidth="1"/>
    <col min="4100" max="4100" width="47.85546875" style="1986" customWidth="1"/>
    <col min="4101" max="4101" width="12.85546875" style="1986" customWidth="1"/>
    <col min="4102" max="4102" width="15.5703125" style="1986" customWidth="1"/>
    <col min="4103" max="4103" width="15.85546875" style="1986" customWidth="1"/>
    <col min="4104" max="4104" width="6.42578125" style="1986" customWidth="1"/>
    <col min="4105" max="4106" width="9.140625" style="1986"/>
    <col min="4107" max="4108" width="14.7109375" style="1986" bestFit="1" customWidth="1"/>
    <col min="4109" max="4352" width="9.140625" style="1986"/>
    <col min="4353" max="4353" width="5.5703125" style="1986" customWidth="1"/>
    <col min="4354" max="4354" width="6.7109375" style="1986" customWidth="1"/>
    <col min="4355" max="4355" width="8.85546875" style="1986" customWidth="1"/>
    <col min="4356" max="4356" width="47.85546875" style="1986" customWidth="1"/>
    <col min="4357" max="4357" width="12.85546875" style="1986" customWidth="1"/>
    <col min="4358" max="4358" width="15.5703125" style="1986" customWidth="1"/>
    <col min="4359" max="4359" width="15.85546875" style="1986" customWidth="1"/>
    <col min="4360" max="4360" width="6.42578125" style="1986" customWidth="1"/>
    <col min="4361" max="4362" width="9.140625" style="1986"/>
    <col min="4363" max="4364" width="14.7109375" style="1986" bestFit="1" customWidth="1"/>
    <col min="4365" max="4608" width="9.140625" style="1986"/>
    <col min="4609" max="4609" width="5.5703125" style="1986" customWidth="1"/>
    <col min="4610" max="4610" width="6.7109375" style="1986" customWidth="1"/>
    <col min="4611" max="4611" width="8.85546875" style="1986" customWidth="1"/>
    <col min="4612" max="4612" width="47.85546875" style="1986" customWidth="1"/>
    <col min="4613" max="4613" width="12.85546875" style="1986" customWidth="1"/>
    <col min="4614" max="4614" width="15.5703125" style="1986" customWidth="1"/>
    <col min="4615" max="4615" width="15.85546875" style="1986" customWidth="1"/>
    <col min="4616" max="4616" width="6.42578125" style="1986" customWidth="1"/>
    <col min="4617" max="4618" width="9.140625" style="1986"/>
    <col min="4619" max="4620" width="14.7109375" style="1986" bestFit="1" customWidth="1"/>
    <col min="4621" max="4864" width="9.140625" style="1986"/>
    <col min="4865" max="4865" width="5.5703125" style="1986" customWidth="1"/>
    <col min="4866" max="4866" width="6.7109375" style="1986" customWidth="1"/>
    <col min="4867" max="4867" width="8.85546875" style="1986" customWidth="1"/>
    <col min="4868" max="4868" width="47.85546875" style="1986" customWidth="1"/>
    <col min="4869" max="4869" width="12.85546875" style="1986" customWidth="1"/>
    <col min="4870" max="4870" width="15.5703125" style="1986" customWidth="1"/>
    <col min="4871" max="4871" width="15.85546875" style="1986" customWidth="1"/>
    <col min="4872" max="4872" width="6.42578125" style="1986" customWidth="1"/>
    <col min="4873" max="4874" width="9.140625" style="1986"/>
    <col min="4875" max="4876" width="14.7109375" style="1986" bestFit="1" customWidth="1"/>
    <col min="4877" max="5120" width="9.140625" style="1986"/>
    <col min="5121" max="5121" width="5.5703125" style="1986" customWidth="1"/>
    <col min="5122" max="5122" width="6.7109375" style="1986" customWidth="1"/>
    <col min="5123" max="5123" width="8.85546875" style="1986" customWidth="1"/>
    <col min="5124" max="5124" width="47.85546875" style="1986" customWidth="1"/>
    <col min="5125" max="5125" width="12.85546875" style="1986" customWidth="1"/>
    <col min="5126" max="5126" width="15.5703125" style="1986" customWidth="1"/>
    <col min="5127" max="5127" width="15.85546875" style="1986" customWidth="1"/>
    <col min="5128" max="5128" width="6.42578125" style="1986" customWidth="1"/>
    <col min="5129" max="5130" width="9.140625" style="1986"/>
    <col min="5131" max="5132" width="14.7109375" style="1986" bestFit="1" customWidth="1"/>
    <col min="5133" max="5376" width="9.140625" style="1986"/>
    <col min="5377" max="5377" width="5.5703125" style="1986" customWidth="1"/>
    <col min="5378" max="5378" width="6.7109375" style="1986" customWidth="1"/>
    <col min="5379" max="5379" width="8.85546875" style="1986" customWidth="1"/>
    <col min="5380" max="5380" width="47.85546875" style="1986" customWidth="1"/>
    <col min="5381" max="5381" width="12.85546875" style="1986" customWidth="1"/>
    <col min="5382" max="5382" width="15.5703125" style="1986" customWidth="1"/>
    <col min="5383" max="5383" width="15.85546875" style="1986" customWidth="1"/>
    <col min="5384" max="5384" width="6.42578125" style="1986" customWidth="1"/>
    <col min="5385" max="5386" width="9.140625" style="1986"/>
    <col min="5387" max="5388" width="14.7109375" style="1986" bestFit="1" customWidth="1"/>
    <col min="5389" max="5632" width="9.140625" style="1986"/>
    <col min="5633" max="5633" width="5.5703125" style="1986" customWidth="1"/>
    <col min="5634" max="5634" width="6.7109375" style="1986" customWidth="1"/>
    <col min="5635" max="5635" width="8.85546875" style="1986" customWidth="1"/>
    <col min="5636" max="5636" width="47.85546875" style="1986" customWidth="1"/>
    <col min="5637" max="5637" width="12.85546875" style="1986" customWidth="1"/>
    <col min="5638" max="5638" width="15.5703125" style="1986" customWidth="1"/>
    <col min="5639" max="5639" width="15.85546875" style="1986" customWidth="1"/>
    <col min="5640" max="5640" width="6.42578125" style="1986" customWidth="1"/>
    <col min="5641" max="5642" width="9.140625" style="1986"/>
    <col min="5643" max="5644" width="14.7109375" style="1986" bestFit="1" customWidth="1"/>
    <col min="5645" max="5888" width="9.140625" style="1986"/>
    <col min="5889" max="5889" width="5.5703125" style="1986" customWidth="1"/>
    <col min="5890" max="5890" width="6.7109375" style="1986" customWidth="1"/>
    <col min="5891" max="5891" width="8.85546875" style="1986" customWidth="1"/>
    <col min="5892" max="5892" width="47.85546875" style="1986" customWidth="1"/>
    <col min="5893" max="5893" width="12.85546875" style="1986" customWidth="1"/>
    <col min="5894" max="5894" width="15.5703125" style="1986" customWidth="1"/>
    <col min="5895" max="5895" width="15.85546875" style="1986" customWidth="1"/>
    <col min="5896" max="5896" width="6.42578125" style="1986" customWidth="1"/>
    <col min="5897" max="5898" width="9.140625" style="1986"/>
    <col min="5899" max="5900" width="14.7109375" style="1986" bestFit="1" customWidth="1"/>
    <col min="5901" max="6144" width="9.140625" style="1986"/>
    <col min="6145" max="6145" width="5.5703125" style="1986" customWidth="1"/>
    <col min="6146" max="6146" width="6.7109375" style="1986" customWidth="1"/>
    <col min="6147" max="6147" width="8.85546875" style="1986" customWidth="1"/>
    <col min="6148" max="6148" width="47.85546875" style="1986" customWidth="1"/>
    <col min="6149" max="6149" width="12.85546875" style="1986" customWidth="1"/>
    <col min="6150" max="6150" width="15.5703125" style="1986" customWidth="1"/>
    <col min="6151" max="6151" width="15.85546875" style="1986" customWidth="1"/>
    <col min="6152" max="6152" width="6.42578125" style="1986" customWidth="1"/>
    <col min="6153" max="6154" width="9.140625" style="1986"/>
    <col min="6155" max="6156" width="14.7109375" style="1986" bestFit="1" customWidth="1"/>
    <col min="6157" max="6400" width="9.140625" style="1986"/>
    <col min="6401" max="6401" width="5.5703125" style="1986" customWidth="1"/>
    <col min="6402" max="6402" width="6.7109375" style="1986" customWidth="1"/>
    <col min="6403" max="6403" width="8.85546875" style="1986" customWidth="1"/>
    <col min="6404" max="6404" width="47.85546875" style="1986" customWidth="1"/>
    <col min="6405" max="6405" width="12.85546875" style="1986" customWidth="1"/>
    <col min="6406" max="6406" width="15.5703125" style="1986" customWidth="1"/>
    <col min="6407" max="6407" width="15.85546875" style="1986" customWidth="1"/>
    <col min="6408" max="6408" width="6.42578125" style="1986" customWidth="1"/>
    <col min="6409" max="6410" width="9.140625" style="1986"/>
    <col min="6411" max="6412" width="14.7109375" style="1986" bestFit="1" customWidth="1"/>
    <col min="6413" max="6656" width="9.140625" style="1986"/>
    <col min="6657" max="6657" width="5.5703125" style="1986" customWidth="1"/>
    <col min="6658" max="6658" width="6.7109375" style="1986" customWidth="1"/>
    <col min="6659" max="6659" width="8.85546875" style="1986" customWidth="1"/>
    <col min="6660" max="6660" width="47.85546875" style="1986" customWidth="1"/>
    <col min="6661" max="6661" width="12.85546875" style="1986" customWidth="1"/>
    <col min="6662" max="6662" width="15.5703125" style="1986" customWidth="1"/>
    <col min="6663" max="6663" width="15.85546875" style="1986" customWidth="1"/>
    <col min="6664" max="6664" width="6.42578125" style="1986" customWidth="1"/>
    <col min="6665" max="6666" width="9.140625" style="1986"/>
    <col min="6667" max="6668" width="14.7109375" style="1986" bestFit="1" customWidth="1"/>
    <col min="6669" max="6912" width="9.140625" style="1986"/>
    <col min="6913" max="6913" width="5.5703125" style="1986" customWidth="1"/>
    <col min="6914" max="6914" width="6.7109375" style="1986" customWidth="1"/>
    <col min="6915" max="6915" width="8.85546875" style="1986" customWidth="1"/>
    <col min="6916" max="6916" width="47.85546875" style="1986" customWidth="1"/>
    <col min="6917" max="6917" width="12.85546875" style="1986" customWidth="1"/>
    <col min="6918" max="6918" width="15.5703125" style="1986" customWidth="1"/>
    <col min="6919" max="6919" width="15.85546875" style="1986" customWidth="1"/>
    <col min="6920" max="6920" width="6.42578125" style="1986" customWidth="1"/>
    <col min="6921" max="6922" width="9.140625" style="1986"/>
    <col min="6923" max="6924" width="14.7109375" style="1986" bestFit="1" customWidth="1"/>
    <col min="6925" max="7168" width="9.140625" style="1986"/>
    <col min="7169" max="7169" width="5.5703125" style="1986" customWidth="1"/>
    <col min="7170" max="7170" width="6.7109375" style="1986" customWidth="1"/>
    <col min="7171" max="7171" width="8.85546875" style="1986" customWidth="1"/>
    <col min="7172" max="7172" width="47.85546875" style="1986" customWidth="1"/>
    <col min="7173" max="7173" width="12.85546875" style="1986" customWidth="1"/>
    <col min="7174" max="7174" width="15.5703125" style="1986" customWidth="1"/>
    <col min="7175" max="7175" width="15.85546875" style="1986" customWidth="1"/>
    <col min="7176" max="7176" width="6.42578125" style="1986" customWidth="1"/>
    <col min="7177" max="7178" width="9.140625" style="1986"/>
    <col min="7179" max="7180" width="14.7109375" style="1986" bestFit="1" customWidth="1"/>
    <col min="7181" max="7424" width="9.140625" style="1986"/>
    <col min="7425" max="7425" width="5.5703125" style="1986" customWidth="1"/>
    <col min="7426" max="7426" width="6.7109375" style="1986" customWidth="1"/>
    <col min="7427" max="7427" width="8.85546875" style="1986" customWidth="1"/>
    <col min="7428" max="7428" width="47.85546875" style="1986" customWidth="1"/>
    <col min="7429" max="7429" width="12.85546875" style="1986" customWidth="1"/>
    <col min="7430" max="7430" width="15.5703125" style="1986" customWidth="1"/>
    <col min="7431" max="7431" width="15.85546875" style="1986" customWidth="1"/>
    <col min="7432" max="7432" width="6.42578125" style="1986" customWidth="1"/>
    <col min="7433" max="7434" width="9.140625" style="1986"/>
    <col min="7435" max="7436" width="14.7109375" style="1986" bestFit="1" customWidth="1"/>
    <col min="7437" max="7680" width="9.140625" style="1986"/>
    <col min="7681" max="7681" width="5.5703125" style="1986" customWidth="1"/>
    <col min="7682" max="7682" width="6.7109375" style="1986" customWidth="1"/>
    <col min="7683" max="7683" width="8.85546875" style="1986" customWidth="1"/>
    <col min="7684" max="7684" width="47.85546875" style="1986" customWidth="1"/>
    <col min="7685" max="7685" width="12.85546875" style="1986" customWidth="1"/>
    <col min="7686" max="7686" width="15.5703125" style="1986" customWidth="1"/>
    <col min="7687" max="7687" width="15.85546875" style="1986" customWidth="1"/>
    <col min="7688" max="7688" width="6.42578125" style="1986" customWidth="1"/>
    <col min="7689" max="7690" width="9.140625" style="1986"/>
    <col min="7691" max="7692" width="14.7109375" style="1986" bestFit="1" customWidth="1"/>
    <col min="7693" max="7936" width="9.140625" style="1986"/>
    <col min="7937" max="7937" width="5.5703125" style="1986" customWidth="1"/>
    <col min="7938" max="7938" width="6.7109375" style="1986" customWidth="1"/>
    <col min="7939" max="7939" width="8.85546875" style="1986" customWidth="1"/>
    <col min="7940" max="7940" width="47.85546875" style="1986" customWidth="1"/>
    <col min="7941" max="7941" width="12.85546875" style="1986" customWidth="1"/>
    <col min="7942" max="7942" width="15.5703125" style="1986" customWidth="1"/>
    <col min="7943" max="7943" width="15.85546875" style="1986" customWidth="1"/>
    <col min="7944" max="7944" width="6.42578125" style="1986" customWidth="1"/>
    <col min="7945" max="7946" width="9.140625" style="1986"/>
    <col min="7947" max="7948" width="14.7109375" style="1986" bestFit="1" customWidth="1"/>
    <col min="7949" max="8192" width="9.140625" style="1986"/>
    <col min="8193" max="8193" width="5.5703125" style="1986" customWidth="1"/>
    <col min="8194" max="8194" width="6.7109375" style="1986" customWidth="1"/>
    <col min="8195" max="8195" width="8.85546875" style="1986" customWidth="1"/>
    <col min="8196" max="8196" width="47.85546875" style="1986" customWidth="1"/>
    <col min="8197" max="8197" width="12.85546875" style="1986" customWidth="1"/>
    <col min="8198" max="8198" width="15.5703125" style="1986" customWidth="1"/>
    <col min="8199" max="8199" width="15.85546875" style="1986" customWidth="1"/>
    <col min="8200" max="8200" width="6.42578125" style="1986" customWidth="1"/>
    <col min="8201" max="8202" width="9.140625" style="1986"/>
    <col min="8203" max="8204" width="14.7109375" style="1986" bestFit="1" customWidth="1"/>
    <col min="8205" max="8448" width="9.140625" style="1986"/>
    <col min="8449" max="8449" width="5.5703125" style="1986" customWidth="1"/>
    <col min="8450" max="8450" width="6.7109375" style="1986" customWidth="1"/>
    <col min="8451" max="8451" width="8.85546875" style="1986" customWidth="1"/>
    <col min="8452" max="8452" width="47.85546875" style="1986" customWidth="1"/>
    <col min="8453" max="8453" width="12.85546875" style="1986" customWidth="1"/>
    <col min="8454" max="8454" width="15.5703125" style="1986" customWidth="1"/>
    <col min="8455" max="8455" width="15.85546875" style="1986" customWidth="1"/>
    <col min="8456" max="8456" width="6.42578125" style="1986" customWidth="1"/>
    <col min="8457" max="8458" width="9.140625" style="1986"/>
    <col min="8459" max="8460" width="14.7109375" style="1986" bestFit="1" customWidth="1"/>
    <col min="8461" max="8704" width="9.140625" style="1986"/>
    <col min="8705" max="8705" width="5.5703125" style="1986" customWidth="1"/>
    <col min="8706" max="8706" width="6.7109375" style="1986" customWidth="1"/>
    <col min="8707" max="8707" width="8.85546875" style="1986" customWidth="1"/>
    <col min="8708" max="8708" width="47.85546875" style="1986" customWidth="1"/>
    <col min="8709" max="8709" width="12.85546875" style="1986" customWidth="1"/>
    <col min="8710" max="8710" width="15.5703125" style="1986" customWidth="1"/>
    <col min="8711" max="8711" width="15.85546875" style="1986" customWidth="1"/>
    <col min="8712" max="8712" width="6.42578125" style="1986" customWidth="1"/>
    <col min="8713" max="8714" width="9.140625" style="1986"/>
    <col min="8715" max="8716" width="14.7109375" style="1986" bestFit="1" customWidth="1"/>
    <col min="8717" max="8960" width="9.140625" style="1986"/>
    <col min="8961" max="8961" width="5.5703125" style="1986" customWidth="1"/>
    <col min="8962" max="8962" width="6.7109375" style="1986" customWidth="1"/>
    <col min="8963" max="8963" width="8.85546875" style="1986" customWidth="1"/>
    <col min="8964" max="8964" width="47.85546875" style="1986" customWidth="1"/>
    <col min="8965" max="8965" width="12.85546875" style="1986" customWidth="1"/>
    <col min="8966" max="8966" width="15.5703125" style="1986" customWidth="1"/>
    <col min="8967" max="8967" width="15.85546875" style="1986" customWidth="1"/>
    <col min="8968" max="8968" width="6.42578125" style="1986" customWidth="1"/>
    <col min="8969" max="8970" width="9.140625" style="1986"/>
    <col min="8971" max="8972" width="14.7109375" style="1986" bestFit="1" customWidth="1"/>
    <col min="8973" max="9216" width="9.140625" style="1986"/>
    <col min="9217" max="9217" width="5.5703125" style="1986" customWidth="1"/>
    <col min="9218" max="9218" width="6.7109375" style="1986" customWidth="1"/>
    <col min="9219" max="9219" width="8.85546875" style="1986" customWidth="1"/>
    <col min="9220" max="9220" width="47.85546875" style="1986" customWidth="1"/>
    <col min="9221" max="9221" width="12.85546875" style="1986" customWidth="1"/>
    <col min="9222" max="9222" width="15.5703125" style="1986" customWidth="1"/>
    <col min="9223" max="9223" width="15.85546875" style="1986" customWidth="1"/>
    <col min="9224" max="9224" width="6.42578125" style="1986" customWidth="1"/>
    <col min="9225" max="9226" width="9.140625" style="1986"/>
    <col min="9227" max="9228" width="14.7109375" style="1986" bestFit="1" customWidth="1"/>
    <col min="9229" max="9472" width="9.140625" style="1986"/>
    <col min="9473" max="9473" width="5.5703125" style="1986" customWidth="1"/>
    <col min="9474" max="9474" width="6.7109375" style="1986" customWidth="1"/>
    <col min="9475" max="9475" width="8.85546875" style="1986" customWidth="1"/>
    <col min="9476" max="9476" width="47.85546875" style="1986" customWidth="1"/>
    <col min="9477" max="9477" width="12.85546875" style="1986" customWidth="1"/>
    <col min="9478" max="9478" width="15.5703125" style="1986" customWidth="1"/>
    <col min="9479" max="9479" width="15.85546875" style="1986" customWidth="1"/>
    <col min="9480" max="9480" width="6.42578125" style="1986" customWidth="1"/>
    <col min="9481" max="9482" width="9.140625" style="1986"/>
    <col min="9483" max="9484" width="14.7109375" style="1986" bestFit="1" customWidth="1"/>
    <col min="9485" max="9728" width="9.140625" style="1986"/>
    <col min="9729" max="9729" width="5.5703125" style="1986" customWidth="1"/>
    <col min="9730" max="9730" width="6.7109375" style="1986" customWidth="1"/>
    <col min="9731" max="9731" width="8.85546875" style="1986" customWidth="1"/>
    <col min="9732" max="9732" width="47.85546875" style="1986" customWidth="1"/>
    <col min="9733" max="9733" width="12.85546875" style="1986" customWidth="1"/>
    <col min="9734" max="9734" width="15.5703125" style="1986" customWidth="1"/>
    <col min="9735" max="9735" width="15.85546875" style="1986" customWidth="1"/>
    <col min="9736" max="9736" width="6.42578125" style="1986" customWidth="1"/>
    <col min="9737" max="9738" width="9.140625" style="1986"/>
    <col min="9739" max="9740" width="14.7109375" style="1986" bestFit="1" customWidth="1"/>
    <col min="9741" max="9984" width="9.140625" style="1986"/>
    <col min="9985" max="9985" width="5.5703125" style="1986" customWidth="1"/>
    <col min="9986" max="9986" width="6.7109375" style="1986" customWidth="1"/>
    <col min="9987" max="9987" width="8.85546875" style="1986" customWidth="1"/>
    <col min="9988" max="9988" width="47.85546875" style="1986" customWidth="1"/>
    <col min="9989" max="9989" width="12.85546875" style="1986" customWidth="1"/>
    <col min="9990" max="9990" width="15.5703125" style="1986" customWidth="1"/>
    <col min="9991" max="9991" width="15.85546875" style="1986" customWidth="1"/>
    <col min="9992" max="9992" width="6.42578125" style="1986" customWidth="1"/>
    <col min="9993" max="9994" width="9.140625" style="1986"/>
    <col min="9995" max="9996" width="14.7109375" style="1986" bestFit="1" customWidth="1"/>
    <col min="9997" max="10240" width="9.140625" style="1986"/>
    <col min="10241" max="10241" width="5.5703125" style="1986" customWidth="1"/>
    <col min="10242" max="10242" width="6.7109375" style="1986" customWidth="1"/>
    <col min="10243" max="10243" width="8.85546875" style="1986" customWidth="1"/>
    <col min="10244" max="10244" width="47.85546875" style="1986" customWidth="1"/>
    <col min="10245" max="10245" width="12.85546875" style="1986" customWidth="1"/>
    <col min="10246" max="10246" width="15.5703125" style="1986" customWidth="1"/>
    <col min="10247" max="10247" width="15.85546875" style="1986" customWidth="1"/>
    <col min="10248" max="10248" width="6.42578125" style="1986" customWidth="1"/>
    <col min="10249" max="10250" width="9.140625" style="1986"/>
    <col min="10251" max="10252" width="14.7109375" style="1986" bestFit="1" customWidth="1"/>
    <col min="10253" max="10496" width="9.140625" style="1986"/>
    <col min="10497" max="10497" width="5.5703125" style="1986" customWidth="1"/>
    <col min="10498" max="10498" width="6.7109375" style="1986" customWidth="1"/>
    <col min="10499" max="10499" width="8.85546875" style="1986" customWidth="1"/>
    <col min="10500" max="10500" width="47.85546875" style="1986" customWidth="1"/>
    <col min="10501" max="10501" width="12.85546875" style="1986" customWidth="1"/>
    <col min="10502" max="10502" width="15.5703125" style="1986" customWidth="1"/>
    <col min="10503" max="10503" width="15.85546875" style="1986" customWidth="1"/>
    <col min="10504" max="10504" width="6.42578125" style="1986" customWidth="1"/>
    <col min="10505" max="10506" width="9.140625" style="1986"/>
    <col min="10507" max="10508" width="14.7109375" style="1986" bestFit="1" customWidth="1"/>
    <col min="10509" max="10752" width="9.140625" style="1986"/>
    <col min="10753" max="10753" width="5.5703125" style="1986" customWidth="1"/>
    <col min="10754" max="10754" width="6.7109375" style="1986" customWidth="1"/>
    <col min="10755" max="10755" width="8.85546875" style="1986" customWidth="1"/>
    <col min="10756" max="10756" width="47.85546875" style="1986" customWidth="1"/>
    <col min="10757" max="10757" width="12.85546875" style="1986" customWidth="1"/>
    <col min="10758" max="10758" width="15.5703125" style="1986" customWidth="1"/>
    <col min="10759" max="10759" width="15.85546875" style="1986" customWidth="1"/>
    <col min="10760" max="10760" width="6.42578125" style="1986" customWidth="1"/>
    <col min="10761" max="10762" width="9.140625" style="1986"/>
    <col min="10763" max="10764" width="14.7109375" style="1986" bestFit="1" customWidth="1"/>
    <col min="10765" max="11008" width="9.140625" style="1986"/>
    <col min="11009" max="11009" width="5.5703125" style="1986" customWidth="1"/>
    <col min="11010" max="11010" width="6.7109375" style="1986" customWidth="1"/>
    <col min="11011" max="11011" width="8.85546875" style="1986" customWidth="1"/>
    <col min="11012" max="11012" width="47.85546875" style="1986" customWidth="1"/>
    <col min="11013" max="11013" width="12.85546875" style="1986" customWidth="1"/>
    <col min="11014" max="11014" width="15.5703125" style="1986" customWidth="1"/>
    <col min="11015" max="11015" width="15.85546875" style="1986" customWidth="1"/>
    <col min="11016" max="11016" width="6.42578125" style="1986" customWidth="1"/>
    <col min="11017" max="11018" width="9.140625" style="1986"/>
    <col min="11019" max="11020" width="14.7109375" style="1986" bestFit="1" customWidth="1"/>
    <col min="11021" max="11264" width="9.140625" style="1986"/>
    <col min="11265" max="11265" width="5.5703125" style="1986" customWidth="1"/>
    <col min="11266" max="11266" width="6.7109375" style="1986" customWidth="1"/>
    <col min="11267" max="11267" width="8.85546875" style="1986" customWidth="1"/>
    <col min="11268" max="11268" width="47.85546875" style="1986" customWidth="1"/>
    <col min="11269" max="11269" width="12.85546875" style="1986" customWidth="1"/>
    <col min="11270" max="11270" width="15.5703125" style="1986" customWidth="1"/>
    <col min="11271" max="11271" width="15.85546875" style="1986" customWidth="1"/>
    <col min="11272" max="11272" width="6.42578125" style="1986" customWidth="1"/>
    <col min="11273" max="11274" width="9.140625" style="1986"/>
    <col min="11275" max="11276" width="14.7109375" style="1986" bestFit="1" customWidth="1"/>
    <col min="11277" max="11520" width="9.140625" style="1986"/>
    <col min="11521" max="11521" width="5.5703125" style="1986" customWidth="1"/>
    <col min="11522" max="11522" width="6.7109375" style="1986" customWidth="1"/>
    <col min="11523" max="11523" width="8.85546875" style="1986" customWidth="1"/>
    <col min="11524" max="11524" width="47.85546875" style="1986" customWidth="1"/>
    <col min="11525" max="11525" width="12.85546875" style="1986" customWidth="1"/>
    <col min="11526" max="11526" width="15.5703125" style="1986" customWidth="1"/>
    <col min="11527" max="11527" width="15.85546875" style="1986" customWidth="1"/>
    <col min="11528" max="11528" width="6.42578125" style="1986" customWidth="1"/>
    <col min="11529" max="11530" width="9.140625" style="1986"/>
    <col min="11531" max="11532" width="14.7109375" style="1986" bestFit="1" customWidth="1"/>
    <col min="11533" max="11776" width="9.140625" style="1986"/>
    <col min="11777" max="11777" width="5.5703125" style="1986" customWidth="1"/>
    <col min="11778" max="11778" width="6.7109375" style="1986" customWidth="1"/>
    <col min="11779" max="11779" width="8.85546875" style="1986" customWidth="1"/>
    <col min="11780" max="11780" width="47.85546875" style="1986" customWidth="1"/>
    <col min="11781" max="11781" width="12.85546875" style="1986" customWidth="1"/>
    <col min="11782" max="11782" width="15.5703125" style="1986" customWidth="1"/>
    <col min="11783" max="11783" width="15.85546875" style="1986" customWidth="1"/>
    <col min="11784" max="11784" width="6.42578125" style="1986" customWidth="1"/>
    <col min="11785" max="11786" width="9.140625" style="1986"/>
    <col min="11787" max="11788" width="14.7109375" style="1986" bestFit="1" customWidth="1"/>
    <col min="11789" max="12032" width="9.140625" style="1986"/>
    <col min="12033" max="12033" width="5.5703125" style="1986" customWidth="1"/>
    <col min="12034" max="12034" width="6.7109375" style="1986" customWidth="1"/>
    <col min="12035" max="12035" width="8.85546875" style="1986" customWidth="1"/>
    <col min="12036" max="12036" width="47.85546875" style="1986" customWidth="1"/>
    <col min="12037" max="12037" width="12.85546875" style="1986" customWidth="1"/>
    <col min="12038" max="12038" width="15.5703125" style="1986" customWidth="1"/>
    <col min="12039" max="12039" width="15.85546875" style="1986" customWidth="1"/>
    <col min="12040" max="12040" width="6.42578125" style="1986" customWidth="1"/>
    <col min="12041" max="12042" width="9.140625" style="1986"/>
    <col min="12043" max="12044" width="14.7109375" style="1986" bestFit="1" customWidth="1"/>
    <col min="12045" max="12288" width="9.140625" style="1986"/>
    <col min="12289" max="12289" width="5.5703125" style="1986" customWidth="1"/>
    <col min="12290" max="12290" width="6.7109375" style="1986" customWidth="1"/>
    <col min="12291" max="12291" width="8.85546875" style="1986" customWidth="1"/>
    <col min="12292" max="12292" width="47.85546875" style="1986" customWidth="1"/>
    <col min="12293" max="12293" width="12.85546875" style="1986" customWidth="1"/>
    <col min="12294" max="12294" width="15.5703125" style="1986" customWidth="1"/>
    <col min="12295" max="12295" width="15.85546875" style="1986" customWidth="1"/>
    <col min="12296" max="12296" width="6.42578125" style="1986" customWidth="1"/>
    <col min="12297" max="12298" width="9.140625" style="1986"/>
    <col min="12299" max="12300" width="14.7109375" style="1986" bestFit="1" customWidth="1"/>
    <col min="12301" max="12544" width="9.140625" style="1986"/>
    <col min="12545" max="12545" width="5.5703125" style="1986" customWidth="1"/>
    <col min="12546" max="12546" width="6.7109375" style="1986" customWidth="1"/>
    <col min="12547" max="12547" width="8.85546875" style="1986" customWidth="1"/>
    <col min="12548" max="12548" width="47.85546875" style="1986" customWidth="1"/>
    <col min="12549" max="12549" width="12.85546875" style="1986" customWidth="1"/>
    <col min="12550" max="12550" width="15.5703125" style="1986" customWidth="1"/>
    <col min="12551" max="12551" width="15.85546875" style="1986" customWidth="1"/>
    <col min="12552" max="12552" width="6.42578125" style="1986" customWidth="1"/>
    <col min="12553" max="12554" width="9.140625" style="1986"/>
    <col min="12555" max="12556" width="14.7109375" style="1986" bestFit="1" customWidth="1"/>
    <col min="12557" max="12800" width="9.140625" style="1986"/>
    <col min="12801" max="12801" width="5.5703125" style="1986" customWidth="1"/>
    <col min="12802" max="12802" width="6.7109375" style="1986" customWidth="1"/>
    <col min="12803" max="12803" width="8.85546875" style="1986" customWidth="1"/>
    <col min="12804" max="12804" width="47.85546875" style="1986" customWidth="1"/>
    <col min="12805" max="12805" width="12.85546875" style="1986" customWidth="1"/>
    <col min="12806" max="12806" width="15.5703125" style="1986" customWidth="1"/>
    <col min="12807" max="12807" width="15.85546875" style="1986" customWidth="1"/>
    <col min="12808" max="12808" width="6.42578125" style="1986" customWidth="1"/>
    <col min="12809" max="12810" width="9.140625" style="1986"/>
    <col min="12811" max="12812" width="14.7109375" style="1986" bestFit="1" customWidth="1"/>
    <col min="12813" max="13056" width="9.140625" style="1986"/>
    <col min="13057" max="13057" width="5.5703125" style="1986" customWidth="1"/>
    <col min="13058" max="13058" width="6.7109375" style="1986" customWidth="1"/>
    <col min="13059" max="13059" width="8.85546875" style="1986" customWidth="1"/>
    <col min="13060" max="13060" width="47.85546875" style="1986" customWidth="1"/>
    <col min="13061" max="13061" width="12.85546875" style="1986" customWidth="1"/>
    <col min="13062" max="13062" width="15.5703125" style="1986" customWidth="1"/>
    <col min="13063" max="13063" width="15.85546875" style="1986" customWidth="1"/>
    <col min="13064" max="13064" width="6.42578125" style="1986" customWidth="1"/>
    <col min="13065" max="13066" width="9.140625" style="1986"/>
    <col min="13067" max="13068" width="14.7109375" style="1986" bestFit="1" customWidth="1"/>
    <col min="13069" max="13312" width="9.140625" style="1986"/>
    <col min="13313" max="13313" width="5.5703125" style="1986" customWidth="1"/>
    <col min="13314" max="13314" width="6.7109375" style="1986" customWidth="1"/>
    <col min="13315" max="13315" width="8.85546875" style="1986" customWidth="1"/>
    <col min="13316" max="13316" width="47.85546875" style="1986" customWidth="1"/>
    <col min="13317" max="13317" width="12.85546875" style="1986" customWidth="1"/>
    <col min="13318" max="13318" width="15.5703125" style="1986" customWidth="1"/>
    <col min="13319" max="13319" width="15.85546875" style="1986" customWidth="1"/>
    <col min="13320" max="13320" width="6.42578125" style="1986" customWidth="1"/>
    <col min="13321" max="13322" width="9.140625" style="1986"/>
    <col min="13323" max="13324" width="14.7109375" style="1986" bestFit="1" customWidth="1"/>
    <col min="13325" max="13568" width="9.140625" style="1986"/>
    <col min="13569" max="13569" width="5.5703125" style="1986" customWidth="1"/>
    <col min="13570" max="13570" width="6.7109375" style="1986" customWidth="1"/>
    <col min="13571" max="13571" width="8.85546875" style="1986" customWidth="1"/>
    <col min="13572" max="13572" width="47.85546875" style="1986" customWidth="1"/>
    <col min="13573" max="13573" width="12.85546875" style="1986" customWidth="1"/>
    <col min="13574" max="13574" width="15.5703125" style="1986" customWidth="1"/>
    <col min="13575" max="13575" width="15.85546875" style="1986" customWidth="1"/>
    <col min="13576" max="13576" width="6.42578125" style="1986" customWidth="1"/>
    <col min="13577" max="13578" width="9.140625" style="1986"/>
    <col min="13579" max="13580" width="14.7109375" style="1986" bestFit="1" customWidth="1"/>
    <col min="13581" max="13824" width="9.140625" style="1986"/>
    <col min="13825" max="13825" width="5.5703125" style="1986" customWidth="1"/>
    <col min="13826" max="13826" width="6.7109375" style="1986" customWidth="1"/>
    <col min="13827" max="13827" width="8.85546875" style="1986" customWidth="1"/>
    <col min="13828" max="13828" width="47.85546875" style="1986" customWidth="1"/>
    <col min="13829" max="13829" width="12.85546875" style="1986" customWidth="1"/>
    <col min="13830" max="13830" width="15.5703125" style="1986" customWidth="1"/>
    <col min="13831" max="13831" width="15.85546875" style="1986" customWidth="1"/>
    <col min="13832" max="13832" width="6.42578125" style="1986" customWidth="1"/>
    <col min="13833" max="13834" width="9.140625" style="1986"/>
    <col min="13835" max="13836" width="14.7109375" style="1986" bestFit="1" customWidth="1"/>
    <col min="13837" max="14080" width="9.140625" style="1986"/>
    <col min="14081" max="14081" width="5.5703125" style="1986" customWidth="1"/>
    <col min="14082" max="14082" width="6.7109375" style="1986" customWidth="1"/>
    <col min="14083" max="14083" width="8.85546875" style="1986" customWidth="1"/>
    <col min="14084" max="14084" width="47.85546875" style="1986" customWidth="1"/>
    <col min="14085" max="14085" width="12.85546875" style="1986" customWidth="1"/>
    <col min="14086" max="14086" width="15.5703125" style="1986" customWidth="1"/>
    <col min="14087" max="14087" width="15.85546875" style="1986" customWidth="1"/>
    <col min="14088" max="14088" width="6.42578125" style="1986" customWidth="1"/>
    <col min="14089" max="14090" width="9.140625" style="1986"/>
    <col min="14091" max="14092" width="14.7109375" style="1986" bestFit="1" customWidth="1"/>
    <col min="14093" max="14336" width="9.140625" style="1986"/>
    <col min="14337" max="14337" width="5.5703125" style="1986" customWidth="1"/>
    <col min="14338" max="14338" width="6.7109375" style="1986" customWidth="1"/>
    <col min="14339" max="14339" width="8.85546875" style="1986" customWidth="1"/>
    <col min="14340" max="14340" width="47.85546875" style="1986" customWidth="1"/>
    <col min="14341" max="14341" width="12.85546875" style="1986" customWidth="1"/>
    <col min="14342" max="14342" width="15.5703125" style="1986" customWidth="1"/>
    <col min="14343" max="14343" width="15.85546875" style="1986" customWidth="1"/>
    <col min="14344" max="14344" width="6.42578125" style="1986" customWidth="1"/>
    <col min="14345" max="14346" width="9.140625" style="1986"/>
    <col min="14347" max="14348" width="14.7109375" style="1986" bestFit="1" customWidth="1"/>
    <col min="14349" max="14592" width="9.140625" style="1986"/>
    <col min="14593" max="14593" width="5.5703125" style="1986" customWidth="1"/>
    <col min="14594" max="14594" width="6.7109375" style="1986" customWidth="1"/>
    <col min="14595" max="14595" width="8.85546875" style="1986" customWidth="1"/>
    <col min="14596" max="14596" width="47.85546875" style="1986" customWidth="1"/>
    <col min="14597" max="14597" width="12.85546875" style="1986" customWidth="1"/>
    <col min="14598" max="14598" width="15.5703125" style="1986" customWidth="1"/>
    <col min="14599" max="14599" width="15.85546875" style="1986" customWidth="1"/>
    <col min="14600" max="14600" width="6.42578125" style="1986" customWidth="1"/>
    <col min="14601" max="14602" width="9.140625" style="1986"/>
    <col min="14603" max="14604" width="14.7109375" style="1986" bestFit="1" customWidth="1"/>
    <col min="14605" max="14848" width="9.140625" style="1986"/>
    <col min="14849" max="14849" width="5.5703125" style="1986" customWidth="1"/>
    <col min="14850" max="14850" width="6.7109375" style="1986" customWidth="1"/>
    <col min="14851" max="14851" width="8.85546875" style="1986" customWidth="1"/>
    <col min="14852" max="14852" width="47.85546875" style="1986" customWidth="1"/>
    <col min="14853" max="14853" width="12.85546875" style="1986" customWidth="1"/>
    <col min="14854" max="14854" width="15.5703125" style="1986" customWidth="1"/>
    <col min="14855" max="14855" width="15.85546875" style="1986" customWidth="1"/>
    <col min="14856" max="14856" width="6.42578125" style="1986" customWidth="1"/>
    <col min="14857" max="14858" width="9.140625" style="1986"/>
    <col min="14859" max="14860" width="14.7109375" style="1986" bestFit="1" customWidth="1"/>
    <col min="14861" max="15104" width="9.140625" style="1986"/>
    <col min="15105" max="15105" width="5.5703125" style="1986" customWidth="1"/>
    <col min="15106" max="15106" width="6.7109375" style="1986" customWidth="1"/>
    <col min="15107" max="15107" width="8.85546875" style="1986" customWidth="1"/>
    <col min="15108" max="15108" width="47.85546875" style="1986" customWidth="1"/>
    <col min="15109" max="15109" width="12.85546875" style="1986" customWidth="1"/>
    <col min="15110" max="15110" width="15.5703125" style="1986" customWidth="1"/>
    <col min="15111" max="15111" width="15.85546875" style="1986" customWidth="1"/>
    <col min="15112" max="15112" width="6.42578125" style="1986" customWidth="1"/>
    <col min="15113" max="15114" width="9.140625" style="1986"/>
    <col min="15115" max="15116" width="14.7109375" style="1986" bestFit="1" customWidth="1"/>
    <col min="15117" max="15360" width="9.140625" style="1986"/>
    <col min="15361" max="15361" width="5.5703125" style="1986" customWidth="1"/>
    <col min="15362" max="15362" width="6.7109375" style="1986" customWidth="1"/>
    <col min="15363" max="15363" width="8.85546875" style="1986" customWidth="1"/>
    <col min="15364" max="15364" width="47.85546875" style="1986" customWidth="1"/>
    <col min="15365" max="15365" width="12.85546875" style="1986" customWidth="1"/>
    <col min="15366" max="15366" width="15.5703125" style="1986" customWidth="1"/>
    <col min="15367" max="15367" width="15.85546875" style="1986" customWidth="1"/>
    <col min="15368" max="15368" width="6.42578125" style="1986" customWidth="1"/>
    <col min="15369" max="15370" width="9.140625" style="1986"/>
    <col min="15371" max="15372" width="14.7109375" style="1986" bestFit="1" customWidth="1"/>
    <col min="15373" max="15616" width="9.140625" style="1986"/>
    <col min="15617" max="15617" width="5.5703125" style="1986" customWidth="1"/>
    <col min="15618" max="15618" width="6.7109375" style="1986" customWidth="1"/>
    <col min="15619" max="15619" width="8.85546875" style="1986" customWidth="1"/>
    <col min="15620" max="15620" width="47.85546875" style="1986" customWidth="1"/>
    <col min="15621" max="15621" width="12.85546875" style="1986" customWidth="1"/>
    <col min="15622" max="15622" width="15.5703125" style="1986" customWidth="1"/>
    <col min="15623" max="15623" width="15.85546875" style="1986" customWidth="1"/>
    <col min="15624" max="15624" width="6.42578125" style="1986" customWidth="1"/>
    <col min="15625" max="15626" width="9.140625" style="1986"/>
    <col min="15627" max="15628" width="14.7109375" style="1986" bestFit="1" customWidth="1"/>
    <col min="15629" max="15872" width="9.140625" style="1986"/>
    <col min="15873" max="15873" width="5.5703125" style="1986" customWidth="1"/>
    <col min="15874" max="15874" width="6.7109375" style="1986" customWidth="1"/>
    <col min="15875" max="15875" width="8.85546875" style="1986" customWidth="1"/>
    <col min="15876" max="15876" width="47.85546875" style="1986" customWidth="1"/>
    <col min="15877" max="15877" width="12.85546875" style="1986" customWidth="1"/>
    <col min="15878" max="15878" width="15.5703125" style="1986" customWidth="1"/>
    <col min="15879" max="15879" width="15.85546875" style="1986" customWidth="1"/>
    <col min="15880" max="15880" width="6.42578125" style="1986" customWidth="1"/>
    <col min="15881" max="15882" width="9.140625" style="1986"/>
    <col min="15883" max="15884" width="14.7109375" style="1986" bestFit="1" customWidth="1"/>
    <col min="15885" max="16128" width="9.140625" style="1986"/>
    <col min="16129" max="16129" width="5.5703125" style="1986" customWidth="1"/>
    <col min="16130" max="16130" width="6.7109375" style="1986" customWidth="1"/>
    <col min="16131" max="16131" width="8.85546875" style="1986" customWidth="1"/>
    <col min="16132" max="16132" width="47.85546875" style="1986" customWidth="1"/>
    <col min="16133" max="16133" width="12.85546875" style="1986" customWidth="1"/>
    <col min="16134" max="16134" width="15.5703125" style="1986" customWidth="1"/>
    <col min="16135" max="16135" width="15.85546875" style="1986" customWidth="1"/>
    <col min="16136" max="16136" width="6.42578125" style="1986" customWidth="1"/>
    <col min="16137" max="16138" width="9.140625" style="1986"/>
    <col min="16139" max="16140" width="14.7109375" style="1986" bestFit="1" customWidth="1"/>
    <col min="16141" max="16384" width="9.140625" style="1986"/>
  </cols>
  <sheetData>
    <row r="1" spans="1:9" ht="18.75" thickBot="1" x14ac:dyDescent="0.3">
      <c r="A1" s="1980" t="s">
        <v>1768</v>
      </c>
      <c r="B1" s="1981"/>
      <c r="C1" s="1982"/>
      <c r="D1" s="1983"/>
      <c r="E1" s="1984"/>
      <c r="F1" s="1983"/>
      <c r="G1" s="1985"/>
      <c r="H1" s="1980"/>
    </row>
    <row r="2" spans="1:9" ht="18" x14ac:dyDescent="0.25">
      <c r="A2" s="1987"/>
      <c r="B2" s="1988"/>
      <c r="C2" s="1988"/>
      <c r="D2" s="1988"/>
      <c r="E2" s="1988"/>
      <c r="F2" s="1988"/>
      <c r="G2" s="1988"/>
      <c r="H2" s="1989" t="s">
        <v>1769</v>
      </c>
    </row>
    <row r="3" spans="1:9" ht="18" x14ac:dyDescent="0.25">
      <c r="A3" s="1990" t="s">
        <v>367</v>
      </c>
      <c r="B3" s="1988"/>
      <c r="C3" s="1991" t="s">
        <v>216</v>
      </c>
      <c r="D3" s="1988"/>
      <c r="E3" s="1988"/>
      <c r="F3" s="1988"/>
      <c r="G3" s="1988"/>
      <c r="H3" s="1989"/>
    </row>
    <row r="4" spans="1:9" ht="18" x14ac:dyDescent="0.25">
      <c r="A4" s="1987"/>
      <c r="B4" s="1988"/>
      <c r="C4" s="2173" t="s">
        <v>464</v>
      </c>
      <c r="D4" s="1988"/>
      <c r="E4" s="1988"/>
      <c r="F4" s="1988"/>
      <c r="G4" s="1988"/>
      <c r="H4" s="1989"/>
    </row>
    <row r="5" spans="1:9" ht="18" x14ac:dyDescent="0.25">
      <c r="A5" s="1992" t="s">
        <v>1770</v>
      </c>
      <c r="B5" s="1988"/>
      <c r="C5" s="1988"/>
      <c r="D5" s="1988"/>
      <c r="E5" s="1988"/>
      <c r="F5" s="1988"/>
      <c r="G5" s="1988"/>
      <c r="H5" s="1989"/>
    </row>
    <row r="6" spans="1:9" x14ac:dyDescent="0.2">
      <c r="A6" s="1993"/>
      <c r="B6" s="1993"/>
      <c r="C6" s="1993"/>
      <c r="E6" s="1994"/>
      <c r="F6" s="1994"/>
      <c r="G6" s="1994"/>
    </row>
    <row r="7" spans="1:9" x14ac:dyDescent="0.2">
      <c r="A7" s="1993"/>
      <c r="B7" s="1993"/>
      <c r="C7" s="1993"/>
      <c r="E7" s="1994"/>
      <c r="F7" s="1994"/>
      <c r="G7" s="1994"/>
    </row>
    <row r="8" spans="1:9" s="2076" customFormat="1" ht="15" x14ac:dyDescent="0.25">
      <c r="A8" s="2059"/>
      <c r="B8" s="2059"/>
      <c r="C8" s="2059"/>
      <c r="D8" s="2059"/>
      <c r="E8" s="2060"/>
      <c r="F8" s="2060"/>
      <c r="G8" s="2060"/>
      <c r="H8" s="2061"/>
      <c r="I8" s="2075"/>
    </row>
    <row r="9" spans="1:9" ht="12" customHeight="1" x14ac:dyDescent="0.25">
      <c r="A9" s="2760" t="s">
        <v>1632</v>
      </c>
      <c r="B9" s="2761"/>
      <c r="C9" s="2761"/>
      <c r="D9" s="2761"/>
      <c r="E9" s="2761"/>
      <c r="F9" s="2761"/>
      <c r="G9" s="2761"/>
      <c r="H9" s="2761"/>
    </row>
    <row r="10" spans="1:9" ht="15.75" thickBot="1" x14ac:dyDescent="0.3">
      <c r="A10" s="1979" t="s">
        <v>1551</v>
      </c>
      <c r="B10" s="1993"/>
      <c r="C10" s="1993"/>
      <c r="E10" s="1994"/>
      <c r="F10" s="1994"/>
      <c r="G10" s="1994"/>
      <c r="H10" s="1995" t="s">
        <v>161</v>
      </c>
    </row>
    <row r="11" spans="1:9" ht="25.5" thickTop="1" thickBot="1" x14ac:dyDescent="0.25">
      <c r="A11" s="1809" t="s">
        <v>162</v>
      </c>
      <c r="B11" s="1810" t="s">
        <v>761</v>
      </c>
      <c r="C11" s="1810" t="s">
        <v>377</v>
      </c>
      <c r="D11" s="1811" t="s">
        <v>164</v>
      </c>
      <c r="E11" s="1833" t="s">
        <v>632</v>
      </c>
      <c r="F11" s="1833" t="s">
        <v>633</v>
      </c>
      <c r="G11" s="1834" t="s">
        <v>882</v>
      </c>
      <c r="H11" s="1835" t="s">
        <v>883</v>
      </c>
    </row>
    <row r="12" spans="1:9" ht="14.25" thickTop="1" thickBot="1" x14ac:dyDescent="0.25">
      <c r="A12" s="1643">
        <v>1</v>
      </c>
      <c r="B12" s="1642">
        <v>2</v>
      </c>
      <c r="C12" s="1642">
        <v>3</v>
      </c>
      <c r="D12" s="1642">
        <v>4</v>
      </c>
      <c r="E12" s="1641">
        <v>5</v>
      </c>
      <c r="F12" s="1641">
        <v>6</v>
      </c>
      <c r="G12" s="1877">
        <v>7</v>
      </c>
      <c r="H12" s="1901" t="s">
        <v>61</v>
      </c>
    </row>
    <row r="13" spans="1:9" ht="15.75" hidden="1" thickTop="1" x14ac:dyDescent="0.2">
      <c r="A13" s="2007">
        <v>3636</v>
      </c>
      <c r="B13" s="2008">
        <v>5011</v>
      </c>
      <c r="C13" s="2017">
        <v>0</v>
      </c>
      <c r="D13" s="2009" t="s">
        <v>206</v>
      </c>
      <c r="E13" s="2010">
        <v>0</v>
      </c>
      <c r="F13" s="2010">
        <v>0</v>
      </c>
      <c r="G13" s="2010">
        <v>0</v>
      </c>
      <c r="H13" s="2011" t="e">
        <f t="shared" ref="H13:H20" si="0">G13/F13*100</f>
        <v>#DIV/0!</v>
      </c>
    </row>
    <row r="14" spans="1:9" ht="15.75" hidden="1" thickTop="1" x14ac:dyDescent="0.2">
      <c r="A14" s="2012">
        <v>3636</v>
      </c>
      <c r="B14" s="2013">
        <v>5011</v>
      </c>
      <c r="C14" s="2013">
        <v>38500881</v>
      </c>
      <c r="D14" s="2014" t="s">
        <v>206</v>
      </c>
      <c r="E14" s="2015">
        <v>0</v>
      </c>
      <c r="F14" s="2015">
        <v>0</v>
      </c>
      <c r="G14" s="2015">
        <v>0</v>
      </c>
      <c r="H14" s="2016" t="e">
        <f t="shared" si="0"/>
        <v>#DIV/0!</v>
      </c>
    </row>
    <row r="15" spans="1:9" ht="30.75" thickTop="1" x14ac:dyDescent="0.2">
      <c r="A15" s="2012">
        <v>3121</v>
      </c>
      <c r="B15" s="2013">
        <v>5336</v>
      </c>
      <c r="C15" s="2017">
        <v>32133019</v>
      </c>
      <c r="D15" s="2014" t="s">
        <v>1263</v>
      </c>
      <c r="E15" s="2015">
        <v>0</v>
      </c>
      <c r="F15" s="2015">
        <f>16+194</f>
        <v>210</v>
      </c>
      <c r="G15" s="2015">
        <f>16+194</f>
        <v>210</v>
      </c>
      <c r="H15" s="2016">
        <f>G15/F15*100</f>
        <v>100</v>
      </c>
    </row>
    <row r="16" spans="1:9" ht="15" hidden="1" x14ac:dyDescent="0.2">
      <c r="A16" s="2012">
        <v>3636</v>
      </c>
      <c r="B16" s="2013">
        <v>5021</v>
      </c>
      <c r="C16" s="2013">
        <v>38500881</v>
      </c>
      <c r="D16" s="2014" t="s">
        <v>389</v>
      </c>
      <c r="E16" s="2015"/>
      <c r="F16" s="2015"/>
      <c r="G16" s="2015"/>
      <c r="H16" s="2016" t="e">
        <f t="shared" si="0"/>
        <v>#DIV/0!</v>
      </c>
    </row>
    <row r="17" spans="1:8" ht="30" hidden="1" x14ac:dyDescent="0.2">
      <c r="A17" s="2012">
        <v>3636</v>
      </c>
      <c r="B17" s="2013">
        <v>5031</v>
      </c>
      <c r="C17" s="2013">
        <v>38100880</v>
      </c>
      <c r="D17" s="2014" t="s">
        <v>1299</v>
      </c>
      <c r="E17" s="2015"/>
      <c r="F17" s="2015"/>
      <c r="G17" s="2015"/>
      <c r="H17" s="2016" t="e">
        <f t="shared" si="0"/>
        <v>#DIV/0!</v>
      </c>
    </row>
    <row r="18" spans="1:8" ht="30" hidden="1" x14ac:dyDescent="0.2">
      <c r="A18" s="2012">
        <v>3636</v>
      </c>
      <c r="B18" s="2013">
        <v>5031</v>
      </c>
      <c r="C18" s="2013">
        <v>38500881</v>
      </c>
      <c r="D18" s="2014" t="s">
        <v>1299</v>
      </c>
      <c r="E18" s="2015"/>
      <c r="F18" s="2015"/>
      <c r="G18" s="2015"/>
      <c r="H18" s="2016" t="e">
        <f t="shared" si="0"/>
        <v>#DIV/0!</v>
      </c>
    </row>
    <row r="19" spans="1:8" ht="30" hidden="1" x14ac:dyDescent="0.2">
      <c r="A19" s="2012">
        <v>3636</v>
      </c>
      <c r="B19" s="2013">
        <v>5032</v>
      </c>
      <c r="C19" s="2013">
        <v>38100880</v>
      </c>
      <c r="D19" s="2014" t="s">
        <v>1177</v>
      </c>
      <c r="E19" s="2015"/>
      <c r="F19" s="2015"/>
      <c r="G19" s="2015"/>
      <c r="H19" s="2016" t="e">
        <f t="shared" si="0"/>
        <v>#DIV/0!</v>
      </c>
    </row>
    <row r="20" spans="1:8" ht="30" hidden="1" x14ac:dyDescent="0.2">
      <c r="A20" s="2012">
        <v>3636</v>
      </c>
      <c r="B20" s="2013">
        <v>5032</v>
      </c>
      <c r="C20" s="2013">
        <v>38500881</v>
      </c>
      <c r="D20" s="2014" t="s">
        <v>1177</v>
      </c>
      <c r="E20" s="2015"/>
      <c r="F20" s="2015"/>
      <c r="G20" s="2015"/>
      <c r="H20" s="2016" t="e">
        <f t="shared" si="0"/>
        <v>#DIV/0!</v>
      </c>
    </row>
    <row r="21" spans="1:8" ht="15" hidden="1" x14ac:dyDescent="0.2">
      <c r="A21" s="2012">
        <v>3636</v>
      </c>
      <c r="B21" s="2013">
        <v>5139</v>
      </c>
      <c r="C21" s="2013">
        <v>38100880</v>
      </c>
      <c r="D21" s="2014" t="s">
        <v>270</v>
      </c>
      <c r="E21" s="2015"/>
      <c r="F21" s="2015"/>
      <c r="G21" s="2015"/>
      <c r="H21" s="2016">
        <v>0</v>
      </c>
    </row>
    <row r="22" spans="1:8" ht="15" hidden="1" x14ac:dyDescent="0.2">
      <c r="A22" s="2012">
        <v>3636</v>
      </c>
      <c r="B22" s="2013">
        <v>5139</v>
      </c>
      <c r="C22" s="2013">
        <v>38500881</v>
      </c>
      <c r="D22" s="2014" t="s">
        <v>270</v>
      </c>
      <c r="E22" s="2015"/>
      <c r="F22" s="2015"/>
      <c r="G22" s="2015"/>
      <c r="H22" s="2016" t="e">
        <f t="shared" ref="H22:H42" si="1">G22/F22*100</f>
        <v>#DIV/0!</v>
      </c>
    </row>
    <row r="23" spans="1:8" ht="15" hidden="1" x14ac:dyDescent="0.2">
      <c r="A23" s="2012">
        <v>3636</v>
      </c>
      <c r="B23" s="2013">
        <v>5162</v>
      </c>
      <c r="C23" s="2013">
        <v>38100880</v>
      </c>
      <c r="D23" s="2014" t="s">
        <v>864</v>
      </c>
      <c r="E23" s="2015"/>
      <c r="F23" s="2015"/>
      <c r="G23" s="2015"/>
      <c r="H23" s="2016" t="e">
        <f t="shared" si="1"/>
        <v>#DIV/0!</v>
      </c>
    </row>
    <row r="24" spans="1:8" ht="15" hidden="1" x14ac:dyDescent="0.2">
      <c r="A24" s="2012">
        <v>3636</v>
      </c>
      <c r="B24" s="2013">
        <v>5162</v>
      </c>
      <c r="C24" s="2013">
        <v>38500881</v>
      </c>
      <c r="D24" s="2014" t="s">
        <v>864</v>
      </c>
      <c r="E24" s="2015"/>
      <c r="F24" s="2015"/>
      <c r="G24" s="2015"/>
      <c r="H24" s="2016" t="e">
        <f t="shared" si="1"/>
        <v>#DIV/0!</v>
      </c>
    </row>
    <row r="25" spans="1:8" ht="15" hidden="1" x14ac:dyDescent="0.2">
      <c r="A25" s="2012">
        <v>3636</v>
      </c>
      <c r="B25" s="2013">
        <v>5164</v>
      </c>
      <c r="C25" s="2013">
        <v>38100880</v>
      </c>
      <c r="D25" s="2014" t="s">
        <v>170</v>
      </c>
      <c r="E25" s="2015"/>
      <c r="F25" s="2015"/>
      <c r="G25" s="2015"/>
      <c r="H25" s="2016" t="e">
        <f t="shared" si="1"/>
        <v>#DIV/0!</v>
      </c>
    </row>
    <row r="26" spans="1:8" ht="15" hidden="1" x14ac:dyDescent="0.2">
      <c r="A26" s="2012">
        <v>3636</v>
      </c>
      <c r="B26" s="2013">
        <v>5164</v>
      </c>
      <c r="C26" s="2013">
        <v>38500881</v>
      </c>
      <c r="D26" s="2014" t="s">
        <v>170</v>
      </c>
      <c r="E26" s="2015"/>
      <c r="F26" s="2015"/>
      <c r="G26" s="2015"/>
      <c r="H26" s="2016" t="e">
        <f t="shared" si="1"/>
        <v>#DIV/0!</v>
      </c>
    </row>
    <row r="27" spans="1:8" ht="30.75" thickBot="1" x14ac:dyDescent="0.25">
      <c r="A27" s="2012">
        <v>3121</v>
      </c>
      <c r="B27" s="2013">
        <v>5336</v>
      </c>
      <c r="C27" s="2017">
        <v>32533019</v>
      </c>
      <c r="D27" s="2014" t="s">
        <v>1263</v>
      </c>
      <c r="E27" s="2015">
        <v>0</v>
      </c>
      <c r="F27" s="2015">
        <f>90+1102</f>
        <v>1192</v>
      </c>
      <c r="G27" s="2015">
        <f>90+1102</f>
        <v>1192</v>
      </c>
      <c r="H27" s="2016">
        <f>G27/F27*100</f>
        <v>100</v>
      </c>
    </row>
    <row r="28" spans="1:8" ht="15.75" hidden="1" thickBot="1" x14ac:dyDescent="0.25">
      <c r="A28" s="2012">
        <v>6223</v>
      </c>
      <c r="B28" s="2013">
        <v>5166</v>
      </c>
      <c r="C28" s="2013">
        <v>41100880</v>
      </c>
      <c r="D28" s="2014" t="s">
        <v>609</v>
      </c>
      <c r="E28" s="2015"/>
      <c r="F28" s="2015"/>
      <c r="G28" s="2015"/>
      <c r="H28" s="2016" t="e">
        <f t="shared" si="1"/>
        <v>#DIV/0!</v>
      </c>
    </row>
    <row r="29" spans="1:8" ht="15.75" hidden="1" thickBot="1" x14ac:dyDescent="0.25">
      <c r="A29" s="2012">
        <v>6223</v>
      </c>
      <c r="B29" s="2013">
        <v>5166</v>
      </c>
      <c r="C29" s="2013">
        <v>41100882</v>
      </c>
      <c r="D29" s="2014" t="s">
        <v>609</v>
      </c>
      <c r="E29" s="2015"/>
      <c r="F29" s="2015"/>
      <c r="G29" s="2015"/>
      <c r="H29" s="2016" t="e">
        <f t="shared" si="1"/>
        <v>#DIV/0!</v>
      </c>
    </row>
    <row r="30" spans="1:8" ht="15.75" hidden="1" thickBot="1" x14ac:dyDescent="0.25">
      <c r="A30" s="2012">
        <v>6223</v>
      </c>
      <c r="B30" s="2013">
        <v>5166</v>
      </c>
      <c r="C30" s="2013">
        <v>41500881</v>
      </c>
      <c r="D30" s="2014" t="s">
        <v>609</v>
      </c>
      <c r="E30" s="2015"/>
      <c r="F30" s="2015"/>
      <c r="G30" s="2015"/>
      <c r="H30" s="2016" t="e">
        <f t="shared" si="1"/>
        <v>#DIV/0!</v>
      </c>
    </row>
    <row r="31" spans="1:8" ht="15.75" hidden="1" thickBot="1" x14ac:dyDescent="0.25">
      <c r="A31" s="2012">
        <v>3636</v>
      </c>
      <c r="B31" s="2013">
        <v>5167</v>
      </c>
      <c r="C31" s="2013">
        <v>38100880</v>
      </c>
      <c r="D31" s="2014" t="s">
        <v>895</v>
      </c>
      <c r="E31" s="2015"/>
      <c r="F31" s="2015"/>
      <c r="G31" s="2015"/>
      <c r="H31" s="2016" t="e">
        <f t="shared" si="1"/>
        <v>#DIV/0!</v>
      </c>
    </row>
    <row r="32" spans="1:8" ht="15.75" hidden="1" thickBot="1" x14ac:dyDescent="0.25">
      <c r="A32" s="2012">
        <v>3636</v>
      </c>
      <c r="B32" s="2013">
        <v>5167</v>
      </c>
      <c r="C32" s="2013">
        <v>38500881</v>
      </c>
      <c r="D32" s="2014" t="s">
        <v>895</v>
      </c>
      <c r="E32" s="2015"/>
      <c r="F32" s="2015"/>
      <c r="G32" s="2015"/>
      <c r="H32" s="2016" t="e">
        <f t="shared" si="1"/>
        <v>#DIV/0!</v>
      </c>
    </row>
    <row r="33" spans="1:8" ht="15.75" hidden="1" thickBot="1" x14ac:dyDescent="0.25">
      <c r="A33" s="2012">
        <v>3636</v>
      </c>
      <c r="B33" s="2013">
        <v>5169</v>
      </c>
      <c r="C33" s="2013">
        <v>38100880</v>
      </c>
      <c r="D33" s="2014" t="s">
        <v>852</v>
      </c>
      <c r="E33" s="2015"/>
      <c r="F33" s="2015"/>
      <c r="G33" s="2015"/>
      <c r="H33" s="2016" t="e">
        <f t="shared" si="1"/>
        <v>#DIV/0!</v>
      </c>
    </row>
    <row r="34" spans="1:8" ht="15.75" hidden="1" thickBot="1" x14ac:dyDescent="0.25">
      <c r="A34" s="2012">
        <v>3636</v>
      </c>
      <c r="B34" s="2013">
        <v>5169</v>
      </c>
      <c r="C34" s="2013">
        <v>38500881</v>
      </c>
      <c r="D34" s="2014" t="s">
        <v>852</v>
      </c>
      <c r="E34" s="2015"/>
      <c r="F34" s="2015"/>
      <c r="G34" s="2015"/>
      <c r="H34" s="2016" t="e">
        <f t="shared" si="1"/>
        <v>#DIV/0!</v>
      </c>
    </row>
    <row r="35" spans="1:8" ht="15.75" hidden="1" thickBot="1" x14ac:dyDescent="0.25">
      <c r="A35" s="2012">
        <v>6223</v>
      </c>
      <c r="B35" s="2013">
        <v>5173</v>
      </c>
      <c r="C35" s="2017">
        <v>0</v>
      </c>
      <c r="D35" s="2014" t="s">
        <v>1152</v>
      </c>
      <c r="E35" s="2015"/>
      <c r="F35" s="2015"/>
      <c r="G35" s="2015"/>
      <c r="H35" s="2016">
        <v>0</v>
      </c>
    </row>
    <row r="36" spans="1:8" ht="15.75" hidden="1" thickBot="1" x14ac:dyDescent="0.25">
      <c r="A36" s="2012">
        <v>3636</v>
      </c>
      <c r="B36" s="2013">
        <v>5173</v>
      </c>
      <c r="C36" s="2013">
        <v>38500881</v>
      </c>
      <c r="D36" s="2014" t="s">
        <v>1152</v>
      </c>
      <c r="E36" s="2015">
        <v>0</v>
      </c>
      <c r="F36" s="2015"/>
      <c r="G36" s="2015"/>
      <c r="H36" s="2016" t="e">
        <f t="shared" si="1"/>
        <v>#DIV/0!</v>
      </c>
    </row>
    <row r="37" spans="1:8" ht="15.75" hidden="1" thickBot="1" x14ac:dyDescent="0.25">
      <c r="A37" s="2012">
        <v>3636</v>
      </c>
      <c r="B37" s="2013">
        <v>5175</v>
      </c>
      <c r="C37" s="2013">
        <v>38100880</v>
      </c>
      <c r="D37" s="2014" t="s">
        <v>669</v>
      </c>
      <c r="E37" s="2015">
        <v>0</v>
      </c>
      <c r="F37" s="2015"/>
      <c r="G37" s="2015"/>
      <c r="H37" s="2016" t="e">
        <f t="shared" si="1"/>
        <v>#DIV/0!</v>
      </c>
    </row>
    <row r="38" spans="1:8" ht="15.75" hidden="1" thickBot="1" x14ac:dyDescent="0.25">
      <c r="A38" s="2012">
        <v>3636</v>
      </c>
      <c r="B38" s="2013">
        <v>5175</v>
      </c>
      <c r="C38" s="2013">
        <v>38500881</v>
      </c>
      <c r="D38" s="2014" t="s">
        <v>669</v>
      </c>
      <c r="E38" s="2015">
        <v>0</v>
      </c>
      <c r="F38" s="2015"/>
      <c r="G38" s="2015"/>
      <c r="H38" s="2016" t="e">
        <f t="shared" si="1"/>
        <v>#DIV/0!</v>
      </c>
    </row>
    <row r="39" spans="1:8" ht="15.75" hidden="1" thickBot="1" x14ac:dyDescent="0.25">
      <c r="A39" s="2012">
        <v>3636</v>
      </c>
      <c r="B39" s="2013">
        <v>5176</v>
      </c>
      <c r="C39" s="2013">
        <v>38100880</v>
      </c>
      <c r="D39" s="2014" t="s">
        <v>1247</v>
      </c>
      <c r="E39" s="2015">
        <v>0</v>
      </c>
      <c r="F39" s="2015"/>
      <c r="G39" s="2015"/>
      <c r="H39" s="2016" t="e">
        <f t="shared" si="1"/>
        <v>#DIV/0!</v>
      </c>
    </row>
    <row r="40" spans="1:8" ht="15.75" hidden="1" thickBot="1" x14ac:dyDescent="0.25">
      <c r="A40" s="2012">
        <v>3636</v>
      </c>
      <c r="B40" s="2013">
        <v>5176</v>
      </c>
      <c r="C40" s="2013">
        <v>38500881</v>
      </c>
      <c r="D40" s="2014" t="s">
        <v>1247</v>
      </c>
      <c r="E40" s="2015">
        <v>0</v>
      </c>
      <c r="F40" s="2015"/>
      <c r="G40" s="2015"/>
      <c r="H40" s="2016" t="e">
        <f t="shared" si="1"/>
        <v>#DIV/0!</v>
      </c>
    </row>
    <row r="41" spans="1:8" ht="15.75" hidden="1" thickBot="1" x14ac:dyDescent="0.25">
      <c r="A41" s="2012">
        <v>3636</v>
      </c>
      <c r="B41" s="2013">
        <v>6901</v>
      </c>
      <c r="C41" s="2013">
        <v>38100880</v>
      </c>
      <c r="D41" s="2014" t="s">
        <v>428</v>
      </c>
      <c r="E41" s="2015">
        <v>0</v>
      </c>
      <c r="F41" s="2015">
        <v>0</v>
      </c>
      <c r="G41" s="2015">
        <v>0</v>
      </c>
      <c r="H41" s="2016" t="e">
        <f t="shared" si="1"/>
        <v>#DIV/0!</v>
      </c>
    </row>
    <row r="42" spans="1:8" ht="15.75" hidden="1" thickBot="1" x14ac:dyDescent="0.25">
      <c r="A42" s="2012">
        <v>3636</v>
      </c>
      <c r="B42" s="2013">
        <v>5363</v>
      </c>
      <c r="C42" s="2013">
        <v>38500881</v>
      </c>
      <c r="D42" s="2014" t="s">
        <v>549</v>
      </c>
      <c r="E42" s="2015">
        <v>0</v>
      </c>
      <c r="F42" s="2015">
        <v>0</v>
      </c>
      <c r="G42" s="2015">
        <v>0</v>
      </c>
      <c r="H42" s="2018" t="e">
        <f t="shared" si="1"/>
        <v>#DIV/0!</v>
      </c>
    </row>
    <row r="43" spans="1:8" ht="16.5" thickTop="1" thickBot="1" x14ac:dyDescent="0.3">
      <c r="A43" s="2751" t="s">
        <v>763</v>
      </c>
      <c r="B43" s="2752"/>
      <c r="C43" s="2752"/>
      <c r="D43" s="2752"/>
      <c r="E43" s="1818">
        <f>SUM(E13:E42)</f>
        <v>0</v>
      </c>
      <c r="F43" s="1818">
        <f>SUM(F13:F42)</f>
        <v>1402</v>
      </c>
      <c r="G43" s="1818">
        <f>SUM(G13:G42)</f>
        <v>1402</v>
      </c>
      <c r="H43" s="1822">
        <v>0</v>
      </c>
    </row>
    <row r="44" spans="1:8" ht="13.5" thickTop="1" x14ac:dyDescent="0.2"/>
    <row r="45" spans="1:8" ht="12" customHeight="1" x14ac:dyDescent="0.25">
      <c r="A45" s="2760" t="s">
        <v>1304</v>
      </c>
      <c r="B45" s="2761"/>
      <c r="C45" s="2761"/>
      <c r="D45" s="2761"/>
      <c r="E45" s="2761"/>
      <c r="F45" s="2761"/>
      <c r="G45" s="2761"/>
      <c r="H45" s="2761"/>
    </row>
    <row r="46" spans="1:8" ht="15.75" thickBot="1" x14ac:dyDescent="0.3">
      <c r="A46" s="1979" t="s">
        <v>1376</v>
      </c>
      <c r="B46" s="1993"/>
      <c r="C46" s="1993"/>
      <c r="E46" s="1994"/>
      <c r="F46" s="1994"/>
      <c r="G46" s="1994"/>
      <c r="H46" s="1995" t="s">
        <v>161</v>
      </c>
    </row>
    <row r="47" spans="1:8" ht="25.5" thickTop="1" thickBot="1" x14ac:dyDescent="0.25">
      <c r="A47" s="1809" t="s">
        <v>162</v>
      </c>
      <c r="B47" s="1810" t="s">
        <v>761</v>
      </c>
      <c r="C47" s="1810" t="s">
        <v>377</v>
      </c>
      <c r="D47" s="1811" t="s">
        <v>164</v>
      </c>
      <c r="E47" s="1833" t="s">
        <v>632</v>
      </c>
      <c r="F47" s="1833" t="s">
        <v>633</v>
      </c>
      <c r="G47" s="1834" t="s">
        <v>882</v>
      </c>
      <c r="H47" s="1835" t="s">
        <v>883</v>
      </c>
    </row>
    <row r="48" spans="1:8" ht="14.25" thickTop="1" thickBot="1" x14ac:dyDescent="0.25">
      <c r="A48" s="1643">
        <v>1</v>
      </c>
      <c r="B48" s="1642">
        <v>2</v>
      </c>
      <c r="C48" s="1642">
        <v>3</v>
      </c>
      <c r="D48" s="1642">
        <v>4</v>
      </c>
      <c r="E48" s="1641">
        <v>5</v>
      </c>
      <c r="F48" s="1641">
        <v>6</v>
      </c>
      <c r="G48" s="1877">
        <v>7</v>
      </c>
      <c r="H48" s="1901" t="s">
        <v>61</v>
      </c>
    </row>
    <row r="49" spans="1:8" ht="15.75" hidden="1" thickTop="1" x14ac:dyDescent="0.2">
      <c r="A49" s="2007">
        <v>3636</v>
      </c>
      <c r="B49" s="2008">
        <v>5011</v>
      </c>
      <c r="C49" s="2017">
        <v>0</v>
      </c>
      <c r="D49" s="2009" t="s">
        <v>206</v>
      </c>
      <c r="E49" s="2010">
        <v>0</v>
      </c>
      <c r="F49" s="2010">
        <v>0</v>
      </c>
      <c r="G49" s="2010">
        <v>0</v>
      </c>
      <c r="H49" s="2011" t="e">
        <f t="shared" ref="H49:H56" si="2">G49/F49*100</f>
        <v>#DIV/0!</v>
      </c>
    </row>
    <row r="50" spans="1:8" ht="15.75" hidden="1" thickTop="1" x14ac:dyDescent="0.2">
      <c r="A50" s="2012">
        <v>3636</v>
      </c>
      <c r="B50" s="2013">
        <v>5011</v>
      </c>
      <c r="C50" s="2013">
        <v>38500881</v>
      </c>
      <c r="D50" s="2014" t="s">
        <v>206</v>
      </c>
      <c r="E50" s="2015">
        <v>0</v>
      </c>
      <c r="F50" s="2015">
        <v>0</v>
      </c>
      <c r="G50" s="2015">
        <v>0</v>
      </c>
      <c r="H50" s="2016" t="e">
        <f t="shared" si="2"/>
        <v>#DIV/0!</v>
      </c>
    </row>
    <row r="51" spans="1:8" ht="30.75" thickTop="1" x14ac:dyDescent="0.2">
      <c r="A51" s="2012">
        <v>3121</v>
      </c>
      <c r="B51" s="2013">
        <v>5336</v>
      </c>
      <c r="C51" s="2017">
        <v>32133019</v>
      </c>
      <c r="D51" s="2014" t="s">
        <v>1263</v>
      </c>
      <c r="E51" s="2015">
        <v>0</v>
      </c>
      <c r="F51" s="2015">
        <f>9+117</f>
        <v>126</v>
      </c>
      <c r="G51" s="2015">
        <f>9+117</f>
        <v>126</v>
      </c>
      <c r="H51" s="2016">
        <f t="shared" si="2"/>
        <v>100</v>
      </c>
    </row>
    <row r="52" spans="1:8" ht="15" hidden="1" x14ac:dyDescent="0.2">
      <c r="A52" s="2012">
        <v>3636</v>
      </c>
      <c r="B52" s="2013">
        <v>5021</v>
      </c>
      <c r="C52" s="2013">
        <v>38500881</v>
      </c>
      <c r="D52" s="2014" t="s">
        <v>389</v>
      </c>
      <c r="E52" s="2015"/>
      <c r="F52" s="2015"/>
      <c r="G52" s="2015"/>
      <c r="H52" s="2016" t="e">
        <f t="shared" si="2"/>
        <v>#DIV/0!</v>
      </c>
    </row>
    <row r="53" spans="1:8" ht="30" hidden="1" x14ac:dyDescent="0.2">
      <c r="A53" s="2012">
        <v>3636</v>
      </c>
      <c r="B53" s="2013">
        <v>5031</v>
      </c>
      <c r="C53" s="2013">
        <v>38100880</v>
      </c>
      <c r="D53" s="2014" t="s">
        <v>1299</v>
      </c>
      <c r="E53" s="2015"/>
      <c r="F53" s="2015"/>
      <c r="G53" s="2015"/>
      <c r="H53" s="2016" t="e">
        <f t="shared" si="2"/>
        <v>#DIV/0!</v>
      </c>
    </row>
    <row r="54" spans="1:8" ht="30" hidden="1" x14ac:dyDescent="0.2">
      <c r="A54" s="2012">
        <v>3636</v>
      </c>
      <c r="B54" s="2013">
        <v>5031</v>
      </c>
      <c r="C54" s="2013">
        <v>38500881</v>
      </c>
      <c r="D54" s="2014" t="s">
        <v>1299</v>
      </c>
      <c r="E54" s="2015"/>
      <c r="F54" s="2015"/>
      <c r="G54" s="2015"/>
      <c r="H54" s="2016" t="e">
        <f t="shared" si="2"/>
        <v>#DIV/0!</v>
      </c>
    </row>
    <row r="55" spans="1:8" ht="30" hidden="1" x14ac:dyDescent="0.2">
      <c r="A55" s="2012">
        <v>3636</v>
      </c>
      <c r="B55" s="2013">
        <v>5032</v>
      </c>
      <c r="C55" s="2013">
        <v>38100880</v>
      </c>
      <c r="D55" s="2014" t="s">
        <v>1177</v>
      </c>
      <c r="E55" s="2015"/>
      <c r="F55" s="2015"/>
      <c r="G55" s="2015"/>
      <c r="H55" s="2016" t="e">
        <f t="shared" si="2"/>
        <v>#DIV/0!</v>
      </c>
    </row>
    <row r="56" spans="1:8" ht="30" hidden="1" x14ac:dyDescent="0.2">
      <c r="A56" s="2012">
        <v>3636</v>
      </c>
      <c r="B56" s="2013">
        <v>5032</v>
      </c>
      <c r="C56" s="2013">
        <v>38500881</v>
      </c>
      <c r="D56" s="2014" t="s">
        <v>1177</v>
      </c>
      <c r="E56" s="2015"/>
      <c r="F56" s="2015"/>
      <c r="G56" s="2015"/>
      <c r="H56" s="2016" t="e">
        <f t="shared" si="2"/>
        <v>#DIV/0!</v>
      </c>
    </row>
    <row r="57" spans="1:8" ht="15" hidden="1" x14ac:dyDescent="0.2">
      <c r="A57" s="2012">
        <v>3636</v>
      </c>
      <c r="B57" s="2013">
        <v>5139</v>
      </c>
      <c r="C57" s="2013">
        <v>38100880</v>
      </c>
      <c r="D57" s="2014" t="s">
        <v>270</v>
      </c>
      <c r="E57" s="2015"/>
      <c r="F57" s="2015"/>
      <c r="G57" s="2015"/>
      <c r="H57" s="2016">
        <v>0</v>
      </c>
    </row>
    <row r="58" spans="1:8" ht="15" hidden="1" x14ac:dyDescent="0.2">
      <c r="A58" s="2012">
        <v>3636</v>
      </c>
      <c r="B58" s="2013">
        <v>5139</v>
      </c>
      <c r="C58" s="2013">
        <v>38500881</v>
      </c>
      <c r="D58" s="2014" t="s">
        <v>270</v>
      </c>
      <c r="E58" s="2015"/>
      <c r="F58" s="2015"/>
      <c r="G58" s="2015"/>
      <c r="H58" s="2016" t="e">
        <f t="shared" ref="H58:H70" si="3">G58/F58*100</f>
        <v>#DIV/0!</v>
      </c>
    </row>
    <row r="59" spans="1:8" ht="15" hidden="1" x14ac:dyDescent="0.2">
      <c r="A59" s="2012">
        <v>3636</v>
      </c>
      <c r="B59" s="2013">
        <v>5162</v>
      </c>
      <c r="C59" s="2013">
        <v>38100880</v>
      </c>
      <c r="D59" s="2014" t="s">
        <v>864</v>
      </c>
      <c r="E59" s="2015"/>
      <c r="F59" s="2015"/>
      <c r="G59" s="2015"/>
      <c r="H59" s="2016" t="e">
        <f t="shared" si="3"/>
        <v>#DIV/0!</v>
      </c>
    </row>
    <row r="60" spans="1:8" ht="15" hidden="1" x14ac:dyDescent="0.2">
      <c r="A60" s="2012">
        <v>3636</v>
      </c>
      <c r="B60" s="2013">
        <v>5162</v>
      </c>
      <c r="C60" s="2013">
        <v>38500881</v>
      </c>
      <c r="D60" s="2014" t="s">
        <v>864</v>
      </c>
      <c r="E60" s="2015"/>
      <c r="F60" s="2015"/>
      <c r="G60" s="2015"/>
      <c r="H60" s="2016" t="e">
        <f t="shared" si="3"/>
        <v>#DIV/0!</v>
      </c>
    </row>
    <row r="61" spans="1:8" ht="15" hidden="1" x14ac:dyDescent="0.2">
      <c r="A61" s="2012">
        <v>3636</v>
      </c>
      <c r="B61" s="2013">
        <v>5164</v>
      </c>
      <c r="C61" s="2013">
        <v>38100880</v>
      </c>
      <c r="D61" s="2014" t="s">
        <v>170</v>
      </c>
      <c r="E61" s="2015"/>
      <c r="F61" s="2015"/>
      <c r="G61" s="2015"/>
      <c r="H61" s="2016" t="e">
        <f t="shared" si="3"/>
        <v>#DIV/0!</v>
      </c>
    </row>
    <row r="62" spans="1:8" ht="15" hidden="1" x14ac:dyDescent="0.2">
      <c r="A62" s="2012">
        <v>3636</v>
      </c>
      <c r="B62" s="2013">
        <v>5164</v>
      </c>
      <c r="C62" s="2013">
        <v>38500881</v>
      </c>
      <c r="D62" s="2014" t="s">
        <v>170</v>
      </c>
      <c r="E62" s="2015"/>
      <c r="F62" s="2015"/>
      <c r="G62" s="2015"/>
      <c r="H62" s="2016" t="e">
        <f t="shared" si="3"/>
        <v>#DIV/0!</v>
      </c>
    </row>
    <row r="63" spans="1:8" ht="30.75" thickBot="1" x14ac:dyDescent="0.25">
      <c r="A63" s="2012">
        <v>3121</v>
      </c>
      <c r="B63" s="2013">
        <v>5336</v>
      </c>
      <c r="C63" s="2017">
        <v>32533019</v>
      </c>
      <c r="D63" s="2014" t="s">
        <v>1263</v>
      </c>
      <c r="E63" s="2015">
        <v>0</v>
      </c>
      <c r="F63" s="2015">
        <f>53+663</f>
        <v>716</v>
      </c>
      <c r="G63" s="2015">
        <f>53+663</f>
        <v>716</v>
      </c>
      <c r="H63" s="2016">
        <f t="shared" si="3"/>
        <v>100</v>
      </c>
    </row>
    <row r="64" spans="1:8" ht="15.75" hidden="1" thickBot="1" x14ac:dyDescent="0.25">
      <c r="A64" s="2012">
        <v>6223</v>
      </c>
      <c r="B64" s="2013">
        <v>5166</v>
      </c>
      <c r="C64" s="2013">
        <v>41100880</v>
      </c>
      <c r="D64" s="2014" t="s">
        <v>609</v>
      </c>
      <c r="E64" s="2015"/>
      <c r="F64" s="2015"/>
      <c r="G64" s="2015"/>
      <c r="H64" s="2016" t="e">
        <f t="shared" si="3"/>
        <v>#DIV/0!</v>
      </c>
    </row>
    <row r="65" spans="1:8" ht="15.75" hidden="1" thickBot="1" x14ac:dyDescent="0.25">
      <c r="A65" s="2012">
        <v>6223</v>
      </c>
      <c r="B65" s="2013">
        <v>5166</v>
      </c>
      <c r="C65" s="2013">
        <v>41100882</v>
      </c>
      <c r="D65" s="2014" t="s">
        <v>609</v>
      </c>
      <c r="E65" s="2015"/>
      <c r="F65" s="2015"/>
      <c r="G65" s="2015"/>
      <c r="H65" s="2016" t="e">
        <f t="shared" si="3"/>
        <v>#DIV/0!</v>
      </c>
    </row>
    <row r="66" spans="1:8" ht="15.75" hidden="1" thickBot="1" x14ac:dyDescent="0.25">
      <c r="A66" s="2012">
        <v>6223</v>
      </c>
      <c r="B66" s="2013">
        <v>5166</v>
      </c>
      <c r="C66" s="2013">
        <v>41500881</v>
      </c>
      <c r="D66" s="2014" t="s">
        <v>609</v>
      </c>
      <c r="E66" s="2015"/>
      <c r="F66" s="2015"/>
      <c r="G66" s="2015"/>
      <c r="H66" s="2016" t="e">
        <f t="shared" si="3"/>
        <v>#DIV/0!</v>
      </c>
    </row>
    <row r="67" spans="1:8" ht="15.75" hidden="1" thickBot="1" x14ac:dyDescent="0.25">
      <c r="A67" s="2012">
        <v>3636</v>
      </c>
      <c r="B67" s="2013">
        <v>5167</v>
      </c>
      <c r="C67" s="2013">
        <v>38100880</v>
      </c>
      <c r="D67" s="2014" t="s">
        <v>895</v>
      </c>
      <c r="E67" s="2015"/>
      <c r="F67" s="2015"/>
      <c r="G67" s="2015"/>
      <c r="H67" s="2016" t="e">
        <f t="shared" si="3"/>
        <v>#DIV/0!</v>
      </c>
    </row>
    <row r="68" spans="1:8" ht="15.75" hidden="1" thickBot="1" x14ac:dyDescent="0.25">
      <c r="A68" s="2012">
        <v>3636</v>
      </c>
      <c r="B68" s="2013">
        <v>5167</v>
      </c>
      <c r="C68" s="2013">
        <v>38500881</v>
      </c>
      <c r="D68" s="2014" t="s">
        <v>895</v>
      </c>
      <c r="E68" s="2015"/>
      <c r="F68" s="2015"/>
      <c r="G68" s="2015"/>
      <c r="H68" s="2016" t="e">
        <f t="shared" si="3"/>
        <v>#DIV/0!</v>
      </c>
    </row>
    <row r="69" spans="1:8" ht="15.75" hidden="1" thickBot="1" x14ac:dyDescent="0.25">
      <c r="A69" s="2012">
        <v>3636</v>
      </c>
      <c r="B69" s="2013">
        <v>5169</v>
      </c>
      <c r="C69" s="2013">
        <v>38100880</v>
      </c>
      <c r="D69" s="2014" t="s">
        <v>852</v>
      </c>
      <c r="E69" s="2015"/>
      <c r="F69" s="2015"/>
      <c r="G69" s="2015"/>
      <c r="H69" s="2016" t="e">
        <f t="shared" si="3"/>
        <v>#DIV/0!</v>
      </c>
    </row>
    <row r="70" spans="1:8" ht="15.75" hidden="1" thickBot="1" x14ac:dyDescent="0.25">
      <c r="A70" s="2012">
        <v>3636</v>
      </c>
      <c r="B70" s="2013">
        <v>5169</v>
      </c>
      <c r="C70" s="2013">
        <v>38500881</v>
      </c>
      <c r="D70" s="2014" t="s">
        <v>852</v>
      </c>
      <c r="E70" s="2015"/>
      <c r="F70" s="2015"/>
      <c r="G70" s="2015"/>
      <c r="H70" s="2016" t="e">
        <f t="shared" si="3"/>
        <v>#DIV/0!</v>
      </c>
    </row>
    <row r="71" spans="1:8" ht="15.75" hidden="1" thickBot="1" x14ac:dyDescent="0.25">
      <c r="A71" s="2012">
        <v>6223</v>
      </c>
      <c r="B71" s="2013">
        <v>5173</v>
      </c>
      <c r="C71" s="2017">
        <v>0</v>
      </c>
      <c r="D71" s="2014" t="s">
        <v>1152</v>
      </c>
      <c r="E71" s="2015"/>
      <c r="F71" s="2015"/>
      <c r="G71" s="2015"/>
      <c r="H71" s="2016">
        <v>0</v>
      </c>
    </row>
    <row r="72" spans="1:8" ht="15.75" hidden="1" thickBot="1" x14ac:dyDescent="0.25">
      <c r="A72" s="2012">
        <v>3636</v>
      </c>
      <c r="B72" s="2013">
        <v>5173</v>
      </c>
      <c r="C72" s="2013">
        <v>38500881</v>
      </c>
      <c r="D72" s="2014" t="s">
        <v>1152</v>
      </c>
      <c r="E72" s="2015">
        <v>0</v>
      </c>
      <c r="F72" s="2015"/>
      <c r="G72" s="2015"/>
      <c r="H72" s="2016" t="e">
        <f t="shared" ref="H72:H78" si="4">G72/F72*100</f>
        <v>#DIV/0!</v>
      </c>
    </row>
    <row r="73" spans="1:8" ht="15.75" hidden="1" thickBot="1" x14ac:dyDescent="0.25">
      <c r="A73" s="2012">
        <v>3636</v>
      </c>
      <c r="B73" s="2013">
        <v>5175</v>
      </c>
      <c r="C73" s="2013">
        <v>38100880</v>
      </c>
      <c r="D73" s="2014" t="s">
        <v>669</v>
      </c>
      <c r="E73" s="2015">
        <v>0</v>
      </c>
      <c r="F73" s="2015"/>
      <c r="G73" s="2015"/>
      <c r="H73" s="2016" t="e">
        <f t="shared" si="4"/>
        <v>#DIV/0!</v>
      </c>
    </row>
    <row r="74" spans="1:8" ht="15.75" hidden="1" thickBot="1" x14ac:dyDescent="0.25">
      <c r="A74" s="2012">
        <v>3636</v>
      </c>
      <c r="B74" s="2013">
        <v>5175</v>
      </c>
      <c r="C74" s="2013">
        <v>38500881</v>
      </c>
      <c r="D74" s="2014" t="s">
        <v>669</v>
      </c>
      <c r="E74" s="2015">
        <v>0</v>
      </c>
      <c r="F74" s="2015"/>
      <c r="G74" s="2015"/>
      <c r="H74" s="2016" t="e">
        <f t="shared" si="4"/>
        <v>#DIV/0!</v>
      </c>
    </row>
    <row r="75" spans="1:8" ht="15.75" hidden="1" thickBot="1" x14ac:dyDescent="0.25">
      <c r="A75" s="2012">
        <v>3636</v>
      </c>
      <c r="B75" s="2013">
        <v>5176</v>
      </c>
      <c r="C75" s="2013">
        <v>38100880</v>
      </c>
      <c r="D75" s="2014" t="s">
        <v>1247</v>
      </c>
      <c r="E75" s="2015">
        <v>0</v>
      </c>
      <c r="F75" s="2015"/>
      <c r="G75" s="2015"/>
      <c r="H75" s="2016" t="e">
        <f t="shared" si="4"/>
        <v>#DIV/0!</v>
      </c>
    </row>
    <row r="76" spans="1:8" ht="15.75" hidden="1" thickBot="1" x14ac:dyDescent="0.25">
      <c r="A76" s="2012">
        <v>3636</v>
      </c>
      <c r="B76" s="2013">
        <v>5176</v>
      </c>
      <c r="C76" s="2013">
        <v>38500881</v>
      </c>
      <c r="D76" s="2014" t="s">
        <v>1247</v>
      </c>
      <c r="E76" s="2015">
        <v>0</v>
      </c>
      <c r="F76" s="2015"/>
      <c r="G76" s="2015"/>
      <c r="H76" s="2016" t="e">
        <f t="shared" si="4"/>
        <v>#DIV/0!</v>
      </c>
    </row>
    <row r="77" spans="1:8" ht="15.75" hidden="1" thickBot="1" x14ac:dyDescent="0.25">
      <c r="A77" s="2012">
        <v>3636</v>
      </c>
      <c r="B77" s="2013">
        <v>6901</v>
      </c>
      <c r="C77" s="2013">
        <v>38100880</v>
      </c>
      <c r="D77" s="2014" t="s">
        <v>428</v>
      </c>
      <c r="E77" s="2015">
        <v>0</v>
      </c>
      <c r="F77" s="2015">
        <v>0</v>
      </c>
      <c r="G77" s="2015">
        <v>0</v>
      </c>
      <c r="H77" s="2016" t="e">
        <f t="shared" si="4"/>
        <v>#DIV/0!</v>
      </c>
    </row>
    <row r="78" spans="1:8" ht="15.75" hidden="1" thickBot="1" x14ac:dyDescent="0.25">
      <c r="A78" s="2012">
        <v>3636</v>
      </c>
      <c r="B78" s="2013">
        <v>5363</v>
      </c>
      <c r="C78" s="2013">
        <v>38500881</v>
      </c>
      <c r="D78" s="2014" t="s">
        <v>549</v>
      </c>
      <c r="E78" s="2015">
        <v>0</v>
      </c>
      <c r="F78" s="2015">
        <v>0</v>
      </c>
      <c r="G78" s="2015">
        <v>0</v>
      </c>
      <c r="H78" s="2018" t="e">
        <f t="shared" si="4"/>
        <v>#DIV/0!</v>
      </c>
    </row>
    <row r="79" spans="1:8" ht="16.5" thickTop="1" thickBot="1" x14ac:dyDescent="0.3">
      <c r="A79" s="2751" t="s">
        <v>763</v>
      </c>
      <c r="B79" s="2752"/>
      <c r="C79" s="2752"/>
      <c r="D79" s="2752"/>
      <c r="E79" s="1818">
        <f>SUM(E49:E78)</f>
        <v>0</v>
      </c>
      <c r="F79" s="1818">
        <f>SUM(F49:F78)</f>
        <v>842</v>
      </c>
      <c r="G79" s="1818">
        <f>SUM(G49:G78)</f>
        <v>842</v>
      </c>
      <c r="H79" s="1822">
        <v>0</v>
      </c>
    </row>
    <row r="80" spans="1:8" ht="13.5" thickTop="1" x14ac:dyDescent="0.2"/>
    <row r="81" spans="1:8" ht="12" customHeight="1" x14ac:dyDescent="0.25">
      <c r="A81" s="2760" t="s">
        <v>1629</v>
      </c>
      <c r="B81" s="2761"/>
      <c r="C81" s="2761"/>
      <c r="D81" s="2761"/>
      <c r="E81" s="2761"/>
      <c r="F81" s="2761"/>
      <c r="G81" s="2761"/>
      <c r="H81" s="2761"/>
    </row>
    <row r="82" spans="1:8" ht="15.75" thickBot="1" x14ac:dyDescent="0.3">
      <c r="A82" s="1979" t="s">
        <v>1265</v>
      </c>
      <c r="B82" s="1993"/>
      <c r="C82" s="1993"/>
      <c r="E82" s="1994"/>
      <c r="F82" s="1994"/>
      <c r="G82" s="1994"/>
      <c r="H82" s="1995" t="s">
        <v>161</v>
      </c>
    </row>
    <row r="83" spans="1:8" ht="25.5" thickTop="1" thickBot="1" x14ac:dyDescent="0.25">
      <c r="A83" s="1809" t="s">
        <v>162</v>
      </c>
      <c r="B83" s="1810" t="s">
        <v>761</v>
      </c>
      <c r="C83" s="1810" t="s">
        <v>377</v>
      </c>
      <c r="D83" s="1811" t="s">
        <v>164</v>
      </c>
      <c r="E83" s="1833" t="s">
        <v>632</v>
      </c>
      <c r="F83" s="1833" t="s">
        <v>633</v>
      </c>
      <c r="G83" s="1834" t="s">
        <v>882</v>
      </c>
      <c r="H83" s="1835" t="s">
        <v>883</v>
      </c>
    </row>
    <row r="84" spans="1:8" ht="14.25" thickTop="1" thickBot="1" x14ac:dyDescent="0.25">
      <c r="A84" s="1643">
        <v>1</v>
      </c>
      <c r="B84" s="1642">
        <v>2</v>
      </c>
      <c r="C84" s="1642">
        <v>3</v>
      </c>
      <c r="D84" s="1642">
        <v>4</v>
      </c>
      <c r="E84" s="1641">
        <v>5</v>
      </c>
      <c r="F84" s="1641">
        <v>6</v>
      </c>
      <c r="G84" s="1877">
        <v>7</v>
      </c>
      <c r="H84" s="1901" t="s">
        <v>61</v>
      </c>
    </row>
    <row r="85" spans="1:8" ht="15.75" hidden="1" thickTop="1" x14ac:dyDescent="0.2">
      <c r="A85" s="2007">
        <v>3636</v>
      </c>
      <c r="B85" s="2008">
        <v>5011</v>
      </c>
      <c r="C85" s="2017">
        <v>0</v>
      </c>
      <c r="D85" s="2009" t="s">
        <v>206</v>
      </c>
      <c r="E85" s="2010">
        <v>0</v>
      </c>
      <c r="F85" s="2010">
        <v>0</v>
      </c>
      <c r="G85" s="2010">
        <v>0</v>
      </c>
      <c r="H85" s="2011" t="e">
        <f t="shared" ref="H85:H92" si="5">G85/F85*100</f>
        <v>#DIV/0!</v>
      </c>
    </row>
    <row r="86" spans="1:8" ht="15.75" hidden="1" thickTop="1" x14ac:dyDescent="0.2">
      <c r="A86" s="2012">
        <v>3636</v>
      </c>
      <c r="B86" s="2013">
        <v>5011</v>
      </c>
      <c r="C86" s="2013">
        <v>38500881</v>
      </c>
      <c r="D86" s="2014" t="s">
        <v>206</v>
      </c>
      <c r="E86" s="2015">
        <v>0</v>
      </c>
      <c r="F86" s="2015">
        <v>0</v>
      </c>
      <c r="G86" s="2015">
        <v>0</v>
      </c>
      <c r="H86" s="2016" t="e">
        <f t="shared" si="5"/>
        <v>#DIV/0!</v>
      </c>
    </row>
    <row r="87" spans="1:8" ht="30.75" thickTop="1" x14ac:dyDescent="0.2">
      <c r="A87" s="2012">
        <v>3121</v>
      </c>
      <c r="B87" s="2013">
        <v>5336</v>
      </c>
      <c r="C87" s="2017">
        <v>32133019</v>
      </c>
      <c r="D87" s="2014" t="s">
        <v>1263</v>
      </c>
      <c r="E87" s="2015">
        <v>0</v>
      </c>
      <c r="F87" s="2015">
        <f>18+260</f>
        <v>278</v>
      </c>
      <c r="G87" s="2015">
        <f>18+260</f>
        <v>278</v>
      </c>
      <c r="H87" s="2016">
        <f t="shared" si="5"/>
        <v>100</v>
      </c>
    </row>
    <row r="88" spans="1:8" ht="15" hidden="1" x14ac:dyDescent="0.2">
      <c r="A88" s="2012">
        <v>3636</v>
      </c>
      <c r="B88" s="2013">
        <v>5021</v>
      </c>
      <c r="C88" s="2013">
        <v>38500881</v>
      </c>
      <c r="D88" s="2014" t="s">
        <v>389</v>
      </c>
      <c r="E88" s="2015"/>
      <c r="F88" s="2015"/>
      <c r="G88" s="2015"/>
      <c r="H88" s="2016" t="e">
        <f t="shared" si="5"/>
        <v>#DIV/0!</v>
      </c>
    </row>
    <row r="89" spans="1:8" ht="30" hidden="1" x14ac:dyDescent="0.2">
      <c r="A89" s="2012">
        <v>3636</v>
      </c>
      <c r="B89" s="2013">
        <v>5031</v>
      </c>
      <c r="C89" s="2013">
        <v>38100880</v>
      </c>
      <c r="D89" s="2014" t="s">
        <v>1299</v>
      </c>
      <c r="E89" s="2015"/>
      <c r="F89" s="2015"/>
      <c r="G89" s="2015"/>
      <c r="H89" s="2016" t="e">
        <f t="shared" si="5"/>
        <v>#DIV/0!</v>
      </c>
    </row>
    <row r="90" spans="1:8" ht="30" hidden="1" x14ac:dyDescent="0.2">
      <c r="A90" s="2012">
        <v>3636</v>
      </c>
      <c r="B90" s="2013">
        <v>5031</v>
      </c>
      <c r="C90" s="2013">
        <v>38500881</v>
      </c>
      <c r="D90" s="2014" t="s">
        <v>1299</v>
      </c>
      <c r="E90" s="2015"/>
      <c r="F90" s="2015"/>
      <c r="G90" s="2015"/>
      <c r="H90" s="2016" t="e">
        <f t="shared" si="5"/>
        <v>#DIV/0!</v>
      </c>
    </row>
    <row r="91" spans="1:8" ht="30" hidden="1" x14ac:dyDescent="0.2">
      <c r="A91" s="2012">
        <v>3636</v>
      </c>
      <c r="B91" s="2013">
        <v>5032</v>
      </c>
      <c r="C91" s="2013">
        <v>38100880</v>
      </c>
      <c r="D91" s="2014" t="s">
        <v>1177</v>
      </c>
      <c r="E91" s="2015"/>
      <c r="F91" s="2015"/>
      <c r="G91" s="2015"/>
      <c r="H91" s="2016" t="e">
        <f t="shared" si="5"/>
        <v>#DIV/0!</v>
      </c>
    </row>
    <row r="92" spans="1:8" ht="30" hidden="1" x14ac:dyDescent="0.2">
      <c r="A92" s="2012">
        <v>3636</v>
      </c>
      <c r="B92" s="2013">
        <v>5032</v>
      </c>
      <c r="C92" s="2013">
        <v>38500881</v>
      </c>
      <c r="D92" s="2014" t="s">
        <v>1177</v>
      </c>
      <c r="E92" s="2015"/>
      <c r="F92" s="2015"/>
      <c r="G92" s="2015"/>
      <c r="H92" s="2016" t="e">
        <f t="shared" si="5"/>
        <v>#DIV/0!</v>
      </c>
    </row>
    <row r="93" spans="1:8" ht="15" hidden="1" x14ac:dyDescent="0.2">
      <c r="A93" s="2012">
        <v>3636</v>
      </c>
      <c r="B93" s="2013">
        <v>5139</v>
      </c>
      <c r="C93" s="2013">
        <v>38100880</v>
      </c>
      <c r="D93" s="2014" t="s">
        <v>270</v>
      </c>
      <c r="E93" s="2015"/>
      <c r="F93" s="2015"/>
      <c r="G93" s="2015"/>
      <c r="H93" s="2016">
        <v>0</v>
      </c>
    </row>
    <row r="94" spans="1:8" ht="15" hidden="1" x14ac:dyDescent="0.2">
      <c r="A94" s="2012">
        <v>3636</v>
      </c>
      <c r="B94" s="2013">
        <v>5139</v>
      </c>
      <c r="C94" s="2013">
        <v>38500881</v>
      </c>
      <c r="D94" s="2014" t="s">
        <v>270</v>
      </c>
      <c r="E94" s="2015"/>
      <c r="F94" s="2015"/>
      <c r="G94" s="2015"/>
      <c r="H94" s="2016" t="e">
        <f t="shared" ref="H94:H102" si="6">G94/F94*100</f>
        <v>#DIV/0!</v>
      </c>
    </row>
    <row r="95" spans="1:8" ht="15" hidden="1" x14ac:dyDescent="0.2">
      <c r="A95" s="2012">
        <v>3636</v>
      </c>
      <c r="B95" s="2013">
        <v>5162</v>
      </c>
      <c r="C95" s="2013">
        <v>38100880</v>
      </c>
      <c r="D95" s="2014" t="s">
        <v>864</v>
      </c>
      <c r="E95" s="2015"/>
      <c r="F95" s="2015"/>
      <c r="G95" s="2015"/>
      <c r="H95" s="2016" t="e">
        <f t="shared" si="6"/>
        <v>#DIV/0!</v>
      </c>
    </row>
    <row r="96" spans="1:8" ht="15" hidden="1" x14ac:dyDescent="0.2">
      <c r="A96" s="2012">
        <v>3636</v>
      </c>
      <c r="B96" s="2013">
        <v>5162</v>
      </c>
      <c r="C96" s="2013">
        <v>38500881</v>
      </c>
      <c r="D96" s="2014" t="s">
        <v>864</v>
      </c>
      <c r="E96" s="2015"/>
      <c r="F96" s="2015"/>
      <c r="G96" s="2015"/>
      <c r="H96" s="2016" t="e">
        <f t="shared" si="6"/>
        <v>#DIV/0!</v>
      </c>
    </row>
    <row r="97" spans="1:8" ht="15" hidden="1" x14ac:dyDescent="0.2">
      <c r="A97" s="2012">
        <v>3636</v>
      </c>
      <c r="B97" s="2013">
        <v>5164</v>
      </c>
      <c r="C97" s="2013">
        <v>38100880</v>
      </c>
      <c r="D97" s="2014" t="s">
        <v>170</v>
      </c>
      <c r="E97" s="2015"/>
      <c r="F97" s="2015"/>
      <c r="G97" s="2015"/>
      <c r="H97" s="2016" t="e">
        <f t="shared" si="6"/>
        <v>#DIV/0!</v>
      </c>
    </row>
    <row r="98" spans="1:8" ht="15" hidden="1" x14ac:dyDescent="0.2">
      <c r="A98" s="2012">
        <v>3636</v>
      </c>
      <c r="B98" s="2013">
        <v>5164</v>
      </c>
      <c r="C98" s="2013">
        <v>38500881</v>
      </c>
      <c r="D98" s="2014" t="s">
        <v>170</v>
      </c>
      <c r="E98" s="2015"/>
      <c r="F98" s="2015"/>
      <c r="G98" s="2015"/>
      <c r="H98" s="2016" t="e">
        <f t="shared" si="6"/>
        <v>#DIV/0!</v>
      </c>
    </row>
    <row r="99" spans="1:8" ht="30" x14ac:dyDescent="0.2">
      <c r="A99" s="2012">
        <v>3121</v>
      </c>
      <c r="B99" s="2013">
        <v>5336</v>
      </c>
      <c r="C99" s="2017">
        <v>32533019</v>
      </c>
      <c r="D99" s="2014" t="s">
        <v>1263</v>
      </c>
      <c r="E99" s="2015">
        <v>0</v>
      </c>
      <c r="F99" s="2015">
        <f>101+1476</f>
        <v>1577</v>
      </c>
      <c r="G99" s="2015">
        <f>101+1476</f>
        <v>1577</v>
      </c>
      <c r="H99" s="2016">
        <f t="shared" si="6"/>
        <v>100</v>
      </c>
    </row>
    <row r="100" spans="1:8" ht="30" x14ac:dyDescent="0.2">
      <c r="A100" s="2012">
        <v>3121</v>
      </c>
      <c r="B100" s="2013">
        <v>6356</v>
      </c>
      <c r="C100" s="2013">
        <v>32133910</v>
      </c>
      <c r="D100" s="2014" t="s">
        <v>1772</v>
      </c>
      <c r="E100" s="2015">
        <v>0</v>
      </c>
      <c r="F100" s="2015">
        <v>15</v>
      </c>
      <c r="G100" s="2015">
        <v>13</v>
      </c>
      <c r="H100" s="2016">
        <f t="shared" si="6"/>
        <v>86.666666666666671</v>
      </c>
    </row>
    <row r="101" spans="1:8" ht="30.75" thickBot="1" x14ac:dyDescent="0.25">
      <c r="A101" s="2012">
        <v>3121</v>
      </c>
      <c r="B101" s="2013">
        <v>6356</v>
      </c>
      <c r="C101" s="2013">
        <v>32533910</v>
      </c>
      <c r="D101" s="2014" t="s">
        <v>1772</v>
      </c>
      <c r="E101" s="2015">
        <v>0</v>
      </c>
      <c r="F101" s="2015">
        <v>88</v>
      </c>
      <c r="G101" s="2015">
        <v>72</v>
      </c>
      <c r="H101" s="2016">
        <f t="shared" si="6"/>
        <v>81.818181818181827</v>
      </c>
    </row>
    <row r="102" spans="1:8" ht="16.5" thickTop="1" thickBot="1" x14ac:dyDescent="0.3">
      <c r="A102" s="2751" t="s">
        <v>763</v>
      </c>
      <c r="B102" s="2752"/>
      <c r="C102" s="2752"/>
      <c r="D102" s="2752"/>
      <c r="E102" s="1818">
        <f>SUM(E85:E101)</f>
        <v>0</v>
      </c>
      <c r="F102" s="1818">
        <f t="shared" ref="F102:G102" si="7">SUM(F85:F101)</f>
        <v>1958</v>
      </c>
      <c r="G102" s="1818">
        <f t="shared" si="7"/>
        <v>1940</v>
      </c>
      <c r="H102" s="1822">
        <f t="shared" si="6"/>
        <v>99.080694586312575</v>
      </c>
    </row>
    <row r="103" spans="1:8" ht="13.5" thickTop="1" x14ac:dyDescent="0.2"/>
    <row r="104" spans="1:8" ht="12" customHeight="1" x14ac:dyDescent="0.25">
      <c r="A104" s="2760" t="s">
        <v>1552</v>
      </c>
      <c r="B104" s="2761"/>
      <c r="C104" s="2761"/>
      <c r="D104" s="2761"/>
      <c r="E104" s="2761"/>
      <c r="F104" s="2761"/>
      <c r="G104" s="2761"/>
      <c r="H104" s="2761"/>
    </row>
    <row r="105" spans="1:8" ht="15.75" thickBot="1" x14ac:dyDescent="0.3">
      <c r="A105" s="1979" t="s">
        <v>1266</v>
      </c>
      <c r="B105" s="1993"/>
      <c r="C105" s="1993"/>
      <c r="E105" s="1994"/>
      <c r="F105" s="1994"/>
      <c r="G105" s="1994"/>
      <c r="H105" s="1995" t="s">
        <v>161</v>
      </c>
    </row>
    <row r="106" spans="1:8" ht="25.5" thickTop="1" thickBot="1" x14ac:dyDescent="0.25">
      <c r="A106" s="1809" t="s">
        <v>162</v>
      </c>
      <c r="B106" s="1810" t="s">
        <v>761</v>
      </c>
      <c r="C106" s="1810" t="s">
        <v>377</v>
      </c>
      <c r="D106" s="1811" t="s">
        <v>164</v>
      </c>
      <c r="E106" s="1833" t="s">
        <v>632</v>
      </c>
      <c r="F106" s="1833" t="s">
        <v>633</v>
      </c>
      <c r="G106" s="1834" t="s">
        <v>882</v>
      </c>
      <c r="H106" s="1835" t="s">
        <v>883</v>
      </c>
    </row>
    <row r="107" spans="1:8" ht="14.25" thickTop="1" thickBot="1" x14ac:dyDescent="0.25">
      <c r="A107" s="1643">
        <v>1</v>
      </c>
      <c r="B107" s="1642">
        <v>2</v>
      </c>
      <c r="C107" s="1642">
        <v>3</v>
      </c>
      <c r="D107" s="1642">
        <v>4</v>
      </c>
      <c r="E107" s="1641">
        <v>5</v>
      </c>
      <c r="F107" s="1641">
        <v>6</v>
      </c>
      <c r="G107" s="1877">
        <v>7</v>
      </c>
      <c r="H107" s="1901" t="s">
        <v>61</v>
      </c>
    </row>
    <row r="108" spans="1:8" ht="15.75" hidden="1" thickTop="1" x14ac:dyDescent="0.2">
      <c r="A108" s="2007">
        <v>3636</v>
      </c>
      <c r="B108" s="2008">
        <v>5011</v>
      </c>
      <c r="C108" s="2017">
        <v>0</v>
      </c>
      <c r="D108" s="2009" t="s">
        <v>206</v>
      </c>
      <c r="E108" s="2010">
        <v>0</v>
      </c>
      <c r="F108" s="2010">
        <v>0</v>
      </c>
      <c r="G108" s="2010">
        <v>0</v>
      </c>
      <c r="H108" s="2011" t="e">
        <f t="shared" ref="H108:H115" si="8">G108/F108*100</f>
        <v>#DIV/0!</v>
      </c>
    </row>
    <row r="109" spans="1:8" ht="15.75" hidden="1" thickTop="1" x14ac:dyDescent="0.2">
      <c r="A109" s="2012">
        <v>3636</v>
      </c>
      <c r="B109" s="2013">
        <v>5011</v>
      </c>
      <c r="C109" s="2013">
        <v>38500881</v>
      </c>
      <c r="D109" s="2014" t="s">
        <v>206</v>
      </c>
      <c r="E109" s="2015">
        <v>0</v>
      </c>
      <c r="F109" s="2015">
        <v>0</v>
      </c>
      <c r="G109" s="2015">
        <v>0</v>
      </c>
      <c r="H109" s="2016" t="e">
        <f t="shared" si="8"/>
        <v>#DIV/0!</v>
      </c>
    </row>
    <row r="110" spans="1:8" ht="30.75" thickTop="1" x14ac:dyDescent="0.2">
      <c r="A110" s="2012">
        <v>3121</v>
      </c>
      <c r="B110" s="2013">
        <v>5336</v>
      </c>
      <c r="C110" s="2017">
        <v>32133019</v>
      </c>
      <c r="D110" s="2014" t="s">
        <v>1263</v>
      </c>
      <c r="E110" s="2015">
        <v>0</v>
      </c>
      <c r="F110" s="2015">
        <f>16+207</f>
        <v>223</v>
      </c>
      <c r="G110" s="2015">
        <f>16+207</f>
        <v>223</v>
      </c>
      <c r="H110" s="2016">
        <f t="shared" si="8"/>
        <v>100</v>
      </c>
    </row>
    <row r="111" spans="1:8" ht="15" hidden="1" x14ac:dyDescent="0.2">
      <c r="A111" s="2012">
        <v>3636</v>
      </c>
      <c r="B111" s="2013">
        <v>5021</v>
      </c>
      <c r="C111" s="2013">
        <v>38500881</v>
      </c>
      <c r="D111" s="2014" t="s">
        <v>389</v>
      </c>
      <c r="E111" s="2015"/>
      <c r="F111" s="2015"/>
      <c r="G111" s="2015"/>
      <c r="H111" s="2016" t="e">
        <f t="shared" si="8"/>
        <v>#DIV/0!</v>
      </c>
    </row>
    <row r="112" spans="1:8" ht="30" hidden="1" x14ac:dyDescent="0.2">
      <c r="A112" s="2012">
        <v>3636</v>
      </c>
      <c r="B112" s="2013">
        <v>5031</v>
      </c>
      <c r="C112" s="2013">
        <v>38100880</v>
      </c>
      <c r="D112" s="2014" t="s">
        <v>1299</v>
      </c>
      <c r="E112" s="2015"/>
      <c r="F112" s="2015"/>
      <c r="G112" s="2015"/>
      <c r="H112" s="2016" t="e">
        <f t="shared" si="8"/>
        <v>#DIV/0!</v>
      </c>
    </row>
    <row r="113" spans="1:8" ht="30" hidden="1" x14ac:dyDescent="0.2">
      <c r="A113" s="2012">
        <v>3636</v>
      </c>
      <c r="B113" s="2013">
        <v>5031</v>
      </c>
      <c r="C113" s="2013">
        <v>38500881</v>
      </c>
      <c r="D113" s="2014" t="s">
        <v>1299</v>
      </c>
      <c r="E113" s="2015"/>
      <c r="F113" s="2015"/>
      <c r="G113" s="2015"/>
      <c r="H113" s="2016" t="e">
        <f t="shared" si="8"/>
        <v>#DIV/0!</v>
      </c>
    </row>
    <row r="114" spans="1:8" ht="30" hidden="1" x14ac:dyDescent="0.2">
      <c r="A114" s="2012">
        <v>3636</v>
      </c>
      <c r="B114" s="2013">
        <v>5032</v>
      </c>
      <c r="C114" s="2013">
        <v>38100880</v>
      </c>
      <c r="D114" s="2014" t="s">
        <v>1177</v>
      </c>
      <c r="E114" s="2015"/>
      <c r="F114" s="2015"/>
      <c r="G114" s="2015"/>
      <c r="H114" s="2016" t="e">
        <f t="shared" si="8"/>
        <v>#DIV/0!</v>
      </c>
    </row>
    <row r="115" spans="1:8" ht="30" hidden="1" x14ac:dyDescent="0.2">
      <c r="A115" s="2012">
        <v>3636</v>
      </c>
      <c r="B115" s="2013">
        <v>5032</v>
      </c>
      <c r="C115" s="2013">
        <v>38500881</v>
      </c>
      <c r="D115" s="2014" t="s">
        <v>1177</v>
      </c>
      <c r="E115" s="2015"/>
      <c r="F115" s="2015"/>
      <c r="G115" s="2015"/>
      <c r="H115" s="2016" t="e">
        <f t="shared" si="8"/>
        <v>#DIV/0!</v>
      </c>
    </row>
    <row r="116" spans="1:8" ht="15" hidden="1" x14ac:dyDescent="0.2">
      <c r="A116" s="2012">
        <v>3636</v>
      </c>
      <c r="B116" s="2013">
        <v>5139</v>
      </c>
      <c r="C116" s="2013">
        <v>38100880</v>
      </c>
      <c r="D116" s="2014" t="s">
        <v>270</v>
      </c>
      <c r="E116" s="2015"/>
      <c r="F116" s="2015"/>
      <c r="G116" s="2015"/>
      <c r="H116" s="2016">
        <v>0</v>
      </c>
    </row>
    <row r="117" spans="1:8" ht="15" hidden="1" x14ac:dyDescent="0.2">
      <c r="A117" s="2012">
        <v>3636</v>
      </c>
      <c r="B117" s="2013">
        <v>5139</v>
      </c>
      <c r="C117" s="2013">
        <v>38500881</v>
      </c>
      <c r="D117" s="2014" t="s">
        <v>270</v>
      </c>
      <c r="E117" s="2015"/>
      <c r="F117" s="2015"/>
      <c r="G117" s="2015"/>
      <c r="H117" s="2016" t="e">
        <f t="shared" ref="H117:H129" si="9">G117/F117*100</f>
        <v>#DIV/0!</v>
      </c>
    </row>
    <row r="118" spans="1:8" ht="15" hidden="1" x14ac:dyDescent="0.2">
      <c r="A118" s="2012">
        <v>3636</v>
      </c>
      <c r="B118" s="2013">
        <v>5162</v>
      </c>
      <c r="C118" s="2013">
        <v>38100880</v>
      </c>
      <c r="D118" s="2014" t="s">
        <v>864</v>
      </c>
      <c r="E118" s="2015"/>
      <c r="F118" s="2015"/>
      <c r="G118" s="2015"/>
      <c r="H118" s="2016" t="e">
        <f t="shared" si="9"/>
        <v>#DIV/0!</v>
      </c>
    </row>
    <row r="119" spans="1:8" ht="15" hidden="1" x14ac:dyDescent="0.2">
      <c r="A119" s="2012">
        <v>3636</v>
      </c>
      <c r="B119" s="2013">
        <v>5162</v>
      </c>
      <c r="C119" s="2013">
        <v>38500881</v>
      </c>
      <c r="D119" s="2014" t="s">
        <v>864</v>
      </c>
      <c r="E119" s="2015"/>
      <c r="F119" s="2015"/>
      <c r="G119" s="2015"/>
      <c r="H119" s="2016" t="e">
        <f t="shared" si="9"/>
        <v>#DIV/0!</v>
      </c>
    </row>
    <row r="120" spans="1:8" ht="15" hidden="1" x14ac:dyDescent="0.2">
      <c r="A120" s="2012">
        <v>3636</v>
      </c>
      <c r="B120" s="2013">
        <v>5164</v>
      </c>
      <c r="C120" s="2013">
        <v>38100880</v>
      </c>
      <c r="D120" s="2014" t="s">
        <v>170</v>
      </c>
      <c r="E120" s="2015"/>
      <c r="F120" s="2015"/>
      <c r="G120" s="2015"/>
      <c r="H120" s="2016" t="e">
        <f t="shared" si="9"/>
        <v>#DIV/0!</v>
      </c>
    </row>
    <row r="121" spans="1:8" ht="15" hidden="1" x14ac:dyDescent="0.2">
      <c r="A121" s="2012">
        <v>3636</v>
      </c>
      <c r="B121" s="2013">
        <v>5164</v>
      </c>
      <c r="C121" s="2013">
        <v>38500881</v>
      </c>
      <c r="D121" s="2014" t="s">
        <v>170</v>
      </c>
      <c r="E121" s="2015"/>
      <c r="F121" s="2015"/>
      <c r="G121" s="2015"/>
      <c r="H121" s="2016" t="e">
        <f t="shared" si="9"/>
        <v>#DIV/0!</v>
      </c>
    </row>
    <row r="122" spans="1:8" ht="30" x14ac:dyDescent="0.2">
      <c r="A122" s="2012">
        <v>3121</v>
      </c>
      <c r="B122" s="2013">
        <v>5336</v>
      </c>
      <c r="C122" s="2017">
        <v>32533019</v>
      </c>
      <c r="D122" s="2014" t="s">
        <v>1263</v>
      </c>
      <c r="E122" s="2015">
        <v>0</v>
      </c>
      <c r="F122" s="2015">
        <f>92+1175</f>
        <v>1267</v>
      </c>
      <c r="G122" s="2015">
        <f>92+1175</f>
        <v>1267</v>
      </c>
      <c r="H122" s="2016">
        <f t="shared" si="9"/>
        <v>100</v>
      </c>
    </row>
    <row r="123" spans="1:8" ht="15" hidden="1" x14ac:dyDescent="0.2">
      <c r="A123" s="2012">
        <v>6223</v>
      </c>
      <c r="B123" s="2013">
        <v>5166</v>
      </c>
      <c r="C123" s="2013">
        <v>41100880</v>
      </c>
      <c r="D123" s="2014" t="s">
        <v>609</v>
      </c>
      <c r="E123" s="2015"/>
      <c r="F123" s="2015"/>
      <c r="G123" s="2015"/>
      <c r="H123" s="2016" t="e">
        <f t="shared" si="9"/>
        <v>#DIV/0!</v>
      </c>
    </row>
    <row r="124" spans="1:8" ht="15" hidden="1" x14ac:dyDescent="0.2">
      <c r="A124" s="2012">
        <v>6223</v>
      </c>
      <c r="B124" s="2013">
        <v>5166</v>
      </c>
      <c r="C124" s="2013">
        <v>41100882</v>
      </c>
      <c r="D124" s="2014" t="s">
        <v>609</v>
      </c>
      <c r="E124" s="2015"/>
      <c r="F124" s="2015"/>
      <c r="G124" s="2015"/>
      <c r="H124" s="2016" t="e">
        <f t="shared" si="9"/>
        <v>#DIV/0!</v>
      </c>
    </row>
    <row r="125" spans="1:8" ht="15" hidden="1" x14ac:dyDescent="0.2">
      <c r="A125" s="2012">
        <v>6223</v>
      </c>
      <c r="B125" s="2013">
        <v>5166</v>
      </c>
      <c r="C125" s="2013">
        <v>41500881</v>
      </c>
      <c r="D125" s="2014" t="s">
        <v>609</v>
      </c>
      <c r="E125" s="2015"/>
      <c r="F125" s="2015"/>
      <c r="G125" s="2015"/>
      <c r="H125" s="2016" t="e">
        <f t="shared" si="9"/>
        <v>#DIV/0!</v>
      </c>
    </row>
    <row r="126" spans="1:8" ht="15" hidden="1" x14ac:dyDescent="0.2">
      <c r="A126" s="2012">
        <v>3636</v>
      </c>
      <c r="B126" s="2013">
        <v>5167</v>
      </c>
      <c r="C126" s="2013">
        <v>38100880</v>
      </c>
      <c r="D126" s="2014" t="s">
        <v>895</v>
      </c>
      <c r="E126" s="2015"/>
      <c r="F126" s="2015"/>
      <c r="G126" s="2015"/>
      <c r="H126" s="2016" t="e">
        <f t="shared" si="9"/>
        <v>#DIV/0!</v>
      </c>
    </row>
    <row r="127" spans="1:8" ht="15" hidden="1" x14ac:dyDescent="0.2">
      <c r="A127" s="2012">
        <v>3636</v>
      </c>
      <c r="B127" s="2013">
        <v>5167</v>
      </c>
      <c r="C127" s="2013">
        <v>38500881</v>
      </c>
      <c r="D127" s="2014" t="s">
        <v>895</v>
      </c>
      <c r="E127" s="2015"/>
      <c r="F127" s="2015"/>
      <c r="G127" s="2015"/>
      <c r="H127" s="2016" t="e">
        <f t="shared" si="9"/>
        <v>#DIV/0!</v>
      </c>
    </row>
    <row r="128" spans="1:8" ht="15" hidden="1" x14ac:dyDescent="0.2">
      <c r="A128" s="2012">
        <v>3636</v>
      </c>
      <c r="B128" s="2013">
        <v>5169</v>
      </c>
      <c r="C128" s="2013">
        <v>38100880</v>
      </c>
      <c r="D128" s="2014" t="s">
        <v>852</v>
      </c>
      <c r="E128" s="2015"/>
      <c r="F128" s="2015"/>
      <c r="G128" s="2015"/>
      <c r="H128" s="2016" t="e">
        <f t="shared" si="9"/>
        <v>#DIV/0!</v>
      </c>
    </row>
    <row r="129" spans="1:8" ht="15" hidden="1" x14ac:dyDescent="0.2">
      <c r="A129" s="2012">
        <v>3636</v>
      </c>
      <c r="B129" s="2013">
        <v>5169</v>
      </c>
      <c r="C129" s="2013">
        <v>38500881</v>
      </c>
      <c r="D129" s="2014" t="s">
        <v>852</v>
      </c>
      <c r="E129" s="2015"/>
      <c r="F129" s="2015"/>
      <c r="G129" s="2015"/>
      <c r="H129" s="2016" t="e">
        <f t="shared" si="9"/>
        <v>#DIV/0!</v>
      </c>
    </row>
    <row r="130" spans="1:8" ht="15" hidden="1" x14ac:dyDescent="0.2">
      <c r="A130" s="2012">
        <v>6223</v>
      </c>
      <c r="B130" s="2013">
        <v>5173</v>
      </c>
      <c r="C130" s="2017">
        <v>0</v>
      </c>
      <c r="D130" s="2014" t="s">
        <v>1152</v>
      </c>
      <c r="E130" s="2015"/>
      <c r="F130" s="2015"/>
      <c r="G130" s="2015"/>
      <c r="H130" s="2016">
        <v>0</v>
      </c>
    </row>
    <row r="131" spans="1:8" ht="15" hidden="1" x14ac:dyDescent="0.2">
      <c r="A131" s="2012">
        <v>3636</v>
      </c>
      <c r="B131" s="2013">
        <v>5173</v>
      </c>
      <c r="C131" s="2013">
        <v>38500881</v>
      </c>
      <c r="D131" s="2014" t="s">
        <v>1152</v>
      </c>
      <c r="E131" s="2015">
        <v>0</v>
      </c>
      <c r="F131" s="2015"/>
      <c r="G131" s="2015"/>
      <c r="H131" s="2016" t="e">
        <f t="shared" ref="H131:H137" si="10">G131/F131*100</f>
        <v>#DIV/0!</v>
      </c>
    </row>
    <row r="132" spans="1:8" ht="15" hidden="1" x14ac:dyDescent="0.2">
      <c r="A132" s="2012">
        <v>3636</v>
      </c>
      <c r="B132" s="2013">
        <v>5175</v>
      </c>
      <c r="C132" s="2013">
        <v>38100880</v>
      </c>
      <c r="D132" s="2014" t="s">
        <v>669</v>
      </c>
      <c r="E132" s="2015">
        <v>0</v>
      </c>
      <c r="F132" s="2015"/>
      <c r="G132" s="2015"/>
      <c r="H132" s="2016" t="e">
        <f t="shared" si="10"/>
        <v>#DIV/0!</v>
      </c>
    </row>
    <row r="133" spans="1:8" ht="15" hidden="1" x14ac:dyDescent="0.2">
      <c r="A133" s="2012">
        <v>3636</v>
      </c>
      <c r="B133" s="2013">
        <v>5175</v>
      </c>
      <c r="C133" s="2013">
        <v>38500881</v>
      </c>
      <c r="D133" s="2014" t="s">
        <v>669</v>
      </c>
      <c r="E133" s="2015">
        <v>0</v>
      </c>
      <c r="F133" s="2015"/>
      <c r="G133" s="2015"/>
      <c r="H133" s="2016" t="e">
        <f t="shared" si="10"/>
        <v>#DIV/0!</v>
      </c>
    </row>
    <row r="134" spans="1:8" ht="15" hidden="1" x14ac:dyDescent="0.2">
      <c r="A134" s="2012">
        <v>3636</v>
      </c>
      <c r="B134" s="2013">
        <v>5176</v>
      </c>
      <c r="C134" s="2013">
        <v>38100880</v>
      </c>
      <c r="D134" s="2014" t="s">
        <v>1247</v>
      </c>
      <c r="E134" s="2015">
        <v>0</v>
      </c>
      <c r="F134" s="2015"/>
      <c r="G134" s="2015"/>
      <c r="H134" s="2016" t="e">
        <f t="shared" si="10"/>
        <v>#DIV/0!</v>
      </c>
    </row>
    <row r="135" spans="1:8" ht="15" hidden="1" x14ac:dyDescent="0.2">
      <c r="A135" s="2012">
        <v>3636</v>
      </c>
      <c r="B135" s="2013">
        <v>5176</v>
      </c>
      <c r="C135" s="2013">
        <v>38500881</v>
      </c>
      <c r="D135" s="2014" t="s">
        <v>1247</v>
      </c>
      <c r="E135" s="2015">
        <v>0</v>
      </c>
      <c r="F135" s="2015"/>
      <c r="G135" s="2015"/>
      <c r="H135" s="2016" t="e">
        <f t="shared" si="10"/>
        <v>#DIV/0!</v>
      </c>
    </row>
    <row r="136" spans="1:8" ht="30" x14ac:dyDescent="0.2">
      <c r="A136" s="2012">
        <v>3121</v>
      </c>
      <c r="B136" s="2013">
        <v>6356</v>
      </c>
      <c r="C136" s="2013">
        <v>32133910</v>
      </c>
      <c r="D136" s="2014" t="s">
        <v>1772</v>
      </c>
      <c r="E136" s="2015">
        <v>0</v>
      </c>
      <c r="F136" s="2015">
        <v>22</v>
      </c>
      <c r="G136" s="2015">
        <v>22</v>
      </c>
      <c r="H136" s="2016">
        <f t="shared" si="10"/>
        <v>100</v>
      </c>
    </row>
    <row r="137" spans="1:8" ht="30.75" thickBot="1" x14ac:dyDescent="0.25">
      <c r="A137" s="2012">
        <v>3121</v>
      </c>
      <c r="B137" s="2013">
        <v>6356</v>
      </c>
      <c r="C137" s="2013">
        <v>32533910</v>
      </c>
      <c r="D137" s="2014" t="s">
        <v>1772</v>
      </c>
      <c r="E137" s="2015">
        <v>0</v>
      </c>
      <c r="F137" s="2015">
        <v>125</v>
      </c>
      <c r="G137" s="2015">
        <v>125</v>
      </c>
      <c r="H137" s="2018">
        <f t="shared" si="10"/>
        <v>100</v>
      </c>
    </row>
    <row r="138" spans="1:8" ht="16.5" thickTop="1" thickBot="1" x14ac:dyDescent="0.3">
      <c r="A138" s="2751" t="s">
        <v>763</v>
      </c>
      <c r="B138" s="2752"/>
      <c r="C138" s="2752"/>
      <c r="D138" s="2752"/>
      <c r="E138" s="1818">
        <f>SUM(E108:E137)</f>
        <v>0</v>
      </c>
      <c r="F138" s="1818">
        <f>SUM(F108:F137)</f>
        <v>1637</v>
      </c>
      <c r="G138" s="1818">
        <f>SUM(G108:G137)</f>
        <v>1637</v>
      </c>
      <c r="H138" s="1822">
        <v>0</v>
      </c>
    </row>
    <row r="139" spans="1:8" ht="13.5" thickTop="1" x14ac:dyDescent="0.2"/>
    <row r="140" spans="1:8" ht="12" customHeight="1" x14ac:dyDescent="0.25">
      <c r="A140" s="2760" t="s">
        <v>641</v>
      </c>
      <c r="B140" s="2761"/>
      <c r="C140" s="2761"/>
      <c r="D140" s="2761"/>
      <c r="E140" s="2761"/>
      <c r="F140" s="2761"/>
      <c r="G140" s="2761"/>
      <c r="H140" s="2761"/>
    </row>
    <row r="141" spans="1:8" ht="15.75" thickBot="1" x14ac:dyDescent="0.3">
      <c r="A141" s="1979" t="s">
        <v>1771</v>
      </c>
      <c r="B141" s="1993"/>
      <c r="C141" s="1993"/>
      <c r="E141" s="1994"/>
      <c r="F141" s="1994"/>
      <c r="G141" s="1994"/>
      <c r="H141" s="1995" t="s">
        <v>161</v>
      </c>
    </row>
    <row r="142" spans="1:8" ht="25.5" thickTop="1" thickBot="1" x14ac:dyDescent="0.25">
      <c r="A142" s="1809" t="s">
        <v>162</v>
      </c>
      <c r="B142" s="1810" t="s">
        <v>761</v>
      </c>
      <c r="C142" s="1810" t="s">
        <v>377</v>
      </c>
      <c r="D142" s="1811" t="s">
        <v>164</v>
      </c>
      <c r="E142" s="1833" t="s">
        <v>632</v>
      </c>
      <c r="F142" s="1833" t="s">
        <v>633</v>
      </c>
      <c r="G142" s="1834" t="s">
        <v>882</v>
      </c>
      <c r="H142" s="1835" t="s">
        <v>883</v>
      </c>
    </row>
    <row r="143" spans="1:8" ht="14.25" thickTop="1" thickBot="1" x14ac:dyDescent="0.25">
      <c r="A143" s="1643">
        <v>1</v>
      </c>
      <c r="B143" s="1642">
        <v>2</v>
      </c>
      <c r="C143" s="1642">
        <v>3</v>
      </c>
      <c r="D143" s="1642">
        <v>4</v>
      </c>
      <c r="E143" s="1641">
        <v>5</v>
      </c>
      <c r="F143" s="1641">
        <v>6</v>
      </c>
      <c r="G143" s="1877">
        <v>7</v>
      </c>
      <c r="H143" s="1901" t="s">
        <v>61</v>
      </c>
    </row>
    <row r="144" spans="1:8" ht="15.75" hidden="1" thickTop="1" x14ac:dyDescent="0.2">
      <c r="A144" s="2007">
        <v>3636</v>
      </c>
      <c r="B144" s="2008">
        <v>5011</v>
      </c>
      <c r="C144" s="2017">
        <v>0</v>
      </c>
      <c r="D144" s="2009" t="s">
        <v>206</v>
      </c>
      <c r="E144" s="2010">
        <v>0</v>
      </c>
      <c r="F144" s="2010">
        <v>0</v>
      </c>
      <c r="G144" s="2010">
        <v>0</v>
      </c>
      <c r="H144" s="2011" t="e">
        <f t="shared" ref="H144:H151" si="11">G144/F144*100</f>
        <v>#DIV/0!</v>
      </c>
    </row>
    <row r="145" spans="1:8" ht="15.75" hidden="1" thickTop="1" x14ac:dyDescent="0.2">
      <c r="A145" s="2012">
        <v>3636</v>
      </c>
      <c r="B145" s="2013">
        <v>5011</v>
      </c>
      <c r="C145" s="2013">
        <v>38500881</v>
      </c>
      <c r="D145" s="2014" t="s">
        <v>206</v>
      </c>
      <c r="E145" s="2015">
        <v>0</v>
      </c>
      <c r="F145" s="2015">
        <v>0</v>
      </c>
      <c r="G145" s="2015">
        <v>0</v>
      </c>
      <c r="H145" s="2016" t="e">
        <f t="shared" si="11"/>
        <v>#DIV/0!</v>
      </c>
    </row>
    <row r="146" spans="1:8" ht="30.75" thickTop="1" x14ac:dyDescent="0.2">
      <c r="A146" s="2012">
        <v>3121</v>
      </c>
      <c r="B146" s="2013">
        <v>5336</v>
      </c>
      <c r="C146" s="2017">
        <v>32133019</v>
      </c>
      <c r="D146" s="2014" t="s">
        <v>1263</v>
      </c>
      <c r="E146" s="2015">
        <v>0</v>
      </c>
      <c r="F146" s="2015">
        <f>12+219</f>
        <v>231</v>
      </c>
      <c r="G146" s="2015">
        <f>12+219</f>
        <v>231</v>
      </c>
      <c r="H146" s="2016">
        <f t="shared" si="11"/>
        <v>100</v>
      </c>
    </row>
    <row r="147" spans="1:8" ht="15" hidden="1" x14ac:dyDescent="0.2">
      <c r="A147" s="2012">
        <v>3636</v>
      </c>
      <c r="B147" s="2013">
        <v>5021</v>
      </c>
      <c r="C147" s="2013">
        <v>38500881</v>
      </c>
      <c r="D147" s="2014" t="s">
        <v>389</v>
      </c>
      <c r="E147" s="2015"/>
      <c r="F147" s="2015"/>
      <c r="G147" s="2015"/>
      <c r="H147" s="2016" t="e">
        <f t="shared" si="11"/>
        <v>#DIV/0!</v>
      </c>
    </row>
    <row r="148" spans="1:8" ht="30" hidden="1" x14ac:dyDescent="0.2">
      <c r="A148" s="2012">
        <v>3636</v>
      </c>
      <c r="B148" s="2013">
        <v>5031</v>
      </c>
      <c r="C148" s="2013">
        <v>38100880</v>
      </c>
      <c r="D148" s="2014" t="s">
        <v>1299</v>
      </c>
      <c r="E148" s="2015"/>
      <c r="F148" s="2015"/>
      <c r="G148" s="2015"/>
      <c r="H148" s="2016" t="e">
        <f t="shared" si="11"/>
        <v>#DIV/0!</v>
      </c>
    </row>
    <row r="149" spans="1:8" ht="30" hidden="1" x14ac:dyDescent="0.2">
      <c r="A149" s="2012">
        <v>3636</v>
      </c>
      <c r="B149" s="2013">
        <v>5031</v>
      </c>
      <c r="C149" s="2013">
        <v>38500881</v>
      </c>
      <c r="D149" s="2014" t="s">
        <v>1299</v>
      </c>
      <c r="E149" s="2015"/>
      <c r="F149" s="2015"/>
      <c r="G149" s="2015"/>
      <c r="H149" s="2016" t="e">
        <f t="shared" si="11"/>
        <v>#DIV/0!</v>
      </c>
    </row>
    <row r="150" spans="1:8" ht="30" hidden="1" x14ac:dyDescent="0.2">
      <c r="A150" s="2012">
        <v>3636</v>
      </c>
      <c r="B150" s="2013">
        <v>5032</v>
      </c>
      <c r="C150" s="2013">
        <v>38100880</v>
      </c>
      <c r="D150" s="2014" t="s">
        <v>1177</v>
      </c>
      <c r="E150" s="2015"/>
      <c r="F150" s="2015"/>
      <c r="G150" s="2015"/>
      <c r="H150" s="2016" t="e">
        <f t="shared" si="11"/>
        <v>#DIV/0!</v>
      </c>
    </row>
    <row r="151" spans="1:8" ht="30" hidden="1" x14ac:dyDescent="0.2">
      <c r="A151" s="2012">
        <v>3636</v>
      </c>
      <c r="B151" s="2013">
        <v>5032</v>
      </c>
      <c r="C151" s="2013">
        <v>38500881</v>
      </c>
      <c r="D151" s="2014" t="s">
        <v>1177</v>
      </c>
      <c r="E151" s="2015"/>
      <c r="F151" s="2015"/>
      <c r="G151" s="2015"/>
      <c r="H151" s="2016" t="e">
        <f t="shared" si="11"/>
        <v>#DIV/0!</v>
      </c>
    </row>
    <row r="152" spans="1:8" ht="15" hidden="1" x14ac:dyDescent="0.2">
      <c r="A152" s="2012">
        <v>3636</v>
      </c>
      <c r="B152" s="2013">
        <v>5139</v>
      </c>
      <c r="C152" s="2013">
        <v>38100880</v>
      </c>
      <c r="D152" s="2014" t="s">
        <v>270</v>
      </c>
      <c r="E152" s="2015"/>
      <c r="F152" s="2015"/>
      <c r="G152" s="2015"/>
      <c r="H152" s="2016">
        <v>0</v>
      </c>
    </row>
    <row r="153" spans="1:8" ht="15" hidden="1" x14ac:dyDescent="0.2">
      <c r="A153" s="2012">
        <v>3636</v>
      </c>
      <c r="B153" s="2013">
        <v>5139</v>
      </c>
      <c r="C153" s="2013">
        <v>38500881</v>
      </c>
      <c r="D153" s="2014" t="s">
        <v>270</v>
      </c>
      <c r="E153" s="2015"/>
      <c r="F153" s="2015"/>
      <c r="G153" s="2015"/>
      <c r="H153" s="2016" t="e">
        <f t="shared" ref="H153:H165" si="12">G153/F153*100</f>
        <v>#DIV/0!</v>
      </c>
    </row>
    <row r="154" spans="1:8" ht="15" hidden="1" x14ac:dyDescent="0.2">
      <c r="A154" s="2012">
        <v>3636</v>
      </c>
      <c r="B154" s="2013">
        <v>5162</v>
      </c>
      <c r="C154" s="2013">
        <v>38100880</v>
      </c>
      <c r="D154" s="2014" t="s">
        <v>864</v>
      </c>
      <c r="E154" s="2015"/>
      <c r="F154" s="2015"/>
      <c r="G154" s="2015"/>
      <c r="H154" s="2016" t="e">
        <f t="shared" si="12"/>
        <v>#DIV/0!</v>
      </c>
    </row>
    <row r="155" spans="1:8" ht="15" hidden="1" x14ac:dyDescent="0.2">
      <c r="A155" s="2012">
        <v>3636</v>
      </c>
      <c r="B155" s="2013">
        <v>5162</v>
      </c>
      <c r="C155" s="2013">
        <v>38500881</v>
      </c>
      <c r="D155" s="2014" t="s">
        <v>864</v>
      </c>
      <c r="E155" s="2015"/>
      <c r="F155" s="2015"/>
      <c r="G155" s="2015"/>
      <c r="H155" s="2016" t="e">
        <f t="shared" si="12"/>
        <v>#DIV/0!</v>
      </c>
    </row>
    <row r="156" spans="1:8" ht="15" hidden="1" x14ac:dyDescent="0.2">
      <c r="A156" s="2012">
        <v>3636</v>
      </c>
      <c r="B156" s="2013">
        <v>5164</v>
      </c>
      <c r="C156" s="2013">
        <v>38100880</v>
      </c>
      <c r="D156" s="2014" t="s">
        <v>170</v>
      </c>
      <c r="E156" s="2015"/>
      <c r="F156" s="2015"/>
      <c r="G156" s="2015"/>
      <c r="H156" s="2016" t="e">
        <f t="shared" si="12"/>
        <v>#DIV/0!</v>
      </c>
    </row>
    <row r="157" spans="1:8" ht="15" hidden="1" x14ac:dyDescent="0.2">
      <c r="A157" s="2012">
        <v>3636</v>
      </c>
      <c r="B157" s="2013">
        <v>5164</v>
      </c>
      <c r="C157" s="2013">
        <v>38500881</v>
      </c>
      <c r="D157" s="2014" t="s">
        <v>170</v>
      </c>
      <c r="E157" s="2015"/>
      <c r="F157" s="2015"/>
      <c r="G157" s="2015"/>
      <c r="H157" s="2016" t="e">
        <f t="shared" si="12"/>
        <v>#DIV/0!</v>
      </c>
    </row>
    <row r="158" spans="1:8" ht="30" x14ac:dyDescent="0.2">
      <c r="A158" s="2012">
        <v>3121</v>
      </c>
      <c r="B158" s="2013">
        <v>5336</v>
      </c>
      <c r="C158" s="2017">
        <v>32533019</v>
      </c>
      <c r="D158" s="2014" t="s">
        <v>1263</v>
      </c>
      <c r="E158" s="2015">
        <v>0</v>
      </c>
      <c r="F158" s="2015">
        <f>69+1243</f>
        <v>1312</v>
      </c>
      <c r="G158" s="2015">
        <f>69+1243</f>
        <v>1312</v>
      </c>
      <c r="H158" s="2016">
        <f t="shared" si="12"/>
        <v>100</v>
      </c>
    </row>
    <row r="159" spans="1:8" ht="15" hidden="1" x14ac:dyDescent="0.2">
      <c r="A159" s="2012">
        <v>6223</v>
      </c>
      <c r="B159" s="2013">
        <v>5166</v>
      </c>
      <c r="C159" s="2013">
        <v>41100880</v>
      </c>
      <c r="D159" s="2014" t="s">
        <v>609</v>
      </c>
      <c r="E159" s="2015"/>
      <c r="F159" s="2015"/>
      <c r="G159" s="2015"/>
      <c r="H159" s="2016" t="e">
        <f t="shared" si="12"/>
        <v>#DIV/0!</v>
      </c>
    </row>
    <row r="160" spans="1:8" ht="15" hidden="1" x14ac:dyDescent="0.2">
      <c r="A160" s="2012">
        <v>6223</v>
      </c>
      <c r="B160" s="2013">
        <v>5166</v>
      </c>
      <c r="C160" s="2013">
        <v>41100882</v>
      </c>
      <c r="D160" s="2014" t="s">
        <v>609</v>
      </c>
      <c r="E160" s="2015"/>
      <c r="F160" s="2015"/>
      <c r="G160" s="2015"/>
      <c r="H160" s="2016" t="e">
        <f t="shared" si="12"/>
        <v>#DIV/0!</v>
      </c>
    </row>
    <row r="161" spans="1:8" ht="15" hidden="1" x14ac:dyDescent="0.2">
      <c r="A161" s="2012">
        <v>6223</v>
      </c>
      <c r="B161" s="2013">
        <v>5166</v>
      </c>
      <c r="C161" s="2013">
        <v>41500881</v>
      </c>
      <c r="D161" s="2014" t="s">
        <v>609</v>
      </c>
      <c r="E161" s="2015"/>
      <c r="F161" s="2015"/>
      <c r="G161" s="2015"/>
      <c r="H161" s="2016" t="e">
        <f t="shared" si="12"/>
        <v>#DIV/0!</v>
      </c>
    </row>
    <row r="162" spans="1:8" ht="15" hidden="1" x14ac:dyDescent="0.2">
      <c r="A162" s="2012">
        <v>3636</v>
      </c>
      <c r="B162" s="2013">
        <v>5167</v>
      </c>
      <c r="C162" s="2013">
        <v>38100880</v>
      </c>
      <c r="D162" s="2014" t="s">
        <v>895</v>
      </c>
      <c r="E162" s="2015"/>
      <c r="F162" s="2015"/>
      <c r="G162" s="2015"/>
      <c r="H162" s="2016" t="e">
        <f t="shared" si="12"/>
        <v>#DIV/0!</v>
      </c>
    </row>
    <row r="163" spans="1:8" ht="15" hidden="1" x14ac:dyDescent="0.2">
      <c r="A163" s="2012">
        <v>3636</v>
      </c>
      <c r="B163" s="2013">
        <v>5167</v>
      </c>
      <c r="C163" s="2013">
        <v>38500881</v>
      </c>
      <c r="D163" s="2014" t="s">
        <v>895</v>
      </c>
      <c r="E163" s="2015"/>
      <c r="F163" s="2015"/>
      <c r="G163" s="2015"/>
      <c r="H163" s="2016" t="e">
        <f t="shared" si="12"/>
        <v>#DIV/0!</v>
      </c>
    </row>
    <row r="164" spans="1:8" ht="15" hidden="1" x14ac:dyDescent="0.2">
      <c r="A164" s="2012">
        <v>3636</v>
      </c>
      <c r="B164" s="2013">
        <v>5169</v>
      </c>
      <c r="C164" s="2013">
        <v>38100880</v>
      </c>
      <c r="D164" s="2014" t="s">
        <v>852</v>
      </c>
      <c r="E164" s="2015"/>
      <c r="F164" s="2015"/>
      <c r="G164" s="2015"/>
      <c r="H164" s="2016" t="e">
        <f t="shared" si="12"/>
        <v>#DIV/0!</v>
      </c>
    </row>
    <row r="165" spans="1:8" ht="15" hidden="1" x14ac:dyDescent="0.2">
      <c r="A165" s="2012">
        <v>3636</v>
      </c>
      <c r="B165" s="2013">
        <v>5169</v>
      </c>
      <c r="C165" s="2013">
        <v>38500881</v>
      </c>
      <c r="D165" s="2014" t="s">
        <v>852</v>
      </c>
      <c r="E165" s="2015"/>
      <c r="F165" s="2015"/>
      <c r="G165" s="2015"/>
      <c r="H165" s="2016" t="e">
        <f t="shared" si="12"/>
        <v>#DIV/0!</v>
      </c>
    </row>
    <row r="166" spans="1:8" ht="15" hidden="1" x14ac:dyDescent="0.2">
      <c r="A166" s="2012">
        <v>6223</v>
      </c>
      <c r="B166" s="2013">
        <v>5173</v>
      </c>
      <c r="C166" s="2017">
        <v>0</v>
      </c>
      <c r="D166" s="2014" t="s">
        <v>1152</v>
      </c>
      <c r="E166" s="2015"/>
      <c r="F166" s="2015"/>
      <c r="G166" s="2015"/>
      <c r="H166" s="2016">
        <v>0</v>
      </c>
    </row>
    <row r="167" spans="1:8" ht="15" hidden="1" x14ac:dyDescent="0.2">
      <c r="A167" s="2012">
        <v>3636</v>
      </c>
      <c r="B167" s="2013">
        <v>5173</v>
      </c>
      <c r="C167" s="2013">
        <v>38500881</v>
      </c>
      <c r="D167" s="2014" t="s">
        <v>1152</v>
      </c>
      <c r="E167" s="2015">
        <v>0</v>
      </c>
      <c r="F167" s="2015"/>
      <c r="G167" s="2015"/>
      <c r="H167" s="2016" t="e">
        <f t="shared" ref="H167:H174" si="13">G167/F167*100</f>
        <v>#DIV/0!</v>
      </c>
    </row>
    <row r="168" spans="1:8" ht="15" hidden="1" x14ac:dyDescent="0.2">
      <c r="A168" s="2012">
        <v>3636</v>
      </c>
      <c r="B168" s="2013">
        <v>5175</v>
      </c>
      <c r="C168" s="2013">
        <v>38100880</v>
      </c>
      <c r="D168" s="2014" t="s">
        <v>669</v>
      </c>
      <c r="E168" s="2015">
        <v>0</v>
      </c>
      <c r="F168" s="2015"/>
      <c r="G168" s="2015"/>
      <c r="H168" s="2016" t="e">
        <f t="shared" si="13"/>
        <v>#DIV/0!</v>
      </c>
    </row>
    <row r="169" spans="1:8" ht="15" hidden="1" x14ac:dyDescent="0.2">
      <c r="A169" s="2012">
        <v>3636</v>
      </c>
      <c r="B169" s="2013">
        <v>5175</v>
      </c>
      <c r="C169" s="2013">
        <v>38500881</v>
      </c>
      <c r="D169" s="2014" t="s">
        <v>669</v>
      </c>
      <c r="E169" s="2015">
        <v>0</v>
      </c>
      <c r="F169" s="2015"/>
      <c r="G169" s="2015"/>
      <c r="H169" s="2016" t="e">
        <f t="shared" si="13"/>
        <v>#DIV/0!</v>
      </c>
    </row>
    <row r="170" spans="1:8" ht="15" hidden="1" x14ac:dyDescent="0.2">
      <c r="A170" s="2012">
        <v>3636</v>
      </c>
      <c r="B170" s="2013">
        <v>5176</v>
      </c>
      <c r="C170" s="2013">
        <v>38100880</v>
      </c>
      <c r="D170" s="2014" t="s">
        <v>1247</v>
      </c>
      <c r="E170" s="2015">
        <v>0</v>
      </c>
      <c r="F170" s="2015"/>
      <c r="G170" s="2015"/>
      <c r="H170" s="2016" t="e">
        <f t="shared" si="13"/>
        <v>#DIV/0!</v>
      </c>
    </row>
    <row r="171" spans="1:8" ht="15" hidden="1" x14ac:dyDescent="0.2">
      <c r="A171" s="2012">
        <v>3636</v>
      </c>
      <c r="B171" s="2013">
        <v>5176</v>
      </c>
      <c r="C171" s="2013">
        <v>38500881</v>
      </c>
      <c r="D171" s="2014" t="s">
        <v>1247</v>
      </c>
      <c r="E171" s="2015">
        <v>0</v>
      </c>
      <c r="F171" s="2015"/>
      <c r="G171" s="2015"/>
      <c r="H171" s="2016" t="e">
        <f t="shared" si="13"/>
        <v>#DIV/0!</v>
      </c>
    </row>
    <row r="172" spans="1:8" ht="30" x14ac:dyDescent="0.2">
      <c r="A172" s="2012">
        <v>3121</v>
      </c>
      <c r="B172" s="2013">
        <v>6356</v>
      </c>
      <c r="C172" s="2013">
        <v>32133910</v>
      </c>
      <c r="D172" s="2014" t="s">
        <v>1772</v>
      </c>
      <c r="E172" s="2015">
        <v>0</v>
      </c>
      <c r="F172" s="2015">
        <v>29</v>
      </c>
      <c r="G172" s="2015">
        <v>29</v>
      </c>
      <c r="H172" s="2016">
        <f t="shared" si="13"/>
        <v>100</v>
      </c>
    </row>
    <row r="173" spans="1:8" ht="30.75" thickBot="1" x14ac:dyDescent="0.25">
      <c r="A173" s="2012">
        <v>3121</v>
      </c>
      <c r="B173" s="2013">
        <v>6356</v>
      </c>
      <c r="C173" s="2013">
        <v>32533910</v>
      </c>
      <c r="D173" s="2014" t="s">
        <v>1772</v>
      </c>
      <c r="E173" s="2015">
        <v>0</v>
      </c>
      <c r="F173" s="2015">
        <v>162</v>
      </c>
      <c r="G173" s="2015">
        <v>162</v>
      </c>
      <c r="H173" s="2018">
        <f t="shared" si="13"/>
        <v>100</v>
      </c>
    </row>
    <row r="174" spans="1:8" ht="16.5" thickTop="1" thickBot="1" x14ac:dyDescent="0.3">
      <c r="A174" s="2751" t="s">
        <v>763</v>
      </c>
      <c r="B174" s="2752"/>
      <c r="C174" s="2752"/>
      <c r="D174" s="2752"/>
      <c r="E174" s="1818">
        <f>SUM(E144:E173)</f>
        <v>0</v>
      </c>
      <c r="F174" s="1818">
        <f>SUM(F144:F173)</f>
        <v>1734</v>
      </c>
      <c r="G174" s="1818">
        <f>SUM(G144:G173)</f>
        <v>1734</v>
      </c>
      <c r="H174" s="1822">
        <f t="shared" si="13"/>
        <v>100</v>
      </c>
    </row>
    <row r="175" spans="1:8" ht="13.5" thickTop="1" x14ac:dyDescent="0.2"/>
    <row r="176" spans="1:8" ht="12" customHeight="1" x14ac:dyDescent="0.25">
      <c r="A176" s="2760" t="s">
        <v>1773</v>
      </c>
      <c r="B176" s="2761"/>
      <c r="C176" s="2761"/>
      <c r="D176" s="2761"/>
      <c r="E176" s="2761"/>
      <c r="F176" s="2761"/>
      <c r="G176" s="2761"/>
      <c r="H176" s="2761"/>
    </row>
    <row r="177" spans="1:8" ht="15.75" thickBot="1" x14ac:dyDescent="0.3">
      <c r="A177" s="1979" t="s">
        <v>1270</v>
      </c>
      <c r="B177" s="1993"/>
      <c r="C177" s="1993"/>
      <c r="E177" s="1994"/>
      <c r="F177" s="1994"/>
      <c r="G177" s="1994"/>
      <c r="H177" s="1995" t="s">
        <v>161</v>
      </c>
    </row>
    <row r="178" spans="1:8" ht="25.5" thickTop="1" thickBot="1" x14ac:dyDescent="0.25">
      <c r="A178" s="1809" t="s">
        <v>162</v>
      </c>
      <c r="B178" s="1810" t="s">
        <v>761</v>
      </c>
      <c r="C178" s="1810" t="s">
        <v>377</v>
      </c>
      <c r="D178" s="1811" t="s">
        <v>164</v>
      </c>
      <c r="E178" s="1833" t="s">
        <v>632</v>
      </c>
      <c r="F178" s="1833" t="s">
        <v>633</v>
      </c>
      <c r="G178" s="1834" t="s">
        <v>882</v>
      </c>
      <c r="H178" s="1835" t="s">
        <v>883</v>
      </c>
    </row>
    <row r="179" spans="1:8" ht="14.25" thickTop="1" thickBot="1" x14ac:dyDescent="0.25">
      <c r="A179" s="1643">
        <v>1</v>
      </c>
      <c r="B179" s="1642">
        <v>2</v>
      </c>
      <c r="C179" s="1642">
        <v>3</v>
      </c>
      <c r="D179" s="1642">
        <v>4</v>
      </c>
      <c r="E179" s="1641">
        <v>5</v>
      </c>
      <c r="F179" s="1641">
        <v>6</v>
      </c>
      <c r="G179" s="1877">
        <v>7</v>
      </c>
      <c r="H179" s="1901" t="s">
        <v>61</v>
      </c>
    </row>
    <row r="180" spans="1:8" ht="15.75" hidden="1" thickTop="1" x14ac:dyDescent="0.2">
      <c r="A180" s="2007">
        <v>3636</v>
      </c>
      <c r="B180" s="2008">
        <v>5011</v>
      </c>
      <c r="C180" s="2017">
        <v>0</v>
      </c>
      <c r="D180" s="2009" t="s">
        <v>206</v>
      </c>
      <c r="E180" s="2010">
        <v>0</v>
      </c>
      <c r="F180" s="2010">
        <v>0</v>
      </c>
      <c r="G180" s="2010">
        <v>0</v>
      </c>
      <c r="H180" s="2011" t="e">
        <f t="shared" ref="H180:H187" si="14">G180/F180*100</f>
        <v>#DIV/0!</v>
      </c>
    </row>
    <row r="181" spans="1:8" ht="15.75" hidden="1" thickTop="1" x14ac:dyDescent="0.2">
      <c r="A181" s="2012">
        <v>3636</v>
      </c>
      <c r="B181" s="2013">
        <v>5011</v>
      </c>
      <c r="C181" s="2013">
        <v>38500881</v>
      </c>
      <c r="D181" s="2014" t="s">
        <v>206</v>
      </c>
      <c r="E181" s="2015">
        <v>0</v>
      </c>
      <c r="F181" s="2015">
        <v>0</v>
      </c>
      <c r="G181" s="2015">
        <v>0</v>
      </c>
      <c r="H181" s="2016" t="e">
        <f t="shared" si="14"/>
        <v>#DIV/0!</v>
      </c>
    </row>
    <row r="182" spans="1:8" ht="30.75" thickTop="1" x14ac:dyDescent="0.2">
      <c r="A182" s="2012">
        <v>3122</v>
      </c>
      <c r="B182" s="2013">
        <v>5336</v>
      </c>
      <c r="C182" s="2017">
        <v>32133019</v>
      </c>
      <c r="D182" s="2014" t="s">
        <v>1263</v>
      </c>
      <c r="E182" s="2015">
        <v>0</v>
      </c>
      <c r="F182" s="2015">
        <f>17+212</f>
        <v>229</v>
      </c>
      <c r="G182" s="2015">
        <f>17+212</f>
        <v>229</v>
      </c>
      <c r="H182" s="2016">
        <f t="shared" si="14"/>
        <v>100</v>
      </c>
    </row>
    <row r="183" spans="1:8" ht="15" hidden="1" x14ac:dyDescent="0.2">
      <c r="A183" s="2012">
        <v>3636</v>
      </c>
      <c r="B183" s="2013">
        <v>5021</v>
      </c>
      <c r="C183" s="2013">
        <v>38500881</v>
      </c>
      <c r="D183" s="2014" t="s">
        <v>389</v>
      </c>
      <c r="E183" s="2015"/>
      <c r="F183" s="2015"/>
      <c r="G183" s="2015"/>
      <c r="H183" s="2016" t="e">
        <f t="shared" si="14"/>
        <v>#DIV/0!</v>
      </c>
    </row>
    <row r="184" spans="1:8" ht="30" hidden="1" x14ac:dyDescent="0.2">
      <c r="A184" s="2012">
        <v>3636</v>
      </c>
      <c r="B184" s="2013">
        <v>5031</v>
      </c>
      <c r="C184" s="2013">
        <v>38100880</v>
      </c>
      <c r="D184" s="2014" t="s">
        <v>1299</v>
      </c>
      <c r="E184" s="2015"/>
      <c r="F184" s="2015"/>
      <c r="G184" s="2015"/>
      <c r="H184" s="2016" t="e">
        <f t="shared" si="14"/>
        <v>#DIV/0!</v>
      </c>
    </row>
    <row r="185" spans="1:8" ht="30" hidden="1" x14ac:dyDescent="0.2">
      <c r="A185" s="2012">
        <v>3636</v>
      </c>
      <c r="B185" s="2013">
        <v>5031</v>
      </c>
      <c r="C185" s="2013">
        <v>38500881</v>
      </c>
      <c r="D185" s="2014" t="s">
        <v>1299</v>
      </c>
      <c r="E185" s="2015"/>
      <c r="F185" s="2015"/>
      <c r="G185" s="2015"/>
      <c r="H185" s="2016" t="e">
        <f t="shared" si="14"/>
        <v>#DIV/0!</v>
      </c>
    </row>
    <row r="186" spans="1:8" ht="30" hidden="1" x14ac:dyDescent="0.2">
      <c r="A186" s="2012">
        <v>3636</v>
      </c>
      <c r="B186" s="2013">
        <v>5032</v>
      </c>
      <c r="C186" s="2013">
        <v>38100880</v>
      </c>
      <c r="D186" s="2014" t="s">
        <v>1177</v>
      </c>
      <c r="E186" s="2015"/>
      <c r="F186" s="2015"/>
      <c r="G186" s="2015"/>
      <c r="H186" s="2016" t="e">
        <f t="shared" si="14"/>
        <v>#DIV/0!</v>
      </c>
    </row>
    <row r="187" spans="1:8" ht="30" hidden="1" x14ac:dyDescent="0.2">
      <c r="A187" s="2012">
        <v>3636</v>
      </c>
      <c r="B187" s="2013">
        <v>5032</v>
      </c>
      <c r="C187" s="2013">
        <v>38500881</v>
      </c>
      <c r="D187" s="2014" t="s">
        <v>1177</v>
      </c>
      <c r="E187" s="2015"/>
      <c r="F187" s="2015"/>
      <c r="G187" s="2015"/>
      <c r="H187" s="2016" t="e">
        <f t="shared" si="14"/>
        <v>#DIV/0!</v>
      </c>
    </row>
    <row r="188" spans="1:8" ht="15" hidden="1" x14ac:dyDescent="0.2">
      <c r="A188" s="2012">
        <v>3636</v>
      </c>
      <c r="B188" s="2013">
        <v>5139</v>
      </c>
      <c r="C188" s="2013">
        <v>38100880</v>
      </c>
      <c r="D188" s="2014" t="s">
        <v>270</v>
      </c>
      <c r="E188" s="2015"/>
      <c r="F188" s="2015"/>
      <c r="G188" s="2015"/>
      <c r="H188" s="2016">
        <v>0</v>
      </c>
    </row>
    <row r="189" spans="1:8" ht="15" hidden="1" x14ac:dyDescent="0.2">
      <c r="A189" s="2012">
        <v>3636</v>
      </c>
      <c r="B189" s="2013">
        <v>5139</v>
      </c>
      <c r="C189" s="2013">
        <v>38500881</v>
      </c>
      <c r="D189" s="2014" t="s">
        <v>270</v>
      </c>
      <c r="E189" s="2015"/>
      <c r="F189" s="2015"/>
      <c r="G189" s="2015"/>
      <c r="H189" s="2016" t="e">
        <f t="shared" ref="H189:H201" si="15">G189/F189*100</f>
        <v>#DIV/0!</v>
      </c>
    </row>
    <row r="190" spans="1:8" ht="15" hidden="1" x14ac:dyDescent="0.2">
      <c r="A190" s="2012">
        <v>3636</v>
      </c>
      <c r="B190" s="2013">
        <v>5162</v>
      </c>
      <c r="C190" s="2013">
        <v>38100880</v>
      </c>
      <c r="D190" s="2014" t="s">
        <v>864</v>
      </c>
      <c r="E190" s="2015"/>
      <c r="F190" s="2015"/>
      <c r="G190" s="2015"/>
      <c r="H190" s="2016" t="e">
        <f t="shared" si="15"/>
        <v>#DIV/0!</v>
      </c>
    </row>
    <row r="191" spans="1:8" ht="15" hidden="1" x14ac:dyDescent="0.2">
      <c r="A191" s="2012">
        <v>3636</v>
      </c>
      <c r="B191" s="2013">
        <v>5162</v>
      </c>
      <c r="C191" s="2013">
        <v>38500881</v>
      </c>
      <c r="D191" s="2014" t="s">
        <v>864</v>
      </c>
      <c r="E191" s="2015"/>
      <c r="F191" s="2015"/>
      <c r="G191" s="2015"/>
      <c r="H191" s="2016" t="e">
        <f t="shared" si="15"/>
        <v>#DIV/0!</v>
      </c>
    </row>
    <row r="192" spans="1:8" ht="15" hidden="1" x14ac:dyDescent="0.2">
      <c r="A192" s="2012">
        <v>3636</v>
      </c>
      <c r="B192" s="2013">
        <v>5164</v>
      </c>
      <c r="C192" s="2013">
        <v>38100880</v>
      </c>
      <c r="D192" s="2014" t="s">
        <v>170</v>
      </c>
      <c r="E192" s="2015"/>
      <c r="F192" s="2015"/>
      <c r="G192" s="2015"/>
      <c r="H192" s="2016" t="e">
        <f t="shared" si="15"/>
        <v>#DIV/0!</v>
      </c>
    </row>
    <row r="193" spans="1:8" ht="15" hidden="1" x14ac:dyDescent="0.2">
      <c r="A193" s="2012">
        <v>3636</v>
      </c>
      <c r="B193" s="2013">
        <v>5164</v>
      </c>
      <c r="C193" s="2013">
        <v>38500881</v>
      </c>
      <c r="D193" s="2014" t="s">
        <v>170</v>
      </c>
      <c r="E193" s="2015"/>
      <c r="F193" s="2015"/>
      <c r="G193" s="2015"/>
      <c r="H193" s="2016" t="e">
        <f t="shared" si="15"/>
        <v>#DIV/0!</v>
      </c>
    </row>
    <row r="194" spans="1:8" ht="30" x14ac:dyDescent="0.2">
      <c r="A194" s="2012">
        <v>3122</v>
      </c>
      <c r="B194" s="2013">
        <v>5336</v>
      </c>
      <c r="C194" s="2017">
        <v>32533019</v>
      </c>
      <c r="D194" s="2014" t="s">
        <v>1263</v>
      </c>
      <c r="E194" s="2015">
        <v>0</v>
      </c>
      <c r="F194" s="2015">
        <f>93+1203</f>
        <v>1296</v>
      </c>
      <c r="G194" s="2015">
        <f>93+1203</f>
        <v>1296</v>
      </c>
      <c r="H194" s="2016">
        <f t="shared" si="15"/>
        <v>100</v>
      </c>
    </row>
    <row r="195" spans="1:8" ht="15" hidden="1" x14ac:dyDescent="0.2">
      <c r="A195" s="2012">
        <v>3122</v>
      </c>
      <c r="B195" s="2013">
        <v>5166</v>
      </c>
      <c r="C195" s="2013">
        <v>41100880</v>
      </c>
      <c r="D195" s="2014" t="s">
        <v>609</v>
      </c>
      <c r="E195" s="2015"/>
      <c r="F195" s="2015"/>
      <c r="G195" s="2015"/>
      <c r="H195" s="2016" t="e">
        <f t="shared" si="15"/>
        <v>#DIV/0!</v>
      </c>
    </row>
    <row r="196" spans="1:8" ht="15" hidden="1" x14ac:dyDescent="0.2">
      <c r="A196" s="2012">
        <v>3122</v>
      </c>
      <c r="B196" s="2013">
        <v>5166</v>
      </c>
      <c r="C196" s="2013">
        <v>41100882</v>
      </c>
      <c r="D196" s="2014" t="s">
        <v>609</v>
      </c>
      <c r="E196" s="2015"/>
      <c r="F196" s="2015"/>
      <c r="G196" s="2015"/>
      <c r="H196" s="2016" t="e">
        <f t="shared" si="15"/>
        <v>#DIV/0!</v>
      </c>
    </row>
    <row r="197" spans="1:8" ht="15" hidden="1" x14ac:dyDescent="0.2">
      <c r="A197" s="2012">
        <v>3122</v>
      </c>
      <c r="B197" s="2013">
        <v>5166</v>
      </c>
      <c r="C197" s="2013">
        <v>41500881</v>
      </c>
      <c r="D197" s="2014" t="s">
        <v>609</v>
      </c>
      <c r="E197" s="2015"/>
      <c r="F197" s="2015"/>
      <c r="G197" s="2015"/>
      <c r="H197" s="2016" t="e">
        <f t="shared" si="15"/>
        <v>#DIV/0!</v>
      </c>
    </row>
    <row r="198" spans="1:8" ht="15" hidden="1" x14ac:dyDescent="0.2">
      <c r="A198" s="2012">
        <v>3122</v>
      </c>
      <c r="B198" s="2013">
        <v>5167</v>
      </c>
      <c r="C198" s="2013">
        <v>38100880</v>
      </c>
      <c r="D198" s="2014" t="s">
        <v>895</v>
      </c>
      <c r="E198" s="2015"/>
      <c r="F198" s="2015"/>
      <c r="G198" s="2015"/>
      <c r="H198" s="2016" t="e">
        <f t="shared" si="15"/>
        <v>#DIV/0!</v>
      </c>
    </row>
    <row r="199" spans="1:8" ht="15" hidden="1" x14ac:dyDescent="0.2">
      <c r="A199" s="2012">
        <v>3122</v>
      </c>
      <c r="B199" s="2013">
        <v>5167</v>
      </c>
      <c r="C199" s="2013">
        <v>38500881</v>
      </c>
      <c r="D199" s="2014" t="s">
        <v>895</v>
      </c>
      <c r="E199" s="2015"/>
      <c r="F199" s="2015"/>
      <c r="G199" s="2015"/>
      <c r="H199" s="2016" t="e">
        <f t="shared" si="15"/>
        <v>#DIV/0!</v>
      </c>
    </row>
    <row r="200" spans="1:8" ht="15" hidden="1" x14ac:dyDescent="0.2">
      <c r="A200" s="2012">
        <v>3122</v>
      </c>
      <c r="B200" s="2013">
        <v>5169</v>
      </c>
      <c r="C200" s="2013">
        <v>38100880</v>
      </c>
      <c r="D200" s="2014" t="s">
        <v>852</v>
      </c>
      <c r="E200" s="2015"/>
      <c r="F200" s="2015"/>
      <c r="G200" s="2015"/>
      <c r="H200" s="2016" t="e">
        <f t="shared" si="15"/>
        <v>#DIV/0!</v>
      </c>
    </row>
    <row r="201" spans="1:8" ht="15" hidden="1" x14ac:dyDescent="0.2">
      <c r="A201" s="2012">
        <v>3122</v>
      </c>
      <c r="B201" s="2013">
        <v>5169</v>
      </c>
      <c r="C201" s="2013">
        <v>38500881</v>
      </c>
      <c r="D201" s="2014" t="s">
        <v>852</v>
      </c>
      <c r="E201" s="2015"/>
      <c r="F201" s="2015"/>
      <c r="G201" s="2015"/>
      <c r="H201" s="2016" t="e">
        <f t="shared" si="15"/>
        <v>#DIV/0!</v>
      </c>
    </row>
    <row r="202" spans="1:8" ht="15" hidden="1" x14ac:dyDescent="0.2">
      <c r="A202" s="2012">
        <v>3122</v>
      </c>
      <c r="B202" s="2013">
        <v>5173</v>
      </c>
      <c r="C202" s="2017">
        <v>0</v>
      </c>
      <c r="D202" s="2014" t="s">
        <v>1152</v>
      </c>
      <c r="E202" s="2015"/>
      <c r="F202" s="2015"/>
      <c r="G202" s="2015"/>
      <c r="H202" s="2016">
        <v>0</v>
      </c>
    </row>
    <row r="203" spans="1:8" ht="15" hidden="1" x14ac:dyDescent="0.2">
      <c r="A203" s="2012">
        <v>3122</v>
      </c>
      <c r="B203" s="2013">
        <v>5173</v>
      </c>
      <c r="C203" s="2013">
        <v>38500881</v>
      </c>
      <c r="D203" s="2014" t="s">
        <v>1152</v>
      </c>
      <c r="E203" s="2015">
        <v>0</v>
      </c>
      <c r="F203" s="2015"/>
      <c r="G203" s="2015"/>
      <c r="H203" s="2016" t="e">
        <f t="shared" ref="H203:H210" si="16">G203/F203*100</f>
        <v>#DIV/0!</v>
      </c>
    </row>
    <row r="204" spans="1:8" ht="15" hidden="1" x14ac:dyDescent="0.2">
      <c r="A204" s="2012">
        <v>3122</v>
      </c>
      <c r="B204" s="2013">
        <v>5175</v>
      </c>
      <c r="C204" s="2013">
        <v>38100880</v>
      </c>
      <c r="D204" s="2014" t="s">
        <v>669</v>
      </c>
      <c r="E204" s="2015">
        <v>0</v>
      </c>
      <c r="F204" s="2015"/>
      <c r="G204" s="2015"/>
      <c r="H204" s="2016" t="e">
        <f t="shared" si="16"/>
        <v>#DIV/0!</v>
      </c>
    </row>
    <row r="205" spans="1:8" ht="15" hidden="1" x14ac:dyDescent="0.2">
      <c r="A205" s="2012">
        <v>3122</v>
      </c>
      <c r="B205" s="2013">
        <v>5175</v>
      </c>
      <c r="C205" s="2013">
        <v>38500881</v>
      </c>
      <c r="D205" s="2014" t="s">
        <v>669</v>
      </c>
      <c r="E205" s="2015">
        <v>0</v>
      </c>
      <c r="F205" s="2015"/>
      <c r="G205" s="2015"/>
      <c r="H205" s="2016" t="e">
        <f t="shared" si="16"/>
        <v>#DIV/0!</v>
      </c>
    </row>
    <row r="206" spans="1:8" ht="15" hidden="1" x14ac:dyDescent="0.2">
      <c r="A206" s="2012">
        <v>3122</v>
      </c>
      <c r="B206" s="2013">
        <v>5176</v>
      </c>
      <c r="C206" s="2013">
        <v>38100880</v>
      </c>
      <c r="D206" s="2014" t="s">
        <v>1247</v>
      </c>
      <c r="E206" s="2015">
        <v>0</v>
      </c>
      <c r="F206" s="2015"/>
      <c r="G206" s="2015"/>
      <c r="H206" s="2016" t="e">
        <f t="shared" si="16"/>
        <v>#DIV/0!</v>
      </c>
    </row>
    <row r="207" spans="1:8" ht="15" hidden="1" x14ac:dyDescent="0.2">
      <c r="A207" s="2012">
        <v>3122</v>
      </c>
      <c r="B207" s="2013">
        <v>5176</v>
      </c>
      <c r="C207" s="2013">
        <v>38500881</v>
      </c>
      <c r="D207" s="2014" t="s">
        <v>1247</v>
      </c>
      <c r="E207" s="2015">
        <v>0</v>
      </c>
      <c r="F207" s="2015"/>
      <c r="G207" s="2015"/>
      <c r="H207" s="2016" t="e">
        <f t="shared" si="16"/>
        <v>#DIV/0!</v>
      </c>
    </row>
    <row r="208" spans="1:8" ht="30" x14ac:dyDescent="0.2">
      <c r="A208" s="2012">
        <v>3122</v>
      </c>
      <c r="B208" s="2013">
        <v>6356</v>
      </c>
      <c r="C208" s="2013">
        <v>32133910</v>
      </c>
      <c r="D208" s="2014" t="s">
        <v>1772</v>
      </c>
      <c r="E208" s="2015">
        <v>0</v>
      </c>
      <c r="F208" s="2015">
        <v>89</v>
      </c>
      <c r="G208" s="2015">
        <v>83</v>
      </c>
      <c r="H208" s="2016">
        <f t="shared" si="16"/>
        <v>93.258426966292134</v>
      </c>
    </row>
    <row r="209" spans="1:8" ht="30.75" thickBot="1" x14ac:dyDescent="0.25">
      <c r="A209" s="2012">
        <v>3122</v>
      </c>
      <c r="B209" s="2013">
        <v>6356</v>
      </c>
      <c r="C209" s="2013">
        <v>32533910</v>
      </c>
      <c r="D209" s="2014" t="s">
        <v>1772</v>
      </c>
      <c r="E209" s="2015">
        <v>0</v>
      </c>
      <c r="F209" s="2015">
        <v>504</v>
      </c>
      <c r="G209" s="2015">
        <v>470</v>
      </c>
      <c r="H209" s="2018">
        <f t="shared" si="16"/>
        <v>93.253968253968253</v>
      </c>
    </row>
    <row r="210" spans="1:8" ht="16.5" thickTop="1" thickBot="1" x14ac:dyDescent="0.3">
      <c r="A210" s="2751" t="s">
        <v>763</v>
      </c>
      <c r="B210" s="2752"/>
      <c r="C210" s="2752"/>
      <c r="D210" s="2752"/>
      <c r="E210" s="1818">
        <f>SUM(E180:E209)</f>
        <v>0</v>
      </c>
      <c r="F210" s="1818">
        <f>SUM(F180:F209)</f>
        <v>2118</v>
      </c>
      <c r="G210" s="1818">
        <f>SUM(G180:G209)</f>
        <v>2078</v>
      </c>
      <c r="H210" s="1822">
        <f t="shared" si="16"/>
        <v>98.111425873465535</v>
      </c>
    </row>
    <row r="211" spans="1:8" ht="13.5" thickTop="1" x14ac:dyDescent="0.2"/>
    <row r="212" spans="1:8" ht="12" customHeight="1" x14ac:dyDescent="0.25">
      <c r="A212" s="2760" t="s">
        <v>1774</v>
      </c>
      <c r="B212" s="2761"/>
      <c r="C212" s="2761"/>
      <c r="D212" s="2761"/>
      <c r="E212" s="2761"/>
      <c r="F212" s="2761"/>
      <c r="G212" s="2761"/>
      <c r="H212" s="2761"/>
    </row>
    <row r="213" spans="1:8" ht="15.75" thickBot="1" x14ac:dyDescent="0.3">
      <c r="A213" s="1979" t="s">
        <v>1272</v>
      </c>
      <c r="B213" s="1993"/>
      <c r="C213" s="1993"/>
      <c r="E213" s="1994"/>
      <c r="F213" s="1994"/>
      <c r="G213" s="1994"/>
      <c r="H213" s="1995" t="s">
        <v>161</v>
      </c>
    </row>
    <row r="214" spans="1:8" ht="25.5" thickTop="1" thickBot="1" x14ac:dyDescent="0.25">
      <c r="A214" s="1809" t="s">
        <v>162</v>
      </c>
      <c r="B214" s="1810" t="s">
        <v>761</v>
      </c>
      <c r="C214" s="1810" t="s">
        <v>377</v>
      </c>
      <c r="D214" s="1811" t="s">
        <v>164</v>
      </c>
      <c r="E214" s="1833" t="s">
        <v>632</v>
      </c>
      <c r="F214" s="1833" t="s">
        <v>633</v>
      </c>
      <c r="G214" s="1834" t="s">
        <v>882</v>
      </c>
      <c r="H214" s="1835" t="s">
        <v>883</v>
      </c>
    </row>
    <row r="215" spans="1:8" ht="14.25" thickTop="1" thickBot="1" x14ac:dyDescent="0.25">
      <c r="A215" s="1643">
        <v>1</v>
      </c>
      <c r="B215" s="1642">
        <v>2</v>
      </c>
      <c r="C215" s="1642">
        <v>3</v>
      </c>
      <c r="D215" s="1642">
        <v>4</v>
      </c>
      <c r="E215" s="1641">
        <v>5</v>
      </c>
      <c r="F215" s="1641">
        <v>6</v>
      </c>
      <c r="G215" s="1877">
        <v>7</v>
      </c>
      <c r="H215" s="1901" t="s">
        <v>61</v>
      </c>
    </row>
    <row r="216" spans="1:8" ht="15.75" hidden="1" thickTop="1" x14ac:dyDescent="0.2">
      <c r="A216" s="2007">
        <v>3636</v>
      </c>
      <c r="B216" s="2008">
        <v>5011</v>
      </c>
      <c r="C216" s="2017">
        <v>0</v>
      </c>
      <c r="D216" s="2009" t="s">
        <v>206</v>
      </c>
      <c r="E216" s="2010">
        <v>0</v>
      </c>
      <c r="F216" s="2010">
        <v>0</v>
      </c>
      <c r="G216" s="2010">
        <v>0</v>
      </c>
      <c r="H216" s="2011" t="e">
        <f t="shared" ref="H216:H223" si="17">G216/F216*100</f>
        <v>#DIV/0!</v>
      </c>
    </row>
    <row r="217" spans="1:8" ht="15.75" hidden="1" thickTop="1" x14ac:dyDescent="0.2">
      <c r="A217" s="2012">
        <v>3636</v>
      </c>
      <c r="B217" s="2013">
        <v>5011</v>
      </c>
      <c r="C217" s="2013">
        <v>38500881</v>
      </c>
      <c r="D217" s="2014" t="s">
        <v>206</v>
      </c>
      <c r="E217" s="2015">
        <v>0</v>
      </c>
      <c r="F217" s="2015">
        <v>0</v>
      </c>
      <c r="G217" s="2015">
        <v>0</v>
      </c>
      <c r="H217" s="2016" t="e">
        <f t="shared" si="17"/>
        <v>#DIV/0!</v>
      </c>
    </row>
    <row r="218" spans="1:8" ht="30.75" thickTop="1" x14ac:dyDescent="0.2">
      <c r="A218" s="2012">
        <v>3122</v>
      </c>
      <c r="B218" s="2013">
        <v>5336</v>
      </c>
      <c r="C218" s="2017">
        <v>32133019</v>
      </c>
      <c r="D218" s="2014" t="s">
        <v>1263</v>
      </c>
      <c r="E218" s="2015">
        <v>0</v>
      </c>
      <c r="F218" s="2015">
        <f>14+284</f>
        <v>298</v>
      </c>
      <c r="G218" s="2015">
        <f>14+284</f>
        <v>298</v>
      </c>
      <c r="H218" s="2016">
        <f t="shared" si="17"/>
        <v>100</v>
      </c>
    </row>
    <row r="219" spans="1:8" ht="15" hidden="1" x14ac:dyDescent="0.2">
      <c r="A219" s="2012">
        <v>3636</v>
      </c>
      <c r="B219" s="2013">
        <v>5021</v>
      </c>
      <c r="C219" s="2013">
        <v>38500881</v>
      </c>
      <c r="D219" s="2014" t="s">
        <v>389</v>
      </c>
      <c r="E219" s="2015"/>
      <c r="F219" s="2015"/>
      <c r="G219" s="2015"/>
      <c r="H219" s="2016" t="e">
        <f t="shared" si="17"/>
        <v>#DIV/0!</v>
      </c>
    </row>
    <row r="220" spans="1:8" ht="30" hidden="1" x14ac:dyDescent="0.2">
      <c r="A220" s="2012">
        <v>3636</v>
      </c>
      <c r="B220" s="2013">
        <v>5031</v>
      </c>
      <c r="C220" s="2013">
        <v>38100880</v>
      </c>
      <c r="D220" s="2014" t="s">
        <v>1299</v>
      </c>
      <c r="E220" s="2015"/>
      <c r="F220" s="2015"/>
      <c r="G220" s="2015"/>
      <c r="H220" s="2016" t="e">
        <f t="shared" si="17"/>
        <v>#DIV/0!</v>
      </c>
    </row>
    <row r="221" spans="1:8" ht="30" hidden="1" x14ac:dyDescent="0.2">
      <c r="A221" s="2012">
        <v>3636</v>
      </c>
      <c r="B221" s="2013">
        <v>5031</v>
      </c>
      <c r="C221" s="2013">
        <v>38500881</v>
      </c>
      <c r="D221" s="2014" t="s">
        <v>1299</v>
      </c>
      <c r="E221" s="2015"/>
      <c r="F221" s="2015"/>
      <c r="G221" s="2015"/>
      <c r="H221" s="2016" t="e">
        <f t="shared" si="17"/>
        <v>#DIV/0!</v>
      </c>
    </row>
    <row r="222" spans="1:8" ht="30" hidden="1" x14ac:dyDescent="0.2">
      <c r="A222" s="2012">
        <v>3636</v>
      </c>
      <c r="B222" s="2013">
        <v>5032</v>
      </c>
      <c r="C222" s="2013">
        <v>38100880</v>
      </c>
      <c r="D222" s="2014" t="s">
        <v>1177</v>
      </c>
      <c r="E222" s="2015"/>
      <c r="F222" s="2015"/>
      <c r="G222" s="2015"/>
      <c r="H222" s="2016" t="e">
        <f t="shared" si="17"/>
        <v>#DIV/0!</v>
      </c>
    </row>
    <row r="223" spans="1:8" ht="30" hidden="1" x14ac:dyDescent="0.2">
      <c r="A223" s="2012">
        <v>3636</v>
      </c>
      <c r="B223" s="2013">
        <v>5032</v>
      </c>
      <c r="C223" s="2013">
        <v>38500881</v>
      </c>
      <c r="D223" s="2014" t="s">
        <v>1177</v>
      </c>
      <c r="E223" s="2015"/>
      <c r="F223" s="2015"/>
      <c r="G223" s="2015"/>
      <c r="H223" s="2016" t="e">
        <f t="shared" si="17"/>
        <v>#DIV/0!</v>
      </c>
    </row>
    <row r="224" spans="1:8" ht="15" hidden="1" x14ac:dyDescent="0.2">
      <c r="A224" s="2012">
        <v>3636</v>
      </c>
      <c r="B224" s="2013">
        <v>5139</v>
      </c>
      <c r="C224" s="2013">
        <v>38100880</v>
      </c>
      <c r="D224" s="2014" t="s">
        <v>270</v>
      </c>
      <c r="E224" s="2015"/>
      <c r="F224" s="2015"/>
      <c r="G224" s="2015"/>
      <c r="H224" s="2016">
        <v>0</v>
      </c>
    </row>
    <row r="225" spans="1:8" ht="15" hidden="1" x14ac:dyDescent="0.2">
      <c r="A225" s="2012">
        <v>3636</v>
      </c>
      <c r="B225" s="2013">
        <v>5139</v>
      </c>
      <c r="C225" s="2013">
        <v>38500881</v>
      </c>
      <c r="D225" s="2014" t="s">
        <v>270</v>
      </c>
      <c r="E225" s="2015"/>
      <c r="F225" s="2015"/>
      <c r="G225" s="2015"/>
      <c r="H225" s="2016" t="e">
        <f t="shared" ref="H225:H237" si="18">G225/F225*100</f>
        <v>#DIV/0!</v>
      </c>
    </row>
    <row r="226" spans="1:8" ht="15" hidden="1" x14ac:dyDescent="0.2">
      <c r="A226" s="2012">
        <v>3636</v>
      </c>
      <c r="B226" s="2013">
        <v>5162</v>
      </c>
      <c r="C226" s="2013">
        <v>38100880</v>
      </c>
      <c r="D226" s="2014" t="s">
        <v>864</v>
      </c>
      <c r="E226" s="2015"/>
      <c r="F226" s="2015"/>
      <c r="G226" s="2015"/>
      <c r="H226" s="2016" t="e">
        <f t="shared" si="18"/>
        <v>#DIV/0!</v>
      </c>
    </row>
    <row r="227" spans="1:8" ht="15" hidden="1" x14ac:dyDescent="0.2">
      <c r="A227" s="2012">
        <v>3636</v>
      </c>
      <c r="B227" s="2013">
        <v>5162</v>
      </c>
      <c r="C227" s="2013">
        <v>38500881</v>
      </c>
      <c r="D227" s="2014" t="s">
        <v>864</v>
      </c>
      <c r="E227" s="2015"/>
      <c r="F227" s="2015"/>
      <c r="G227" s="2015"/>
      <c r="H227" s="2016" t="e">
        <f t="shared" si="18"/>
        <v>#DIV/0!</v>
      </c>
    </row>
    <row r="228" spans="1:8" ht="15" hidden="1" x14ac:dyDescent="0.2">
      <c r="A228" s="2012">
        <v>3636</v>
      </c>
      <c r="B228" s="2013">
        <v>5164</v>
      </c>
      <c r="C228" s="2013">
        <v>38100880</v>
      </c>
      <c r="D228" s="2014" t="s">
        <v>170</v>
      </c>
      <c r="E228" s="2015"/>
      <c r="F228" s="2015"/>
      <c r="G228" s="2015"/>
      <c r="H228" s="2016" t="e">
        <f t="shared" si="18"/>
        <v>#DIV/0!</v>
      </c>
    </row>
    <row r="229" spans="1:8" ht="15" hidden="1" x14ac:dyDescent="0.2">
      <c r="A229" s="2012">
        <v>3636</v>
      </c>
      <c r="B229" s="2013">
        <v>5164</v>
      </c>
      <c r="C229" s="2013">
        <v>38500881</v>
      </c>
      <c r="D229" s="2014" t="s">
        <v>170</v>
      </c>
      <c r="E229" s="2015"/>
      <c r="F229" s="2015"/>
      <c r="G229" s="2015"/>
      <c r="H229" s="2016" t="e">
        <f t="shared" si="18"/>
        <v>#DIV/0!</v>
      </c>
    </row>
    <row r="230" spans="1:8" ht="30" x14ac:dyDescent="0.2">
      <c r="A230" s="2012">
        <v>3122</v>
      </c>
      <c r="B230" s="2013">
        <v>5336</v>
      </c>
      <c r="C230" s="2017">
        <v>32533019</v>
      </c>
      <c r="D230" s="2014" t="s">
        <v>1263</v>
      </c>
      <c r="E230" s="2015">
        <v>0</v>
      </c>
      <c r="F230" s="2015">
        <f>80+1609</f>
        <v>1689</v>
      </c>
      <c r="G230" s="2015">
        <f>80+1609</f>
        <v>1689</v>
      </c>
      <c r="H230" s="2016">
        <f t="shared" si="18"/>
        <v>100</v>
      </c>
    </row>
    <row r="231" spans="1:8" ht="15" hidden="1" x14ac:dyDescent="0.2">
      <c r="A231" s="2012">
        <v>3122</v>
      </c>
      <c r="B231" s="2013">
        <v>5166</v>
      </c>
      <c r="C231" s="2013">
        <v>41100880</v>
      </c>
      <c r="D231" s="2014" t="s">
        <v>609</v>
      </c>
      <c r="E231" s="2015"/>
      <c r="F231" s="2015"/>
      <c r="G231" s="2015"/>
      <c r="H231" s="2016" t="e">
        <f t="shared" si="18"/>
        <v>#DIV/0!</v>
      </c>
    </row>
    <row r="232" spans="1:8" ht="15" hidden="1" x14ac:dyDescent="0.2">
      <c r="A232" s="2012">
        <v>3122</v>
      </c>
      <c r="B232" s="2013">
        <v>5166</v>
      </c>
      <c r="C232" s="2013">
        <v>41100882</v>
      </c>
      <c r="D232" s="2014" t="s">
        <v>609</v>
      </c>
      <c r="E232" s="2015"/>
      <c r="F232" s="2015"/>
      <c r="G232" s="2015"/>
      <c r="H232" s="2016" t="e">
        <f t="shared" si="18"/>
        <v>#DIV/0!</v>
      </c>
    </row>
    <row r="233" spans="1:8" ht="15" hidden="1" x14ac:dyDescent="0.2">
      <c r="A233" s="2012">
        <v>3122</v>
      </c>
      <c r="B233" s="2013">
        <v>5166</v>
      </c>
      <c r="C233" s="2013">
        <v>41500881</v>
      </c>
      <c r="D233" s="2014" t="s">
        <v>609</v>
      </c>
      <c r="E233" s="2015"/>
      <c r="F233" s="2015"/>
      <c r="G233" s="2015"/>
      <c r="H233" s="2016" t="e">
        <f t="shared" si="18"/>
        <v>#DIV/0!</v>
      </c>
    </row>
    <row r="234" spans="1:8" ht="15" hidden="1" x14ac:dyDescent="0.2">
      <c r="A234" s="2012">
        <v>3122</v>
      </c>
      <c r="B234" s="2013">
        <v>5167</v>
      </c>
      <c r="C234" s="2013">
        <v>38100880</v>
      </c>
      <c r="D234" s="2014" t="s">
        <v>895</v>
      </c>
      <c r="E234" s="2015"/>
      <c r="F234" s="2015"/>
      <c r="G234" s="2015"/>
      <c r="H234" s="2016" t="e">
        <f t="shared" si="18"/>
        <v>#DIV/0!</v>
      </c>
    </row>
    <row r="235" spans="1:8" ht="15" hidden="1" x14ac:dyDescent="0.2">
      <c r="A235" s="2012">
        <v>3122</v>
      </c>
      <c r="B235" s="2013">
        <v>5167</v>
      </c>
      <c r="C235" s="2013">
        <v>38500881</v>
      </c>
      <c r="D235" s="2014" t="s">
        <v>895</v>
      </c>
      <c r="E235" s="2015"/>
      <c r="F235" s="2015"/>
      <c r="G235" s="2015"/>
      <c r="H235" s="2016" t="e">
        <f t="shared" si="18"/>
        <v>#DIV/0!</v>
      </c>
    </row>
    <row r="236" spans="1:8" ht="15" hidden="1" x14ac:dyDescent="0.2">
      <c r="A236" s="2012">
        <v>3122</v>
      </c>
      <c r="B236" s="2013">
        <v>5169</v>
      </c>
      <c r="C236" s="2013">
        <v>38100880</v>
      </c>
      <c r="D236" s="2014" t="s">
        <v>852</v>
      </c>
      <c r="E236" s="2015"/>
      <c r="F236" s="2015"/>
      <c r="G236" s="2015"/>
      <c r="H236" s="2016" t="e">
        <f t="shared" si="18"/>
        <v>#DIV/0!</v>
      </c>
    </row>
    <row r="237" spans="1:8" ht="15" hidden="1" x14ac:dyDescent="0.2">
      <c r="A237" s="2012">
        <v>3122</v>
      </c>
      <c r="B237" s="2013">
        <v>5169</v>
      </c>
      <c r="C237" s="2013">
        <v>38500881</v>
      </c>
      <c r="D237" s="2014" t="s">
        <v>852</v>
      </c>
      <c r="E237" s="2015"/>
      <c r="F237" s="2015"/>
      <c r="G237" s="2015"/>
      <c r="H237" s="2016" t="e">
        <f t="shared" si="18"/>
        <v>#DIV/0!</v>
      </c>
    </row>
    <row r="238" spans="1:8" ht="15" hidden="1" x14ac:dyDescent="0.2">
      <c r="A238" s="2012">
        <v>3122</v>
      </c>
      <c r="B238" s="2013">
        <v>5173</v>
      </c>
      <c r="C238" s="2017">
        <v>0</v>
      </c>
      <c r="D238" s="2014" t="s">
        <v>1152</v>
      </c>
      <c r="E238" s="2015"/>
      <c r="F238" s="2015"/>
      <c r="G238" s="2015"/>
      <c r="H238" s="2016">
        <v>0</v>
      </c>
    </row>
    <row r="239" spans="1:8" ht="15" hidden="1" x14ac:dyDescent="0.2">
      <c r="A239" s="2012">
        <v>3122</v>
      </c>
      <c r="B239" s="2013">
        <v>5173</v>
      </c>
      <c r="C239" s="2013">
        <v>38500881</v>
      </c>
      <c r="D239" s="2014" t="s">
        <v>1152</v>
      </c>
      <c r="E239" s="2015">
        <v>0</v>
      </c>
      <c r="F239" s="2015"/>
      <c r="G239" s="2015"/>
      <c r="H239" s="2016" t="e">
        <f t="shared" ref="H239:H246" si="19">G239/F239*100</f>
        <v>#DIV/0!</v>
      </c>
    </row>
    <row r="240" spans="1:8" ht="15" hidden="1" x14ac:dyDescent="0.2">
      <c r="A240" s="2012">
        <v>3122</v>
      </c>
      <c r="B240" s="2013">
        <v>5175</v>
      </c>
      <c r="C240" s="2013">
        <v>38100880</v>
      </c>
      <c r="D240" s="2014" t="s">
        <v>669</v>
      </c>
      <c r="E240" s="2015">
        <v>0</v>
      </c>
      <c r="F240" s="2015"/>
      <c r="G240" s="2015"/>
      <c r="H240" s="2016" t="e">
        <f t="shared" si="19"/>
        <v>#DIV/0!</v>
      </c>
    </row>
    <row r="241" spans="1:8" ht="15" hidden="1" x14ac:dyDescent="0.2">
      <c r="A241" s="2012">
        <v>3122</v>
      </c>
      <c r="B241" s="2013">
        <v>5175</v>
      </c>
      <c r="C241" s="2013">
        <v>38500881</v>
      </c>
      <c r="D241" s="2014" t="s">
        <v>669</v>
      </c>
      <c r="E241" s="2015">
        <v>0</v>
      </c>
      <c r="F241" s="2015"/>
      <c r="G241" s="2015"/>
      <c r="H241" s="2016" t="e">
        <f t="shared" si="19"/>
        <v>#DIV/0!</v>
      </c>
    </row>
    <row r="242" spans="1:8" ht="15" hidden="1" x14ac:dyDescent="0.2">
      <c r="A242" s="2012">
        <v>3122</v>
      </c>
      <c r="B242" s="2013">
        <v>5176</v>
      </c>
      <c r="C242" s="2013">
        <v>38100880</v>
      </c>
      <c r="D242" s="2014" t="s">
        <v>1247</v>
      </c>
      <c r="E242" s="2015">
        <v>0</v>
      </c>
      <c r="F242" s="2015"/>
      <c r="G242" s="2015"/>
      <c r="H242" s="2016" t="e">
        <f t="shared" si="19"/>
        <v>#DIV/0!</v>
      </c>
    </row>
    <row r="243" spans="1:8" ht="15" hidden="1" x14ac:dyDescent="0.2">
      <c r="A243" s="2012">
        <v>3122</v>
      </c>
      <c r="B243" s="2013">
        <v>5176</v>
      </c>
      <c r="C243" s="2013">
        <v>38500881</v>
      </c>
      <c r="D243" s="2014" t="s">
        <v>1247</v>
      </c>
      <c r="E243" s="2015">
        <v>0</v>
      </c>
      <c r="F243" s="2015"/>
      <c r="G243" s="2015"/>
      <c r="H243" s="2016" t="e">
        <f t="shared" si="19"/>
        <v>#DIV/0!</v>
      </c>
    </row>
    <row r="244" spans="1:8" ht="30" x14ac:dyDescent="0.2">
      <c r="A244" s="2012">
        <v>3122</v>
      </c>
      <c r="B244" s="2013">
        <v>6356</v>
      </c>
      <c r="C244" s="2013">
        <v>32133910</v>
      </c>
      <c r="D244" s="2014" t="s">
        <v>1772</v>
      </c>
      <c r="E244" s="2015">
        <v>0</v>
      </c>
      <c r="F244" s="2015">
        <v>141</v>
      </c>
      <c r="G244" s="2015">
        <v>141</v>
      </c>
      <c r="H244" s="2016">
        <f t="shared" si="19"/>
        <v>100</v>
      </c>
    </row>
    <row r="245" spans="1:8" ht="30.75" thickBot="1" x14ac:dyDescent="0.25">
      <c r="A245" s="2012">
        <v>3122</v>
      </c>
      <c r="B245" s="2013">
        <v>6356</v>
      </c>
      <c r="C245" s="2013">
        <v>32533910</v>
      </c>
      <c r="D245" s="2014" t="s">
        <v>1772</v>
      </c>
      <c r="E245" s="2015">
        <v>0</v>
      </c>
      <c r="F245" s="2015">
        <v>799</v>
      </c>
      <c r="G245" s="2015">
        <v>799</v>
      </c>
      <c r="H245" s="2018">
        <f t="shared" si="19"/>
        <v>100</v>
      </c>
    </row>
    <row r="246" spans="1:8" ht="16.5" thickTop="1" thickBot="1" x14ac:dyDescent="0.3">
      <c r="A246" s="2751" t="s">
        <v>763</v>
      </c>
      <c r="B246" s="2752"/>
      <c r="C246" s="2752"/>
      <c r="D246" s="2752"/>
      <c r="E246" s="1818">
        <f>SUM(E216:E245)</f>
        <v>0</v>
      </c>
      <c r="F246" s="1818">
        <f>SUM(F216:F245)</f>
        <v>2927</v>
      </c>
      <c r="G246" s="1818">
        <f>SUM(G216:G245)</f>
        <v>2927</v>
      </c>
      <c r="H246" s="1822">
        <f t="shared" si="19"/>
        <v>100</v>
      </c>
    </row>
    <row r="247" spans="1:8" ht="13.5" thickTop="1" x14ac:dyDescent="0.2"/>
    <row r="248" spans="1:8" ht="12" customHeight="1" x14ac:dyDescent="0.25">
      <c r="A248" s="2760" t="s">
        <v>1775</v>
      </c>
      <c r="B248" s="2761"/>
      <c r="C248" s="2761"/>
      <c r="D248" s="2761"/>
      <c r="E248" s="2761"/>
      <c r="F248" s="2761"/>
      <c r="G248" s="2761"/>
      <c r="H248" s="2761"/>
    </row>
    <row r="249" spans="1:8" ht="15.75" thickBot="1" x14ac:dyDescent="0.3">
      <c r="A249" s="1979" t="s">
        <v>1776</v>
      </c>
      <c r="B249" s="1993"/>
      <c r="C249" s="1993"/>
      <c r="E249" s="1994"/>
      <c r="F249" s="1994"/>
      <c r="G249" s="1994"/>
      <c r="H249" s="1995" t="s">
        <v>161</v>
      </c>
    </row>
    <row r="250" spans="1:8" ht="25.5" thickTop="1" thickBot="1" x14ac:dyDescent="0.25">
      <c r="A250" s="1809" t="s">
        <v>162</v>
      </c>
      <c r="B250" s="1810" t="s">
        <v>761</v>
      </c>
      <c r="C250" s="1810" t="s">
        <v>377</v>
      </c>
      <c r="D250" s="1811" t="s">
        <v>164</v>
      </c>
      <c r="E250" s="1833" t="s">
        <v>632</v>
      </c>
      <c r="F250" s="1833" t="s">
        <v>633</v>
      </c>
      <c r="G250" s="1834" t="s">
        <v>882</v>
      </c>
      <c r="H250" s="1835" t="s">
        <v>883</v>
      </c>
    </row>
    <row r="251" spans="1:8" ht="14.25" thickTop="1" thickBot="1" x14ac:dyDescent="0.25">
      <c r="A251" s="1643">
        <v>1</v>
      </c>
      <c r="B251" s="1642">
        <v>2</v>
      </c>
      <c r="C251" s="1642">
        <v>3</v>
      </c>
      <c r="D251" s="1642">
        <v>4</v>
      </c>
      <c r="E251" s="1641">
        <v>5</v>
      </c>
      <c r="F251" s="1641">
        <v>6</v>
      </c>
      <c r="G251" s="1877">
        <v>7</v>
      </c>
      <c r="H251" s="1901" t="s">
        <v>61</v>
      </c>
    </row>
    <row r="252" spans="1:8" ht="15.75" hidden="1" thickTop="1" x14ac:dyDescent="0.2">
      <c r="A252" s="2007">
        <v>3636</v>
      </c>
      <c r="B252" s="2008">
        <v>5011</v>
      </c>
      <c r="C252" s="2017">
        <v>0</v>
      </c>
      <c r="D252" s="2009" t="s">
        <v>206</v>
      </c>
      <c r="E252" s="2010">
        <v>0</v>
      </c>
      <c r="F252" s="2010">
        <v>0</v>
      </c>
      <c r="G252" s="2010">
        <v>0</v>
      </c>
      <c r="H252" s="2011" t="e">
        <f t="shared" ref="H252:H259" si="20">G252/F252*100</f>
        <v>#DIV/0!</v>
      </c>
    </row>
    <row r="253" spans="1:8" ht="15.75" hidden="1" thickTop="1" x14ac:dyDescent="0.2">
      <c r="A253" s="2012">
        <v>3636</v>
      </c>
      <c r="B253" s="2013">
        <v>5011</v>
      </c>
      <c r="C253" s="2013">
        <v>38500881</v>
      </c>
      <c r="D253" s="2014" t="s">
        <v>206</v>
      </c>
      <c r="E253" s="2015">
        <v>0</v>
      </c>
      <c r="F253" s="2015">
        <v>0</v>
      </c>
      <c r="G253" s="2015">
        <v>0</v>
      </c>
      <c r="H253" s="2016" t="e">
        <f t="shared" si="20"/>
        <v>#DIV/0!</v>
      </c>
    </row>
    <row r="254" spans="1:8" ht="30.75" thickTop="1" x14ac:dyDescent="0.2">
      <c r="A254" s="2012">
        <v>3122</v>
      </c>
      <c r="B254" s="2013">
        <v>5336</v>
      </c>
      <c r="C254" s="2017">
        <v>32133019</v>
      </c>
      <c r="D254" s="2014" t="s">
        <v>1263</v>
      </c>
      <c r="E254" s="2015">
        <v>0</v>
      </c>
      <c r="F254" s="2015">
        <f>15+179</f>
        <v>194</v>
      </c>
      <c r="G254" s="2015">
        <f>15+179</f>
        <v>194</v>
      </c>
      <c r="H254" s="2016">
        <f t="shared" si="20"/>
        <v>100</v>
      </c>
    </row>
    <row r="255" spans="1:8" ht="15" hidden="1" x14ac:dyDescent="0.2">
      <c r="A255" s="2012">
        <v>3636</v>
      </c>
      <c r="B255" s="2013">
        <v>5021</v>
      </c>
      <c r="C255" s="2013">
        <v>38500881</v>
      </c>
      <c r="D255" s="2014" t="s">
        <v>389</v>
      </c>
      <c r="E255" s="2015"/>
      <c r="F255" s="2015"/>
      <c r="G255" s="2015"/>
      <c r="H255" s="2016" t="e">
        <f t="shared" si="20"/>
        <v>#DIV/0!</v>
      </c>
    </row>
    <row r="256" spans="1:8" ht="30" hidden="1" x14ac:dyDescent="0.2">
      <c r="A256" s="2012">
        <v>3636</v>
      </c>
      <c r="B256" s="2013">
        <v>5031</v>
      </c>
      <c r="C256" s="2013">
        <v>38100880</v>
      </c>
      <c r="D256" s="2014" t="s">
        <v>1299</v>
      </c>
      <c r="E256" s="2015"/>
      <c r="F256" s="2015"/>
      <c r="G256" s="2015"/>
      <c r="H256" s="2016" t="e">
        <f t="shared" si="20"/>
        <v>#DIV/0!</v>
      </c>
    </row>
    <row r="257" spans="1:8" ht="30" hidden="1" x14ac:dyDescent="0.2">
      <c r="A257" s="2012">
        <v>3636</v>
      </c>
      <c r="B257" s="2013">
        <v>5031</v>
      </c>
      <c r="C257" s="2013">
        <v>38500881</v>
      </c>
      <c r="D257" s="2014" t="s">
        <v>1299</v>
      </c>
      <c r="E257" s="2015"/>
      <c r="F257" s="2015"/>
      <c r="G257" s="2015"/>
      <c r="H257" s="2016" t="e">
        <f t="shared" si="20"/>
        <v>#DIV/0!</v>
      </c>
    </row>
    <row r="258" spans="1:8" ht="30" hidden="1" x14ac:dyDescent="0.2">
      <c r="A258" s="2012">
        <v>3636</v>
      </c>
      <c r="B258" s="2013">
        <v>5032</v>
      </c>
      <c r="C258" s="2013">
        <v>38100880</v>
      </c>
      <c r="D258" s="2014" t="s">
        <v>1177</v>
      </c>
      <c r="E258" s="2015"/>
      <c r="F258" s="2015"/>
      <c r="G258" s="2015"/>
      <c r="H258" s="2016" t="e">
        <f t="shared" si="20"/>
        <v>#DIV/0!</v>
      </c>
    </row>
    <row r="259" spans="1:8" ht="30" hidden="1" x14ac:dyDescent="0.2">
      <c r="A259" s="2012">
        <v>3636</v>
      </c>
      <c r="B259" s="2013">
        <v>5032</v>
      </c>
      <c r="C259" s="2013">
        <v>38500881</v>
      </c>
      <c r="D259" s="2014" t="s">
        <v>1177</v>
      </c>
      <c r="E259" s="2015"/>
      <c r="F259" s="2015"/>
      <c r="G259" s="2015"/>
      <c r="H259" s="2016" t="e">
        <f t="shared" si="20"/>
        <v>#DIV/0!</v>
      </c>
    </row>
    <row r="260" spans="1:8" ht="15" hidden="1" x14ac:dyDescent="0.2">
      <c r="A260" s="2012">
        <v>3636</v>
      </c>
      <c r="B260" s="2013">
        <v>5139</v>
      </c>
      <c r="C260" s="2013">
        <v>38100880</v>
      </c>
      <c r="D260" s="2014" t="s">
        <v>270</v>
      </c>
      <c r="E260" s="2015"/>
      <c r="F260" s="2015"/>
      <c r="G260" s="2015"/>
      <c r="H260" s="2016">
        <v>0</v>
      </c>
    </row>
    <row r="261" spans="1:8" ht="15" hidden="1" x14ac:dyDescent="0.2">
      <c r="A261" s="2012">
        <v>3636</v>
      </c>
      <c r="B261" s="2013">
        <v>5139</v>
      </c>
      <c r="C261" s="2013">
        <v>38500881</v>
      </c>
      <c r="D261" s="2014" t="s">
        <v>270</v>
      </c>
      <c r="E261" s="2015"/>
      <c r="F261" s="2015"/>
      <c r="G261" s="2015"/>
      <c r="H261" s="2016" t="e">
        <f t="shared" ref="H261:H273" si="21">G261/F261*100</f>
        <v>#DIV/0!</v>
      </c>
    </row>
    <row r="262" spans="1:8" ht="15" hidden="1" x14ac:dyDescent="0.2">
      <c r="A262" s="2012">
        <v>3636</v>
      </c>
      <c r="B262" s="2013">
        <v>5162</v>
      </c>
      <c r="C262" s="2013">
        <v>38100880</v>
      </c>
      <c r="D262" s="2014" t="s">
        <v>864</v>
      </c>
      <c r="E262" s="2015"/>
      <c r="F262" s="2015"/>
      <c r="G262" s="2015"/>
      <c r="H262" s="2016" t="e">
        <f t="shared" si="21"/>
        <v>#DIV/0!</v>
      </c>
    </row>
    <row r="263" spans="1:8" ht="15" hidden="1" x14ac:dyDescent="0.2">
      <c r="A263" s="2012">
        <v>3636</v>
      </c>
      <c r="B263" s="2013">
        <v>5162</v>
      </c>
      <c r="C263" s="2013">
        <v>38500881</v>
      </c>
      <c r="D263" s="2014" t="s">
        <v>864</v>
      </c>
      <c r="E263" s="2015"/>
      <c r="F263" s="2015"/>
      <c r="G263" s="2015"/>
      <c r="H263" s="2016" t="e">
        <f t="shared" si="21"/>
        <v>#DIV/0!</v>
      </c>
    </row>
    <row r="264" spans="1:8" ht="15" hidden="1" x14ac:dyDescent="0.2">
      <c r="A264" s="2012">
        <v>3636</v>
      </c>
      <c r="B264" s="2013">
        <v>5164</v>
      </c>
      <c r="C264" s="2013">
        <v>38100880</v>
      </c>
      <c r="D264" s="2014" t="s">
        <v>170</v>
      </c>
      <c r="E264" s="2015"/>
      <c r="F264" s="2015"/>
      <c r="G264" s="2015"/>
      <c r="H264" s="2016" t="e">
        <f t="shared" si="21"/>
        <v>#DIV/0!</v>
      </c>
    </row>
    <row r="265" spans="1:8" ht="15" hidden="1" x14ac:dyDescent="0.2">
      <c r="A265" s="2012">
        <v>3636</v>
      </c>
      <c r="B265" s="2013">
        <v>5164</v>
      </c>
      <c r="C265" s="2013">
        <v>38500881</v>
      </c>
      <c r="D265" s="2014" t="s">
        <v>170</v>
      </c>
      <c r="E265" s="2015"/>
      <c r="F265" s="2015"/>
      <c r="G265" s="2015"/>
      <c r="H265" s="2016" t="e">
        <f t="shared" si="21"/>
        <v>#DIV/0!</v>
      </c>
    </row>
    <row r="266" spans="1:8" ht="30" x14ac:dyDescent="0.2">
      <c r="A266" s="2012">
        <v>3122</v>
      </c>
      <c r="B266" s="2013">
        <v>5336</v>
      </c>
      <c r="C266" s="2017">
        <v>32533019</v>
      </c>
      <c r="D266" s="2014" t="s">
        <v>1263</v>
      </c>
      <c r="E266" s="2015">
        <v>0</v>
      </c>
      <c r="F266" s="2015">
        <f>83+1013</f>
        <v>1096</v>
      </c>
      <c r="G266" s="2015">
        <f>83+1013</f>
        <v>1096</v>
      </c>
      <c r="H266" s="2016">
        <f t="shared" si="21"/>
        <v>100</v>
      </c>
    </row>
    <row r="267" spans="1:8" ht="15" hidden="1" x14ac:dyDescent="0.2">
      <c r="A267" s="2012">
        <v>6223</v>
      </c>
      <c r="B267" s="2013">
        <v>5166</v>
      </c>
      <c r="C267" s="2013">
        <v>41100880</v>
      </c>
      <c r="D267" s="2014" t="s">
        <v>609</v>
      </c>
      <c r="E267" s="2015"/>
      <c r="F267" s="2015"/>
      <c r="G267" s="2015"/>
      <c r="H267" s="2016" t="e">
        <f t="shared" si="21"/>
        <v>#DIV/0!</v>
      </c>
    </row>
    <row r="268" spans="1:8" ht="15" hidden="1" x14ac:dyDescent="0.2">
      <c r="A268" s="2012">
        <v>6223</v>
      </c>
      <c r="B268" s="2013">
        <v>5166</v>
      </c>
      <c r="C268" s="2013">
        <v>41100882</v>
      </c>
      <c r="D268" s="2014" t="s">
        <v>609</v>
      </c>
      <c r="E268" s="2015"/>
      <c r="F268" s="2015"/>
      <c r="G268" s="2015"/>
      <c r="H268" s="2016" t="e">
        <f t="shared" si="21"/>
        <v>#DIV/0!</v>
      </c>
    </row>
    <row r="269" spans="1:8" ht="15" hidden="1" x14ac:dyDescent="0.2">
      <c r="A269" s="2012">
        <v>6223</v>
      </c>
      <c r="B269" s="2013">
        <v>5166</v>
      </c>
      <c r="C269" s="2013">
        <v>41500881</v>
      </c>
      <c r="D269" s="2014" t="s">
        <v>609</v>
      </c>
      <c r="E269" s="2015"/>
      <c r="F269" s="2015"/>
      <c r="G269" s="2015"/>
      <c r="H269" s="2016" t="e">
        <f t="shared" si="21"/>
        <v>#DIV/0!</v>
      </c>
    </row>
    <row r="270" spans="1:8" ht="15" hidden="1" x14ac:dyDescent="0.2">
      <c r="A270" s="2012">
        <v>3636</v>
      </c>
      <c r="B270" s="2013">
        <v>5167</v>
      </c>
      <c r="C270" s="2013">
        <v>38100880</v>
      </c>
      <c r="D270" s="2014" t="s">
        <v>895</v>
      </c>
      <c r="E270" s="2015"/>
      <c r="F270" s="2015"/>
      <c r="G270" s="2015"/>
      <c r="H270" s="2016" t="e">
        <f t="shared" si="21"/>
        <v>#DIV/0!</v>
      </c>
    </row>
    <row r="271" spans="1:8" ht="15" hidden="1" x14ac:dyDescent="0.2">
      <c r="A271" s="2012">
        <v>3636</v>
      </c>
      <c r="B271" s="2013">
        <v>5167</v>
      </c>
      <c r="C271" s="2013">
        <v>38500881</v>
      </c>
      <c r="D271" s="2014" t="s">
        <v>895</v>
      </c>
      <c r="E271" s="2015"/>
      <c r="F271" s="2015"/>
      <c r="G271" s="2015"/>
      <c r="H271" s="2016" t="e">
        <f t="shared" si="21"/>
        <v>#DIV/0!</v>
      </c>
    </row>
    <row r="272" spans="1:8" ht="15" hidden="1" x14ac:dyDescent="0.2">
      <c r="A272" s="2012">
        <v>3636</v>
      </c>
      <c r="B272" s="2013">
        <v>5169</v>
      </c>
      <c r="C272" s="2013">
        <v>38100880</v>
      </c>
      <c r="D272" s="2014" t="s">
        <v>852</v>
      </c>
      <c r="E272" s="2015"/>
      <c r="F272" s="2015"/>
      <c r="G272" s="2015"/>
      <c r="H272" s="2016" t="e">
        <f t="shared" si="21"/>
        <v>#DIV/0!</v>
      </c>
    </row>
    <row r="273" spans="1:8" ht="15" hidden="1" x14ac:dyDescent="0.2">
      <c r="A273" s="2012">
        <v>3636</v>
      </c>
      <c r="B273" s="2013">
        <v>5169</v>
      </c>
      <c r="C273" s="2013">
        <v>38500881</v>
      </c>
      <c r="D273" s="2014" t="s">
        <v>852</v>
      </c>
      <c r="E273" s="2015"/>
      <c r="F273" s="2015"/>
      <c r="G273" s="2015"/>
      <c r="H273" s="2016" t="e">
        <f t="shared" si="21"/>
        <v>#DIV/0!</v>
      </c>
    </row>
    <row r="274" spans="1:8" ht="15" hidden="1" x14ac:dyDescent="0.2">
      <c r="A274" s="2012">
        <v>6223</v>
      </c>
      <c r="B274" s="2013">
        <v>5173</v>
      </c>
      <c r="C274" s="2017">
        <v>0</v>
      </c>
      <c r="D274" s="2014" t="s">
        <v>1152</v>
      </c>
      <c r="E274" s="2015"/>
      <c r="F274" s="2015"/>
      <c r="G274" s="2015"/>
      <c r="H274" s="2016">
        <v>0</v>
      </c>
    </row>
    <row r="275" spans="1:8" ht="15" hidden="1" x14ac:dyDescent="0.2">
      <c r="A275" s="2012">
        <v>3636</v>
      </c>
      <c r="B275" s="2013">
        <v>5173</v>
      </c>
      <c r="C275" s="2013">
        <v>38500881</v>
      </c>
      <c r="D275" s="2014" t="s">
        <v>1152</v>
      </c>
      <c r="E275" s="2015">
        <v>0</v>
      </c>
      <c r="F275" s="2015"/>
      <c r="G275" s="2015"/>
      <c r="H275" s="2016" t="e">
        <f t="shared" ref="H275:H282" si="22">G275/F275*100</f>
        <v>#DIV/0!</v>
      </c>
    </row>
    <row r="276" spans="1:8" ht="15" hidden="1" x14ac:dyDescent="0.2">
      <c r="A276" s="2012">
        <v>3636</v>
      </c>
      <c r="B276" s="2013">
        <v>5175</v>
      </c>
      <c r="C276" s="2013">
        <v>38100880</v>
      </c>
      <c r="D276" s="2014" t="s">
        <v>669</v>
      </c>
      <c r="E276" s="2015">
        <v>0</v>
      </c>
      <c r="F276" s="2015"/>
      <c r="G276" s="2015"/>
      <c r="H276" s="2016" t="e">
        <f t="shared" si="22"/>
        <v>#DIV/0!</v>
      </c>
    </row>
    <row r="277" spans="1:8" ht="15" hidden="1" x14ac:dyDescent="0.2">
      <c r="A277" s="2012">
        <v>3636</v>
      </c>
      <c r="B277" s="2013">
        <v>5175</v>
      </c>
      <c r="C277" s="2013">
        <v>38500881</v>
      </c>
      <c r="D277" s="2014" t="s">
        <v>669</v>
      </c>
      <c r="E277" s="2015">
        <v>0</v>
      </c>
      <c r="F277" s="2015"/>
      <c r="G277" s="2015"/>
      <c r="H277" s="2016" t="e">
        <f t="shared" si="22"/>
        <v>#DIV/0!</v>
      </c>
    </row>
    <row r="278" spans="1:8" ht="15" hidden="1" x14ac:dyDescent="0.2">
      <c r="A278" s="2012">
        <v>3636</v>
      </c>
      <c r="B278" s="2013">
        <v>5176</v>
      </c>
      <c r="C278" s="2013">
        <v>38100880</v>
      </c>
      <c r="D278" s="2014" t="s">
        <v>1247</v>
      </c>
      <c r="E278" s="2015">
        <v>0</v>
      </c>
      <c r="F278" s="2015"/>
      <c r="G278" s="2015"/>
      <c r="H278" s="2016" t="e">
        <f t="shared" si="22"/>
        <v>#DIV/0!</v>
      </c>
    </row>
    <row r="279" spans="1:8" ht="15" hidden="1" x14ac:dyDescent="0.2">
      <c r="A279" s="2012">
        <v>3636</v>
      </c>
      <c r="B279" s="2013">
        <v>5176</v>
      </c>
      <c r="C279" s="2013">
        <v>38500881</v>
      </c>
      <c r="D279" s="2014" t="s">
        <v>1247</v>
      </c>
      <c r="E279" s="2015">
        <v>0</v>
      </c>
      <c r="F279" s="2015"/>
      <c r="G279" s="2015"/>
      <c r="H279" s="2016" t="e">
        <f t="shared" si="22"/>
        <v>#DIV/0!</v>
      </c>
    </row>
    <row r="280" spans="1:8" ht="30" x14ac:dyDescent="0.2">
      <c r="A280" s="2012">
        <v>3122</v>
      </c>
      <c r="B280" s="2013">
        <v>6356</v>
      </c>
      <c r="C280" s="2013">
        <v>32133910</v>
      </c>
      <c r="D280" s="2014" t="s">
        <v>1772</v>
      </c>
      <c r="E280" s="2015">
        <v>0</v>
      </c>
      <c r="F280" s="2015">
        <v>47</v>
      </c>
      <c r="G280" s="2015">
        <v>47</v>
      </c>
      <c r="H280" s="2016">
        <f t="shared" si="22"/>
        <v>100</v>
      </c>
    </row>
    <row r="281" spans="1:8" ht="30.75" thickBot="1" x14ac:dyDescent="0.25">
      <c r="A281" s="2012">
        <v>3122</v>
      </c>
      <c r="B281" s="2013">
        <v>6356</v>
      </c>
      <c r="C281" s="2013">
        <v>32533910</v>
      </c>
      <c r="D281" s="2014" t="s">
        <v>1772</v>
      </c>
      <c r="E281" s="2015">
        <v>0</v>
      </c>
      <c r="F281" s="2015">
        <v>269</v>
      </c>
      <c r="G281" s="2015">
        <v>269</v>
      </c>
      <c r="H281" s="2018">
        <f t="shared" si="22"/>
        <v>100</v>
      </c>
    </row>
    <row r="282" spans="1:8" ht="16.5" thickTop="1" thickBot="1" x14ac:dyDescent="0.3">
      <c r="A282" s="2751" t="s">
        <v>763</v>
      </c>
      <c r="B282" s="2752"/>
      <c r="C282" s="2752"/>
      <c r="D282" s="2752"/>
      <c r="E282" s="1818">
        <f>SUM(E252:E281)</f>
        <v>0</v>
      </c>
      <c r="F282" s="1818">
        <f>SUM(F252:F281)</f>
        <v>1606</v>
      </c>
      <c r="G282" s="1818">
        <f>SUM(G252:G281)</f>
        <v>1606</v>
      </c>
      <c r="H282" s="1822">
        <f t="shared" si="22"/>
        <v>100</v>
      </c>
    </row>
    <row r="283" spans="1:8" ht="13.5" thickTop="1" x14ac:dyDescent="0.2"/>
    <row r="284" spans="1:8" ht="12" customHeight="1" x14ac:dyDescent="0.25">
      <c r="A284" s="2760" t="s">
        <v>1625</v>
      </c>
      <c r="B284" s="2761"/>
      <c r="C284" s="2761"/>
      <c r="D284" s="2761"/>
      <c r="E284" s="2761"/>
      <c r="F284" s="2761"/>
      <c r="G284" s="2761"/>
      <c r="H284" s="2761"/>
    </row>
    <row r="285" spans="1:8" ht="15.75" thickBot="1" x14ac:dyDescent="0.3">
      <c r="A285" s="1979" t="s">
        <v>993</v>
      </c>
      <c r="B285" s="1993"/>
      <c r="C285" s="1993"/>
      <c r="E285" s="1994"/>
      <c r="F285" s="1994"/>
      <c r="G285" s="1994"/>
      <c r="H285" s="1995" t="s">
        <v>161</v>
      </c>
    </row>
    <row r="286" spans="1:8" ht="25.5" thickTop="1" thickBot="1" x14ac:dyDescent="0.25">
      <c r="A286" s="1809" t="s">
        <v>162</v>
      </c>
      <c r="B286" s="1810" t="s">
        <v>761</v>
      </c>
      <c r="C286" s="1810" t="s">
        <v>377</v>
      </c>
      <c r="D286" s="1811" t="s">
        <v>164</v>
      </c>
      <c r="E286" s="1833" t="s">
        <v>632</v>
      </c>
      <c r="F286" s="1833" t="s">
        <v>633</v>
      </c>
      <c r="G286" s="1834" t="s">
        <v>882</v>
      </c>
      <c r="H286" s="1835" t="s">
        <v>883</v>
      </c>
    </row>
    <row r="287" spans="1:8" ht="14.25" thickTop="1" thickBot="1" x14ac:dyDescent="0.25">
      <c r="A287" s="1643">
        <v>1</v>
      </c>
      <c r="B287" s="1642">
        <v>2</v>
      </c>
      <c r="C287" s="1642">
        <v>3</v>
      </c>
      <c r="D287" s="1642">
        <v>4</v>
      </c>
      <c r="E287" s="1641">
        <v>5</v>
      </c>
      <c r="F287" s="1641">
        <v>6</v>
      </c>
      <c r="G287" s="1877">
        <v>7</v>
      </c>
      <c r="H287" s="1901" t="s">
        <v>61</v>
      </c>
    </row>
    <row r="288" spans="1:8" ht="15.75" hidden="1" thickTop="1" x14ac:dyDescent="0.2">
      <c r="A288" s="2007">
        <v>3636</v>
      </c>
      <c r="B288" s="2008">
        <v>5011</v>
      </c>
      <c r="C288" s="2017">
        <v>0</v>
      </c>
      <c r="D288" s="2009" t="s">
        <v>206</v>
      </c>
      <c r="E288" s="2010">
        <v>0</v>
      </c>
      <c r="F288" s="2010">
        <v>0</v>
      </c>
      <c r="G288" s="2010">
        <v>0</v>
      </c>
      <c r="H288" s="2011" t="e">
        <f t="shared" ref="H288:H295" si="23">G288/F288*100</f>
        <v>#DIV/0!</v>
      </c>
    </row>
    <row r="289" spans="1:8" ht="15.75" hidden="1" thickTop="1" x14ac:dyDescent="0.2">
      <c r="A289" s="2012">
        <v>3636</v>
      </c>
      <c r="B289" s="2013">
        <v>5011</v>
      </c>
      <c r="C289" s="2013">
        <v>38500881</v>
      </c>
      <c r="D289" s="2014" t="s">
        <v>206</v>
      </c>
      <c r="E289" s="2015">
        <v>0</v>
      </c>
      <c r="F289" s="2015">
        <v>0</v>
      </c>
      <c r="G289" s="2015">
        <v>0</v>
      </c>
      <c r="H289" s="2016" t="e">
        <f t="shared" si="23"/>
        <v>#DIV/0!</v>
      </c>
    </row>
    <row r="290" spans="1:8" ht="30.75" thickTop="1" x14ac:dyDescent="0.2">
      <c r="A290" s="2012">
        <v>3123</v>
      </c>
      <c r="B290" s="2013">
        <v>5336</v>
      </c>
      <c r="C290" s="2017">
        <v>32133019</v>
      </c>
      <c r="D290" s="2014" t="s">
        <v>1263</v>
      </c>
      <c r="E290" s="2015">
        <v>0</v>
      </c>
      <c r="F290" s="2015">
        <f>12+174</f>
        <v>186</v>
      </c>
      <c r="G290" s="2015">
        <f>12+174</f>
        <v>186</v>
      </c>
      <c r="H290" s="2016">
        <f t="shared" si="23"/>
        <v>100</v>
      </c>
    </row>
    <row r="291" spans="1:8" ht="15" hidden="1" x14ac:dyDescent="0.2">
      <c r="A291" s="2012">
        <v>3636</v>
      </c>
      <c r="B291" s="2013">
        <v>5021</v>
      </c>
      <c r="C291" s="2013">
        <v>38500881</v>
      </c>
      <c r="D291" s="2014" t="s">
        <v>389</v>
      </c>
      <c r="E291" s="2015"/>
      <c r="F291" s="2015"/>
      <c r="G291" s="2015"/>
      <c r="H291" s="2016" t="e">
        <f t="shared" si="23"/>
        <v>#DIV/0!</v>
      </c>
    </row>
    <row r="292" spans="1:8" ht="30" hidden="1" x14ac:dyDescent="0.2">
      <c r="A292" s="2012">
        <v>3636</v>
      </c>
      <c r="B292" s="2013">
        <v>5031</v>
      </c>
      <c r="C292" s="2013">
        <v>38100880</v>
      </c>
      <c r="D292" s="2014" t="s">
        <v>1299</v>
      </c>
      <c r="E292" s="2015"/>
      <c r="F292" s="2015"/>
      <c r="G292" s="2015"/>
      <c r="H292" s="2016" t="e">
        <f t="shared" si="23"/>
        <v>#DIV/0!</v>
      </c>
    </row>
    <row r="293" spans="1:8" ht="30" hidden="1" x14ac:dyDescent="0.2">
      <c r="A293" s="2012">
        <v>3636</v>
      </c>
      <c r="B293" s="2013">
        <v>5031</v>
      </c>
      <c r="C293" s="2013">
        <v>38500881</v>
      </c>
      <c r="D293" s="2014" t="s">
        <v>1299</v>
      </c>
      <c r="E293" s="2015"/>
      <c r="F293" s="2015"/>
      <c r="G293" s="2015"/>
      <c r="H293" s="2016" t="e">
        <f t="shared" si="23"/>
        <v>#DIV/0!</v>
      </c>
    </row>
    <row r="294" spans="1:8" ht="30" hidden="1" x14ac:dyDescent="0.2">
      <c r="A294" s="2012">
        <v>3636</v>
      </c>
      <c r="B294" s="2013">
        <v>5032</v>
      </c>
      <c r="C294" s="2013">
        <v>38100880</v>
      </c>
      <c r="D294" s="2014" t="s">
        <v>1177</v>
      </c>
      <c r="E294" s="2015"/>
      <c r="F294" s="2015"/>
      <c r="G294" s="2015"/>
      <c r="H294" s="2016" t="e">
        <f t="shared" si="23"/>
        <v>#DIV/0!</v>
      </c>
    </row>
    <row r="295" spans="1:8" ht="30" hidden="1" x14ac:dyDescent="0.2">
      <c r="A295" s="2012">
        <v>3636</v>
      </c>
      <c r="B295" s="2013">
        <v>5032</v>
      </c>
      <c r="C295" s="2013">
        <v>38500881</v>
      </c>
      <c r="D295" s="2014" t="s">
        <v>1177</v>
      </c>
      <c r="E295" s="2015"/>
      <c r="F295" s="2015"/>
      <c r="G295" s="2015"/>
      <c r="H295" s="2016" t="e">
        <f t="shared" si="23"/>
        <v>#DIV/0!</v>
      </c>
    </row>
    <row r="296" spans="1:8" ht="15" hidden="1" x14ac:dyDescent="0.2">
      <c r="A296" s="2012">
        <v>3636</v>
      </c>
      <c r="B296" s="2013">
        <v>5139</v>
      </c>
      <c r="C296" s="2013">
        <v>38100880</v>
      </c>
      <c r="D296" s="2014" t="s">
        <v>270</v>
      </c>
      <c r="E296" s="2015"/>
      <c r="F296" s="2015"/>
      <c r="G296" s="2015"/>
      <c r="H296" s="2016">
        <v>0</v>
      </c>
    </row>
    <row r="297" spans="1:8" ht="15" hidden="1" x14ac:dyDescent="0.2">
      <c r="A297" s="2012">
        <v>3636</v>
      </c>
      <c r="B297" s="2013">
        <v>5139</v>
      </c>
      <c r="C297" s="2013">
        <v>38500881</v>
      </c>
      <c r="D297" s="2014" t="s">
        <v>270</v>
      </c>
      <c r="E297" s="2015"/>
      <c r="F297" s="2015"/>
      <c r="G297" s="2015"/>
      <c r="H297" s="2016" t="e">
        <f t="shared" ref="H297:H309" si="24">G297/F297*100</f>
        <v>#DIV/0!</v>
      </c>
    </row>
    <row r="298" spans="1:8" ht="15" hidden="1" x14ac:dyDescent="0.2">
      <c r="A298" s="2012">
        <v>3636</v>
      </c>
      <c r="B298" s="2013">
        <v>5162</v>
      </c>
      <c r="C298" s="2013">
        <v>38100880</v>
      </c>
      <c r="D298" s="2014" t="s">
        <v>864</v>
      </c>
      <c r="E298" s="2015"/>
      <c r="F298" s="2015"/>
      <c r="G298" s="2015"/>
      <c r="H298" s="2016" t="e">
        <f t="shared" si="24"/>
        <v>#DIV/0!</v>
      </c>
    </row>
    <row r="299" spans="1:8" ht="15" hidden="1" x14ac:dyDescent="0.2">
      <c r="A299" s="2012">
        <v>3636</v>
      </c>
      <c r="B299" s="2013">
        <v>5162</v>
      </c>
      <c r="C299" s="2013">
        <v>38500881</v>
      </c>
      <c r="D299" s="2014" t="s">
        <v>864</v>
      </c>
      <c r="E299" s="2015"/>
      <c r="F299" s="2015"/>
      <c r="G299" s="2015"/>
      <c r="H299" s="2016" t="e">
        <f t="shared" si="24"/>
        <v>#DIV/0!</v>
      </c>
    </row>
    <row r="300" spans="1:8" ht="15" hidden="1" x14ac:dyDescent="0.2">
      <c r="A300" s="2012">
        <v>3636</v>
      </c>
      <c r="B300" s="2013">
        <v>5164</v>
      </c>
      <c r="C300" s="2013">
        <v>38100880</v>
      </c>
      <c r="D300" s="2014" t="s">
        <v>170</v>
      </c>
      <c r="E300" s="2015"/>
      <c r="F300" s="2015"/>
      <c r="G300" s="2015"/>
      <c r="H300" s="2016" t="e">
        <f t="shared" si="24"/>
        <v>#DIV/0!</v>
      </c>
    </row>
    <row r="301" spans="1:8" ht="15" hidden="1" x14ac:dyDescent="0.2">
      <c r="A301" s="2012">
        <v>3636</v>
      </c>
      <c r="B301" s="2013">
        <v>5164</v>
      </c>
      <c r="C301" s="2013">
        <v>38500881</v>
      </c>
      <c r="D301" s="2014" t="s">
        <v>170</v>
      </c>
      <c r="E301" s="2015"/>
      <c r="F301" s="2015"/>
      <c r="G301" s="2015"/>
      <c r="H301" s="2016" t="e">
        <f t="shared" si="24"/>
        <v>#DIV/0!</v>
      </c>
    </row>
    <row r="302" spans="1:8" ht="30" x14ac:dyDescent="0.2">
      <c r="A302" s="2012">
        <v>3123</v>
      </c>
      <c r="B302" s="2013">
        <v>5336</v>
      </c>
      <c r="C302" s="2017">
        <v>32533019</v>
      </c>
      <c r="D302" s="2014" t="s">
        <v>1263</v>
      </c>
      <c r="E302" s="2015">
        <v>0</v>
      </c>
      <c r="F302" s="2015">
        <f>66+986</f>
        <v>1052</v>
      </c>
      <c r="G302" s="2015">
        <f>66+986</f>
        <v>1052</v>
      </c>
      <c r="H302" s="2016">
        <f t="shared" si="24"/>
        <v>100</v>
      </c>
    </row>
    <row r="303" spans="1:8" ht="15" hidden="1" x14ac:dyDescent="0.2">
      <c r="A303" s="2012">
        <v>6223</v>
      </c>
      <c r="B303" s="2013">
        <v>5166</v>
      </c>
      <c r="C303" s="2013">
        <v>41100880</v>
      </c>
      <c r="D303" s="2014" t="s">
        <v>609</v>
      </c>
      <c r="E303" s="2015"/>
      <c r="F303" s="2015"/>
      <c r="G303" s="2015"/>
      <c r="H303" s="2016" t="e">
        <f t="shared" si="24"/>
        <v>#DIV/0!</v>
      </c>
    </row>
    <row r="304" spans="1:8" ht="15" hidden="1" x14ac:dyDescent="0.2">
      <c r="A304" s="2012">
        <v>6223</v>
      </c>
      <c r="B304" s="2013">
        <v>5166</v>
      </c>
      <c r="C304" s="2013">
        <v>41100882</v>
      </c>
      <c r="D304" s="2014" t="s">
        <v>609</v>
      </c>
      <c r="E304" s="2015"/>
      <c r="F304" s="2015"/>
      <c r="G304" s="2015"/>
      <c r="H304" s="2016" t="e">
        <f t="shared" si="24"/>
        <v>#DIV/0!</v>
      </c>
    </row>
    <row r="305" spans="1:8" ht="15" hidden="1" x14ac:dyDescent="0.2">
      <c r="A305" s="2012">
        <v>6223</v>
      </c>
      <c r="B305" s="2013">
        <v>5166</v>
      </c>
      <c r="C305" s="2013">
        <v>41500881</v>
      </c>
      <c r="D305" s="2014" t="s">
        <v>609</v>
      </c>
      <c r="E305" s="2015"/>
      <c r="F305" s="2015"/>
      <c r="G305" s="2015"/>
      <c r="H305" s="2016" t="e">
        <f t="shared" si="24"/>
        <v>#DIV/0!</v>
      </c>
    </row>
    <row r="306" spans="1:8" ht="15" hidden="1" x14ac:dyDescent="0.2">
      <c r="A306" s="2012">
        <v>3636</v>
      </c>
      <c r="B306" s="2013">
        <v>5167</v>
      </c>
      <c r="C306" s="2013">
        <v>38100880</v>
      </c>
      <c r="D306" s="2014" t="s">
        <v>895</v>
      </c>
      <c r="E306" s="2015"/>
      <c r="F306" s="2015"/>
      <c r="G306" s="2015"/>
      <c r="H306" s="2016" t="e">
        <f t="shared" si="24"/>
        <v>#DIV/0!</v>
      </c>
    </row>
    <row r="307" spans="1:8" ht="15" hidden="1" x14ac:dyDescent="0.2">
      <c r="A307" s="2012">
        <v>3636</v>
      </c>
      <c r="B307" s="2013">
        <v>5167</v>
      </c>
      <c r="C307" s="2013">
        <v>38500881</v>
      </c>
      <c r="D307" s="2014" t="s">
        <v>895</v>
      </c>
      <c r="E307" s="2015"/>
      <c r="F307" s="2015"/>
      <c r="G307" s="2015"/>
      <c r="H307" s="2016" t="e">
        <f t="shared" si="24"/>
        <v>#DIV/0!</v>
      </c>
    </row>
    <row r="308" spans="1:8" ht="15" hidden="1" x14ac:dyDescent="0.2">
      <c r="A308" s="2012">
        <v>3636</v>
      </c>
      <c r="B308" s="2013">
        <v>5169</v>
      </c>
      <c r="C308" s="2013">
        <v>38100880</v>
      </c>
      <c r="D308" s="2014" t="s">
        <v>852</v>
      </c>
      <c r="E308" s="2015"/>
      <c r="F308" s="2015"/>
      <c r="G308" s="2015"/>
      <c r="H308" s="2016" t="e">
        <f t="shared" si="24"/>
        <v>#DIV/0!</v>
      </c>
    </row>
    <row r="309" spans="1:8" ht="15" hidden="1" x14ac:dyDescent="0.2">
      <c r="A309" s="2012">
        <v>3636</v>
      </c>
      <c r="B309" s="2013">
        <v>5169</v>
      </c>
      <c r="C309" s="2013">
        <v>38500881</v>
      </c>
      <c r="D309" s="2014" t="s">
        <v>852</v>
      </c>
      <c r="E309" s="2015"/>
      <c r="F309" s="2015"/>
      <c r="G309" s="2015"/>
      <c r="H309" s="2016" t="e">
        <f t="shared" si="24"/>
        <v>#DIV/0!</v>
      </c>
    </row>
    <row r="310" spans="1:8" ht="15" hidden="1" x14ac:dyDescent="0.2">
      <c r="A310" s="2012">
        <v>6223</v>
      </c>
      <c r="B310" s="2013">
        <v>5173</v>
      </c>
      <c r="C310" s="2017">
        <v>0</v>
      </c>
      <c r="D310" s="2014" t="s">
        <v>1152</v>
      </c>
      <c r="E310" s="2015"/>
      <c r="F310" s="2015"/>
      <c r="G310" s="2015"/>
      <c r="H310" s="2016">
        <v>0</v>
      </c>
    </row>
    <row r="311" spans="1:8" ht="15" hidden="1" x14ac:dyDescent="0.2">
      <c r="A311" s="2012">
        <v>3636</v>
      </c>
      <c r="B311" s="2013">
        <v>5173</v>
      </c>
      <c r="C311" s="2013">
        <v>38500881</v>
      </c>
      <c r="D311" s="2014" t="s">
        <v>1152</v>
      </c>
      <c r="E311" s="2015">
        <v>0</v>
      </c>
      <c r="F311" s="2015"/>
      <c r="G311" s="2015"/>
      <c r="H311" s="2016" t="e">
        <f t="shared" ref="H311:H318" si="25">G311/F311*100</f>
        <v>#DIV/0!</v>
      </c>
    </row>
    <row r="312" spans="1:8" ht="15" hidden="1" x14ac:dyDescent="0.2">
      <c r="A312" s="2012">
        <v>3636</v>
      </c>
      <c r="B312" s="2013">
        <v>5175</v>
      </c>
      <c r="C312" s="2013">
        <v>38100880</v>
      </c>
      <c r="D312" s="2014" t="s">
        <v>669</v>
      </c>
      <c r="E312" s="2015">
        <v>0</v>
      </c>
      <c r="F312" s="2015"/>
      <c r="G312" s="2015"/>
      <c r="H312" s="2016" t="e">
        <f t="shared" si="25"/>
        <v>#DIV/0!</v>
      </c>
    </row>
    <row r="313" spans="1:8" ht="15" hidden="1" x14ac:dyDescent="0.2">
      <c r="A313" s="2012">
        <v>3636</v>
      </c>
      <c r="B313" s="2013">
        <v>5175</v>
      </c>
      <c r="C313" s="2013">
        <v>38500881</v>
      </c>
      <c r="D313" s="2014" t="s">
        <v>669</v>
      </c>
      <c r="E313" s="2015">
        <v>0</v>
      </c>
      <c r="F313" s="2015"/>
      <c r="G313" s="2015"/>
      <c r="H313" s="2016" t="e">
        <f t="shared" si="25"/>
        <v>#DIV/0!</v>
      </c>
    </row>
    <row r="314" spans="1:8" ht="15" hidden="1" x14ac:dyDescent="0.2">
      <c r="A314" s="2012">
        <v>3636</v>
      </c>
      <c r="B314" s="2013">
        <v>5176</v>
      </c>
      <c r="C314" s="2013">
        <v>38100880</v>
      </c>
      <c r="D314" s="2014" t="s">
        <v>1247</v>
      </c>
      <c r="E314" s="2015">
        <v>0</v>
      </c>
      <c r="F314" s="2015"/>
      <c r="G314" s="2015"/>
      <c r="H314" s="2016" t="e">
        <f t="shared" si="25"/>
        <v>#DIV/0!</v>
      </c>
    </row>
    <row r="315" spans="1:8" ht="15" hidden="1" x14ac:dyDescent="0.2">
      <c r="A315" s="2012">
        <v>3636</v>
      </c>
      <c r="B315" s="2013">
        <v>5176</v>
      </c>
      <c r="C315" s="2013">
        <v>38500881</v>
      </c>
      <c r="D315" s="2014" t="s">
        <v>1247</v>
      </c>
      <c r="E315" s="2015">
        <v>0</v>
      </c>
      <c r="F315" s="2015"/>
      <c r="G315" s="2015"/>
      <c r="H315" s="2016" t="e">
        <f t="shared" si="25"/>
        <v>#DIV/0!</v>
      </c>
    </row>
    <row r="316" spans="1:8" ht="30" x14ac:dyDescent="0.2">
      <c r="A316" s="2012">
        <v>3123</v>
      </c>
      <c r="B316" s="2013">
        <v>6356</v>
      </c>
      <c r="C316" s="2013">
        <v>32133910</v>
      </c>
      <c r="D316" s="2014" t="s">
        <v>1772</v>
      </c>
      <c r="E316" s="2015">
        <v>0</v>
      </c>
      <c r="F316" s="2015">
        <v>17</v>
      </c>
      <c r="G316" s="2015">
        <v>17</v>
      </c>
      <c r="H316" s="2016">
        <f t="shared" si="25"/>
        <v>100</v>
      </c>
    </row>
    <row r="317" spans="1:8" ht="30.75" thickBot="1" x14ac:dyDescent="0.25">
      <c r="A317" s="2012">
        <v>3123</v>
      </c>
      <c r="B317" s="2013">
        <v>6356</v>
      </c>
      <c r="C317" s="2013">
        <v>32533910</v>
      </c>
      <c r="D317" s="2014" t="s">
        <v>1772</v>
      </c>
      <c r="E317" s="2015">
        <v>0</v>
      </c>
      <c r="F317" s="2015">
        <v>99</v>
      </c>
      <c r="G317" s="2015">
        <v>99</v>
      </c>
      <c r="H317" s="2018">
        <f t="shared" si="25"/>
        <v>100</v>
      </c>
    </row>
    <row r="318" spans="1:8" ht="16.5" thickTop="1" thickBot="1" x14ac:dyDescent="0.3">
      <c r="A318" s="2751" t="s">
        <v>763</v>
      </c>
      <c r="B318" s="2752"/>
      <c r="C318" s="2752"/>
      <c r="D318" s="2752"/>
      <c r="E318" s="1818">
        <f>SUM(E288:E317)</f>
        <v>0</v>
      </c>
      <c r="F318" s="1818">
        <f>SUM(F288:F317)</f>
        <v>1354</v>
      </c>
      <c r="G318" s="1818">
        <f>SUM(G288:G317)</f>
        <v>1354</v>
      </c>
      <c r="H318" s="1822">
        <f t="shared" si="25"/>
        <v>100</v>
      </c>
    </row>
    <row r="319" spans="1:8" ht="13.5" thickTop="1" x14ac:dyDescent="0.2"/>
    <row r="320" spans="1:8" ht="12" customHeight="1" x14ac:dyDescent="0.25">
      <c r="A320" s="2760" t="s">
        <v>1777</v>
      </c>
      <c r="B320" s="2760"/>
      <c r="C320" s="2760"/>
      <c r="D320" s="2760"/>
      <c r="E320" s="2760"/>
      <c r="F320" s="2760"/>
      <c r="G320" s="2760"/>
      <c r="H320" s="2760"/>
    </row>
    <row r="321" spans="1:8" ht="15.75" thickBot="1" x14ac:dyDescent="0.3">
      <c r="A321" s="1979" t="s">
        <v>1778</v>
      </c>
      <c r="B321" s="1993"/>
      <c r="C321" s="1993"/>
      <c r="E321" s="1994"/>
      <c r="F321" s="1994"/>
      <c r="G321" s="1994"/>
      <c r="H321" s="1995" t="s">
        <v>161</v>
      </c>
    </row>
    <row r="322" spans="1:8" ht="25.5" thickTop="1" thickBot="1" x14ac:dyDescent="0.25">
      <c r="A322" s="1809" t="s">
        <v>162</v>
      </c>
      <c r="B322" s="1810" t="s">
        <v>761</v>
      </c>
      <c r="C322" s="1810" t="s">
        <v>377</v>
      </c>
      <c r="D322" s="1811" t="s">
        <v>164</v>
      </c>
      <c r="E322" s="1833" t="s">
        <v>632</v>
      </c>
      <c r="F322" s="1833" t="s">
        <v>633</v>
      </c>
      <c r="G322" s="1834" t="s">
        <v>882</v>
      </c>
      <c r="H322" s="1835" t="s">
        <v>883</v>
      </c>
    </row>
    <row r="323" spans="1:8" ht="14.25" thickTop="1" thickBot="1" x14ac:dyDescent="0.25">
      <c r="A323" s="1643">
        <v>1</v>
      </c>
      <c r="B323" s="1642">
        <v>2</v>
      </c>
      <c r="C323" s="1642">
        <v>3</v>
      </c>
      <c r="D323" s="1642">
        <v>4</v>
      </c>
      <c r="E323" s="1641">
        <v>5</v>
      </c>
      <c r="F323" s="1641">
        <v>6</v>
      </c>
      <c r="G323" s="1877">
        <v>7</v>
      </c>
      <c r="H323" s="1901" t="s">
        <v>61</v>
      </c>
    </row>
    <row r="324" spans="1:8" ht="15.75" hidden="1" thickTop="1" x14ac:dyDescent="0.2">
      <c r="A324" s="2007">
        <v>3636</v>
      </c>
      <c r="B324" s="2008">
        <v>5011</v>
      </c>
      <c r="C324" s="2017">
        <v>0</v>
      </c>
      <c r="D324" s="2009" t="s">
        <v>206</v>
      </c>
      <c r="E324" s="2010">
        <v>0</v>
      </c>
      <c r="F324" s="2010">
        <v>0</v>
      </c>
      <c r="G324" s="2010">
        <v>0</v>
      </c>
      <c r="H324" s="2011" t="e">
        <f t="shared" ref="H324:H331" si="26">G324/F324*100</f>
        <v>#DIV/0!</v>
      </c>
    </row>
    <row r="325" spans="1:8" ht="15.75" hidden="1" thickTop="1" x14ac:dyDescent="0.2">
      <c r="A325" s="2012">
        <v>3636</v>
      </c>
      <c r="B325" s="2013">
        <v>5011</v>
      </c>
      <c r="C325" s="2013">
        <v>38500881</v>
      </c>
      <c r="D325" s="2014" t="s">
        <v>206</v>
      </c>
      <c r="E325" s="2015">
        <v>0</v>
      </c>
      <c r="F325" s="2015">
        <v>0</v>
      </c>
      <c r="G325" s="2015">
        <v>0</v>
      </c>
      <c r="H325" s="2016" t="e">
        <f t="shared" si="26"/>
        <v>#DIV/0!</v>
      </c>
    </row>
    <row r="326" spans="1:8" ht="30.75" thickTop="1" x14ac:dyDescent="0.2">
      <c r="A326" s="2012">
        <v>3122</v>
      </c>
      <c r="B326" s="2013">
        <v>5336</v>
      </c>
      <c r="C326" s="2017">
        <v>32133019</v>
      </c>
      <c r="D326" s="2014" t="s">
        <v>1263</v>
      </c>
      <c r="E326" s="2015">
        <v>0</v>
      </c>
      <c r="F326" s="2015">
        <f>10+187</f>
        <v>197</v>
      </c>
      <c r="G326" s="2015">
        <f>10+187</f>
        <v>197</v>
      </c>
      <c r="H326" s="2016">
        <f t="shared" si="26"/>
        <v>100</v>
      </c>
    </row>
    <row r="327" spans="1:8" ht="15" hidden="1" x14ac:dyDescent="0.2">
      <c r="A327" s="2012">
        <v>3636</v>
      </c>
      <c r="B327" s="2013">
        <v>5021</v>
      </c>
      <c r="C327" s="2013">
        <v>38500881</v>
      </c>
      <c r="D327" s="2014" t="s">
        <v>389</v>
      </c>
      <c r="E327" s="2015"/>
      <c r="F327" s="2015"/>
      <c r="G327" s="2015"/>
      <c r="H327" s="2016" t="e">
        <f t="shared" si="26"/>
        <v>#DIV/0!</v>
      </c>
    </row>
    <row r="328" spans="1:8" ht="30" hidden="1" x14ac:dyDescent="0.2">
      <c r="A328" s="2012">
        <v>3636</v>
      </c>
      <c r="B328" s="2013">
        <v>5031</v>
      </c>
      <c r="C328" s="2013">
        <v>38100880</v>
      </c>
      <c r="D328" s="2014" t="s">
        <v>1299</v>
      </c>
      <c r="E328" s="2015"/>
      <c r="F328" s="2015"/>
      <c r="G328" s="2015"/>
      <c r="H328" s="2016" t="e">
        <f t="shared" si="26"/>
        <v>#DIV/0!</v>
      </c>
    </row>
    <row r="329" spans="1:8" ht="30" hidden="1" x14ac:dyDescent="0.2">
      <c r="A329" s="2012">
        <v>3636</v>
      </c>
      <c r="B329" s="2013">
        <v>5031</v>
      </c>
      <c r="C329" s="2013">
        <v>38500881</v>
      </c>
      <c r="D329" s="2014" t="s">
        <v>1299</v>
      </c>
      <c r="E329" s="2015"/>
      <c r="F329" s="2015"/>
      <c r="G329" s="2015"/>
      <c r="H329" s="2016" t="e">
        <f t="shared" si="26"/>
        <v>#DIV/0!</v>
      </c>
    </row>
    <row r="330" spans="1:8" ht="30" hidden="1" x14ac:dyDescent="0.2">
      <c r="A330" s="2012">
        <v>3636</v>
      </c>
      <c r="B330" s="2013">
        <v>5032</v>
      </c>
      <c r="C330" s="2013">
        <v>38100880</v>
      </c>
      <c r="D330" s="2014" t="s">
        <v>1177</v>
      </c>
      <c r="E330" s="2015"/>
      <c r="F330" s="2015"/>
      <c r="G330" s="2015"/>
      <c r="H330" s="2016" t="e">
        <f t="shared" si="26"/>
        <v>#DIV/0!</v>
      </c>
    </row>
    <row r="331" spans="1:8" ht="30" hidden="1" x14ac:dyDescent="0.2">
      <c r="A331" s="2012">
        <v>3636</v>
      </c>
      <c r="B331" s="2013">
        <v>5032</v>
      </c>
      <c r="C331" s="2013">
        <v>38500881</v>
      </c>
      <c r="D331" s="2014" t="s">
        <v>1177</v>
      </c>
      <c r="E331" s="2015"/>
      <c r="F331" s="2015"/>
      <c r="G331" s="2015"/>
      <c r="H331" s="2016" t="e">
        <f t="shared" si="26"/>
        <v>#DIV/0!</v>
      </c>
    </row>
    <row r="332" spans="1:8" ht="15" hidden="1" x14ac:dyDescent="0.2">
      <c r="A332" s="2012">
        <v>3636</v>
      </c>
      <c r="B332" s="2013">
        <v>5139</v>
      </c>
      <c r="C332" s="2013">
        <v>38100880</v>
      </c>
      <c r="D332" s="2014" t="s">
        <v>270</v>
      </c>
      <c r="E332" s="2015"/>
      <c r="F332" s="2015"/>
      <c r="G332" s="2015"/>
      <c r="H332" s="2016">
        <v>0</v>
      </c>
    </row>
    <row r="333" spans="1:8" ht="15" hidden="1" x14ac:dyDescent="0.2">
      <c r="A333" s="2012">
        <v>3636</v>
      </c>
      <c r="B333" s="2013">
        <v>5139</v>
      </c>
      <c r="C333" s="2013">
        <v>38500881</v>
      </c>
      <c r="D333" s="2014" t="s">
        <v>270</v>
      </c>
      <c r="E333" s="2015"/>
      <c r="F333" s="2015"/>
      <c r="G333" s="2015"/>
      <c r="H333" s="2016" t="e">
        <f t="shared" ref="H333:H345" si="27">G333/F333*100</f>
        <v>#DIV/0!</v>
      </c>
    </row>
    <row r="334" spans="1:8" ht="15" hidden="1" x14ac:dyDescent="0.2">
      <c r="A334" s="2012">
        <v>3636</v>
      </c>
      <c r="B334" s="2013">
        <v>5162</v>
      </c>
      <c r="C334" s="2013">
        <v>38100880</v>
      </c>
      <c r="D334" s="2014" t="s">
        <v>864</v>
      </c>
      <c r="E334" s="2015"/>
      <c r="F334" s="2015"/>
      <c r="G334" s="2015"/>
      <c r="H334" s="2016" t="e">
        <f t="shared" si="27"/>
        <v>#DIV/0!</v>
      </c>
    </row>
    <row r="335" spans="1:8" ht="15" hidden="1" x14ac:dyDescent="0.2">
      <c r="A335" s="2012">
        <v>3636</v>
      </c>
      <c r="B335" s="2013">
        <v>5162</v>
      </c>
      <c r="C335" s="2013">
        <v>38500881</v>
      </c>
      <c r="D335" s="2014" t="s">
        <v>864</v>
      </c>
      <c r="E335" s="2015"/>
      <c r="F335" s="2015"/>
      <c r="G335" s="2015"/>
      <c r="H335" s="2016" t="e">
        <f t="shared" si="27"/>
        <v>#DIV/0!</v>
      </c>
    </row>
    <row r="336" spans="1:8" ht="15" hidden="1" x14ac:dyDescent="0.2">
      <c r="A336" s="2012">
        <v>3636</v>
      </c>
      <c r="B336" s="2013">
        <v>5164</v>
      </c>
      <c r="C336" s="2013">
        <v>38100880</v>
      </c>
      <c r="D336" s="2014" t="s">
        <v>170</v>
      </c>
      <c r="E336" s="2015"/>
      <c r="F336" s="2015"/>
      <c r="G336" s="2015"/>
      <c r="H336" s="2016" t="e">
        <f t="shared" si="27"/>
        <v>#DIV/0!</v>
      </c>
    </row>
    <row r="337" spans="1:8" ht="15" hidden="1" x14ac:dyDescent="0.2">
      <c r="A337" s="2012">
        <v>3636</v>
      </c>
      <c r="B337" s="2013">
        <v>5164</v>
      </c>
      <c r="C337" s="2013">
        <v>38500881</v>
      </c>
      <c r="D337" s="2014" t="s">
        <v>170</v>
      </c>
      <c r="E337" s="2015"/>
      <c r="F337" s="2015"/>
      <c r="G337" s="2015"/>
      <c r="H337" s="2016" t="e">
        <f t="shared" si="27"/>
        <v>#DIV/0!</v>
      </c>
    </row>
    <row r="338" spans="1:8" ht="30" x14ac:dyDescent="0.2">
      <c r="A338" s="2012">
        <v>3122</v>
      </c>
      <c r="B338" s="2013">
        <v>5336</v>
      </c>
      <c r="C338" s="2017">
        <v>32533019</v>
      </c>
      <c r="D338" s="2014" t="s">
        <v>1263</v>
      </c>
      <c r="E338" s="2015">
        <v>0</v>
      </c>
      <c r="F338" s="2015">
        <f>57+1059</f>
        <v>1116</v>
      </c>
      <c r="G338" s="2015">
        <f>57+1059</f>
        <v>1116</v>
      </c>
      <c r="H338" s="2016">
        <f t="shared" si="27"/>
        <v>100</v>
      </c>
    </row>
    <row r="339" spans="1:8" ht="15" hidden="1" x14ac:dyDescent="0.2">
      <c r="A339" s="2012">
        <v>6223</v>
      </c>
      <c r="B339" s="2013">
        <v>5166</v>
      </c>
      <c r="C339" s="2013">
        <v>41100880</v>
      </c>
      <c r="D339" s="2014" t="s">
        <v>609</v>
      </c>
      <c r="E339" s="2015"/>
      <c r="F339" s="2015"/>
      <c r="G339" s="2015"/>
      <c r="H339" s="2016" t="e">
        <f t="shared" si="27"/>
        <v>#DIV/0!</v>
      </c>
    </row>
    <row r="340" spans="1:8" ht="15" hidden="1" x14ac:dyDescent="0.2">
      <c r="A340" s="2012">
        <v>6223</v>
      </c>
      <c r="B340" s="2013">
        <v>5166</v>
      </c>
      <c r="C340" s="2013">
        <v>41100882</v>
      </c>
      <c r="D340" s="2014" t="s">
        <v>609</v>
      </c>
      <c r="E340" s="2015"/>
      <c r="F340" s="2015"/>
      <c r="G340" s="2015"/>
      <c r="H340" s="2016" t="e">
        <f t="shared" si="27"/>
        <v>#DIV/0!</v>
      </c>
    </row>
    <row r="341" spans="1:8" ht="15" hidden="1" x14ac:dyDescent="0.2">
      <c r="A341" s="2012">
        <v>6223</v>
      </c>
      <c r="B341" s="2013">
        <v>5166</v>
      </c>
      <c r="C341" s="2013">
        <v>41500881</v>
      </c>
      <c r="D341" s="2014" t="s">
        <v>609</v>
      </c>
      <c r="E341" s="2015"/>
      <c r="F341" s="2015"/>
      <c r="G341" s="2015"/>
      <c r="H341" s="2016" t="e">
        <f t="shared" si="27"/>
        <v>#DIV/0!</v>
      </c>
    </row>
    <row r="342" spans="1:8" ht="15" hidden="1" x14ac:dyDescent="0.2">
      <c r="A342" s="2012">
        <v>3636</v>
      </c>
      <c r="B342" s="2013">
        <v>5167</v>
      </c>
      <c r="C342" s="2013">
        <v>38100880</v>
      </c>
      <c r="D342" s="2014" t="s">
        <v>895</v>
      </c>
      <c r="E342" s="2015"/>
      <c r="F342" s="2015"/>
      <c r="G342" s="2015"/>
      <c r="H342" s="2016" t="e">
        <f t="shared" si="27"/>
        <v>#DIV/0!</v>
      </c>
    </row>
    <row r="343" spans="1:8" ht="15" hidden="1" x14ac:dyDescent="0.2">
      <c r="A343" s="2012">
        <v>3636</v>
      </c>
      <c r="B343" s="2013">
        <v>5167</v>
      </c>
      <c r="C343" s="2013">
        <v>38500881</v>
      </c>
      <c r="D343" s="2014" t="s">
        <v>895</v>
      </c>
      <c r="E343" s="2015"/>
      <c r="F343" s="2015"/>
      <c r="G343" s="2015"/>
      <c r="H343" s="2016" t="e">
        <f t="shared" si="27"/>
        <v>#DIV/0!</v>
      </c>
    </row>
    <row r="344" spans="1:8" ht="15" hidden="1" x14ac:dyDescent="0.2">
      <c r="A344" s="2012">
        <v>3636</v>
      </c>
      <c r="B344" s="2013">
        <v>5169</v>
      </c>
      <c r="C344" s="2013">
        <v>38100880</v>
      </c>
      <c r="D344" s="2014" t="s">
        <v>852</v>
      </c>
      <c r="E344" s="2015"/>
      <c r="F344" s="2015"/>
      <c r="G344" s="2015"/>
      <c r="H344" s="2016" t="e">
        <f t="shared" si="27"/>
        <v>#DIV/0!</v>
      </c>
    </row>
    <row r="345" spans="1:8" ht="15" hidden="1" x14ac:dyDescent="0.2">
      <c r="A345" s="2012">
        <v>3636</v>
      </c>
      <c r="B345" s="2013">
        <v>5169</v>
      </c>
      <c r="C345" s="2013">
        <v>38500881</v>
      </c>
      <c r="D345" s="2014" t="s">
        <v>852</v>
      </c>
      <c r="E345" s="2015"/>
      <c r="F345" s="2015"/>
      <c r="G345" s="2015"/>
      <c r="H345" s="2016" t="e">
        <f t="shared" si="27"/>
        <v>#DIV/0!</v>
      </c>
    </row>
    <row r="346" spans="1:8" ht="15" hidden="1" x14ac:dyDescent="0.2">
      <c r="A346" s="2012">
        <v>6223</v>
      </c>
      <c r="B346" s="2013">
        <v>5173</v>
      </c>
      <c r="C346" s="2017">
        <v>0</v>
      </c>
      <c r="D346" s="2014" t="s">
        <v>1152</v>
      </c>
      <c r="E346" s="2015"/>
      <c r="F346" s="2015"/>
      <c r="G346" s="2015"/>
      <c r="H346" s="2016">
        <v>0</v>
      </c>
    </row>
    <row r="347" spans="1:8" ht="15" hidden="1" x14ac:dyDescent="0.2">
      <c r="A347" s="2012">
        <v>3636</v>
      </c>
      <c r="B347" s="2013">
        <v>5173</v>
      </c>
      <c r="C347" s="2013">
        <v>38500881</v>
      </c>
      <c r="D347" s="2014" t="s">
        <v>1152</v>
      </c>
      <c r="E347" s="2015">
        <v>0</v>
      </c>
      <c r="F347" s="2015"/>
      <c r="G347" s="2015"/>
      <c r="H347" s="2016" t="e">
        <f t="shared" ref="H347:H354" si="28">G347/F347*100</f>
        <v>#DIV/0!</v>
      </c>
    </row>
    <row r="348" spans="1:8" ht="15" hidden="1" x14ac:dyDescent="0.2">
      <c r="A348" s="2012">
        <v>3636</v>
      </c>
      <c r="B348" s="2013">
        <v>5175</v>
      </c>
      <c r="C348" s="2013">
        <v>38100880</v>
      </c>
      <c r="D348" s="2014" t="s">
        <v>669</v>
      </c>
      <c r="E348" s="2015">
        <v>0</v>
      </c>
      <c r="F348" s="2015"/>
      <c r="G348" s="2015"/>
      <c r="H348" s="2016" t="e">
        <f t="shared" si="28"/>
        <v>#DIV/0!</v>
      </c>
    </row>
    <row r="349" spans="1:8" ht="15" hidden="1" x14ac:dyDescent="0.2">
      <c r="A349" s="2012">
        <v>3636</v>
      </c>
      <c r="B349" s="2013">
        <v>5175</v>
      </c>
      <c r="C349" s="2013">
        <v>38500881</v>
      </c>
      <c r="D349" s="2014" t="s">
        <v>669</v>
      </c>
      <c r="E349" s="2015">
        <v>0</v>
      </c>
      <c r="F349" s="2015"/>
      <c r="G349" s="2015"/>
      <c r="H349" s="2016" t="e">
        <f t="shared" si="28"/>
        <v>#DIV/0!</v>
      </c>
    </row>
    <row r="350" spans="1:8" ht="15" hidden="1" x14ac:dyDescent="0.2">
      <c r="A350" s="2012">
        <v>3636</v>
      </c>
      <c r="B350" s="2013">
        <v>5176</v>
      </c>
      <c r="C350" s="2013">
        <v>38100880</v>
      </c>
      <c r="D350" s="2014" t="s">
        <v>1247</v>
      </c>
      <c r="E350" s="2015">
        <v>0</v>
      </c>
      <c r="F350" s="2015"/>
      <c r="G350" s="2015"/>
      <c r="H350" s="2016" t="e">
        <f t="shared" si="28"/>
        <v>#DIV/0!</v>
      </c>
    </row>
    <row r="351" spans="1:8" ht="15" hidden="1" x14ac:dyDescent="0.2">
      <c r="A351" s="2012">
        <v>3636</v>
      </c>
      <c r="B351" s="2013">
        <v>5176</v>
      </c>
      <c r="C351" s="2013">
        <v>38500881</v>
      </c>
      <c r="D351" s="2014" t="s">
        <v>1247</v>
      </c>
      <c r="E351" s="2015">
        <v>0</v>
      </c>
      <c r="F351" s="2015"/>
      <c r="G351" s="2015"/>
      <c r="H351" s="2016" t="e">
        <f t="shared" si="28"/>
        <v>#DIV/0!</v>
      </c>
    </row>
    <row r="352" spans="1:8" ht="30" x14ac:dyDescent="0.2">
      <c r="A352" s="2012">
        <v>3122</v>
      </c>
      <c r="B352" s="2013">
        <v>6356</v>
      </c>
      <c r="C352" s="2013">
        <v>32133910</v>
      </c>
      <c r="D352" s="2014" t="s">
        <v>1772</v>
      </c>
      <c r="E352" s="2015">
        <v>0</v>
      </c>
      <c r="F352" s="2015">
        <v>197</v>
      </c>
      <c r="G352" s="2015">
        <v>197</v>
      </c>
      <c r="H352" s="2016">
        <f t="shared" si="28"/>
        <v>100</v>
      </c>
    </row>
    <row r="353" spans="1:8" ht="30.75" thickBot="1" x14ac:dyDescent="0.25">
      <c r="A353" s="2012">
        <v>3122</v>
      </c>
      <c r="B353" s="2013">
        <v>6356</v>
      </c>
      <c r="C353" s="2013">
        <v>32533910</v>
      </c>
      <c r="D353" s="2014" t="s">
        <v>1772</v>
      </c>
      <c r="E353" s="2015">
        <v>0</v>
      </c>
      <c r="F353" s="2015">
        <v>1117</v>
      </c>
      <c r="G353" s="2015">
        <v>1117</v>
      </c>
      <c r="H353" s="2018">
        <f t="shared" si="28"/>
        <v>100</v>
      </c>
    </row>
    <row r="354" spans="1:8" ht="16.5" thickTop="1" thickBot="1" x14ac:dyDescent="0.3">
      <c r="A354" s="2751" t="s">
        <v>763</v>
      </c>
      <c r="B354" s="2752"/>
      <c r="C354" s="2752"/>
      <c r="D354" s="2752"/>
      <c r="E354" s="1818">
        <f>SUM(E324:E353)</f>
        <v>0</v>
      </c>
      <c r="F354" s="1818">
        <f>SUM(F324:F353)</f>
        <v>2627</v>
      </c>
      <c r="G354" s="1818">
        <f>SUM(G324:G353)</f>
        <v>2627</v>
      </c>
      <c r="H354" s="1822">
        <f t="shared" si="28"/>
        <v>100</v>
      </c>
    </row>
    <row r="355" spans="1:8" ht="13.5" thickTop="1" x14ac:dyDescent="0.2"/>
    <row r="356" spans="1:8" ht="12" customHeight="1" x14ac:dyDescent="0.25">
      <c r="A356" s="2760" t="s">
        <v>1554</v>
      </c>
      <c r="B356" s="2761"/>
      <c r="C356" s="2761"/>
      <c r="D356" s="2761"/>
      <c r="E356" s="2761"/>
      <c r="F356" s="2761"/>
      <c r="G356" s="2761"/>
      <c r="H356" s="2761"/>
    </row>
    <row r="357" spans="1:8" ht="15.75" thickBot="1" x14ac:dyDescent="0.3">
      <c r="A357" s="1979" t="s">
        <v>554</v>
      </c>
      <c r="B357" s="1993"/>
      <c r="C357" s="1993"/>
      <c r="E357" s="1994"/>
      <c r="F357" s="1994"/>
      <c r="G357" s="1994"/>
      <c r="H357" s="1995" t="s">
        <v>161</v>
      </c>
    </row>
    <row r="358" spans="1:8" ht="25.5" thickTop="1" thickBot="1" x14ac:dyDescent="0.25">
      <c r="A358" s="1809" t="s">
        <v>162</v>
      </c>
      <c r="B358" s="1810" t="s">
        <v>761</v>
      </c>
      <c r="C358" s="1810" t="s">
        <v>377</v>
      </c>
      <c r="D358" s="1811" t="s">
        <v>164</v>
      </c>
      <c r="E358" s="1833" t="s">
        <v>632</v>
      </c>
      <c r="F358" s="1833" t="s">
        <v>633</v>
      </c>
      <c r="G358" s="1834" t="s">
        <v>882</v>
      </c>
      <c r="H358" s="1835" t="s">
        <v>883</v>
      </c>
    </row>
    <row r="359" spans="1:8" ht="14.25" thickTop="1" thickBot="1" x14ac:dyDescent="0.25">
      <c r="A359" s="1643">
        <v>1</v>
      </c>
      <c r="B359" s="1642">
        <v>2</v>
      </c>
      <c r="C359" s="1642">
        <v>3</v>
      </c>
      <c r="D359" s="1642">
        <v>4</v>
      </c>
      <c r="E359" s="1641">
        <v>5</v>
      </c>
      <c r="F359" s="1641">
        <v>6</v>
      </c>
      <c r="G359" s="1877">
        <v>7</v>
      </c>
      <c r="H359" s="1901" t="s">
        <v>61</v>
      </c>
    </row>
    <row r="360" spans="1:8" ht="15.75" hidden="1" thickTop="1" x14ac:dyDescent="0.2">
      <c r="A360" s="2007">
        <v>3636</v>
      </c>
      <c r="B360" s="2008">
        <v>5011</v>
      </c>
      <c r="C360" s="2017">
        <v>0</v>
      </c>
      <c r="D360" s="2009" t="s">
        <v>206</v>
      </c>
      <c r="E360" s="2010">
        <v>0</v>
      </c>
      <c r="F360" s="2010">
        <v>0</v>
      </c>
      <c r="G360" s="2010">
        <v>0</v>
      </c>
      <c r="H360" s="2011" t="e">
        <f t="shared" ref="H360:H367" si="29">G360/F360*100</f>
        <v>#DIV/0!</v>
      </c>
    </row>
    <row r="361" spans="1:8" ht="15.75" hidden="1" thickTop="1" x14ac:dyDescent="0.2">
      <c r="A361" s="2012">
        <v>3636</v>
      </c>
      <c r="B361" s="2013">
        <v>5011</v>
      </c>
      <c r="C361" s="2013">
        <v>38500881</v>
      </c>
      <c r="D361" s="2014" t="s">
        <v>206</v>
      </c>
      <c r="E361" s="2015">
        <v>0</v>
      </c>
      <c r="F361" s="2015">
        <v>0</v>
      </c>
      <c r="G361" s="2015">
        <v>0</v>
      </c>
      <c r="H361" s="2016" t="e">
        <f t="shared" si="29"/>
        <v>#DIV/0!</v>
      </c>
    </row>
    <row r="362" spans="1:8" ht="30.75" thickTop="1" x14ac:dyDescent="0.2">
      <c r="A362" s="2012">
        <v>3122</v>
      </c>
      <c r="B362" s="2013">
        <v>5336</v>
      </c>
      <c r="C362" s="2017">
        <v>32133019</v>
      </c>
      <c r="D362" s="2014" t="s">
        <v>1263</v>
      </c>
      <c r="E362" s="2015">
        <v>0</v>
      </c>
      <c r="F362" s="2015">
        <f>15+183</f>
        <v>198</v>
      </c>
      <c r="G362" s="2015">
        <f>15+183</f>
        <v>198</v>
      </c>
      <c r="H362" s="2016">
        <f t="shared" si="29"/>
        <v>100</v>
      </c>
    </row>
    <row r="363" spans="1:8" ht="15" hidden="1" x14ac:dyDescent="0.2">
      <c r="A363" s="2012">
        <v>3636</v>
      </c>
      <c r="B363" s="2013">
        <v>5021</v>
      </c>
      <c r="C363" s="2013">
        <v>38500881</v>
      </c>
      <c r="D363" s="2014" t="s">
        <v>389</v>
      </c>
      <c r="E363" s="2015"/>
      <c r="F363" s="2015"/>
      <c r="G363" s="2015"/>
      <c r="H363" s="2016" t="e">
        <f t="shared" si="29"/>
        <v>#DIV/0!</v>
      </c>
    </row>
    <row r="364" spans="1:8" ht="30" hidden="1" x14ac:dyDescent="0.2">
      <c r="A364" s="2012">
        <v>3636</v>
      </c>
      <c r="B364" s="2013">
        <v>5031</v>
      </c>
      <c r="C364" s="2013">
        <v>38100880</v>
      </c>
      <c r="D364" s="2014" t="s">
        <v>1299</v>
      </c>
      <c r="E364" s="2015"/>
      <c r="F364" s="2015"/>
      <c r="G364" s="2015"/>
      <c r="H364" s="2016" t="e">
        <f t="shared" si="29"/>
        <v>#DIV/0!</v>
      </c>
    </row>
    <row r="365" spans="1:8" ht="30" hidden="1" x14ac:dyDescent="0.2">
      <c r="A365" s="2012">
        <v>3636</v>
      </c>
      <c r="B365" s="2013">
        <v>5031</v>
      </c>
      <c r="C365" s="2013">
        <v>38500881</v>
      </c>
      <c r="D365" s="2014" t="s">
        <v>1299</v>
      </c>
      <c r="E365" s="2015"/>
      <c r="F365" s="2015"/>
      <c r="G365" s="2015"/>
      <c r="H365" s="2016" t="e">
        <f t="shared" si="29"/>
        <v>#DIV/0!</v>
      </c>
    </row>
    <row r="366" spans="1:8" ht="30" hidden="1" x14ac:dyDescent="0.2">
      <c r="A366" s="2012">
        <v>3636</v>
      </c>
      <c r="B366" s="2013">
        <v>5032</v>
      </c>
      <c r="C366" s="2013">
        <v>38100880</v>
      </c>
      <c r="D366" s="2014" t="s">
        <v>1177</v>
      </c>
      <c r="E366" s="2015"/>
      <c r="F366" s="2015"/>
      <c r="G366" s="2015"/>
      <c r="H366" s="2016" t="e">
        <f t="shared" si="29"/>
        <v>#DIV/0!</v>
      </c>
    </row>
    <row r="367" spans="1:8" ht="30" hidden="1" x14ac:dyDescent="0.2">
      <c r="A367" s="2012">
        <v>3636</v>
      </c>
      <c r="B367" s="2013">
        <v>5032</v>
      </c>
      <c r="C367" s="2013">
        <v>38500881</v>
      </c>
      <c r="D367" s="2014" t="s">
        <v>1177</v>
      </c>
      <c r="E367" s="2015"/>
      <c r="F367" s="2015"/>
      <c r="G367" s="2015"/>
      <c r="H367" s="2016" t="e">
        <f t="shared" si="29"/>
        <v>#DIV/0!</v>
      </c>
    </row>
    <row r="368" spans="1:8" ht="15" hidden="1" x14ac:dyDescent="0.2">
      <c r="A368" s="2012">
        <v>3636</v>
      </c>
      <c r="B368" s="2013">
        <v>5139</v>
      </c>
      <c r="C368" s="2013">
        <v>38100880</v>
      </c>
      <c r="D368" s="2014" t="s">
        <v>270</v>
      </c>
      <c r="E368" s="2015"/>
      <c r="F368" s="2015"/>
      <c r="G368" s="2015"/>
      <c r="H368" s="2016">
        <v>0</v>
      </c>
    </row>
    <row r="369" spans="1:8" ht="15" hidden="1" x14ac:dyDescent="0.2">
      <c r="A369" s="2012">
        <v>3636</v>
      </c>
      <c r="B369" s="2013">
        <v>5139</v>
      </c>
      <c r="C369" s="2013">
        <v>38500881</v>
      </c>
      <c r="D369" s="2014" t="s">
        <v>270</v>
      </c>
      <c r="E369" s="2015"/>
      <c r="F369" s="2015"/>
      <c r="G369" s="2015"/>
      <c r="H369" s="2016" t="e">
        <f t="shared" ref="H369:H381" si="30">G369/F369*100</f>
        <v>#DIV/0!</v>
      </c>
    </row>
    <row r="370" spans="1:8" ht="15" hidden="1" x14ac:dyDescent="0.2">
      <c r="A370" s="2012">
        <v>3636</v>
      </c>
      <c r="B370" s="2013">
        <v>5162</v>
      </c>
      <c r="C370" s="2013">
        <v>38100880</v>
      </c>
      <c r="D370" s="2014" t="s">
        <v>864</v>
      </c>
      <c r="E370" s="2015"/>
      <c r="F370" s="2015"/>
      <c r="G370" s="2015"/>
      <c r="H370" s="2016" t="e">
        <f t="shared" si="30"/>
        <v>#DIV/0!</v>
      </c>
    </row>
    <row r="371" spans="1:8" ht="15" hidden="1" x14ac:dyDescent="0.2">
      <c r="A371" s="2012">
        <v>3636</v>
      </c>
      <c r="B371" s="2013">
        <v>5162</v>
      </c>
      <c r="C371" s="2013">
        <v>38500881</v>
      </c>
      <c r="D371" s="2014" t="s">
        <v>864</v>
      </c>
      <c r="E371" s="2015"/>
      <c r="F371" s="2015"/>
      <c r="G371" s="2015"/>
      <c r="H371" s="2016" t="e">
        <f t="shared" si="30"/>
        <v>#DIV/0!</v>
      </c>
    </row>
    <row r="372" spans="1:8" ht="15" hidden="1" x14ac:dyDescent="0.2">
      <c r="A372" s="2012">
        <v>3636</v>
      </c>
      <c r="B372" s="2013">
        <v>5164</v>
      </c>
      <c r="C372" s="2013">
        <v>38100880</v>
      </c>
      <c r="D372" s="2014" t="s">
        <v>170</v>
      </c>
      <c r="E372" s="2015"/>
      <c r="F372" s="2015"/>
      <c r="G372" s="2015"/>
      <c r="H372" s="2016" t="e">
        <f t="shared" si="30"/>
        <v>#DIV/0!</v>
      </c>
    </row>
    <row r="373" spans="1:8" ht="15" hidden="1" x14ac:dyDescent="0.2">
      <c r="A373" s="2012">
        <v>3636</v>
      </c>
      <c r="B373" s="2013">
        <v>5164</v>
      </c>
      <c r="C373" s="2013">
        <v>38500881</v>
      </c>
      <c r="D373" s="2014" t="s">
        <v>170</v>
      </c>
      <c r="E373" s="2015"/>
      <c r="F373" s="2015"/>
      <c r="G373" s="2015"/>
      <c r="H373" s="2016" t="e">
        <f t="shared" si="30"/>
        <v>#DIV/0!</v>
      </c>
    </row>
    <row r="374" spans="1:8" ht="30" x14ac:dyDescent="0.2">
      <c r="A374" s="2012">
        <v>3122</v>
      </c>
      <c r="B374" s="2013">
        <v>5336</v>
      </c>
      <c r="C374" s="2017">
        <v>32533019</v>
      </c>
      <c r="D374" s="2014" t="s">
        <v>1263</v>
      </c>
      <c r="E374" s="2015">
        <v>0</v>
      </c>
      <c r="F374" s="2015">
        <f>83+1039</f>
        <v>1122</v>
      </c>
      <c r="G374" s="2015">
        <f>83+1039</f>
        <v>1122</v>
      </c>
      <c r="H374" s="2016">
        <f t="shared" si="30"/>
        <v>100</v>
      </c>
    </row>
    <row r="375" spans="1:8" ht="15" hidden="1" x14ac:dyDescent="0.2">
      <c r="A375" s="2012">
        <v>6223</v>
      </c>
      <c r="B375" s="2013">
        <v>5166</v>
      </c>
      <c r="C375" s="2013">
        <v>41100880</v>
      </c>
      <c r="D375" s="2014" t="s">
        <v>609</v>
      </c>
      <c r="E375" s="2015"/>
      <c r="F375" s="2015"/>
      <c r="G375" s="2015"/>
      <c r="H375" s="2016" t="e">
        <f t="shared" si="30"/>
        <v>#DIV/0!</v>
      </c>
    </row>
    <row r="376" spans="1:8" ht="15" hidden="1" x14ac:dyDescent="0.2">
      <c r="A376" s="2012">
        <v>6223</v>
      </c>
      <c r="B376" s="2013">
        <v>5166</v>
      </c>
      <c r="C376" s="2013">
        <v>41100882</v>
      </c>
      <c r="D376" s="2014" t="s">
        <v>609</v>
      </c>
      <c r="E376" s="2015"/>
      <c r="F376" s="2015"/>
      <c r="G376" s="2015"/>
      <c r="H376" s="2016" t="e">
        <f t="shared" si="30"/>
        <v>#DIV/0!</v>
      </c>
    </row>
    <row r="377" spans="1:8" ht="15" hidden="1" x14ac:dyDescent="0.2">
      <c r="A377" s="2012">
        <v>6223</v>
      </c>
      <c r="B377" s="2013">
        <v>5166</v>
      </c>
      <c r="C377" s="2013">
        <v>41500881</v>
      </c>
      <c r="D377" s="2014" t="s">
        <v>609</v>
      </c>
      <c r="E377" s="2015"/>
      <c r="F377" s="2015"/>
      <c r="G377" s="2015"/>
      <c r="H377" s="2016" t="e">
        <f t="shared" si="30"/>
        <v>#DIV/0!</v>
      </c>
    </row>
    <row r="378" spans="1:8" ht="15" hidden="1" x14ac:dyDescent="0.2">
      <c r="A378" s="2012">
        <v>3636</v>
      </c>
      <c r="B378" s="2013">
        <v>5167</v>
      </c>
      <c r="C378" s="2013">
        <v>38100880</v>
      </c>
      <c r="D378" s="2014" t="s">
        <v>895</v>
      </c>
      <c r="E378" s="2015"/>
      <c r="F378" s="2015"/>
      <c r="G378" s="2015"/>
      <c r="H378" s="2016" t="e">
        <f t="shared" si="30"/>
        <v>#DIV/0!</v>
      </c>
    </row>
    <row r="379" spans="1:8" ht="15" hidden="1" x14ac:dyDescent="0.2">
      <c r="A379" s="2012">
        <v>3636</v>
      </c>
      <c r="B379" s="2013">
        <v>5167</v>
      </c>
      <c r="C379" s="2013">
        <v>38500881</v>
      </c>
      <c r="D379" s="2014" t="s">
        <v>895</v>
      </c>
      <c r="E379" s="2015"/>
      <c r="F379" s="2015"/>
      <c r="G379" s="2015"/>
      <c r="H379" s="2016" t="e">
        <f t="shared" si="30"/>
        <v>#DIV/0!</v>
      </c>
    </row>
    <row r="380" spans="1:8" ht="15" hidden="1" x14ac:dyDescent="0.2">
      <c r="A380" s="2012">
        <v>3636</v>
      </c>
      <c r="B380" s="2013">
        <v>5169</v>
      </c>
      <c r="C380" s="2013">
        <v>38100880</v>
      </c>
      <c r="D380" s="2014" t="s">
        <v>852</v>
      </c>
      <c r="E380" s="2015"/>
      <c r="F380" s="2015"/>
      <c r="G380" s="2015"/>
      <c r="H380" s="2016" t="e">
        <f t="shared" si="30"/>
        <v>#DIV/0!</v>
      </c>
    </row>
    <row r="381" spans="1:8" ht="15" hidden="1" x14ac:dyDescent="0.2">
      <c r="A381" s="2012">
        <v>3636</v>
      </c>
      <c r="B381" s="2013">
        <v>5169</v>
      </c>
      <c r="C381" s="2013">
        <v>38500881</v>
      </c>
      <c r="D381" s="2014" t="s">
        <v>852</v>
      </c>
      <c r="E381" s="2015"/>
      <c r="F381" s="2015"/>
      <c r="G381" s="2015"/>
      <c r="H381" s="2016" t="e">
        <f t="shared" si="30"/>
        <v>#DIV/0!</v>
      </c>
    </row>
    <row r="382" spans="1:8" ht="15" hidden="1" x14ac:dyDescent="0.2">
      <c r="A382" s="2012">
        <v>6223</v>
      </c>
      <c r="B382" s="2013">
        <v>5173</v>
      </c>
      <c r="C382" s="2017">
        <v>0</v>
      </c>
      <c r="D382" s="2014" t="s">
        <v>1152</v>
      </c>
      <c r="E382" s="2015"/>
      <c r="F382" s="2015"/>
      <c r="G382" s="2015"/>
      <c r="H382" s="2016">
        <v>0</v>
      </c>
    </row>
    <row r="383" spans="1:8" ht="15" hidden="1" x14ac:dyDescent="0.2">
      <c r="A383" s="2012">
        <v>3636</v>
      </c>
      <c r="B383" s="2013">
        <v>5173</v>
      </c>
      <c r="C383" s="2013">
        <v>38500881</v>
      </c>
      <c r="D383" s="2014" t="s">
        <v>1152</v>
      </c>
      <c r="E383" s="2015">
        <v>0</v>
      </c>
      <c r="F383" s="2015"/>
      <c r="G383" s="2015"/>
      <c r="H383" s="2016" t="e">
        <f t="shared" ref="H383:H390" si="31">G383/F383*100</f>
        <v>#DIV/0!</v>
      </c>
    </row>
    <row r="384" spans="1:8" ht="15" hidden="1" x14ac:dyDescent="0.2">
      <c r="A384" s="2012">
        <v>3636</v>
      </c>
      <c r="B384" s="2013">
        <v>5175</v>
      </c>
      <c r="C384" s="2013">
        <v>38100880</v>
      </c>
      <c r="D384" s="2014" t="s">
        <v>669</v>
      </c>
      <c r="E384" s="2015">
        <v>0</v>
      </c>
      <c r="F384" s="2015"/>
      <c r="G384" s="2015"/>
      <c r="H384" s="2016" t="e">
        <f t="shared" si="31"/>
        <v>#DIV/0!</v>
      </c>
    </row>
    <row r="385" spans="1:8" ht="15" hidden="1" x14ac:dyDescent="0.2">
      <c r="A385" s="2012">
        <v>3636</v>
      </c>
      <c r="B385" s="2013">
        <v>5175</v>
      </c>
      <c r="C385" s="2013">
        <v>38500881</v>
      </c>
      <c r="D385" s="2014" t="s">
        <v>669</v>
      </c>
      <c r="E385" s="2015">
        <v>0</v>
      </c>
      <c r="F385" s="2015"/>
      <c r="G385" s="2015"/>
      <c r="H385" s="2016" t="e">
        <f t="shared" si="31"/>
        <v>#DIV/0!</v>
      </c>
    </row>
    <row r="386" spans="1:8" ht="15" hidden="1" x14ac:dyDescent="0.2">
      <c r="A386" s="2012">
        <v>3636</v>
      </c>
      <c r="B386" s="2013">
        <v>5176</v>
      </c>
      <c r="C386" s="2013">
        <v>38100880</v>
      </c>
      <c r="D386" s="2014" t="s">
        <v>1247</v>
      </c>
      <c r="E386" s="2015">
        <v>0</v>
      </c>
      <c r="F386" s="2015"/>
      <c r="G386" s="2015"/>
      <c r="H386" s="2016" t="e">
        <f t="shared" si="31"/>
        <v>#DIV/0!</v>
      </c>
    </row>
    <row r="387" spans="1:8" ht="15" hidden="1" x14ac:dyDescent="0.2">
      <c r="A387" s="2012">
        <v>3636</v>
      </c>
      <c r="B387" s="2013">
        <v>5176</v>
      </c>
      <c r="C387" s="2013">
        <v>38500881</v>
      </c>
      <c r="D387" s="2014" t="s">
        <v>1247</v>
      </c>
      <c r="E387" s="2015">
        <v>0</v>
      </c>
      <c r="F387" s="2015"/>
      <c r="G387" s="2015"/>
      <c r="H387" s="2016" t="e">
        <f t="shared" si="31"/>
        <v>#DIV/0!</v>
      </c>
    </row>
    <row r="388" spans="1:8" ht="30" x14ac:dyDescent="0.2">
      <c r="A388" s="2012">
        <v>3122</v>
      </c>
      <c r="B388" s="2013">
        <v>6356</v>
      </c>
      <c r="C388" s="2013">
        <v>32133910</v>
      </c>
      <c r="D388" s="2014" t="s">
        <v>1772</v>
      </c>
      <c r="E388" s="2015">
        <v>0</v>
      </c>
      <c r="F388" s="2015">
        <v>241</v>
      </c>
      <c r="G388" s="2015">
        <v>241</v>
      </c>
      <c r="H388" s="2016">
        <f t="shared" si="31"/>
        <v>100</v>
      </c>
    </row>
    <row r="389" spans="1:8" ht="30.75" thickBot="1" x14ac:dyDescent="0.25">
      <c r="A389" s="2012">
        <v>3122</v>
      </c>
      <c r="B389" s="2013">
        <v>6356</v>
      </c>
      <c r="C389" s="2013">
        <v>32533910</v>
      </c>
      <c r="D389" s="2014" t="s">
        <v>1772</v>
      </c>
      <c r="E389" s="2015">
        <v>0</v>
      </c>
      <c r="F389" s="2015">
        <v>1366</v>
      </c>
      <c r="G389" s="2015">
        <v>1366</v>
      </c>
      <c r="H389" s="2018">
        <f t="shared" si="31"/>
        <v>100</v>
      </c>
    </row>
    <row r="390" spans="1:8" ht="16.5" thickTop="1" thickBot="1" x14ac:dyDescent="0.3">
      <c r="A390" s="2751" t="s">
        <v>763</v>
      </c>
      <c r="B390" s="2752"/>
      <c r="C390" s="2752"/>
      <c r="D390" s="2752"/>
      <c r="E390" s="1818">
        <f>SUM(E360:E389)</f>
        <v>0</v>
      </c>
      <c r="F390" s="1818">
        <f>SUM(F360:F389)</f>
        <v>2927</v>
      </c>
      <c r="G390" s="1818">
        <f>SUM(G360:G389)</f>
        <v>2927</v>
      </c>
      <c r="H390" s="1822">
        <f t="shared" si="31"/>
        <v>100</v>
      </c>
    </row>
    <row r="391" spans="1:8" ht="13.5" thickTop="1" x14ac:dyDescent="0.2"/>
    <row r="392" spans="1:8" ht="12" customHeight="1" x14ac:dyDescent="0.25">
      <c r="A392" s="2760" t="s">
        <v>1779</v>
      </c>
      <c r="B392" s="2761"/>
      <c r="C392" s="2761"/>
      <c r="D392" s="2761"/>
      <c r="E392" s="2761"/>
      <c r="F392" s="2761"/>
      <c r="G392" s="2761"/>
      <c r="H392" s="2761"/>
    </row>
    <row r="393" spans="1:8" ht="15.75" thickBot="1" x14ac:dyDescent="0.3">
      <c r="A393" s="1979" t="s">
        <v>557</v>
      </c>
      <c r="B393" s="1993"/>
      <c r="C393" s="1993"/>
      <c r="E393" s="1994"/>
      <c r="F393" s="1994"/>
      <c r="G393" s="1994"/>
      <c r="H393" s="1995" t="s">
        <v>161</v>
      </c>
    </row>
    <row r="394" spans="1:8" ht="25.5" thickTop="1" thickBot="1" x14ac:dyDescent="0.25">
      <c r="A394" s="1809" t="s">
        <v>162</v>
      </c>
      <c r="B394" s="1810" t="s">
        <v>761</v>
      </c>
      <c r="C394" s="1810" t="s">
        <v>377</v>
      </c>
      <c r="D394" s="1811" t="s">
        <v>164</v>
      </c>
      <c r="E394" s="1833" t="s">
        <v>632</v>
      </c>
      <c r="F394" s="1833" t="s">
        <v>633</v>
      </c>
      <c r="G394" s="1834" t="s">
        <v>882</v>
      </c>
      <c r="H394" s="1835" t="s">
        <v>883</v>
      </c>
    </row>
    <row r="395" spans="1:8" ht="14.25" thickTop="1" thickBot="1" x14ac:dyDescent="0.25">
      <c r="A395" s="1643">
        <v>1</v>
      </c>
      <c r="B395" s="1642">
        <v>2</v>
      </c>
      <c r="C395" s="1642">
        <v>3</v>
      </c>
      <c r="D395" s="1642">
        <v>4</v>
      </c>
      <c r="E395" s="1641">
        <v>5</v>
      </c>
      <c r="F395" s="1641">
        <v>6</v>
      </c>
      <c r="G395" s="1877">
        <v>7</v>
      </c>
      <c r="H395" s="1901" t="s">
        <v>61</v>
      </c>
    </row>
    <row r="396" spans="1:8" ht="15.75" hidden="1" thickTop="1" x14ac:dyDescent="0.2">
      <c r="A396" s="2007">
        <v>3636</v>
      </c>
      <c r="B396" s="2008">
        <v>5011</v>
      </c>
      <c r="C396" s="2017">
        <v>0</v>
      </c>
      <c r="D396" s="2009" t="s">
        <v>206</v>
      </c>
      <c r="E396" s="2010">
        <v>0</v>
      </c>
      <c r="F396" s="2010">
        <v>0</v>
      </c>
      <c r="G396" s="2010">
        <v>0</v>
      </c>
      <c r="H396" s="2011" t="e">
        <f t="shared" ref="H396:H403" si="32">G396/F396*100</f>
        <v>#DIV/0!</v>
      </c>
    </row>
    <row r="397" spans="1:8" ht="15.75" hidden="1" thickTop="1" x14ac:dyDescent="0.2">
      <c r="A397" s="2012">
        <v>3636</v>
      </c>
      <c r="B397" s="2013">
        <v>5011</v>
      </c>
      <c r="C397" s="2013">
        <v>38500881</v>
      </c>
      <c r="D397" s="2014" t="s">
        <v>206</v>
      </c>
      <c r="E397" s="2015">
        <v>0</v>
      </c>
      <c r="F397" s="2015">
        <v>0</v>
      </c>
      <c r="G397" s="2015">
        <v>0</v>
      </c>
      <c r="H397" s="2016" t="e">
        <f t="shared" si="32"/>
        <v>#DIV/0!</v>
      </c>
    </row>
    <row r="398" spans="1:8" ht="30.75" thickTop="1" x14ac:dyDescent="0.2">
      <c r="A398" s="2012">
        <v>3122</v>
      </c>
      <c r="B398" s="2013">
        <v>5336</v>
      </c>
      <c r="C398" s="2017">
        <v>32133019</v>
      </c>
      <c r="D398" s="2014" t="s">
        <v>1263</v>
      </c>
      <c r="E398" s="2015">
        <v>0</v>
      </c>
      <c r="F398" s="2015">
        <f>8+110</f>
        <v>118</v>
      </c>
      <c r="G398" s="2015">
        <f>8+110</f>
        <v>118</v>
      </c>
      <c r="H398" s="2016">
        <f t="shared" si="32"/>
        <v>100</v>
      </c>
    </row>
    <row r="399" spans="1:8" ht="15" hidden="1" x14ac:dyDescent="0.2">
      <c r="A399" s="2012">
        <v>3636</v>
      </c>
      <c r="B399" s="2013">
        <v>5021</v>
      </c>
      <c r="C399" s="2013">
        <v>38500881</v>
      </c>
      <c r="D399" s="2014" t="s">
        <v>389</v>
      </c>
      <c r="E399" s="2015"/>
      <c r="F399" s="2015"/>
      <c r="G399" s="2015"/>
      <c r="H399" s="2016" t="e">
        <f t="shared" si="32"/>
        <v>#DIV/0!</v>
      </c>
    </row>
    <row r="400" spans="1:8" ht="30" hidden="1" x14ac:dyDescent="0.2">
      <c r="A400" s="2012">
        <v>3636</v>
      </c>
      <c r="B400" s="2013">
        <v>5031</v>
      </c>
      <c r="C400" s="2013">
        <v>38100880</v>
      </c>
      <c r="D400" s="2014" t="s">
        <v>1299</v>
      </c>
      <c r="E400" s="2015"/>
      <c r="F400" s="2015"/>
      <c r="G400" s="2015"/>
      <c r="H400" s="2016" t="e">
        <f t="shared" si="32"/>
        <v>#DIV/0!</v>
      </c>
    </row>
    <row r="401" spans="1:8" ht="30" hidden="1" x14ac:dyDescent="0.2">
      <c r="A401" s="2012">
        <v>3636</v>
      </c>
      <c r="B401" s="2013">
        <v>5031</v>
      </c>
      <c r="C401" s="2013">
        <v>38500881</v>
      </c>
      <c r="D401" s="2014" t="s">
        <v>1299</v>
      </c>
      <c r="E401" s="2015"/>
      <c r="F401" s="2015"/>
      <c r="G401" s="2015"/>
      <c r="H401" s="2016" t="e">
        <f t="shared" si="32"/>
        <v>#DIV/0!</v>
      </c>
    </row>
    <row r="402" spans="1:8" ht="30" hidden="1" x14ac:dyDescent="0.2">
      <c r="A402" s="2012">
        <v>3636</v>
      </c>
      <c r="B402" s="2013">
        <v>5032</v>
      </c>
      <c r="C402" s="2013">
        <v>38100880</v>
      </c>
      <c r="D402" s="2014" t="s">
        <v>1177</v>
      </c>
      <c r="E402" s="2015"/>
      <c r="F402" s="2015"/>
      <c r="G402" s="2015"/>
      <c r="H402" s="2016" t="e">
        <f t="shared" si="32"/>
        <v>#DIV/0!</v>
      </c>
    </row>
    <row r="403" spans="1:8" ht="30" hidden="1" x14ac:dyDescent="0.2">
      <c r="A403" s="2012">
        <v>3636</v>
      </c>
      <c r="B403" s="2013">
        <v>5032</v>
      </c>
      <c r="C403" s="2013">
        <v>38500881</v>
      </c>
      <c r="D403" s="2014" t="s">
        <v>1177</v>
      </c>
      <c r="E403" s="2015"/>
      <c r="F403" s="2015"/>
      <c r="G403" s="2015"/>
      <c r="H403" s="2016" t="e">
        <f t="shared" si="32"/>
        <v>#DIV/0!</v>
      </c>
    </row>
    <row r="404" spans="1:8" ht="15" hidden="1" x14ac:dyDescent="0.2">
      <c r="A404" s="2012">
        <v>3636</v>
      </c>
      <c r="B404" s="2013">
        <v>5139</v>
      </c>
      <c r="C404" s="2013">
        <v>38100880</v>
      </c>
      <c r="D404" s="2014" t="s">
        <v>270</v>
      </c>
      <c r="E404" s="2015"/>
      <c r="F404" s="2015"/>
      <c r="G404" s="2015"/>
      <c r="H404" s="2016">
        <v>0</v>
      </c>
    </row>
    <row r="405" spans="1:8" ht="15" hidden="1" x14ac:dyDescent="0.2">
      <c r="A405" s="2012">
        <v>3636</v>
      </c>
      <c r="B405" s="2013">
        <v>5139</v>
      </c>
      <c r="C405" s="2013">
        <v>38500881</v>
      </c>
      <c r="D405" s="2014" t="s">
        <v>270</v>
      </c>
      <c r="E405" s="2015"/>
      <c r="F405" s="2015"/>
      <c r="G405" s="2015"/>
      <c r="H405" s="2016" t="e">
        <f t="shared" ref="H405:H417" si="33">G405/F405*100</f>
        <v>#DIV/0!</v>
      </c>
    </row>
    <row r="406" spans="1:8" ht="15" hidden="1" x14ac:dyDescent="0.2">
      <c r="A406" s="2012">
        <v>3636</v>
      </c>
      <c r="B406" s="2013">
        <v>5162</v>
      </c>
      <c r="C406" s="2013">
        <v>38100880</v>
      </c>
      <c r="D406" s="2014" t="s">
        <v>864</v>
      </c>
      <c r="E406" s="2015"/>
      <c r="F406" s="2015"/>
      <c r="G406" s="2015"/>
      <c r="H406" s="2016" t="e">
        <f t="shared" si="33"/>
        <v>#DIV/0!</v>
      </c>
    </row>
    <row r="407" spans="1:8" ht="15" hidden="1" x14ac:dyDescent="0.2">
      <c r="A407" s="2012">
        <v>3636</v>
      </c>
      <c r="B407" s="2013">
        <v>5162</v>
      </c>
      <c r="C407" s="2013">
        <v>38500881</v>
      </c>
      <c r="D407" s="2014" t="s">
        <v>864</v>
      </c>
      <c r="E407" s="2015"/>
      <c r="F407" s="2015"/>
      <c r="G407" s="2015"/>
      <c r="H407" s="2016" t="e">
        <f t="shared" si="33"/>
        <v>#DIV/0!</v>
      </c>
    </row>
    <row r="408" spans="1:8" ht="15" hidden="1" x14ac:dyDescent="0.2">
      <c r="A408" s="2012">
        <v>3636</v>
      </c>
      <c r="B408" s="2013">
        <v>5164</v>
      </c>
      <c r="C408" s="2013">
        <v>38100880</v>
      </c>
      <c r="D408" s="2014" t="s">
        <v>170</v>
      </c>
      <c r="E408" s="2015"/>
      <c r="F408" s="2015"/>
      <c r="G408" s="2015"/>
      <c r="H408" s="2016" t="e">
        <f t="shared" si="33"/>
        <v>#DIV/0!</v>
      </c>
    </row>
    <row r="409" spans="1:8" ht="15" hidden="1" x14ac:dyDescent="0.2">
      <c r="A409" s="2012">
        <v>3636</v>
      </c>
      <c r="B409" s="2013">
        <v>5164</v>
      </c>
      <c r="C409" s="2013">
        <v>38500881</v>
      </c>
      <c r="D409" s="2014" t="s">
        <v>170</v>
      </c>
      <c r="E409" s="2015"/>
      <c r="F409" s="2015"/>
      <c r="G409" s="2015"/>
      <c r="H409" s="2016" t="e">
        <f t="shared" si="33"/>
        <v>#DIV/0!</v>
      </c>
    </row>
    <row r="410" spans="1:8" ht="30" x14ac:dyDescent="0.2">
      <c r="A410" s="2012">
        <v>3122</v>
      </c>
      <c r="B410" s="2013">
        <v>5336</v>
      </c>
      <c r="C410" s="2017">
        <v>32533019</v>
      </c>
      <c r="D410" s="2014" t="s">
        <v>1263</v>
      </c>
      <c r="E410" s="2015">
        <v>0</v>
      </c>
      <c r="F410" s="2015">
        <f>48+623</f>
        <v>671</v>
      </c>
      <c r="G410" s="2015">
        <f>48+623</f>
        <v>671</v>
      </c>
      <c r="H410" s="2016">
        <f t="shared" si="33"/>
        <v>100</v>
      </c>
    </row>
    <row r="411" spans="1:8" ht="15" hidden="1" x14ac:dyDescent="0.2">
      <c r="A411" s="2012">
        <v>6223</v>
      </c>
      <c r="B411" s="2013">
        <v>5166</v>
      </c>
      <c r="C411" s="2013">
        <v>41100880</v>
      </c>
      <c r="D411" s="2014" t="s">
        <v>609</v>
      </c>
      <c r="E411" s="2015"/>
      <c r="F411" s="2015"/>
      <c r="G411" s="2015"/>
      <c r="H411" s="2016" t="e">
        <f t="shared" si="33"/>
        <v>#DIV/0!</v>
      </c>
    </row>
    <row r="412" spans="1:8" ht="15" hidden="1" x14ac:dyDescent="0.2">
      <c r="A412" s="2012">
        <v>6223</v>
      </c>
      <c r="B412" s="2013">
        <v>5166</v>
      </c>
      <c r="C412" s="2013">
        <v>41100882</v>
      </c>
      <c r="D412" s="2014" t="s">
        <v>609</v>
      </c>
      <c r="E412" s="2015"/>
      <c r="F412" s="2015"/>
      <c r="G412" s="2015"/>
      <c r="H412" s="2016" t="e">
        <f t="shared" si="33"/>
        <v>#DIV/0!</v>
      </c>
    </row>
    <row r="413" spans="1:8" ht="15" hidden="1" x14ac:dyDescent="0.2">
      <c r="A413" s="2012">
        <v>6223</v>
      </c>
      <c r="B413" s="2013">
        <v>5166</v>
      </c>
      <c r="C413" s="2013">
        <v>41500881</v>
      </c>
      <c r="D413" s="2014" t="s">
        <v>609</v>
      </c>
      <c r="E413" s="2015"/>
      <c r="F413" s="2015"/>
      <c r="G413" s="2015"/>
      <c r="H413" s="2016" t="e">
        <f t="shared" si="33"/>
        <v>#DIV/0!</v>
      </c>
    </row>
    <row r="414" spans="1:8" ht="15" hidden="1" x14ac:dyDescent="0.2">
      <c r="A414" s="2012">
        <v>3636</v>
      </c>
      <c r="B414" s="2013">
        <v>5167</v>
      </c>
      <c r="C414" s="2013">
        <v>38100880</v>
      </c>
      <c r="D414" s="2014" t="s">
        <v>895</v>
      </c>
      <c r="E414" s="2015"/>
      <c r="F414" s="2015"/>
      <c r="G414" s="2015"/>
      <c r="H414" s="2016" t="e">
        <f t="shared" si="33"/>
        <v>#DIV/0!</v>
      </c>
    </row>
    <row r="415" spans="1:8" ht="15" hidden="1" x14ac:dyDescent="0.2">
      <c r="A415" s="2012">
        <v>3636</v>
      </c>
      <c r="B415" s="2013">
        <v>5167</v>
      </c>
      <c r="C415" s="2013">
        <v>38500881</v>
      </c>
      <c r="D415" s="2014" t="s">
        <v>895</v>
      </c>
      <c r="E415" s="2015"/>
      <c r="F415" s="2015"/>
      <c r="G415" s="2015"/>
      <c r="H415" s="2016" t="e">
        <f t="shared" si="33"/>
        <v>#DIV/0!</v>
      </c>
    </row>
    <row r="416" spans="1:8" ht="15" hidden="1" x14ac:dyDescent="0.2">
      <c r="A416" s="2012">
        <v>3636</v>
      </c>
      <c r="B416" s="2013">
        <v>5169</v>
      </c>
      <c r="C416" s="2013">
        <v>38100880</v>
      </c>
      <c r="D416" s="2014" t="s">
        <v>852</v>
      </c>
      <c r="E416" s="2015"/>
      <c r="F416" s="2015"/>
      <c r="G416" s="2015"/>
      <c r="H416" s="2016" t="e">
        <f t="shared" si="33"/>
        <v>#DIV/0!</v>
      </c>
    </row>
    <row r="417" spans="1:8" ht="15" hidden="1" x14ac:dyDescent="0.2">
      <c r="A417" s="2012">
        <v>3636</v>
      </c>
      <c r="B417" s="2013">
        <v>5169</v>
      </c>
      <c r="C417" s="2013">
        <v>38500881</v>
      </c>
      <c r="D417" s="2014" t="s">
        <v>852</v>
      </c>
      <c r="E417" s="2015"/>
      <c r="F417" s="2015"/>
      <c r="G417" s="2015"/>
      <c r="H417" s="2016" t="e">
        <f t="shared" si="33"/>
        <v>#DIV/0!</v>
      </c>
    </row>
    <row r="418" spans="1:8" ht="15" hidden="1" x14ac:dyDescent="0.2">
      <c r="A418" s="2012">
        <v>6223</v>
      </c>
      <c r="B418" s="2013">
        <v>5173</v>
      </c>
      <c r="C418" s="2017">
        <v>0</v>
      </c>
      <c r="D418" s="2014" t="s">
        <v>1152</v>
      </c>
      <c r="E418" s="2015"/>
      <c r="F418" s="2015"/>
      <c r="G418" s="2015"/>
      <c r="H418" s="2016">
        <v>0</v>
      </c>
    </row>
    <row r="419" spans="1:8" ht="15" hidden="1" x14ac:dyDescent="0.2">
      <c r="A419" s="2012">
        <v>3636</v>
      </c>
      <c r="B419" s="2013">
        <v>5173</v>
      </c>
      <c r="C419" s="2013">
        <v>38500881</v>
      </c>
      <c r="D419" s="2014" t="s">
        <v>1152</v>
      </c>
      <c r="E419" s="2015">
        <v>0</v>
      </c>
      <c r="F419" s="2015"/>
      <c r="G419" s="2015"/>
      <c r="H419" s="2016" t="e">
        <f t="shared" ref="H419:H426" si="34">G419/F419*100</f>
        <v>#DIV/0!</v>
      </c>
    </row>
    <row r="420" spans="1:8" ht="15" hidden="1" x14ac:dyDescent="0.2">
      <c r="A420" s="2012">
        <v>3636</v>
      </c>
      <c r="B420" s="2013">
        <v>5175</v>
      </c>
      <c r="C420" s="2013">
        <v>38100880</v>
      </c>
      <c r="D420" s="2014" t="s">
        <v>669</v>
      </c>
      <c r="E420" s="2015">
        <v>0</v>
      </c>
      <c r="F420" s="2015"/>
      <c r="G420" s="2015"/>
      <c r="H420" s="2016" t="e">
        <f t="shared" si="34"/>
        <v>#DIV/0!</v>
      </c>
    </row>
    <row r="421" spans="1:8" ht="15" hidden="1" x14ac:dyDescent="0.2">
      <c r="A421" s="2012">
        <v>3636</v>
      </c>
      <c r="B421" s="2013">
        <v>5175</v>
      </c>
      <c r="C421" s="2013">
        <v>38500881</v>
      </c>
      <c r="D421" s="2014" t="s">
        <v>669</v>
      </c>
      <c r="E421" s="2015">
        <v>0</v>
      </c>
      <c r="F421" s="2015"/>
      <c r="G421" s="2015"/>
      <c r="H421" s="2016" t="e">
        <f t="shared" si="34"/>
        <v>#DIV/0!</v>
      </c>
    </row>
    <row r="422" spans="1:8" ht="15" hidden="1" x14ac:dyDescent="0.2">
      <c r="A422" s="2012">
        <v>3636</v>
      </c>
      <c r="B422" s="2013">
        <v>5176</v>
      </c>
      <c r="C422" s="2013">
        <v>38100880</v>
      </c>
      <c r="D422" s="2014" t="s">
        <v>1247</v>
      </c>
      <c r="E422" s="2015">
        <v>0</v>
      </c>
      <c r="F422" s="2015"/>
      <c r="G422" s="2015"/>
      <c r="H422" s="2016" t="e">
        <f t="shared" si="34"/>
        <v>#DIV/0!</v>
      </c>
    </row>
    <row r="423" spans="1:8" ht="15" hidden="1" x14ac:dyDescent="0.2">
      <c r="A423" s="2012">
        <v>3636</v>
      </c>
      <c r="B423" s="2013">
        <v>5176</v>
      </c>
      <c r="C423" s="2013">
        <v>38500881</v>
      </c>
      <c r="D423" s="2014" t="s">
        <v>1247</v>
      </c>
      <c r="E423" s="2015">
        <v>0</v>
      </c>
      <c r="F423" s="2015"/>
      <c r="G423" s="2015"/>
      <c r="H423" s="2016" t="e">
        <f t="shared" si="34"/>
        <v>#DIV/0!</v>
      </c>
    </row>
    <row r="424" spans="1:8" ht="30" x14ac:dyDescent="0.2">
      <c r="A424" s="2012">
        <v>3122</v>
      </c>
      <c r="B424" s="2013">
        <v>6356</v>
      </c>
      <c r="C424" s="2013">
        <v>32133910</v>
      </c>
      <c r="D424" s="2014" t="s">
        <v>1772</v>
      </c>
      <c r="E424" s="2015">
        <v>0</v>
      </c>
      <c r="F424" s="2015">
        <v>147</v>
      </c>
      <c r="G424" s="2015">
        <v>147</v>
      </c>
      <c r="H424" s="2016">
        <f t="shared" si="34"/>
        <v>100</v>
      </c>
    </row>
    <row r="425" spans="1:8" ht="30.75" thickBot="1" x14ac:dyDescent="0.25">
      <c r="A425" s="2012">
        <v>3122</v>
      </c>
      <c r="B425" s="2013">
        <v>6356</v>
      </c>
      <c r="C425" s="2013">
        <v>32533910</v>
      </c>
      <c r="D425" s="2014" t="s">
        <v>1772</v>
      </c>
      <c r="E425" s="2015">
        <v>0</v>
      </c>
      <c r="F425" s="2015">
        <v>835</v>
      </c>
      <c r="G425" s="2015">
        <v>835</v>
      </c>
      <c r="H425" s="2018">
        <f t="shared" si="34"/>
        <v>100</v>
      </c>
    </row>
    <row r="426" spans="1:8" ht="16.5" thickTop="1" thickBot="1" x14ac:dyDescent="0.3">
      <c r="A426" s="2751" t="s">
        <v>763</v>
      </c>
      <c r="B426" s="2752"/>
      <c r="C426" s="2752"/>
      <c r="D426" s="2752"/>
      <c r="E426" s="1818">
        <f>SUM(E396:E425)</f>
        <v>0</v>
      </c>
      <c r="F426" s="1818">
        <f>SUM(F396:F425)</f>
        <v>1771</v>
      </c>
      <c r="G426" s="1818">
        <f>SUM(G396:G425)</f>
        <v>1771</v>
      </c>
      <c r="H426" s="1822">
        <f t="shared" si="34"/>
        <v>100</v>
      </c>
    </row>
    <row r="427" spans="1:8" ht="13.5" thickTop="1" x14ac:dyDescent="0.2"/>
    <row r="428" spans="1:8" ht="12" customHeight="1" x14ac:dyDescent="0.25">
      <c r="A428" s="2760" t="s">
        <v>1780</v>
      </c>
      <c r="B428" s="2761"/>
      <c r="C428" s="2761"/>
      <c r="D428" s="2761"/>
      <c r="E428" s="2761"/>
      <c r="F428" s="2761"/>
      <c r="G428" s="2761"/>
      <c r="H428" s="2761"/>
    </row>
    <row r="429" spans="1:8" ht="15.75" thickBot="1" x14ac:dyDescent="0.3">
      <c r="A429" s="1979" t="s">
        <v>1781</v>
      </c>
      <c r="B429" s="1993"/>
      <c r="C429" s="1993"/>
      <c r="E429" s="1994"/>
      <c r="F429" s="1994"/>
      <c r="G429" s="1994"/>
      <c r="H429" s="1995" t="s">
        <v>161</v>
      </c>
    </row>
    <row r="430" spans="1:8" ht="25.5" thickTop="1" thickBot="1" x14ac:dyDescent="0.25">
      <c r="A430" s="1809" t="s">
        <v>162</v>
      </c>
      <c r="B430" s="1810" t="s">
        <v>761</v>
      </c>
      <c r="C430" s="1810" t="s">
        <v>377</v>
      </c>
      <c r="D430" s="1811" t="s">
        <v>164</v>
      </c>
      <c r="E430" s="1833" t="s">
        <v>632</v>
      </c>
      <c r="F430" s="1833" t="s">
        <v>633</v>
      </c>
      <c r="G430" s="1834" t="s">
        <v>882</v>
      </c>
      <c r="H430" s="1835" t="s">
        <v>883</v>
      </c>
    </row>
    <row r="431" spans="1:8" ht="14.25" thickTop="1" thickBot="1" x14ac:dyDescent="0.25">
      <c r="A431" s="1643">
        <v>1</v>
      </c>
      <c r="B431" s="1642">
        <v>2</v>
      </c>
      <c r="C431" s="1642">
        <v>3</v>
      </c>
      <c r="D431" s="1642">
        <v>4</v>
      </c>
      <c r="E431" s="1641">
        <v>5</v>
      </c>
      <c r="F431" s="1641">
        <v>6</v>
      </c>
      <c r="G431" s="1877">
        <v>7</v>
      </c>
      <c r="H431" s="1901" t="s">
        <v>61</v>
      </c>
    </row>
    <row r="432" spans="1:8" ht="15.75" hidden="1" thickTop="1" x14ac:dyDescent="0.2">
      <c r="A432" s="2007">
        <v>3636</v>
      </c>
      <c r="B432" s="2008">
        <v>5011</v>
      </c>
      <c r="C432" s="2017">
        <v>0</v>
      </c>
      <c r="D432" s="2009" t="s">
        <v>206</v>
      </c>
      <c r="E432" s="2010">
        <v>0</v>
      </c>
      <c r="F432" s="2010">
        <v>0</v>
      </c>
      <c r="G432" s="2010">
        <v>0</v>
      </c>
      <c r="H432" s="2011" t="e">
        <f t="shared" ref="H432:H439" si="35">G432/F432*100</f>
        <v>#DIV/0!</v>
      </c>
    </row>
    <row r="433" spans="1:8" ht="15.75" hidden="1" thickTop="1" x14ac:dyDescent="0.2">
      <c r="A433" s="2012">
        <v>3636</v>
      </c>
      <c r="B433" s="2013">
        <v>5011</v>
      </c>
      <c r="C433" s="2013">
        <v>38500881</v>
      </c>
      <c r="D433" s="2014" t="s">
        <v>206</v>
      </c>
      <c r="E433" s="2015">
        <v>0</v>
      </c>
      <c r="F433" s="2015">
        <v>0</v>
      </c>
      <c r="G433" s="2015">
        <v>0</v>
      </c>
      <c r="H433" s="2016" t="e">
        <f t="shared" si="35"/>
        <v>#DIV/0!</v>
      </c>
    </row>
    <row r="434" spans="1:8" ht="30.75" thickTop="1" x14ac:dyDescent="0.2">
      <c r="A434" s="2012">
        <v>3123</v>
      </c>
      <c r="B434" s="2013">
        <v>5336</v>
      </c>
      <c r="C434" s="2017">
        <v>32133019</v>
      </c>
      <c r="D434" s="2014" t="s">
        <v>1263</v>
      </c>
      <c r="E434" s="2015">
        <v>0</v>
      </c>
      <c r="F434" s="2015">
        <f>10+146</f>
        <v>156</v>
      </c>
      <c r="G434" s="2015">
        <f>8+128</f>
        <v>136</v>
      </c>
      <c r="H434" s="2016">
        <f t="shared" si="35"/>
        <v>87.179487179487182</v>
      </c>
    </row>
    <row r="435" spans="1:8" ht="15" hidden="1" x14ac:dyDescent="0.2">
      <c r="A435" s="2012">
        <v>3636</v>
      </c>
      <c r="B435" s="2013">
        <v>5021</v>
      </c>
      <c r="C435" s="2013">
        <v>38500881</v>
      </c>
      <c r="D435" s="2014" t="s">
        <v>389</v>
      </c>
      <c r="E435" s="2015"/>
      <c r="F435" s="2015"/>
      <c r="G435" s="2015"/>
      <c r="H435" s="2016" t="e">
        <f t="shared" si="35"/>
        <v>#DIV/0!</v>
      </c>
    </row>
    <row r="436" spans="1:8" ht="30" hidden="1" x14ac:dyDescent="0.2">
      <c r="A436" s="2012">
        <v>3636</v>
      </c>
      <c r="B436" s="2013">
        <v>5031</v>
      </c>
      <c r="C436" s="2013">
        <v>38100880</v>
      </c>
      <c r="D436" s="2014" t="s">
        <v>1299</v>
      </c>
      <c r="E436" s="2015"/>
      <c r="F436" s="2015"/>
      <c r="G436" s="2015"/>
      <c r="H436" s="2016" t="e">
        <f t="shared" si="35"/>
        <v>#DIV/0!</v>
      </c>
    </row>
    <row r="437" spans="1:8" ht="30" hidden="1" x14ac:dyDescent="0.2">
      <c r="A437" s="2012">
        <v>3636</v>
      </c>
      <c r="B437" s="2013">
        <v>5031</v>
      </c>
      <c r="C437" s="2013">
        <v>38500881</v>
      </c>
      <c r="D437" s="2014" t="s">
        <v>1299</v>
      </c>
      <c r="E437" s="2015"/>
      <c r="F437" s="2015"/>
      <c r="G437" s="2015"/>
      <c r="H437" s="2016" t="e">
        <f t="shared" si="35"/>
        <v>#DIV/0!</v>
      </c>
    </row>
    <row r="438" spans="1:8" ht="30" hidden="1" x14ac:dyDescent="0.2">
      <c r="A438" s="2012">
        <v>3636</v>
      </c>
      <c r="B438" s="2013">
        <v>5032</v>
      </c>
      <c r="C438" s="2013">
        <v>38100880</v>
      </c>
      <c r="D438" s="2014" t="s">
        <v>1177</v>
      </c>
      <c r="E438" s="2015"/>
      <c r="F438" s="2015"/>
      <c r="G438" s="2015"/>
      <c r="H438" s="2016" t="e">
        <f t="shared" si="35"/>
        <v>#DIV/0!</v>
      </c>
    </row>
    <row r="439" spans="1:8" ht="30" hidden="1" x14ac:dyDescent="0.2">
      <c r="A439" s="2012">
        <v>3636</v>
      </c>
      <c r="B439" s="2013">
        <v>5032</v>
      </c>
      <c r="C439" s="2013">
        <v>38500881</v>
      </c>
      <c r="D439" s="2014" t="s">
        <v>1177</v>
      </c>
      <c r="E439" s="2015"/>
      <c r="F439" s="2015"/>
      <c r="G439" s="2015"/>
      <c r="H439" s="2016" t="e">
        <f t="shared" si="35"/>
        <v>#DIV/0!</v>
      </c>
    </row>
    <row r="440" spans="1:8" ht="15" hidden="1" x14ac:dyDescent="0.2">
      <c r="A440" s="2012">
        <v>3636</v>
      </c>
      <c r="B440" s="2013">
        <v>5139</v>
      </c>
      <c r="C440" s="2013">
        <v>38100880</v>
      </c>
      <c r="D440" s="2014" t="s">
        <v>270</v>
      </c>
      <c r="E440" s="2015"/>
      <c r="F440" s="2015"/>
      <c r="G440" s="2015"/>
      <c r="H440" s="2016">
        <v>0</v>
      </c>
    </row>
    <row r="441" spans="1:8" ht="15" hidden="1" x14ac:dyDescent="0.2">
      <c r="A441" s="2012">
        <v>3636</v>
      </c>
      <c r="B441" s="2013">
        <v>5139</v>
      </c>
      <c r="C441" s="2013">
        <v>38500881</v>
      </c>
      <c r="D441" s="2014" t="s">
        <v>270</v>
      </c>
      <c r="E441" s="2015"/>
      <c r="F441" s="2015"/>
      <c r="G441" s="2015"/>
      <c r="H441" s="2016" t="e">
        <f t="shared" ref="H441:H453" si="36">G441/F441*100</f>
        <v>#DIV/0!</v>
      </c>
    </row>
    <row r="442" spans="1:8" ht="15" hidden="1" x14ac:dyDescent="0.2">
      <c r="A442" s="2012">
        <v>3636</v>
      </c>
      <c r="B442" s="2013">
        <v>5162</v>
      </c>
      <c r="C442" s="2013">
        <v>38100880</v>
      </c>
      <c r="D442" s="2014" t="s">
        <v>864</v>
      </c>
      <c r="E442" s="2015"/>
      <c r="F442" s="2015"/>
      <c r="G442" s="2015"/>
      <c r="H442" s="2016" t="e">
        <f t="shared" si="36"/>
        <v>#DIV/0!</v>
      </c>
    </row>
    <row r="443" spans="1:8" ht="15" hidden="1" x14ac:dyDescent="0.2">
      <c r="A443" s="2012">
        <v>3636</v>
      </c>
      <c r="B443" s="2013">
        <v>5162</v>
      </c>
      <c r="C443" s="2013">
        <v>38500881</v>
      </c>
      <c r="D443" s="2014" t="s">
        <v>864</v>
      </c>
      <c r="E443" s="2015"/>
      <c r="F443" s="2015"/>
      <c r="G443" s="2015"/>
      <c r="H443" s="2016" t="e">
        <f t="shared" si="36"/>
        <v>#DIV/0!</v>
      </c>
    </row>
    <row r="444" spans="1:8" ht="15" hidden="1" x14ac:dyDescent="0.2">
      <c r="A444" s="2012">
        <v>3636</v>
      </c>
      <c r="B444" s="2013">
        <v>5164</v>
      </c>
      <c r="C444" s="2013">
        <v>38100880</v>
      </c>
      <c r="D444" s="2014" t="s">
        <v>170</v>
      </c>
      <c r="E444" s="2015"/>
      <c r="F444" s="2015"/>
      <c r="G444" s="2015"/>
      <c r="H444" s="2016" t="e">
        <f t="shared" si="36"/>
        <v>#DIV/0!</v>
      </c>
    </row>
    <row r="445" spans="1:8" ht="15" hidden="1" x14ac:dyDescent="0.2">
      <c r="A445" s="2012">
        <v>3636</v>
      </c>
      <c r="B445" s="2013">
        <v>5164</v>
      </c>
      <c r="C445" s="2013">
        <v>38500881</v>
      </c>
      <c r="D445" s="2014" t="s">
        <v>170</v>
      </c>
      <c r="E445" s="2015"/>
      <c r="F445" s="2015"/>
      <c r="G445" s="2015"/>
      <c r="H445" s="2016" t="e">
        <f t="shared" si="36"/>
        <v>#DIV/0!</v>
      </c>
    </row>
    <row r="446" spans="1:8" ht="30" x14ac:dyDescent="0.2">
      <c r="A446" s="2012">
        <v>3123</v>
      </c>
      <c r="B446" s="2013">
        <v>5336</v>
      </c>
      <c r="C446" s="2017">
        <v>32533019</v>
      </c>
      <c r="D446" s="2014" t="s">
        <v>1263</v>
      </c>
      <c r="E446" s="2015">
        <v>0</v>
      </c>
      <c r="F446" s="2015">
        <f>55+827</f>
        <v>882</v>
      </c>
      <c r="G446" s="2015">
        <f>47+726</f>
        <v>773</v>
      </c>
      <c r="H446" s="2016">
        <f t="shared" si="36"/>
        <v>87.641723356009066</v>
      </c>
    </row>
    <row r="447" spans="1:8" ht="15" hidden="1" x14ac:dyDescent="0.2">
      <c r="A447" s="2012">
        <v>3123</v>
      </c>
      <c r="B447" s="2013">
        <v>5166</v>
      </c>
      <c r="C447" s="2013">
        <v>41100880</v>
      </c>
      <c r="D447" s="2014" t="s">
        <v>609</v>
      </c>
      <c r="E447" s="2015"/>
      <c r="F447" s="2015"/>
      <c r="G447" s="2015"/>
      <c r="H447" s="2016" t="e">
        <f t="shared" si="36"/>
        <v>#DIV/0!</v>
      </c>
    </row>
    <row r="448" spans="1:8" ht="15" hidden="1" x14ac:dyDescent="0.2">
      <c r="A448" s="2012">
        <v>3123</v>
      </c>
      <c r="B448" s="2013">
        <v>5166</v>
      </c>
      <c r="C448" s="2013">
        <v>41100882</v>
      </c>
      <c r="D448" s="2014" t="s">
        <v>609</v>
      </c>
      <c r="E448" s="2015"/>
      <c r="F448" s="2015"/>
      <c r="G448" s="2015"/>
      <c r="H448" s="2016" t="e">
        <f t="shared" si="36"/>
        <v>#DIV/0!</v>
      </c>
    </row>
    <row r="449" spans="1:8" ht="15" hidden="1" x14ac:dyDescent="0.2">
      <c r="A449" s="2012">
        <v>3123</v>
      </c>
      <c r="B449" s="2013">
        <v>5166</v>
      </c>
      <c r="C449" s="2013">
        <v>41500881</v>
      </c>
      <c r="D449" s="2014" t="s">
        <v>609</v>
      </c>
      <c r="E449" s="2015"/>
      <c r="F449" s="2015"/>
      <c r="G449" s="2015"/>
      <c r="H449" s="2016" t="e">
        <f t="shared" si="36"/>
        <v>#DIV/0!</v>
      </c>
    </row>
    <row r="450" spans="1:8" ht="15" hidden="1" x14ac:dyDescent="0.2">
      <c r="A450" s="2012">
        <v>3123</v>
      </c>
      <c r="B450" s="2013">
        <v>5167</v>
      </c>
      <c r="C450" s="2013">
        <v>38100880</v>
      </c>
      <c r="D450" s="2014" t="s">
        <v>895</v>
      </c>
      <c r="E450" s="2015"/>
      <c r="F450" s="2015"/>
      <c r="G450" s="2015"/>
      <c r="H450" s="2016" t="e">
        <f t="shared" si="36"/>
        <v>#DIV/0!</v>
      </c>
    </row>
    <row r="451" spans="1:8" ht="15" hidden="1" x14ac:dyDescent="0.2">
      <c r="A451" s="2012">
        <v>3123</v>
      </c>
      <c r="B451" s="2013">
        <v>5167</v>
      </c>
      <c r="C451" s="2013">
        <v>38500881</v>
      </c>
      <c r="D451" s="2014" t="s">
        <v>895</v>
      </c>
      <c r="E451" s="2015"/>
      <c r="F451" s="2015"/>
      <c r="G451" s="2015"/>
      <c r="H451" s="2016" t="e">
        <f t="shared" si="36"/>
        <v>#DIV/0!</v>
      </c>
    </row>
    <row r="452" spans="1:8" ht="15" hidden="1" x14ac:dyDescent="0.2">
      <c r="A452" s="2012">
        <v>3123</v>
      </c>
      <c r="B452" s="2013">
        <v>5169</v>
      </c>
      <c r="C452" s="2013">
        <v>38100880</v>
      </c>
      <c r="D452" s="2014" t="s">
        <v>852</v>
      </c>
      <c r="E452" s="2015"/>
      <c r="F452" s="2015"/>
      <c r="G452" s="2015"/>
      <c r="H452" s="2016" t="e">
        <f t="shared" si="36"/>
        <v>#DIV/0!</v>
      </c>
    </row>
    <row r="453" spans="1:8" ht="15" hidden="1" x14ac:dyDescent="0.2">
      <c r="A453" s="2012">
        <v>3123</v>
      </c>
      <c r="B453" s="2013">
        <v>5169</v>
      </c>
      <c r="C453" s="2013">
        <v>38500881</v>
      </c>
      <c r="D453" s="2014" t="s">
        <v>852</v>
      </c>
      <c r="E453" s="2015"/>
      <c r="F453" s="2015"/>
      <c r="G453" s="2015"/>
      <c r="H453" s="2016" t="e">
        <f t="shared" si="36"/>
        <v>#DIV/0!</v>
      </c>
    </row>
    <row r="454" spans="1:8" ht="15" hidden="1" x14ac:dyDescent="0.2">
      <c r="A454" s="2012">
        <v>3123</v>
      </c>
      <c r="B454" s="2013">
        <v>5173</v>
      </c>
      <c r="C454" s="2017">
        <v>0</v>
      </c>
      <c r="D454" s="2014" t="s">
        <v>1152</v>
      </c>
      <c r="E454" s="2015"/>
      <c r="F454" s="2015"/>
      <c r="G454" s="2015"/>
      <c r="H454" s="2016">
        <v>0</v>
      </c>
    </row>
    <row r="455" spans="1:8" ht="15" hidden="1" x14ac:dyDescent="0.2">
      <c r="A455" s="2012">
        <v>3123</v>
      </c>
      <c r="B455" s="2013">
        <v>5173</v>
      </c>
      <c r="C455" s="2013">
        <v>38500881</v>
      </c>
      <c r="D455" s="2014" t="s">
        <v>1152</v>
      </c>
      <c r="E455" s="2015">
        <v>0</v>
      </c>
      <c r="F455" s="2015"/>
      <c r="G455" s="2015"/>
      <c r="H455" s="2016" t="e">
        <f t="shared" ref="H455:H462" si="37">G455/F455*100</f>
        <v>#DIV/0!</v>
      </c>
    </row>
    <row r="456" spans="1:8" ht="15" hidden="1" x14ac:dyDescent="0.2">
      <c r="A456" s="2012">
        <v>3123</v>
      </c>
      <c r="B456" s="2013">
        <v>5175</v>
      </c>
      <c r="C456" s="2013">
        <v>38100880</v>
      </c>
      <c r="D456" s="2014" t="s">
        <v>669</v>
      </c>
      <c r="E456" s="2015">
        <v>0</v>
      </c>
      <c r="F456" s="2015"/>
      <c r="G456" s="2015"/>
      <c r="H456" s="2016" t="e">
        <f t="shared" si="37"/>
        <v>#DIV/0!</v>
      </c>
    </row>
    <row r="457" spans="1:8" ht="15" hidden="1" x14ac:dyDescent="0.2">
      <c r="A457" s="2012">
        <v>3123</v>
      </c>
      <c r="B457" s="2013">
        <v>5175</v>
      </c>
      <c r="C457" s="2013">
        <v>38500881</v>
      </c>
      <c r="D457" s="2014" t="s">
        <v>669</v>
      </c>
      <c r="E457" s="2015">
        <v>0</v>
      </c>
      <c r="F457" s="2015"/>
      <c r="G457" s="2015"/>
      <c r="H457" s="2016" t="e">
        <f t="shared" si="37"/>
        <v>#DIV/0!</v>
      </c>
    </row>
    <row r="458" spans="1:8" ht="15" hidden="1" x14ac:dyDescent="0.2">
      <c r="A458" s="2012">
        <v>3123</v>
      </c>
      <c r="B458" s="2013">
        <v>5176</v>
      </c>
      <c r="C458" s="2013">
        <v>38100880</v>
      </c>
      <c r="D458" s="2014" t="s">
        <v>1247</v>
      </c>
      <c r="E458" s="2015">
        <v>0</v>
      </c>
      <c r="F458" s="2015"/>
      <c r="G458" s="2015"/>
      <c r="H458" s="2016" t="e">
        <f t="shared" si="37"/>
        <v>#DIV/0!</v>
      </c>
    </row>
    <row r="459" spans="1:8" ht="15" hidden="1" x14ac:dyDescent="0.2">
      <c r="A459" s="2012">
        <v>3123</v>
      </c>
      <c r="B459" s="2013">
        <v>5176</v>
      </c>
      <c r="C459" s="2013">
        <v>38500881</v>
      </c>
      <c r="D459" s="2014" t="s">
        <v>1247</v>
      </c>
      <c r="E459" s="2015">
        <v>0</v>
      </c>
      <c r="F459" s="2015"/>
      <c r="G459" s="2015"/>
      <c r="H459" s="2016" t="e">
        <f t="shared" si="37"/>
        <v>#DIV/0!</v>
      </c>
    </row>
    <row r="460" spans="1:8" ht="30" x14ac:dyDescent="0.2">
      <c r="A460" s="2012">
        <v>3123</v>
      </c>
      <c r="B460" s="2013">
        <v>6356</v>
      </c>
      <c r="C460" s="2013">
        <v>32133910</v>
      </c>
      <c r="D460" s="2014" t="s">
        <v>1772</v>
      </c>
      <c r="E460" s="2015">
        <v>0</v>
      </c>
      <c r="F460" s="2015">
        <v>128</v>
      </c>
      <c r="G460" s="2015">
        <v>128</v>
      </c>
      <c r="H460" s="2016">
        <f t="shared" si="37"/>
        <v>100</v>
      </c>
    </row>
    <row r="461" spans="1:8" ht="30.75" thickBot="1" x14ac:dyDescent="0.25">
      <c r="A461" s="2012">
        <v>3123</v>
      </c>
      <c r="B461" s="2013">
        <v>6356</v>
      </c>
      <c r="C461" s="2013">
        <v>32533910</v>
      </c>
      <c r="D461" s="2014" t="s">
        <v>1772</v>
      </c>
      <c r="E461" s="2015">
        <v>0</v>
      </c>
      <c r="F461" s="2015">
        <v>725</v>
      </c>
      <c r="G461" s="2015">
        <v>724</v>
      </c>
      <c r="H461" s="2018">
        <f t="shared" si="37"/>
        <v>99.862068965517238</v>
      </c>
    </row>
    <row r="462" spans="1:8" ht="16.5" thickTop="1" thickBot="1" x14ac:dyDescent="0.3">
      <c r="A462" s="2751" t="s">
        <v>763</v>
      </c>
      <c r="B462" s="2752"/>
      <c r="C462" s="2752"/>
      <c r="D462" s="2752"/>
      <c r="E462" s="1818">
        <f>SUM(E432:E461)</f>
        <v>0</v>
      </c>
      <c r="F462" s="1818">
        <f>SUM(F432:F461)</f>
        <v>1891</v>
      </c>
      <c r="G462" s="1818">
        <f>SUM(G432:G461)</f>
        <v>1761</v>
      </c>
      <c r="H462" s="1822">
        <f t="shared" si="37"/>
        <v>93.125330512956111</v>
      </c>
    </row>
    <row r="463" spans="1:8" ht="13.5" thickTop="1" x14ac:dyDescent="0.2"/>
    <row r="464" spans="1:8" ht="12" customHeight="1" x14ac:dyDescent="0.25">
      <c r="A464" s="2760" t="s">
        <v>1782</v>
      </c>
      <c r="B464" s="2761"/>
      <c r="C464" s="2761"/>
      <c r="D464" s="2761"/>
      <c r="E464" s="2761"/>
      <c r="F464" s="2761"/>
      <c r="G464" s="2761"/>
      <c r="H464" s="2761"/>
    </row>
    <row r="465" spans="1:8" ht="15.75" thickBot="1" x14ac:dyDescent="0.3">
      <c r="A465" s="1979" t="s">
        <v>1783</v>
      </c>
      <c r="B465" s="1993"/>
      <c r="C465" s="1993"/>
      <c r="E465" s="1994"/>
      <c r="F465" s="1994"/>
      <c r="G465" s="1994"/>
      <c r="H465" s="1995" t="s">
        <v>161</v>
      </c>
    </row>
    <row r="466" spans="1:8" ht="25.5" thickTop="1" thickBot="1" x14ac:dyDescent="0.25">
      <c r="A466" s="1809" t="s">
        <v>162</v>
      </c>
      <c r="B466" s="1810" t="s">
        <v>761</v>
      </c>
      <c r="C466" s="1810" t="s">
        <v>377</v>
      </c>
      <c r="D466" s="1811" t="s">
        <v>164</v>
      </c>
      <c r="E466" s="1833" t="s">
        <v>632</v>
      </c>
      <c r="F466" s="1833" t="s">
        <v>633</v>
      </c>
      <c r="G466" s="1834" t="s">
        <v>882</v>
      </c>
      <c r="H466" s="1835" t="s">
        <v>883</v>
      </c>
    </row>
    <row r="467" spans="1:8" ht="14.25" thickTop="1" thickBot="1" x14ac:dyDescent="0.25">
      <c r="A467" s="1643">
        <v>1</v>
      </c>
      <c r="B467" s="1642">
        <v>2</v>
      </c>
      <c r="C467" s="1642">
        <v>3</v>
      </c>
      <c r="D467" s="1642">
        <v>4</v>
      </c>
      <c r="E467" s="1641">
        <v>5</v>
      </c>
      <c r="F467" s="1641">
        <v>6</v>
      </c>
      <c r="G467" s="1877">
        <v>7</v>
      </c>
      <c r="H467" s="1901" t="s">
        <v>61</v>
      </c>
    </row>
    <row r="468" spans="1:8" ht="15.75" hidden="1" thickTop="1" x14ac:dyDescent="0.2">
      <c r="A468" s="2007">
        <v>3636</v>
      </c>
      <c r="B468" s="2008">
        <v>5011</v>
      </c>
      <c r="C468" s="2017">
        <v>0</v>
      </c>
      <c r="D468" s="2009" t="s">
        <v>206</v>
      </c>
      <c r="E468" s="2010">
        <v>0</v>
      </c>
      <c r="F468" s="2010">
        <v>0</v>
      </c>
      <c r="G468" s="2010">
        <v>0</v>
      </c>
      <c r="H468" s="2011" t="e">
        <f t="shared" ref="H468:H475" si="38">G468/F468*100</f>
        <v>#DIV/0!</v>
      </c>
    </row>
    <row r="469" spans="1:8" ht="15.75" hidden="1" thickTop="1" x14ac:dyDescent="0.2">
      <c r="A469" s="2012">
        <v>3636</v>
      </c>
      <c r="B469" s="2013">
        <v>5011</v>
      </c>
      <c r="C469" s="2013">
        <v>38500881</v>
      </c>
      <c r="D469" s="2014" t="s">
        <v>206</v>
      </c>
      <c r="E469" s="2015">
        <v>0</v>
      </c>
      <c r="F469" s="2015">
        <v>0</v>
      </c>
      <c r="G469" s="2015">
        <v>0</v>
      </c>
      <c r="H469" s="2016" t="e">
        <f t="shared" si="38"/>
        <v>#DIV/0!</v>
      </c>
    </row>
    <row r="470" spans="1:8" ht="30.75" thickTop="1" x14ac:dyDescent="0.2">
      <c r="A470" s="2012">
        <v>3122</v>
      </c>
      <c r="B470" s="2013">
        <v>5336</v>
      </c>
      <c r="C470" s="2017">
        <v>32133019</v>
      </c>
      <c r="D470" s="2014" t="s">
        <v>1263</v>
      </c>
      <c r="E470" s="2015">
        <v>0</v>
      </c>
      <c r="F470" s="2015">
        <f>9+223</f>
        <v>232</v>
      </c>
      <c r="G470" s="2015">
        <f>9+223</f>
        <v>232</v>
      </c>
      <c r="H470" s="2016">
        <f t="shared" si="38"/>
        <v>100</v>
      </c>
    </row>
    <row r="471" spans="1:8" ht="15" hidden="1" x14ac:dyDescent="0.2">
      <c r="A471" s="2012">
        <v>3636</v>
      </c>
      <c r="B471" s="2013">
        <v>5021</v>
      </c>
      <c r="C471" s="2013">
        <v>38500881</v>
      </c>
      <c r="D471" s="2014" t="s">
        <v>389</v>
      </c>
      <c r="E471" s="2015"/>
      <c r="F471" s="2015"/>
      <c r="G471" s="2015"/>
      <c r="H471" s="2016" t="e">
        <f t="shared" si="38"/>
        <v>#DIV/0!</v>
      </c>
    </row>
    <row r="472" spans="1:8" ht="30" hidden="1" x14ac:dyDescent="0.2">
      <c r="A472" s="2012">
        <v>3636</v>
      </c>
      <c r="B472" s="2013">
        <v>5031</v>
      </c>
      <c r="C472" s="2013">
        <v>38100880</v>
      </c>
      <c r="D472" s="2014" t="s">
        <v>1299</v>
      </c>
      <c r="E472" s="2015"/>
      <c r="F472" s="2015"/>
      <c r="G472" s="2015"/>
      <c r="H472" s="2016" t="e">
        <f t="shared" si="38"/>
        <v>#DIV/0!</v>
      </c>
    </row>
    <row r="473" spans="1:8" ht="30" hidden="1" x14ac:dyDescent="0.2">
      <c r="A473" s="2012">
        <v>3636</v>
      </c>
      <c r="B473" s="2013">
        <v>5031</v>
      </c>
      <c r="C473" s="2013">
        <v>38500881</v>
      </c>
      <c r="D473" s="2014" t="s">
        <v>1299</v>
      </c>
      <c r="E473" s="2015"/>
      <c r="F473" s="2015"/>
      <c r="G473" s="2015"/>
      <c r="H473" s="2016" t="e">
        <f t="shared" si="38"/>
        <v>#DIV/0!</v>
      </c>
    </row>
    <row r="474" spans="1:8" ht="30" hidden="1" x14ac:dyDescent="0.2">
      <c r="A474" s="2012">
        <v>3636</v>
      </c>
      <c r="B474" s="2013">
        <v>5032</v>
      </c>
      <c r="C474" s="2013">
        <v>38100880</v>
      </c>
      <c r="D474" s="2014" t="s">
        <v>1177</v>
      </c>
      <c r="E474" s="2015"/>
      <c r="F474" s="2015"/>
      <c r="G474" s="2015"/>
      <c r="H474" s="2016" t="e">
        <f t="shared" si="38"/>
        <v>#DIV/0!</v>
      </c>
    </row>
    <row r="475" spans="1:8" ht="30" hidden="1" x14ac:dyDescent="0.2">
      <c r="A475" s="2012">
        <v>3636</v>
      </c>
      <c r="B475" s="2013">
        <v>5032</v>
      </c>
      <c r="C475" s="2013">
        <v>38500881</v>
      </c>
      <c r="D475" s="2014" t="s">
        <v>1177</v>
      </c>
      <c r="E475" s="2015"/>
      <c r="F475" s="2015"/>
      <c r="G475" s="2015"/>
      <c r="H475" s="2016" t="e">
        <f t="shared" si="38"/>
        <v>#DIV/0!</v>
      </c>
    </row>
    <row r="476" spans="1:8" ht="15" hidden="1" x14ac:dyDescent="0.2">
      <c r="A476" s="2012">
        <v>3636</v>
      </c>
      <c r="B476" s="2013">
        <v>5139</v>
      </c>
      <c r="C476" s="2013">
        <v>38100880</v>
      </c>
      <c r="D476" s="2014" t="s">
        <v>270</v>
      </c>
      <c r="E476" s="2015"/>
      <c r="F476" s="2015"/>
      <c r="G476" s="2015"/>
      <c r="H476" s="2016">
        <v>0</v>
      </c>
    </row>
    <row r="477" spans="1:8" ht="15" hidden="1" x14ac:dyDescent="0.2">
      <c r="A477" s="2012">
        <v>3636</v>
      </c>
      <c r="B477" s="2013">
        <v>5139</v>
      </c>
      <c r="C477" s="2013">
        <v>38500881</v>
      </c>
      <c r="D477" s="2014" t="s">
        <v>270</v>
      </c>
      <c r="E477" s="2015"/>
      <c r="F477" s="2015"/>
      <c r="G477" s="2015"/>
      <c r="H477" s="2016" t="e">
        <f t="shared" ref="H477:H489" si="39">G477/F477*100</f>
        <v>#DIV/0!</v>
      </c>
    </row>
    <row r="478" spans="1:8" ht="15" hidden="1" x14ac:dyDescent="0.2">
      <c r="A478" s="2012">
        <v>3636</v>
      </c>
      <c r="B478" s="2013">
        <v>5162</v>
      </c>
      <c r="C478" s="2013">
        <v>38100880</v>
      </c>
      <c r="D478" s="2014" t="s">
        <v>864</v>
      </c>
      <c r="E478" s="2015"/>
      <c r="F478" s="2015"/>
      <c r="G478" s="2015"/>
      <c r="H478" s="2016" t="e">
        <f t="shared" si="39"/>
        <v>#DIV/0!</v>
      </c>
    </row>
    <row r="479" spans="1:8" ht="15" hidden="1" x14ac:dyDescent="0.2">
      <c r="A479" s="2012">
        <v>3636</v>
      </c>
      <c r="B479" s="2013">
        <v>5162</v>
      </c>
      <c r="C479" s="2013">
        <v>38500881</v>
      </c>
      <c r="D479" s="2014" t="s">
        <v>864</v>
      </c>
      <c r="E479" s="2015"/>
      <c r="F479" s="2015"/>
      <c r="G479" s="2015"/>
      <c r="H479" s="2016" t="e">
        <f t="shared" si="39"/>
        <v>#DIV/0!</v>
      </c>
    </row>
    <row r="480" spans="1:8" ht="15" hidden="1" x14ac:dyDescent="0.2">
      <c r="A480" s="2012">
        <v>3636</v>
      </c>
      <c r="B480" s="2013">
        <v>5164</v>
      </c>
      <c r="C480" s="2013">
        <v>38100880</v>
      </c>
      <c r="D480" s="2014" t="s">
        <v>170</v>
      </c>
      <c r="E480" s="2015"/>
      <c r="F480" s="2015"/>
      <c r="G480" s="2015"/>
      <c r="H480" s="2016" t="e">
        <f t="shared" si="39"/>
        <v>#DIV/0!</v>
      </c>
    </row>
    <row r="481" spans="1:8" ht="15" hidden="1" x14ac:dyDescent="0.2">
      <c r="A481" s="2012">
        <v>3636</v>
      </c>
      <c r="B481" s="2013">
        <v>5164</v>
      </c>
      <c r="C481" s="2013">
        <v>38500881</v>
      </c>
      <c r="D481" s="2014" t="s">
        <v>170</v>
      </c>
      <c r="E481" s="2015"/>
      <c r="F481" s="2015"/>
      <c r="G481" s="2015"/>
      <c r="H481" s="2016" t="e">
        <f t="shared" si="39"/>
        <v>#DIV/0!</v>
      </c>
    </row>
    <row r="482" spans="1:8" ht="30" x14ac:dyDescent="0.2">
      <c r="A482" s="2012">
        <v>3122</v>
      </c>
      <c r="B482" s="2013">
        <v>5336</v>
      </c>
      <c r="C482" s="2017">
        <v>32533019</v>
      </c>
      <c r="D482" s="2014" t="s">
        <v>1263</v>
      </c>
      <c r="E482" s="2015">
        <v>0</v>
      </c>
      <c r="F482" s="2015">
        <f>49+1262</f>
        <v>1311</v>
      </c>
      <c r="G482" s="2015">
        <f>49+1262</f>
        <v>1311</v>
      </c>
      <c r="H482" s="2016">
        <f t="shared" si="39"/>
        <v>100</v>
      </c>
    </row>
    <row r="483" spans="1:8" ht="15" hidden="1" x14ac:dyDescent="0.2">
      <c r="A483" s="2012">
        <v>3122</v>
      </c>
      <c r="B483" s="2013">
        <v>5166</v>
      </c>
      <c r="C483" s="2013">
        <v>41100880</v>
      </c>
      <c r="D483" s="2014" t="s">
        <v>609</v>
      </c>
      <c r="E483" s="2015"/>
      <c r="F483" s="2015"/>
      <c r="G483" s="2015"/>
      <c r="H483" s="2016" t="e">
        <f t="shared" si="39"/>
        <v>#DIV/0!</v>
      </c>
    </row>
    <row r="484" spans="1:8" ht="15" hidden="1" x14ac:dyDescent="0.2">
      <c r="A484" s="2012">
        <v>3122</v>
      </c>
      <c r="B484" s="2013">
        <v>5166</v>
      </c>
      <c r="C484" s="2013">
        <v>41100882</v>
      </c>
      <c r="D484" s="2014" t="s">
        <v>609</v>
      </c>
      <c r="E484" s="2015"/>
      <c r="F484" s="2015"/>
      <c r="G484" s="2015"/>
      <c r="H484" s="2016" t="e">
        <f t="shared" si="39"/>
        <v>#DIV/0!</v>
      </c>
    </row>
    <row r="485" spans="1:8" ht="15" hidden="1" x14ac:dyDescent="0.2">
      <c r="A485" s="2012">
        <v>3122</v>
      </c>
      <c r="B485" s="2013">
        <v>5166</v>
      </c>
      <c r="C485" s="2013">
        <v>41500881</v>
      </c>
      <c r="D485" s="2014" t="s">
        <v>609</v>
      </c>
      <c r="E485" s="2015"/>
      <c r="F485" s="2015"/>
      <c r="G485" s="2015"/>
      <c r="H485" s="2016" t="e">
        <f t="shared" si="39"/>
        <v>#DIV/0!</v>
      </c>
    </row>
    <row r="486" spans="1:8" ht="15" hidden="1" x14ac:dyDescent="0.2">
      <c r="A486" s="2012">
        <v>3122</v>
      </c>
      <c r="B486" s="2013">
        <v>5167</v>
      </c>
      <c r="C486" s="2013">
        <v>38100880</v>
      </c>
      <c r="D486" s="2014" t="s">
        <v>895</v>
      </c>
      <c r="E486" s="2015"/>
      <c r="F486" s="2015"/>
      <c r="G486" s="2015"/>
      <c r="H486" s="2016" t="e">
        <f t="shared" si="39"/>
        <v>#DIV/0!</v>
      </c>
    </row>
    <row r="487" spans="1:8" ht="15" hidden="1" x14ac:dyDescent="0.2">
      <c r="A487" s="2012">
        <v>3122</v>
      </c>
      <c r="B487" s="2013">
        <v>5167</v>
      </c>
      <c r="C487" s="2013">
        <v>38500881</v>
      </c>
      <c r="D487" s="2014" t="s">
        <v>895</v>
      </c>
      <c r="E487" s="2015"/>
      <c r="F487" s="2015"/>
      <c r="G487" s="2015"/>
      <c r="H487" s="2016" t="e">
        <f t="shared" si="39"/>
        <v>#DIV/0!</v>
      </c>
    </row>
    <row r="488" spans="1:8" ht="15" hidden="1" x14ac:dyDescent="0.2">
      <c r="A488" s="2012">
        <v>3122</v>
      </c>
      <c r="B488" s="2013">
        <v>5169</v>
      </c>
      <c r="C488" s="2013">
        <v>38100880</v>
      </c>
      <c r="D488" s="2014" t="s">
        <v>852</v>
      </c>
      <c r="E488" s="2015"/>
      <c r="F488" s="2015"/>
      <c r="G488" s="2015"/>
      <c r="H488" s="2016" t="e">
        <f t="shared" si="39"/>
        <v>#DIV/0!</v>
      </c>
    </row>
    <row r="489" spans="1:8" ht="15" hidden="1" x14ac:dyDescent="0.2">
      <c r="A489" s="2012">
        <v>3122</v>
      </c>
      <c r="B489" s="2013">
        <v>5169</v>
      </c>
      <c r="C489" s="2013">
        <v>38500881</v>
      </c>
      <c r="D489" s="2014" t="s">
        <v>852</v>
      </c>
      <c r="E489" s="2015"/>
      <c r="F489" s="2015"/>
      <c r="G489" s="2015"/>
      <c r="H489" s="2016" t="e">
        <f t="shared" si="39"/>
        <v>#DIV/0!</v>
      </c>
    </row>
    <row r="490" spans="1:8" ht="15" hidden="1" x14ac:dyDescent="0.2">
      <c r="A490" s="2012">
        <v>3122</v>
      </c>
      <c r="B490" s="2013">
        <v>5173</v>
      </c>
      <c r="C490" s="2017">
        <v>0</v>
      </c>
      <c r="D490" s="2014" t="s">
        <v>1152</v>
      </c>
      <c r="E490" s="2015"/>
      <c r="F490" s="2015"/>
      <c r="G490" s="2015"/>
      <c r="H490" s="2016">
        <v>0</v>
      </c>
    </row>
    <row r="491" spans="1:8" ht="15" hidden="1" x14ac:dyDescent="0.2">
      <c r="A491" s="2012">
        <v>3122</v>
      </c>
      <c r="B491" s="2013">
        <v>5173</v>
      </c>
      <c r="C491" s="2013">
        <v>38500881</v>
      </c>
      <c r="D491" s="2014" t="s">
        <v>1152</v>
      </c>
      <c r="E491" s="2015">
        <v>0</v>
      </c>
      <c r="F491" s="2015"/>
      <c r="G491" s="2015"/>
      <c r="H491" s="2016" t="e">
        <f t="shared" ref="H491:H498" si="40">G491/F491*100</f>
        <v>#DIV/0!</v>
      </c>
    </row>
    <row r="492" spans="1:8" ht="15" hidden="1" x14ac:dyDescent="0.2">
      <c r="A492" s="2012">
        <v>3122</v>
      </c>
      <c r="B492" s="2013">
        <v>5175</v>
      </c>
      <c r="C492" s="2013">
        <v>38100880</v>
      </c>
      <c r="D492" s="2014" t="s">
        <v>669</v>
      </c>
      <c r="E492" s="2015">
        <v>0</v>
      </c>
      <c r="F492" s="2015"/>
      <c r="G492" s="2015"/>
      <c r="H492" s="2016" t="e">
        <f t="shared" si="40"/>
        <v>#DIV/0!</v>
      </c>
    </row>
    <row r="493" spans="1:8" ht="15" hidden="1" x14ac:dyDescent="0.2">
      <c r="A493" s="2012">
        <v>3122</v>
      </c>
      <c r="B493" s="2013">
        <v>5175</v>
      </c>
      <c r="C493" s="2013">
        <v>38500881</v>
      </c>
      <c r="D493" s="2014" t="s">
        <v>669</v>
      </c>
      <c r="E493" s="2015">
        <v>0</v>
      </c>
      <c r="F493" s="2015"/>
      <c r="G493" s="2015"/>
      <c r="H493" s="2016" t="e">
        <f t="shared" si="40"/>
        <v>#DIV/0!</v>
      </c>
    </row>
    <row r="494" spans="1:8" ht="15" hidden="1" x14ac:dyDescent="0.2">
      <c r="A494" s="2012">
        <v>3122</v>
      </c>
      <c r="B494" s="2013">
        <v>5176</v>
      </c>
      <c r="C494" s="2013">
        <v>38100880</v>
      </c>
      <c r="D494" s="2014" t="s">
        <v>1247</v>
      </c>
      <c r="E494" s="2015">
        <v>0</v>
      </c>
      <c r="F494" s="2015"/>
      <c r="G494" s="2015"/>
      <c r="H494" s="2016" t="e">
        <f t="shared" si="40"/>
        <v>#DIV/0!</v>
      </c>
    </row>
    <row r="495" spans="1:8" ht="15" hidden="1" x14ac:dyDescent="0.2">
      <c r="A495" s="2012">
        <v>3122</v>
      </c>
      <c r="B495" s="2013">
        <v>5176</v>
      </c>
      <c r="C495" s="2013">
        <v>38500881</v>
      </c>
      <c r="D495" s="2014" t="s">
        <v>1247</v>
      </c>
      <c r="E495" s="2015">
        <v>0</v>
      </c>
      <c r="F495" s="2015"/>
      <c r="G495" s="2015"/>
      <c r="H495" s="2016" t="e">
        <f t="shared" si="40"/>
        <v>#DIV/0!</v>
      </c>
    </row>
    <row r="496" spans="1:8" ht="30" x14ac:dyDescent="0.2">
      <c r="A496" s="2012">
        <v>3122</v>
      </c>
      <c r="B496" s="2013">
        <v>6356</v>
      </c>
      <c r="C496" s="2013">
        <v>32133910</v>
      </c>
      <c r="D496" s="2014" t="s">
        <v>1772</v>
      </c>
      <c r="E496" s="2015">
        <v>0</v>
      </c>
      <c r="F496" s="2015">
        <v>54</v>
      </c>
      <c r="G496" s="2015">
        <v>54</v>
      </c>
      <c r="H496" s="2016">
        <f t="shared" si="40"/>
        <v>100</v>
      </c>
    </row>
    <row r="497" spans="1:8" ht="30.75" thickBot="1" x14ac:dyDescent="0.25">
      <c r="A497" s="2012">
        <v>3122</v>
      </c>
      <c r="B497" s="2013">
        <v>6356</v>
      </c>
      <c r="C497" s="2013">
        <v>32533910</v>
      </c>
      <c r="D497" s="2014" t="s">
        <v>1772</v>
      </c>
      <c r="E497" s="2015">
        <v>0</v>
      </c>
      <c r="F497" s="2015">
        <v>305</v>
      </c>
      <c r="G497" s="2015">
        <v>305</v>
      </c>
      <c r="H497" s="2018">
        <f t="shared" si="40"/>
        <v>100</v>
      </c>
    </row>
    <row r="498" spans="1:8" ht="16.5" thickTop="1" thickBot="1" x14ac:dyDescent="0.3">
      <c r="A498" s="2751" t="s">
        <v>763</v>
      </c>
      <c r="B498" s="2752"/>
      <c r="C498" s="2752"/>
      <c r="D498" s="2752"/>
      <c r="E498" s="1818">
        <f>SUM(E468:E497)</f>
        <v>0</v>
      </c>
      <c r="F498" s="1818">
        <f>SUM(F468:F497)</f>
        <v>1902</v>
      </c>
      <c r="G498" s="1818">
        <f>SUM(G468:G497)</f>
        <v>1902</v>
      </c>
      <c r="H498" s="1822">
        <f t="shared" si="40"/>
        <v>100</v>
      </c>
    </row>
    <row r="499" spans="1:8" ht="13.5" thickTop="1" x14ac:dyDescent="0.2"/>
    <row r="500" spans="1:8" ht="12" customHeight="1" x14ac:dyDescent="0.25">
      <c r="A500" s="2760" t="s">
        <v>518</v>
      </c>
      <c r="B500" s="2761"/>
      <c r="C500" s="2761"/>
      <c r="D500" s="2761"/>
      <c r="E500" s="2761"/>
      <c r="F500" s="2761"/>
      <c r="G500" s="2761"/>
      <c r="H500" s="2761"/>
    </row>
    <row r="501" spans="1:8" ht="15.75" thickBot="1" x14ac:dyDescent="0.3">
      <c r="A501" s="1979" t="s">
        <v>1570</v>
      </c>
      <c r="B501" s="1993"/>
      <c r="C501" s="1993"/>
      <c r="E501" s="1994"/>
      <c r="F501" s="1994"/>
      <c r="G501" s="1994"/>
      <c r="H501" s="1995" t="s">
        <v>161</v>
      </c>
    </row>
    <row r="502" spans="1:8" ht="25.5" thickTop="1" thickBot="1" x14ac:dyDescent="0.25">
      <c r="A502" s="1809" t="s">
        <v>162</v>
      </c>
      <c r="B502" s="1810" t="s">
        <v>761</v>
      </c>
      <c r="C502" s="1810" t="s">
        <v>377</v>
      </c>
      <c r="D502" s="1811" t="s">
        <v>164</v>
      </c>
      <c r="E502" s="1833" t="s">
        <v>632</v>
      </c>
      <c r="F502" s="1833" t="s">
        <v>633</v>
      </c>
      <c r="G502" s="1834" t="s">
        <v>882</v>
      </c>
      <c r="H502" s="1835" t="s">
        <v>883</v>
      </c>
    </row>
    <row r="503" spans="1:8" ht="14.25" thickTop="1" thickBot="1" x14ac:dyDescent="0.25">
      <c r="A503" s="1643">
        <v>1</v>
      </c>
      <c r="B503" s="1642">
        <v>2</v>
      </c>
      <c r="C503" s="1642">
        <v>3</v>
      </c>
      <c r="D503" s="1642">
        <v>4</v>
      </c>
      <c r="E503" s="1641">
        <v>5</v>
      </c>
      <c r="F503" s="1641">
        <v>6</v>
      </c>
      <c r="G503" s="1877">
        <v>7</v>
      </c>
      <c r="H503" s="1901" t="s">
        <v>61</v>
      </c>
    </row>
    <row r="504" spans="1:8" ht="15.75" hidden="1" thickTop="1" x14ac:dyDescent="0.2">
      <c r="A504" s="2007">
        <v>3636</v>
      </c>
      <c r="B504" s="2008">
        <v>5011</v>
      </c>
      <c r="C504" s="2017">
        <v>0</v>
      </c>
      <c r="D504" s="2009" t="s">
        <v>206</v>
      </c>
      <c r="E504" s="2010">
        <v>0</v>
      </c>
      <c r="F504" s="2010">
        <v>0</v>
      </c>
      <c r="G504" s="2010">
        <v>0</v>
      </c>
      <c r="H504" s="2011" t="e">
        <f t="shared" ref="H504:H511" si="41">G504/F504*100</f>
        <v>#DIV/0!</v>
      </c>
    </row>
    <row r="505" spans="1:8" ht="15.75" hidden="1" thickTop="1" x14ac:dyDescent="0.2">
      <c r="A505" s="2012">
        <v>3636</v>
      </c>
      <c r="B505" s="2013">
        <v>5011</v>
      </c>
      <c r="C505" s="2013">
        <v>38500881</v>
      </c>
      <c r="D505" s="2014" t="s">
        <v>206</v>
      </c>
      <c r="E505" s="2015">
        <v>0</v>
      </c>
      <c r="F505" s="2015">
        <v>0</v>
      </c>
      <c r="G505" s="2015">
        <v>0</v>
      </c>
      <c r="H505" s="2016" t="e">
        <f t="shared" si="41"/>
        <v>#DIV/0!</v>
      </c>
    </row>
    <row r="506" spans="1:8" ht="30.75" thickTop="1" x14ac:dyDescent="0.2">
      <c r="A506" s="2012">
        <v>3122</v>
      </c>
      <c r="B506" s="2013">
        <v>5336</v>
      </c>
      <c r="C506" s="2017">
        <v>32133019</v>
      </c>
      <c r="D506" s="2014" t="s">
        <v>1263</v>
      </c>
      <c r="E506" s="2015">
        <v>0</v>
      </c>
      <c r="F506" s="2015">
        <f>10+138</f>
        <v>148</v>
      </c>
      <c r="G506" s="2015">
        <f>10+138</f>
        <v>148</v>
      </c>
      <c r="H506" s="2016">
        <f t="shared" si="41"/>
        <v>100</v>
      </c>
    </row>
    <row r="507" spans="1:8" ht="15" hidden="1" x14ac:dyDescent="0.2">
      <c r="A507" s="2012">
        <v>3636</v>
      </c>
      <c r="B507" s="2013">
        <v>5021</v>
      </c>
      <c r="C507" s="2013">
        <v>38500881</v>
      </c>
      <c r="D507" s="2014" t="s">
        <v>389</v>
      </c>
      <c r="E507" s="2015"/>
      <c r="F507" s="2015"/>
      <c r="G507" s="2015"/>
      <c r="H507" s="2016" t="e">
        <f t="shared" si="41"/>
        <v>#DIV/0!</v>
      </c>
    </row>
    <row r="508" spans="1:8" ht="30" hidden="1" x14ac:dyDescent="0.2">
      <c r="A508" s="2012">
        <v>3636</v>
      </c>
      <c r="B508" s="2013">
        <v>5031</v>
      </c>
      <c r="C508" s="2013">
        <v>38100880</v>
      </c>
      <c r="D508" s="2014" t="s">
        <v>1299</v>
      </c>
      <c r="E508" s="2015"/>
      <c r="F508" s="2015"/>
      <c r="G508" s="2015"/>
      <c r="H508" s="2016" t="e">
        <f t="shared" si="41"/>
        <v>#DIV/0!</v>
      </c>
    </row>
    <row r="509" spans="1:8" ht="30" hidden="1" x14ac:dyDescent="0.2">
      <c r="A509" s="2012">
        <v>3636</v>
      </c>
      <c r="B509" s="2013">
        <v>5031</v>
      </c>
      <c r="C509" s="2013">
        <v>38500881</v>
      </c>
      <c r="D509" s="2014" t="s">
        <v>1299</v>
      </c>
      <c r="E509" s="2015"/>
      <c r="F509" s="2015"/>
      <c r="G509" s="2015"/>
      <c r="H509" s="2016" t="e">
        <f t="shared" si="41"/>
        <v>#DIV/0!</v>
      </c>
    </row>
    <row r="510" spans="1:8" ht="30" hidden="1" x14ac:dyDescent="0.2">
      <c r="A510" s="2012">
        <v>3636</v>
      </c>
      <c r="B510" s="2013">
        <v>5032</v>
      </c>
      <c r="C510" s="2013">
        <v>38100880</v>
      </c>
      <c r="D510" s="2014" t="s">
        <v>1177</v>
      </c>
      <c r="E510" s="2015"/>
      <c r="F510" s="2015"/>
      <c r="G510" s="2015"/>
      <c r="H510" s="2016" t="e">
        <f t="shared" si="41"/>
        <v>#DIV/0!</v>
      </c>
    </row>
    <row r="511" spans="1:8" ht="30" hidden="1" x14ac:dyDescent="0.2">
      <c r="A511" s="2012">
        <v>3636</v>
      </c>
      <c r="B511" s="2013">
        <v>5032</v>
      </c>
      <c r="C511" s="2013">
        <v>38500881</v>
      </c>
      <c r="D511" s="2014" t="s">
        <v>1177</v>
      </c>
      <c r="E511" s="2015"/>
      <c r="F511" s="2015"/>
      <c r="G511" s="2015"/>
      <c r="H511" s="2016" t="e">
        <f t="shared" si="41"/>
        <v>#DIV/0!</v>
      </c>
    </row>
    <row r="512" spans="1:8" ht="15" hidden="1" x14ac:dyDescent="0.2">
      <c r="A512" s="2012">
        <v>3636</v>
      </c>
      <c r="B512" s="2013">
        <v>5139</v>
      </c>
      <c r="C512" s="2013">
        <v>38100880</v>
      </c>
      <c r="D512" s="2014" t="s">
        <v>270</v>
      </c>
      <c r="E512" s="2015"/>
      <c r="F512" s="2015"/>
      <c r="G512" s="2015"/>
      <c r="H512" s="2016">
        <v>0</v>
      </c>
    </row>
    <row r="513" spans="1:8" ht="15" hidden="1" x14ac:dyDescent="0.2">
      <c r="A513" s="2012">
        <v>3636</v>
      </c>
      <c r="B513" s="2013">
        <v>5139</v>
      </c>
      <c r="C513" s="2013">
        <v>38500881</v>
      </c>
      <c r="D513" s="2014" t="s">
        <v>270</v>
      </c>
      <c r="E513" s="2015"/>
      <c r="F513" s="2015"/>
      <c r="G513" s="2015"/>
      <c r="H513" s="2016" t="e">
        <f t="shared" ref="H513:H525" si="42">G513/F513*100</f>
        <v>#DIV/0!</v>
      </c>
    </row>
    <row r="514" spans="1:8" ht="15" hidden="1" x14ac:dyDescent="0.2">
      <c r="A514" s="2012">
        <v>3636</v>
      </c>
      <c r="B514" s="2013">
        <v>5162</v>
      </c>
      <c r="C514" s="2013">
        <v>38100880</v>
      </c>
      <c r="D514" s="2014" t="s">
        <v>864</v>
      </c>
      <c r="E514" s="2015"/>
      <c r="F514" s="2015"/>
      <c r="G514" s="2015"/>
      <c r="H514" s="2016" t="e">
        <f t="shared" si="42"/>
        <v>#DIV/0!</v>
      </c>
    </row>
    <row r="515" spans="1:8" ht="15" hidden="1" x14ac:dyDescent="0.2">
      <c r="A515" s="2012">
        <v>3636</v>
      </c>
      <c r="B515" s="2013">
        <v>5162</v>
      </c>
      <c r="C515" s="2013">
        <v>38500881</v>
      </c>
      <c r="D515" s="2014" t="s">
        <v>864</v>
      </c>
      <c r="E515" s="2015"/>
      <c r="F515" s="2015"/>
      <c r="G515" s="2015"/>
      <c r="H515" s="2016" t="e">
        <f t="shared" si="42"/>
        <v>#DIV/0!</v>
      </c>
    </row>
    <row r="516" spans="1:8" ht="15" hidden="1" x14ac:dyDescent="0.2">
      <c r="A516" s="2012">
        <v>3636</v>
      </c>
      <c r="B516" s="2013">
        <v>5164</v>
      </c>
      <c r="C516" s="2013">
        <v>38100880</v>
      </c>
      <c r="D516" s="2014" t="s">
        <v>170</v>
      </c>
      <c r="E516" s="2015"/>
      <c r="F516" s="2015"/>
      <c r="G516" s="2015"/>
      <c r="H516" s="2016" t="e">
        <f t="shared" si="42"/>
        <v>#DIV/0!</v>
      </c>
    </row>
    <row r="517" spans="1:8" ht="15" hidden="1" x14ac:dyDescent="0.2">
      <c r="A517" s="2012">
        <v>3636</v>
      </c>
      <c r="B517" s="2013">
        <v>5164</v>
      </c>
      <c r="C517" s="2013">
        <v>38500881</v>
      </c>
      <c r="D517" s="2014" t="s">
        <v>170</v>
      </c>
      <c r="E517" s="2015"/>
      <c r="F517" s="2015"/>
      <c r="G517" s="2015"/>
      <c r="H517" s="2016" t="e">
        <f t="shared" si="42"/>
        <v>#DIV/0!</v>
      </c>
    </row>
    <row r="518" spans="1:8" ht="30.75" thickBot="1" x14ac:dyDescent="0.25">
      <c r="A518" s="2012">
        <v>3122</v>
      </c>
      <c r="B518" s="2013">
        <v>5336</v>
      </c>
      <c r="C518" s="2017">
        <v>32533019</v>
      </c>
      <c r="D518" s="2014" t="s">
        <v>1263</v>
      </c>
      <c r="E518" s="2015">
        <v>0</v>
      </c>
      <c r="F518" s="2015">
        <f>56+781</f>
        <v>837</v>
      </c>
      <c r="G518" s="2015">
        <f>56+781</f>
        <v>837</v>
      </c>
      <c r="H518" s="2016">
        <f t="shared" si="42"/>
        <v>100</v>
      </c>
    </row>
    <row r="519" spans="1:8" ht="15.75" hidden="1" thickBot="1" x14ac:dyDescent="0.25">
      <c r="A519" s="2012">
        <v>3122</v>
      </c>
      <c r="B519" s="2013">
        <v>5166</v>
      </c>
      <c r="C519" s="2013">
        <v>41100880</v>
      </c>
      <c r="D519" s="2014" t="s">
        <v>609</v>
      </c>
      <c r="E519" s="2015"/>
      <c r="F519" s="2015"/>
      <c r="G519" s="2015"/>
      <c r="H519" s="2016" t="e">
        <f t="shared" si="42"/>
        <v>#DIV/0!</v>
      </c>
    </row>
    <row r="520" spans="1:8" ht="15.75" hidden="1" thickBot="1" x14ac:dyDescent="0.25">
      <c r="A520" s="2012">
        <v>3122</v>
      </c>
      <c r="B520" s="2013">
        <v>5166</v>
      </c>
      <c r="C520" s="2013">
        <v>41100882</v>
      </c>
      <c r="D520" s="2014" t="s">
        <v>609</v>
      </c>
      <c r="E520" s="2015"/>
      <c r="F520" s="2015"/>
      <c r="G520" s="2015"/>
      <c r="H520" s="2016" t="e">
        <f t="shared" si="42"/>
        <v>#DIV/0!</v>
      </c>
    </row>
    <row r="521" spans="1:8" ht="15.75" hidden="1" thickBot="1" x14ac:dyDescent="0.25">
      <c r="A521" s="2012">
        <v>3122</v>
      </c>
      <c r="B521" s="2013">
        <v>5166</v>
      </c>
      <c r="C521" s="2013">
        <v>41500881</v>
      </c>
      <c r="D521" s="2014" t="s">
        <v>609</v>
      </c>
      <c r="E521" s="2015"/>
      <c r="F521" s="2015"/>
      <c r="G521" s="2015"/>
      <c r="H521" s="2016" t="e">
        <f t="shared" si="42"/>
        <v>#DIV/0!</v>
      </c>
    </row>
    <row r="522" spans="1:8" ht="15.75" hidden="1" thickBot="1" x14ac:dyDescent="0.25">
      <c r="A522" s="2012">
        <v>3122</v>
      </c>
      <c r="B522" s="2013">
        <v>5167</v>
      </c>
      <c r="C522" s="2013">
        <v>38100880</v>
      </c>
      <c r="D522" s="2014" t="s">
        <v>895</v>
      </c>
      <c r="E522" s="2015"/>
      <c r="F522" s="2015"/>
      <c r="G522" s="2015"/>
      <c r="H522" s="2016" t="e">
        <f t="shared" si="42"/>
        <v>#DIV/0!</v>
      </c>
    </row>
    <row r="523" spans="1:8" ht="15.75" hidden="1" thickBot="1" x14ac:dyDescent="0.25">
      <c r="A523" s="2012">
        <v>3122</v>
      </c>
      <c r="B523" s="2013">
        <v>5167</v>
      </c>
      <c r="C523" s="2013">
        <v>38500881</v>
      </c>
      <c r="D523" s="2014" t="s">
        <v>895</v>
      </c>
      <c r="E523" s="2015"/>
      <c r="F523" s="2015"/>
      <c r="G523" s="2015"/>
      <c r="H523" s="2016" t="e">
        <f t="shared" si="42"/>
        <v>#DIV/0!</v>
      </c>
    </row>
    <row r="524" spans="1:8" ht="15.75" hidden="1" thickBot="1" x14ac:dyDescent="0.25">
      <c r="A524" s="2012">
        <v>3122</v>
      </c>
      <c r="B524" s="2013">
        <v>5169</v>
      </c>
      <c r="C524" s="2013">
        <v>38100880</v>
      </c>
      <c r="D524" s="2014" t="s">
        <v>852</v>
      </c>
      <c r="E524" s="2015"/>
      <c r="F524" s="2015"/>
      <c r="G524" s="2015"/>
      <c r="H524" s="2016" t="e">
        <f t="shared" si="42"/>
        <v>#DIV/0!</v>
      </c>
    </row>
    <row r="525" spans="1:8" ht="15.75" hidden="1" thickBot="1" x14ac:dyDescent="0.25">
      <c r="A525" s="2012">
        <v>3122</v>
      </c>
      <c r="B525" s="2013">
        <v>5169</v>
      </c>
      <c r="C525" s="2013">
        <v>38500881</v>
      </c>
      <c r="D525" s="2014" t="s">
        <v>852</v>
      </c>
      <c r="E525" s="2015"/>
      <c r="F525" s="2015"/>
      <c r="G525" s="2015"/>
      <c r="H525" s="2016" t="e">
        <f t="shared" si="42"/>
        <v>#DIV/0!</v>
      </c>
    </row>
    <row r="526" spans="1:8" ht="15.75" hidden="1" thickBot="1" x14ac:dyDescent="0.25">
      <c r="A526" s="2012">
        <v>3122</v>
      </c>
      <c r="B526" s="2013">
        <v>5173</v>
      </c>
      <c r="C526" s="2017">
        <v>0</v>
      </c>
      <c r="D526" s="2014" t="s">
        <v>1152</v>
      </c>
      <c r="E526" s="2015"/>
      <c r="F526" s="2015"/>
      <c r="G526" s="2015"/>
      <c r="H526" s="2016">
        <v>0</v>
      </c>
    </row>
    <row r="527" spans="1:8" ht="15.75" hidden="1" thickBot="1" x14ac:dyDescent="0.25">
      <c r="A527" s="2012">
        <v>3122</v>
      </c>
      <c r="B527" s="2013">
        <v>5173</v>
      </c>
      <c r="C527" s="2013">
        <v>38500881</v>
      </c>
      <c r="D527" s="2014" t="s">
        <v>1152</v>
      </c>
      <c r="E527" s="2015">
        <v>0</v>
      </c>
      <c r="F527" s="2015"/>
      <c r="G527" s="2015"/>
      <c r="H527" s="2016" t="e">
        <f t="shared" ref="H527:H534" si="43">G527/F527*100</f>
        <v>#DIV/0!</v>
      </c>
    </row>
    <row r="528" spans="1:8" ht="15.75" hidden="1" thickBot="1" x14ac:dyDescent="0.25">
      <c r="A528" s="2012">
        <v>3122</v>
      </c>
      <c r="B528" s="2013">
        <v>5175</v>
      </c>
      <c r="C528" s="2013">
        <v>38100880</v>
      </c>
      <c r="D528" s="2014" t="s">
        <v>669</v>
      </c>
      <c r="E528" s="2015">
        <v>0</v>
      </c>
      <c r="F528" s="2015"/>
      <c r="G528" s="2015"/>
      <c r="H528" s="2016" t="e">
        <f t="shared" si="43"/>
        <v>#DIV/0!</v>
      </c>
    </row>
    <row r="529" spans="1:8" ht="15.75" hidden="1" thickBot="1" x14ac:dyDescent="0.25">
      <c r="A529" s="2012">
        <v>3122</v>
      </c>
      <c r="B529" s="2013">
        <v>5175</v>
      </c>
      <c r="C529" s="2013">
        <v>38500881</v>
      </c>
      <c r="D529" s="2014" t="s">
        <v>669</v>
      </c>
      <c r="E529" s="2015">
        <v>0</v>
      </c>
      <c r="F529" s="2015"/>
      <c r="G529" s="2015"/>
      <c r="H529" s="2016" t="e">
        <f t="shared" si="43"/>
        <v>#DIV/0!</v>
      </c>
    </row>
    <row r="530" spans="1:8" ht="15.75" hidden="1" thickBot="1" x14ac:dyDescent="0.25">
      <c r="A530" s="2012">
        <v>3122</v>
      </c>
      <c r="B530" s="2013">
        <v>5176</v>
      </c>
      <c r="C530" s="2013">
        <v>38100880</v>
      </c>
      <c r="D530" s="2014" t="s">
        <v>1247</v>
      </c>
      <c r="E530" s="2015">
        <v>0</v>
      </c>
      <c r="F530" s="2015"/>
      <c r="G530" s="2015"/>
      <c r="H530" s="2016" t="e">
        <f t="shared" si="43"/>
        <v>#DIV/0!</v>
      </c>
    </row>
    <row r="531" spans="1:8" ht="15.75" hidden="1" thickBot="1" x14ac:dyDescent="0.25">
      <c r="A531" s="2012">
        <v>3122</v>
      </c>
      <c r="B531" s="2013">
        <v>5176</v>
      </c>
      <c r="C531" s="2013">
        <v>38500881</v>
      </c>
      <c r="D531" s="2014" t="s">
        <v>1247</v>
      </c>
      <c r="E531" s="2015">
        <v>0</v>
      </c>
      <c r="F531" s="2015"/>
      <c r="G531" s="2015"/>
      <c r="H531" s="2016" t="e">
        <f t="shared" si="43"/>
        <v>#DIV/0!</v>
      </c>
    </row>
    <row r="532" spans="1:8" ht="30.75" hidden="1" thickBot="1" x14ac:dyDescent="0.25">
      <c r="A532" s="2012">
        <v>3122</v>
      </c>
      <c r="B532" s="2013">
        <v>6356</v>
      </c>
      <c r="C532" s="2013">
        <v>32133910</v>
      </c>
      <c r="D532" s="2014" t="s">
        <v>1772</v>
      </c>
      <c r="E532" s="2015">
        <v>0</v>
      </c>
      <c r="F532" s="2015"/>
      <c r="G532" s="2015"/>
      <c r="H532" s="2016" t="e">
        <f t="shared" si="43"/>
        <v>#DIV/0!</v>
      </c>
    </row>
    <row r="533" spans="1:8" ht="30.75" hidden="1" thickBot="1" x14ac:dyDescent="0.25">
      <c r="A533" s="2012">
        <v>3122</v>
      </c>
      <c r="B533" s="2013">
        <v>6356</v>
      </c>
      <c r="C533" s="2013">
        <v>32533910</v>
      </c>
      <c r="D533" s="2014" t="s">
        <v>1772</v>
      </c>
      <c r="E533" s="2015">
        <v>0</v>
      </c>
      <c r="F533" s="2015"/>
      <c r="G533" s="2015"/>
      <c r="H533" s="2018" t="e">
        <f t="shared" si="43"/>
        <v>#DIV/0!</v>
      </c>
    </row>
    <row r="534" spans="1:8" ht="16.5" thickTop="1" thickBot="1" x14ac:dyDescent="0.3">
      <c r="A534" s="2751" t="s">
        <v>763</v>
      </c>
      <c r="B534" s="2752"/>
      <c r="C534" s="2752"/>
      <c r="D534" s="2752"/>
      <c r="E534" s="1818">
        <f>SUM(E504:E533)</f>
        <v>0</v>
      </c>
      <c r="F534" s="1818">
        <f>SUM(F504:F533)</f>
        <v>985</v>
      </c>
      <c r="G534" s="1818">
        <f>SUM(G504:G533)</f>
        <v>985</v>
      </c>
      <c r="H534" s="2020">
        <f t="shared" si="43"/>
        <v>100</v>
      </c>
    </row>
    <row r="535" spans="1:8" ht="13.5" thickTop="1" x14ac:dyDescent="0.2"/>
    <row r="536" spans="1:8" ht="12" customHeight="1" x14ac:dyDescent="0.25">
      <c r="A536" s="2760" t="s">
        <v>1784</v>
      </c>
      <c r="B536" s="2761"/>
      <c r="C536" s="2761"/>
      <c r="D536" s="2761"/>
      <c r="E536" s="2761"/>
      <c r="F536" s="2761"/>
      <c r="G536" s="2761"/>
      <c r="H536" s="2761"/>
    </row>
    <row r="537" spans="1:8" ht="15.75" thickBot="1" x14ac:dyDescent="0.3">
      <c r="A537" s="1979" t="s">
        <v>1785</v>
      </c>
      <c r="B537" s="1993"/>
      <c r="C537" s="1993"/>
      <c r="E537" s="1994"/>
      <c r="F537" s="1994"/>
      <c r="G537" s="1994"/>
      <c r="H537" s="1995" t="s">
        <v>161</v>
      </c>
    </row>
    <row r="538" spans="1:8" ht="25.5" thickTop="1" thickBot="1" x14ac:dyDescent="0.25">
      <c r="A538" s="1809" t="s">
        <v>162</v>
      </c>
      <c r="B538" s="1810" t="s">
        <v>761</v>
      </c>
      <c r="C538" s="1810" t="s">
        <v>377</v>
      </c>
      <c r="D538" s="1811" t="s">
        <v>164</v>
      </c>
      <c r="E538" s="1833" t="s">
        <v>632</v>
      </c>
      <c r="F538" s="1833" t="s">
        <v>633</v>
      </c>
      <c r="G538" s="1834" t="s">
        <v>882</v>
      </c>
      <c r="H538" s="1835" t="s">
        <v>883</v>
      </c>
    </row>
    <row r="539" spans="1:8" ht="14.25" thickTop="1" thickBot="1" x14ac:dyDescent="0.25">
      <c r="A539" s="1643">
        <v>1</v>
      </c>
      <c r="B539" s="1642">
        <v>2</v>
      </c>
      <c r="C539" s="1642">
        <v>3</v>
      </c>
      <c r="D539" s="1642">
        <v>4</v>
      </c>
      <c r="E539" s="1641">
        <v>5</v>
      </c>
      <c r="F539" s="1641">
        <v>6</v>
      </c>
      <c r="G539" s="1877">
        <v>7</v>
      </c>
      <c r="H539" s="1901" t="s">
        <v>61</v>
      </c>
    </row>
    <row r="540" spans="1:8" ht="15.75" hidden="1" thickTop="1" x14ac:dyDescent="0.2">
      <c r="A540" s="2007">
        <v>3636</v>
      </c>
      <c r="B540" s="2008">
        <v>5011</v>
      </c>
      <c r="C540" s="2017">
        <v>0</v>
      </c>
      <c r="D540" s="2009" t="s">
        <v>206</v>
      </c>
      <c r="E540" s="2010">
        <v>0</v>
      </c>
      <c r="F540" s="2010">
        <v>0</v>
      </c>
      <c r="G540" s="2010">
        <v>0</v>
      </c>
      <c r="H540" s="2011" t="e">
        <f t="shared" ref="H540:H547" si="44">G540/F540*100</f>
        <v>#DIV/0!</v>
      </c>
    </row>
    <row r="541" spans="1:8" ht="15.75" hidden="1" thickTop="1" x14ac:dyDescent="0.2">
      <c r="A541" s="2012">
        <v>3636</v>
      </c>
      <c r="B541" s="2013">
        <v>5011</v>
      </c>
      <c r="C541" s="2013">
        <v>38500881</v>
      </c>
      <c r="D541" s="2014" t="s">
        <v>206</v>
      </c>
      <c r="E541" s="2015">
        <v>0</v>
      </c>
      <c r="F541" s="2015">
        <v>0</v>
      </c>
      <c r="G541" s="2015">
        <v>0</v>
      </c>
      <c r="H541" s="2016" t="e">
        <f t="shared" si="44"/>
        <v>#DIV/0!</v>
      </c>
    </row>
    <row r="542" spans="1:8" ht="30.75" thickTop="1" x14ac:dyDescent="0.2">
      <c r="A542" s="2012">
        <v>3123</v>
      </c>
      <c r="B542" s="2013">
        <v>5336</v>
      </c>
      <c r="C542" s="2017">
        <v>32133019</v>
      </c>
      <c r="D542" s="2014" t="s">
        <v>1263</v>
      </c>
      <c r="E542" s="2015">
        <v>0</v>
      </c>
      <c r="F542" s="2015">
        <f>4+71</f>
        <v>75</v>
      </c>
      <c r="G542" s="2015">
        <f>3+58</f>
        <v>61</v>
      </c>
      <c r="H542" s="2016">
        <f t="shared" si="44"/>
        <v>81.333333333333329</v>
      </c>
    </row>
    <row r="543" spans="1:8" ht="15" hidden="1" x14ac:dyDescent="0.2">
      <c r="A543" s="2012">
        <v>3636</v>
      </c>
      <c r="B543" s="2013">
        <v>5021</v>
      </c>
      <c r="C543" s="2013">
        <v>38500881</v>
      </c>
      <c r="D543" s="2014" t="s">
        <v>389</v>
      </c>
      <c r="E543" s="2015"/>
      <c r="F543" s="2015"/>
      <c r="G543" s="2015"/>
      <c r="H543" s="2016" t="e">
        <f t="shared" si="44"/>
        <v>#DIV/0!</v>
      </c>
    </row>
    <row r="544" spans="1:8" ht="30" hidden="1" x14ac:dyDescent="0.2">
      <c r="A544" s="2012">
        <v>3636</v>
      </c>
      <c r="B544" s="2013">
        <v>5031</v>
      </c>
      <c r="C544" s="2013">
        <v>38100880</v>
      </c>
      <c r="D544" s="2014" t="s">
        <v>1299</v>
      </c>
      <c r="E544" s="2015"/>
      <c r="F544" s="2015"/>
      <c r="G544" s="2015"/>
      <c r="H544" s="2016" t="e">
        <f t="shared" si="44"/>
        <v>#DIV/0!</v>
      </c>
    </row>
    <row r="545" spans="1:8" ht="30" hidden="1" x14ac:dyDescent="0.2">
      <c r="A545" s="2012">
        <v>3636</v>
      </c>
      <c r="B545" s="2013">
        <v>5031</v>
      </c>
      <c r="C545" s="2013">
        <v>38500881</v>
      </c>
      <c r="D545" s="2014" t="s">
        <v>1299</v>
      </c>
      <c r="E545" s="2015"/>
      <c r="F545" s="2015"/>
      <c r="G545" s="2015"/>
      <c r="H545" s="2016" t="e">
        <f t="shared" si="44"/>
        <v>#DIV/0!</v>
      </c>
    </row>
    <row r="546" spans="1:8" ht="30" hidden="1" x14ac:dyDescent="0.2">
      <c r="A546" s="2012">
        <v>3636</v>
      </c>
      <c r="B546" s="2013">
        <v>5032</v>
      </c>
      <c r="C546" s="2013">
        <v>38100880</v>
      </c>
      <c r="D546" s="2014" t="s">
        <v>1177</v>
      </c>
      <c r="E546" s="2015"/>
      <c r="F546" s="2015"/>
      <c r="G546" s="2015"/>
      <c r="H546" s="2016" t="e">
        <f t="shared" si="44"/>
        <v>#DIV/0!</v>
      </c>
    </row>
    <row r="547" spans="1:8" ht="30" hidden="1" x14ac:dyDescent="0.2">
      <c r="A547" s="2012">
        <v>3636</v>
      </c>
      <c r="B547" s="2013">
        <v>5032</v>
      </c>
      <c r="C547" s="2013">
        <v>38500881</v>
      </c>
      <c r="D547" s="2014" t="s">
        <v>1177</v>
      </c>
      <c r="E547" s="2015"/>
      <c r="F547" s="2015"/>
      <c r="G547" s="2015"/>
      <c r="H547" s="2016" t="e">
        <f t="shared" si="44"/>
        <v>#DIV/0!</v>
      </c>
    </row>
    <row r="548" spans="1:8" ht="15" hidden="1" x14ac:dyDescent="0.2">
      <c r="A548" s="2012">
        <v>3636</v>
      </c>
      <c r="B548" s="2013">
        <v>5139</v>
      </c>
      <c r="C548" s="2013">
        <v>38100880</v>
      </c>
      <c r="D548" s="2014" t="s">
        <v>270</v>
      </c>
      <c r="E548" s="2015"/>
      <c r="F548" s="2015"/>
      <c r="G548" s="2015"/>
      <c r="H548" s="2016">
        <v>0</v>
      </c>
    </row>
    <row r="549" spans="1:8" ht="15" hidden="1" x14ac:dyDescent="0.2">
      <c r="A549" s="2012">
        <v>3636</v>
      </c>
      <c r="B549" s="2013">
        <v>5139</v>
      </c>
      <c r="C549" s="2013">
        <v>38500881</v>
      </c>
      <c r="D549" s="2014" t="s">
        <v>270</v>
      </c>
      <c r="E549" s="2015"/>
      <c r="F549" s="2015"/>
      <c r="G549" s="2015"/>
      <c r="H549" s="2016" t="e">
        <f t="shared" ref="H549:H561" si="45">G549/F549*100</f>
        <v>#DIV/0!</v>
      </c>
    </row>
    <row r="550" spans="1:8" ht="15" hidden="1" x14ac:dyDescent="0.2">
      <c r="A550" s="2012">
        <v>3636</v>
      </c>
      <c r="B550" s="2013">
        <v>5162</v>
      </c>
      <c r="C550" s="2013">
        <v>38100880</v>
      </c>
      <c r="D550" s="2014" t="s">
        <v>864</v>
      </c>
      <c r="E550" s="2015"/>
      <c r="F550" s="2015"/>
      <c r="G550" s="2015"/>
      <c r="H550" s="2016" t="e">
        <f t="shared" si="45"/>
        <v>#DIV/0!</v>
      </c>
    </row>
    <row r="551" spans="1:8" ht="15" hidden="1" x14ac:dyDescent="0.2">
      <c r="A551" s="2012">
        <v>3636</v>
      </c>
      <c r="B551" s="2013">
        <v>5162</v>
      </c>
      <c r="C551" s="2013">
        <v>38500881</v>
      </c>
      <c r="D551" s="2014" t="s">
        <v>864</v>
      </c>
      <c r="E551" s="2015"/>
      <c r="F551" s="2015"/>
      <c r="G551" s="2015"/>
      <c r="H551" s="2016" t="e">
        <f t="shared" si="45"/>
        <v>#DIV/0!</v>
      </c>
    </row>
    <row r="552" spans="1:8" ht="15" hidden="1" x14ac:dyDescent="0.2">
      <c r="A552" s="2012">
        <v>3636</v>
      </c>
      <c r="B552" s="2013">
        <v>5164</v>
      </c>
      <c r="C552" s="2013">
        <v>38100880</v>
      </c>
      <c r="D552" s="2014" t="s">
        <v>170</v>
      </c>
      <c r="E552" s="2015"/>
      <c r="F552" s="2015"/>
      <c r="G552" s="2015"/>
      <c r="H552" s="2016" t="e">
        <f t="shared" si="45"/>
        <v>#DIV/0!</v>
      </c>
    </row>
    <row r="553" spans="1:8" ht="15" hidden="1" x14ac:dyDescent="0.2">
      <c r="A553" s="2012">
        <v>3636</v>
      </c>
      <c r="B553" s="2013">
        <v>5164</v>
      </c>
      <c r="C553" s="2013">
        <v>38500881</v>
      </c>
      <c r="D553" s="2014" t="s">
        <v>170</v>
      </c>
      <c r="E553" s="2015"/>
      <c r="F553" s="2015"/>
      <c r="G553" s="2015"/>
      <c r="H553" s="2016" t="e">
        <f t="shared" si="45"/>
        <v>#DIV/0!</v>
      </c>
    </row>
    <row r="554" spans="1:8" ht="30" x14ac:dyDescent="0.2">
      <c r="A554" s="2012">
        <v>3123</v>
      </c>
      <c r="B554" s="2013">
        <v>5336</v>
      </c>
      <c r="C554" s="2017">
        <v>32533019</v>
      </c>
      <c r="D554" s="2014" t="s">
        <v>1263</v>
      </c>
      <c r="E554" s="2015">
        <v>0</v>
      </c>
      <c r="F554" s="2015">
        <f>24+403</f>
        <v>427</v>
      </c>
      <c r="G554" s="2015">
        <f>18+331</f>
        <v>349</v>
      </c>
      <c r="H554" s="2016">
        <f t="shared" si="45"/>
        <v>81.733021077283368</v>
      </c>
    </row>
    <row r="555" spans="1:8" ht="15" hidden="1" x14ac:dyDescent="0.2">
      <c r="A555" s="2012">
        <v>3123</v>
      </c>
      <c r="B555" s="2013">
        <v>5166</v>
      </c>
      <c r="C555" s="2013">
        <v>41100880</v>
      </c>
      <c r="D555" s="2014" t="s">
        <v>609</v>
      </c>
      <c r="E555" s="2015"/>
      <c r="F555" s="2015"/>
      <c r="G555" s="2015"/>
      <c r="H555" s="2016" t="e">
        <f t="shared" si="45"/>
        <v>#DIV/0!</v>
      </c>
    </row>
    <row r="556" spans="1:8" ht="15" hidden="1" x14ac:dyDescent="0.2">
      <c r="A556" s="2012">
        <v>3123</v>
      </c>
      <c r="B556" s="2013">
        <v>5166</v>
      </c>
      <c r="C556" s="2013">
        <v>41100882</v>
      </c>
      <c r="D556" s="2014" t="s">
        <v>609</v>
      </c>
      <c r="E556" s="2015"/>
      <c r="F556" s="2015"/>
      <c r="G556" s="2015"/>
      <c r="H556" s="2016" t="e">
        <f t="shared" si="45"/>
        <v>#DIV/0!</v>
      </c>
    </row>
    <row r="557" spans="1:8" ht="15" hidden="1" x14ac:dyDescent="0.2">
      <c r="A557" s="2012">
        <v>3123</v>
      </c>
      <c r="B557" s="2013">
        <v>5166</v>
      </c>
      <c r="C557" s="2013">
        <v>41500881</v>
      </c>
      <c r="D557" s="2014" t="s">
        <v>609</v>
      </c>
      <c r="E557" s="2015"/>
      <c r="F557" s="2015"/>
      <c r="G557" s="2015"/>
      <c r="H557" s="2016" t="e">
        <f t="shared" si="45"/>
        <v>#DIV/0!</v>
      </c>
    </row>
    <row r="558" spans="1:8" ht="15" hidden="1" x14ac:dyDescent="0.2">
      <c r="A558" s="2012">
        <v>3123</v>
      </c>
      <c r="B558" s="2013">
        <v>5167</v>
      </c>
      <c r="C558" s="2013">
        <v>38100880</v>
      </c>
      <c r="D558" s="2014" t="s">
        <v>895</v>
      </c>
      <c r="E558" s="2015"/>
      <c r="F558" s="2015"/>
      <c r="G558" s="2015"/>
      <c r="H558" s="2016" t="e">
        <f t="shared" si="45"/>
        <v>#DIV/0!</v>
      </c>
    </row>
    <row r="559" spans="1:8" ht="15" hidden="1" x14ac:dyDescent="0.2">
      <c r="A559" s="2012">
        <v>3123</v>
      </c>
      <c r="B559" s="2013">
        <v>5167</v>
      </c>
      <c r="C559" s="2013">
        <v>38500881</v>
      </c>
      <c r="D559" s="2014" t="s">
        <v>895</v>
      </c>
      <c r="E559" s="2015"/>
      <c r="F559" s="2015"/>
      <c r="G559" s="2015"/>
      <c r="H559" s="2016" t="e">
        <f t="shared" si="45"/>
        <v>#DIV/0!</v>
      </c>
    </row>
    <row r="560" spans="1:8" ht="15" hidden="1" x14ac:dyDescent="0.2">
      <c r="A560" s="2012">
        <v>3123</v>
      </c>
      <c r="B560" s="2013">
        <v>5169</v>
      </c>
      <c r="C560" s="2013">
        <v>38100880</v>
      </c>
      <c r="D560" s="2014" t="s">
        <v>852</v>
      </c>
      <c r="E560" s="2015"/>
      <c r="F560" s="2015"/>
      <c r="G560" s="2015"/>
      <c r="H560" s="2016" t="e">
        <f t="shared" si="45"/>
        <v>#DIV/0!</v>
      </c>
    </row>
    <row r="561" spans="1:8" ht="15" hidden="1" x14ac:dyDescent="0.2">
      <c r="A561" s="2012">
        <v>3123</v>
      </c>
      <c r="B561" s="2013">
        <v>5169</v>
      </c>
      <c r="C561" s="2013">
        <v>38500881</v>
      </c>
      <c r="D561" s="2014" t="s">
        <v>852</v>
      </c>
      <c r="E561" s="2015"/>
      <c r="F561" s="2015"/>
      <c r="G561" s="2015"/>
      <c r="H561" s="2016" t="e">
        <f t="shared" si="45"/>
        <v>#DIV/0!</v>
      </c>
    </row>
    <row r="562" spans="1:8" ht="15" hidden="1" x14ac:dyDescent="0.2">
      <c r="A562" s="2012">
        <v>3123</v>
      </c>
      <c r="B562" s="2013">
        <v>5173</v>
      </c>
      <c r="C562" s="2017">
        <v>0</v>
      </c>
      <c r="D562" s="2014" t="s">
        <v>1152</v>
      </c>
      <c r="E562" s="2015"/>
      <c r="F562" s="2015"/>
      <c r="G562" s="2015"/>
      <c r="H562" s="2016">
        <v>0</v>
      </c>
    </row>
    <row r="563" spans="1:8" ht="15" hidden="1" x14ac:dyDescent="0.2">
      <c r="A563" s="2012">
        <v>3123</v>
      </c>
      <c r="B563" s="2013">
        <v>5173</v>
      </c>
      <c r="C563" s="2013">
        <v>38500881</v>
      </c>
      <c r="D563" s="2014" t="s">
        <v>1152</v>
      </c>
      <c r="E563" s="2015">
        <v>0</v>
      </c>
      <c r="F563" s="2015"/>
      <c r="G563" s="2015"/>
      <c r="H563" s="2016" t="e">
        <f t="shared" ref="H563:H570" si="46">G563/F563*100</f>
        <v>#DIV/0!</v>
      </c>
    </row>
    <row r="564" spans="1:8" ht="15" hidden="1" x14ac:dyDescent="0.2">
      <c r="A564" s="2012">
        <v>3123</v>
      </c>
      <c r="B564" s="2013">
        <v>5175</v>
      </c>
      <c r="C564" s="2013">
        <v>38100880</v>
      </c>
      <c r="D564" s="2014" t="s">
        <v>669</v>
      </c>
      <c r="E564" s="2015">
        <v>0</v>
      </c>
      <c r="F564" s="2015"/>
      <c r="G564" s="2015"/>
      <c r="H564" s="2016" t="e">
        <f t="shared" si="46"/>
        <v>#DIV/0!</v>
      </c>
    </row>
    <row r="565" spans="1:8" ht="15" hidden="1" x14ac:dyDescent="0.2">
      <c r="A565" s="2012">
        <v>3123</v>
      </c>
      <c r="B565" s="2013">
        <v>5175</v>
      </c>
      <c r="C565" s="2013">
        <v>38500881</v>
      </c>
      <c r="D565" s="2014" t="s">
        <v>669</v>
      </c>
      <c r="E565" s="2015">
        <v>0</v>
      </c>
      <c r="F565" s="2015"/>
      <c r="G565" s="2015"/>
      <c r="H565" s="2016" t="e">
        <f t="shared" si="46"/>
        <v>#DIV/0!</v>
      </c>
    </row>
    <row r="566" spans="1:8" ht="15" hidden="1" x14ac:dyDescent="0.2">
      <c r="A566" s="2012">
        <v>3123</v>
      </c>
      <c r="B566" s="2013">
        <v>5176</v>
      </c>
      <c r="C566" s="2013">
        <v>38100880</v>
      </c>
      <c r="D566" s="2014" t="s">
        <v>1247</v>
      </c>
      <c r="E566" s="2015">
        <v>0</v>
      </c>
      <c r="F566" s="2015"/>
      <c r="G566" s="2015"/>
      <c r="H566" s="2016" t="e">
        <f t="shared" si="46"/>
        <v>#DIV/0!</v>
      </c>
    </row>
    <row r="567" spans="1:8" ht="15" hidden="1" x14ac:dyDescent="0.2">
      <c r="A567" s="2012">
        <v>3123</v>
      </c>
      <c r="B567" s="2013">
        <v>5176</v>
      </c>
      <c r="C567" s="2013">
        <v>38500881</v>
      </c>
      <c r="D567" s="2014" t="s">
        <v>1247</v>
      </c>
      <c r="E567" s="2015">
        <v>0</v>
      </c>
      <c r="F567" s="2015"/>
      <c r="G567" s="2015"/>
      <c r="H567" s="2016" t="e">
        <f t="shared" si="46"/>
        <v>#DIV/0!</v>
      </c>
    </row>
    <row r="568" spans="1:8" ht="30" x14ac:dyDescent="0.2">
      <c r="A568" s="2012">
        <v>3123</v>
      </c>
      <c r="B568" s="2013">
        <v>6356</v>
      </c>
      <c r="C568" s="2013">
        <v>32133910</v>
      </c>
      <c r="D568" s="2014" t="s">
        <v>1772</v>
      </c>
      <c r="E568" s="2015">
        <v>0</v>
      </c>
      <c r="F568" s="2015">
        <v>68</v>
      </c>
      <c r="G568" s="2015">
        <v>68</v>
      </c>
      <c r="H568" s="2016">
        <f t="shared" si="46"/>
        <v>100</v>
      </c>
    </row>
    <row r="569" spans="1:8" ht="30.75" thickBot="1" x14ac:dyDescent="0.25">
      <c r="A569" s="2012">
        <v>3123</v>
      </c>
      <c r="B569" s="2013">
        <v>6356</v>
      </c>
      <c r="C569" s="2013">
        <v>32533910</v>
      </c>
      <c r="D569" s="2014" t="s">
        <v>1772</v>
      </c>
      <c r="E569" s="2015">
        <v>0</v>
      </c>
      <c r="F569" s="2015">
        <v>387</v>
      </c>
      <c r="G569" s="2015">
        <v>387</v>
      </c>
      <c r="H569" s="2018">
        <f t="shared" si="46"/>
        <v>100</v>
      </c>
    </row>
    <row r="570" spans="1:8" ht="16.5" thickTop="1" thickBot="1" x14ac:dyDescent="0.3">
      <c r="A570" s="2751" t="s">
        <v>763</v>
      </c>
      <c r="B570" s="2752"/>
      <c r="C570" s="2752"/>
      <c r="D570" s="2752"/>
      <c r="E570" s="1818">
        <f>SUM(E540:E569)</f>
        <v>0</v>
      </c>
      <c r="F570" s="1818">
        <f>SUM(F540:F569)</f>
        <v>957</v>
      </c>
      <c r="G570" s="1818">
        <f>SUM(G540:G569)</f>
        <v>865</v>
      </c>
      <c r="H570" s="1822">
        <f t="shared" si="46"/>
        <v>90.386624869383496</v>
      </c>
    </row>
    <row r="571" spans="1:8" ht="13.5" thickTop="1" x14ac:dyDescent="0.2"/>
    <row r="572" spans="1:8" ht="12" customHeight="1" x14ac:dyDescent="0.25">
      <c r="A572" s="2760" t="s">
        <v>1633</v>
      </c>
      <c r="B572" s="2761"/>
      <c r="C572" s="2761"/>
      <c r="D572" s="2761"/>
      <c r="E572" s="2761"/>
      <c r="F572" s="2761"/>
      <c r="G572" s="2761"/>
      <c r="H572" s="2761"/>
    </row>
    <row r="573" spans="1:8" ht="15.75" thickBot="1" x14ac:dyDescent="0.3">
      <c r="A573" s="1979" t="s">
        <v>1555</v>
      </c>
      <c r="B573" s="1993"/>
      <c r="C573" s="1993"/>
      <c r="E573" s="1994"/>
      <c r="F573" s="1994"/>
      <c r="G573" s="1994"/>
      <c r="H573" s="1995" t="s">
        <v>161</v>
      </c>
    </row>
    <row r="574" spans="1:8" ht="25.5" thickTop="1" thickBot="1" x14ac:dyDescent="0.25">
      <c r="A574" s="1809" t="s">
        <v>162</v>
      </c>
      <c r="B574" s="1810" t="s">
        <v>761</v>
      </c>
      <c r="C574" s="1810" t="s">
        <v>377</v>
      </c>
      <c r="D574" s="1811" t="s">
        <v>164</v>
      </c>
      <c r="E574" s="1833" t="s">
        <v>632</v>
      </c>
      <c r="F574" s="1833" t="s">
        <v>633</v>
      </c>
      <c r="G574" s="1834" t="s">
        <v>882</v>
      </c>
      <c r="H574" s="1835" t="s">
        <v>883</v>
      </c>
    </row>
    <row r="575" spans="1:8" ht="14.25" thickTop="1" thickBot="1" x14ac:dyDescent="0.25">
      <c r="A575" s="1643">
        <v>1</v>
      </c>
      <c r="B575" s="1642">
        <v>2</v>
      </c>
      <c r="C575" s="1642">
        <v>3</v>
      </c>
      <c r="D575" s="1642">
        <v>4</v>
      </c>
      <c r="E575" s="1641">
        <v>5</v>
      </c>
      <c r="F575" s="1641">
        <v>6</v>
      </c>
      <c r="G575" s="1877">
        <v>7</v>
      </c>
      <c r="H575" s="1901" t="s">
        <v>61</v>
      </c>
    </row>
    <row r="576" spans="1:8" ht="15.75" hidden="1" thickTop="1" x14ac:dyDescent="0.2">
      <c r="A576" s="2007">
        <v>3636</v>
      </c>
      <c r="B576" s="2008">
        <v>5011</v>
      </c>
      <c r="C576" s="2017">
        <v>0</v>
      </c>
      <c r="D576" s="2009" t="s">
        <v>206</v>
      </c>
      <c r="E576" s="2010">
        <v>0</v>
      </c>
      <c r="F576" s="2010">
        <v>0</v>
      </c>
      <c r="G576" s="2010">
        <v>0</v>
      </c>
      <c r="H576" s="2011" t="e">
        <f t="shared" ref="H576:H583" si="47">G576/F576*100</f>
        <v>#DIV/0!</v>
      </c>
    </row>
    <row r="577" spans="1:8" ht="15.75" hidden="1" thickTop="1" x14ac:dyDescent="0.2">
      <c r="A577" s="2012">
        <v>3636</v>
      </c>
      <c r="B577" s="2013">
        <v>5011</v>
      </c>
      <c r="C577" s="2013">
        <v>38500881</v>
      </c>
      <c r="D577" s="2014" t="s">
        <v>206</v>
      </c>
      <c r="E577" s="2015">
        <v>0</v>
      </c>
      <c r="F577" s="2015">
        <v>0</v>
      </c>
      <c r="G577" s="2015">
        <v>0</v>
      </c>
      <c r="H577" s="2016" t="e">
        <f t="shared" si="47"/>
        <v>#DIV/0!</v>
      </c>
    </row>
    <row r="578" spans="1:8" ht="30.75" thickTop="1" x14ac:dyDescent="0.2">
      <c r="A578" s="2012">
        <v>3123</v>
      </c>
      <c r="B578" s="2013">
        <v>5336</v>
      </c>
      <c r="C578" s="2017">
        <v>32133019</v>
      </c>
      <c r="D578" s="2014" t="s">
        <v>1263</v>
      </c>
      <c r="E578" s="2015">
        <v>0</v>
      </c>
      <c r="F578" s="2015">
        <f>14+184</f>
        <v>198</v>
      </c>
      <c r="G578" s="2015">
        <f>11+142</f>
        <v>153</v>
      </c>
      <c r="H578" s="2016">
        <f t="shared" si="47"/>
        <v>77.272727272727266</v>
      </c>
    </row>
    <row r="579" spans="1:8" ht="15" hidden="1" x14ac:dyDescent="0.2">
      <c r="A579" s="2012">
        <v>3636</v>
      </c>
      <c r="B579" s="2013">
        <v>5021</v>
      </c>
      <c r="C579" s="2013">
        <v>38500881</v>
      </c>
      <c r="D579" s="2014" t="s">
        <v>389</v>
      </c>
      <c r="E579" s="2015"/>
      <c r="F579" s="2015"/>
      <c r="G579" s="2015"/>
      <c r="H579" s="2016" t="e">
        <f t="shared" si="47"/>
        <v>#DIV/0!</v>
      </c>
    </row>
    <row r="580" spans="1:8" ht="30" hidden="1" x14ac:dyDescent="0.2">
      <c r="A580" s="2012">
        <v>3636</v>
      </c>
      <c r="B580" s="2013">
        <v>5031</v>
      </c>
      <c r="C580" s="2013">
        <v>38100880</v>
      </c>
      <c r="D580" s="2014" t="s">
        <v>1299</v>
      </c>
      <c r="E580" s="2015"/>
      <c r="F580" s="2015"/>
      <c r="G580" s="2015"/>
      <c r="H580" s="2016" t="e">
        <f t="shared" si="47"/>
        <v>#DIV/0!</v>
      </c>
    </row>
    <row r="581" spans="1:8" ht="30" hidden="1" x14ac:dyDescent="0.2">
      <c r="A581" s="2012">
        <v>3636</v>
      </c>
      <c r="B581" s="2013">
        <v>5031</v>
      </c>
      <c r="C581" s="2013">
        <v>38500881</v>
      </c>
      <c r="D581" s="2014" t="s">
        <v>1299</v>
      </c>
      <c r="E581" s="2015"/>
      <c r="F581" s="2015"/>
      <c r="G581" s="2015"/>
      <c r="H581" s="2016" t="e">
        <f t="shared" si="47"/>
        <v>#DIV/0!</v>
      </c>
    </row>
    <row r="582" spans="1:8" ht="30" hidden="1" x14ac:dyDescent="0.2">
      <c r="A582" s="2012">
        <v>3636</v>
      </c>
      <c r="B582" s="2013">
        <v>5032</v>
      </c>
      <c r="C582" s="2013">
        <v>38100880</v>
      </c>
      <c r="D582" s="2014" t="s">
        <v>1177</v>
      </c>
      <c r="E582" s="2015"/>
      <c r="F582" s="2015"/>
      <c r="G582" s="2015"/>
      <c r="H582" s="2016" t="e">
        <f t="shared" si="47"/>
        <v>#DIV/0!</v>
      </c>
    </row>
    <row r="583" spans="1:8" ht="30" hidden="1" x14ac:dyDescent="0.2">
      <c r="A583" s="2012">
        <v>3636</v>
      </c>
      <c r="B583" s="2013">
        <v>5032</v>
      </c>
      <c r="C583" s="2013">
        <v>38500881</v>
      </c>
      <c r="D583" s="2014" t="s">
        <v>1177</v>
      </c>
      <c r="E583" s="2015"/>
      <c r="F583" s="2015"/>
      <c r="G583" s="2015"/>
      <c r="H583" s="2016" t="e">
        <f t="shared" si="47"/>
        <v>#DIV/0!</v>
      </c>
    </row>
    <row r="584" spans="1:8" ht="15" hidden="1" x14ac:dyDescent="0.2">
      <c r="A584" s="2012">
        <v>3636</v>
      </c>
      <c r="B584" s="2013">
        <v>5139</v>
      </c>
      <c r="C584" s="2013">
        <v>38100880</v>
      </c>
      <c r="D584" s="2014" t="s">
        <v>270</v>
      </c>
      <c r="E584" s="2015"/>
      <c r="F584" s="2015"/>
      <c r="G584" s="2015"/>
      <c r="H584" s="2016">
        <v>0</v>
      </c>
    </row>
    <row r="585" spans="1:8" ht="15" hidden="1" x14ac:dyDescent="0.2">
      <c r="A585" s="2012">
        <v>3636</v>
      </c>
      <c r="B585" s="2013">
        <v>5139</v>
      </c>
      <c r="C585" s="2013">
        <v>38500881</v>
      </c>
      <c r="D585" s="2014" t="s">
        <v>270</v>
      </c>
      <c r="E585" s="2015"/>
      <c r="F585" s="2015"/>
      <c r="G585" s="2015"/>
      <c r="H585" s="2016" t="e">
        <f t="shared" ref="H585:H597" si="48">G585/F585*100</f>
        <v>#DIV/0!</v>
      </c>
    </row>
    <row r="586" spans="1:8" ht="15" hidden="1" x14ac:dyDescent="0.2">
      <c r="A586" s="2012">
        <v>3636</v>
      </c>
      <c r="B586" s="2013">
        <v>5162</v>
      </c>
      <c r="C586" s="2013">
        <v>38100880</v>
      </c>
      <c r="D586" s="2014" t="s">
        <v>864</v>
      </c>
      <c r="E586" s="2015"/>
      <c r="F586" s="2015"/>
      <c r="G586" s="2015"/>
      <c r="H586" s="2016" t="e">
        <f t="shared" si="48"/>
        <v>#DIV/0!</v>
      </c>
    </row>
    <row r="587" spans="1:8" ht="15" hidden="1" x14ac:dyDescent="0.2">
      <c r="A587" s="2012">
        <v>3636</v>
      </c>
      <c r="B587" s="2013">
        <v>5162</v>
      </c>
      <c r="C587" s="2013">
        <v>38500881</v>
      </c>
      <c r="D587" s="2014" t="s">
        <v>864</v>
      </c>
      <c r="E587" s="2015"/>
      <c r="F587" s="2015"/>
      <c r="G587" s="2015"/>
      <c r="H587" s="2016" t="e">
        <f t="shared" si="48"/>
        <v>#DIV/0!</v>
      </c>
    </row>
    <row r="588" spans="1:8" ht="15" hidden="1" x14ac:dyDescent="0.2">
      <c r="A588" s="2012">
        <v>3636</v>
      </c>
      <c r="B588" s="2013">
        <v>5164</v>
      </c>
      <c r="C588" s="2013">
        <v>38100880</v>
      </c>
      <c r="D588" s="2014" t="s">
        <v>170</v>
      </c>
      <c r="E588" s="2015"/>
      <c r="F588" s="2015"/>
      <c r="G588" s="2015"/>
      <c r="H588" s="2016" t="e">
        <f t="shared" si="48"/>
        <v>#DIV/0!</v>
      </c>
    </row>
    <row r="589" spans="1:8" ht="15" hidden="1" x14ac:dyDescent="0.2">
      <c r="A589" s="2012">
        <v>3636</v>
      </c>
      <c r="B589" s="2013">
        <v>5164</v>
      </c>
      <c r="C589" s="2013">
        <v>38500881</v>
      </c>
      <c r="D589" s="2014" t="s">
        <v>170</v>
      </c>
      <c r="E589" s="2015"/>
      <c r="F589" s="2015"/>
      <c r="G589" s="2015"/>
      <c r="H589" s="2016" t="e">
        <f t="shared" si="48"/>
        <v>#DIV/0!</v>
      </c>
    </row>
    <row r="590" spans="1:8" ht="30" x14ac:dyDescent="0.2">
      <c r="A590" s="2012">
        <v>3123</v>
      </c>
      <c r="B590" s="2013">
        <v>5336</v>
      </c>
      <c r="C590" s="2017">
        <v>32533019</v>
      </c>
      <c r="D590" s="2014" t="s">
        <v>1263</v>
      </c>
      <c r="E590" s="2015">
        <v>0</v>
      </c>
      <c r="F590" s="2015">
        <f>82+1044</f>
        <v>1126</v>
      </c>
      <c r="G590" s="2015">
        <f>62+806</f>
        <v>868</v>
      </c>
      <c r="H590" s="2016">
        <f t="shared" si="48"/>
        <v>77.087033747779756</v>
      </c>
    </row>
    <row r="591" spans="1:8" ht="15" hidden="1" x14ac:dyDescent="0.2">
      <c r="A591" s="2012">
        <v>6223</v>
      </c>
      <c r="B591" s="2013">
        <v>5166</v>
      </c>
      <c r="C591" s="2013">
        <v>41100880</v>
      </c>
      <c r="D591" s="2014" t="s">
        <v>609</v>
      </c>
      <c r="E591" s="2015"/>
      <c r="F591" s="2015"/>
      <c r="G591" s="2015"/>
      <c r="H591" s="2016" t="e">
        <f t="shared" si="48"/>
        <v>#DIV/0!</v>
      </c>
    </row>
    <row r="592" spans="1:8" ht="15" hidden="1" x14ac:dyDescent="0.2">
      <c r="A592" s="2012">
        <v>6223</v>
      </c>
      <c r="B592" s="2013">
        <v>5166</v>
      </c>
      <c r="C592" s="2013">
        <v>41100882</v>
      </c>
      <c r="D592" s="2014" t="s">
        <v>609</v>
      </c>
      <c r="E592" s="2015"/>
      <c r="F592" s="2015"/>
      <c r="G592" s="2015"/>
      <c r="H592" s="2016" t="e">
        <f t="shared" si="48"/>
        <v>#DIV/0!</v>
      </c>
    </row>
    <row r="593" spans="1:8" ht="15" hidden="1" x14ac:dyDescent="0.2">
      <c r="A593" s="2012">
        <v>6223</v>
      </c>
      <c r="B593" s="2013">
        <v>5166</v>
      </c>
      <c r="C593" s="2013">
        <v>41500881</v>
      </c>
      <c r="D593" s="2014" t="s">
        <v>609</v>
      </c>
      <c r="E593" s="2015"/>
      <c r="F593" s="2015"/>
      <c r="G593" s="2015"/>
      <c r="H593" s="2016" t="e">
        <f t="shared" si="48"/>
        <v>#DIV/0!</v>
      </c>
    </row>
    <row r="594" spans="1:8" ht="15" hidden="1" x14ac:dyDescent="0.2">
      <c r="A594" s="2012">
        <v>3636</v>
      </c>
      <c r="B594" s="2013">
        <v>5167</v>
      </c>
      <c r="C594" s="2013">
        <v>38100880</v>
      </c>
      <c r="D594" s="2014" t="s">
        <v>895</v>
      </c>
      <c r="E594" s="2015"/>
      <c r="F594" s="2015"/>
      <c r="G594" s="2015"/>
      <c r="H594" s="2016" t="e">
        <f t="shared" si="48"/>
        <v>#DIV/0!</v>
      </c>
    </row>
    <row r="595" spans="1:8" ht="15" hidden="1" x14ac:dyDescent="0.2">
      <c r="A595" s="2012">
        <v>3636</v>
      </c>
      <c r="B595" s="2013">
        <v>5167</v>
      </c>
      <c r="C595" s="2013">
        <v>38500881</v>
      </c>
      <c r="D595" s="2014" t="s">
        <v>895</v>
      </c>
      <c r="E595" s="2015"/>
      <c r="F595" s="2015"/>
      <c r="G595" s="2015"/>
      <c r="H595" s="2016" t="e">
        <f t="shared" si="48"/>
        <v>#DIV/0!</v>
      </c>
    </row>
    <row r="596" spans="1:8" ht="15" hidden="1" x14ac:dyDescent="0.2">
      <c r="A596" s="2012">
        <v>3636</v>
      </c>
      <c r="B596" s="2013">
        <v>5169</v>
      </c>
      <c r="C596" s="2013">
        <v>38100880</v>
      </c>
      <c r="D596" s="2014" t="s">
        <v>852</v>
      </c>
      <c r="E596" s="2015"/>
      <c r="F596" s="2015"/>
      <c r="G596" s="2015"/>
      <c r="H596" s="2016" t="e">
        <f t="shared" si="48"/>
        <v>#DIV/0!</v>
      </c>
    </row>
    <row r="597" spans="1:8" ht="15" hidden="1" x14ac:dyDescent="0.2">
      <c r="A597" s="2012">
        <v>3636</v>
      </c>
      <c r="B597" s="2013">
        <v>5169</v>
      </c>
      <c r="C597" s="2013">
        <v>38500881</v>
      </c>
      <c r="D597" s="2014" t="s">
        <v>852</v>
      </c>
      <c r="E597" s="2015"/>
      <c r="F597" s="2015"/>
      <c r="G597" s="2015"/>
      <c r="H597" s="2016" t="e">
        <f t="shared" si="48"/>
        <v>#DIV/0!</v>
      </c>
    </row>
    <row r="598" spans="1:8" ht="15" hidden="1" x14ac:dyDescent="0.2">
      <c r="A598" s="2012">
        <v>6223</v>
      </c>
      <c r="B598" s="2013">
        <v>5173</v>
      </c>
      <c r="C598" s="2017">
        <v>0</v>
      </c>
      <c r="D598" s="2014" t="s">
        <v>1152</v>
      </c>
      <c r="E598" s="2015"/>
      <c r="F598" s="2015"/>
      <c r="G598" s="2015"/>
      <c r="H598" s="2016">
        <v>0</v>
      </c>
    </row>
    <row r="599" spans="1:8" ht="15" hidden="1" x14ac:dyDescent="0.2">
      <c r="A599" s="2012">
        <v>3636</v>
      </c>
      <c r="B599" s="2013">
        <v>5173</v>
      </c>
      <c r="C599" s="2013">
        <v>38500881</v>
      </c>
      <c r="D599" s="2014" t="s">
        <v>1152</v>
      </c>
      <c r="E599" s="2015">
        <v>0</v>
      </c>
      <c r="F599" s="2015"/>
      <c r="G599" s="2015"/>
      <c r="H599" s="2016" t="e">
        <f t="shared" ref="H599:H606" si="49">G599/F599*100</f>
        <v>#DIV/0!</v>
      </c>
    </row>
    <row r="600" spans="1:8" ht="15" hidden="1" x14ac:dyDescent="0.2">
      <c r="A600" s="2012">
        <v>3636</v>
      </c>
      <c r="B600" s="2013">
        <v>5175</v>
      </c>
      <c r="C600" s="2013">
        <v>38100880</v>
      </c>
      <c r="D600" s="2014" t="s">
        <v>669</v>
      </c>
      <c r="E600" s="2015">
        <v>0</v>
      </c>
      <c r="F600" s="2015"/>
      <c r="G600" s="2015"/>
      <c r="H600" s="2016" t="e">
        <f t="shared" si="49"/>
        <v>#DIV/0!</v>
      </c>
    </row>
    <row r="601" spans="1:8" ht="15" hidden="1" x14ac:dyDescent="0.2">
      <c r="A601" s="2012">
        <v>3636</v>
      </c>
      <c r="B601" s="2013">
        <v>5175</v>
      </c>
      <c r="C601" s="2013">
        <v>38500881</v>
      </c>
      <c r="D601" s="2014" t="s">
        <v>669</v>
      </c>
      <c r="E601" s="2015">
        <v>0</v>
      </c>
      <c r="F601" s="2015"/>
      <c r="G601" s="2015"/>
      <c r="H601" s="2016" t="e">
        <f t="shared" si="49"/>
        <v>#DIV/0!</v>
      </c>
    </row>
    <row r="602" spans="1:8" ht="15" hidden="1" x14ac:dyDescent="0.2">
      <c r="A602" s="2012">
        <v>3636</v>
      </c>
      <c r="B602" s="2013">
        <v>5176</v>
      </c>
      <c r="C602" s="2013">
        <v>38100880</v>
      </c>
      <c r="D602" s="2014" t="s">
        <v>1247</v>
      </c>
      <c r="E602" s="2015">
        <v>0</v>
      </c>
      <c r="F602" s="2015"/>
      <c r="G602" s="2015"/>
      <c r="H602" s="2016" t="e">
        <f t="shared" si="49"/>
        <v>#DIV/0!</v>
      </c>
    </row>
    <row r="603" spans="1:8" ht="15" hidden="1" x14ac:dyDescent="0.2">
      <c r="A603" s="2012">
        <v>3636</v>
      </c>
      <c r="B603" s="2013">
        <v>5176</v>
      </c>
      <c r="C603" s="2013">
        <v>38500881</v>
      </c>
      <c r="D603" s="2014" t="s">
        <v>1247</v>
      </c>
      <c r="E603" s="2015">
        <v>0</v>
      </c>
      <c r="F603" s="2015"/>
      <c r="G603" s="2015"/>
      <c r="H603" s="2016" t="e">
        <f t="shared" si="49"/>
        <v>#DIV/0!</v>
      </c>
    </row>
    <row r="604" spans="1:8" ht="30" x14ac:dyDescent="0.2">
      <c r="A604" s="2012">
        <v>3123</v>
      </c>
      <c r="B604" s="2013">
        <v>6356</v>
      </c>
      <c r="C604" s="2013">
        <v>32133910</v>
      </c>
      <c r="D604" s="2014" t="s">
        <v>1772</v>
      </c>
      <c r="E604" s="2015">
        <v>0</v>
      </c>
      <c r="F604" s="2015">
        <v>310</v>
      </c>
      <c r="G604" s="2015">
        <v>310</v>
      </c>
      <c r="H604" s="2016">
        <f t="shared" si="49"/>
        <v>100</v>
      </c>
    </row>
    <row r="605" spans="1:8" ht="30.75" thickBot="1" x14ac:dyDescent="0.25">
      <c r="A605" s="2012">
        <v>3123</v>
      </c>
      <c r="B605" s="2013">
        <v>6356</v>
      </c>
      <c r="C605" s="2013">
        <v>32533910</v>
      </c>
      <c r="D605" s="2014" t="s">
        <v>1772</v>
      </c>
      <c r="E605" s="2015">
        <v>0</v>
      </c>
      <c r="F605" s="2015">
        <v>1759</v>
      </c>
      <c r="G605" s="2015">
        <v>1759</v>
      </c>
      <c r="H605" s="2018">
        <f t="shared" si="49"/>
        <v>100</v>
      </c>
    </row>
    <row r="606" spans="1:8" ht="16.5" thickTop="1" thickBot="1" x14ac:dyDescent="0.3">
      <c r="A606" s="2751" t="s">
        <v>763</v>
      </c>
      <c r="B606" s="2752"/>
      <c r="C606" s="2752"/>
      <c r="D606" s="2752"/>
      <c r="E606" s="1818">
        <f>SUM(E576:E605)</f>
        <v>0</v>
      </c>
      <c r="F606" s="1818">
        <f>SUM(F576:F605)</f>
        <v>3393</v>
      </c>
      <c r="G606" s="1818">
        <f>SUM(G576:G605)</f>
        <v>3090</v>
      </c>
      <c r="H606" s="1822">
        <f t="shared" si="49"/>
        <v>91.069849690539357</v>
      </c>
    </row>
    <row r="607" spans="1:8" ht="13.5" thickTop="1" x14ac:dyDescent="0.2"/>
    <row r="608" spans="1:8" ht="12" customHeight="1" x14ac:dyDescent="0.25">
      <c r="A608" s="2760" t="s">
        <v>1618</v>
      </c>
      <c r="B608" s="2761"/>
      <c r="C608" s="2761"/>
      <c r="D608" s="2761"/>
      <c r="E608" s="2761"/>
      <c r="F608" s="2761"/>
      <c r="G608" s="2761"/>
      <c r="H608" s="2761"/>
    </row>
    <row r="609" spans="1:8" ht="15.75" thickBot="1" x14ac:dyDescent="0.3">
      <c r="A609" s="1979" t="s">
        <v>1276</v>
      </c>
      <c r="B609" s="1993"/>
      <c r="C609" s="1993"/>
      <c r="E609" s="1994"/>
      <c r="F609" s="1994"/>
      <c r="G609" s="1994"/>
      <c r="H609" s="1995" t="s">
        <v>161</v>
      </c>
    </row>
    <row r="610" spans="1:8" ht="25.5" thickTop="1" thickBot="1" x14ac:dyDescent="0.25">
      <c r="A610" s="1809" t="s">
        <v>162</v>
      </c>
      <c r="B610" s="1810" t="s">
        <v>761</v>
      </c>
      <c r="C610" s="1810" t="s">
        <v>377</v>
      </c>
      <c r="D610" s="1811" t="s">
        <v>164</v>
      </c>
      <c r="E610" s="1833" t="s">
        <v>632</v>
      </c>
      <c r="F610" s="1833" t="s">
        <v>633</v>
      </c>
      <c r="G610" s="1834" t="s">
        <v>882</v>
      </c>
      <c r="H610" s="1835" t="s">
        <v>883</v>
      </c>
    </row>
    <row r="611" spans="1:8" ht="14.25" thickTop="1" thickBot="1" x14ac:dyDescent="0.25">
      <c r="A611" s="1643">
        <v>1</v>
      </c>
      <c r="B611" s="1642">
        <v>2</v>
      </c>
      <c r="C611" s="1642">
        <v>3</v>
      </c>
      <c r="D611" s="1642">
        <v>4</v>
      </c>
      <c r="E611" s="1641">
        <v>5</v>
      </c>
      <c r="F611" s="1641">
        <v>6</v>
      </c>
      <c r="G611" s="1877">
        <v>7</v>
      </c>
      <c r="H611" s="1901" t="s">
        <v>61</v>
      </c>
    </row>
    <row r="612" spans="1:8" ht="15.75" hidden="1" thickTop="1" x14ac:dyDescent="0.2">
      <c r="A612" s="2007">
        <v>3636</v>
      </c>
      <c r="B612" s="2008">
        <v>5011</v>
      </c>
      <c r="C612" s="2017">
        <v>0</v>
      </c>
      <c r="D612" s="2009" t="s">
        <v>206</v>
      </c>
      <c r="E612" s="2010">
        <v>0</v>
      </c>
      <c r="F612" s="2010">
        <v>0</v>
      </c>
      <c r="G612" s="2010">
        <v>0</v>
      </c>
      <c r="H612" s="2011" t="e">
        <f t="shared" ref="H612:H619" si="50">G612/F612*100</f>
        <v>#DIV/0!</v>
      </c>
    </row>
    <row r="613" spans="1:8" ht="15.75" hidden="1" thickTop="1" x14ac:dyDescent="0.2">
      <c r="A613" s="2012">
        <v>3636</v>
      </c>
      <c r="B613" s="2013">
        <v>5011</v>
      </c>
      <c r="C613" s="2013">
        <v>38500881</v>
      </c>
      <c r="D613" s="2014" t="s">
        <v>206</v>
      </c>
      <c r="E613" s="2015">
        <v>0</v>
      </c>
      <c r="F613" s="2015">
        <v>0</v>
      </c>
      <c r="G613" s="2015">
        <v>0</v>
      </c>
      <c r="H613" s="2016" t="e">
        <f t="shared" si="50"/>
        <v>#DIV/0!</v>
      </c>
    </row>
    <row r="614" spans="1:8" ht="30.75" thickTop="1" x14ac:dyDescent="0.2">
      <c r="A614" s="2012">
        <v>3122</v>
      </c>
      <c r="B614" s="2013">
        <v>5336</v>
      </c>
      <c r="C614" s="2017">
        <v>32133019</v>
      </c>
      <c r="D614" s="2014" t="s">
        <v>1263</v>
      </c>
      <c r="E614" s="2015">
        <v>0</v>
      </c>
      <c r="F614" s="2015">
        <f>11+206</f>
        <v>217</v>
      </c>
      <c r="G614" s="2015">
        <f>11+178</f>
        <v>189</v>
      </c>
      <c r="H614" s="2016">
        <f t="shared" si="50"/>
        <v>87.096774193548384</v>
      </c>
    </row>
    <row r="615" spans="1:8" ht="15" hidden="1" x14ac:dyDescent="0.2">
      <c r="A615" s="2012">
        <v>3636</v>
      </c>
      <c r="B615" s="2013">
        <v>5021</v>
      </c>
      <c r="C615" s="2013">
        <v>38500881</v>
      </c>
      <c r="D615" s="2014" t="s">
        <v>389</v>
      </c>
      <c r="E615" s="2015"/>
      <c r="F615" s="2015"/>
      <c r="G615" s="2015"/>
      <c r="H615" s="2016" t="e">
        <f t="shared" si="50"/>
        <v>#DIV/0!</v>
      </c>
    </row>
    <row r="616" spans="1:8" ht="30" hidden="1" x14ac:dyDescent="0.2">
      <c r="A616" s="2012">
        <v>3636</v>
      </c>
      <c r="B616" s="2013">
        <v>5031</v>
      </c>
      <c r="C616" s="2013">
        <v>38100880</v>
      </c>
      <c r="D616" s="2014" t="s">
        <v>1299</v>
      </c>
      <c r="E616" s="2015"/>
      <c r="F616" s="2015"/>
      <c r="G616" s="2015"/>
      <c r="H616" s="2016" t="e">
        <f t="shared" si="50"/>
        <v>#DIV/0!</v>
      </c>
    </row>
    <row r="617" spans="1:8" ht="30" hidden="1" x14ac:dyDescent="0.2">
      <c r="A617" s="2012">
        <v>3636</v>
      </c>
      <c r="B617" s="2013">
        <v>5031</v>
      </c>
      <c r="C617" s="2013">
        <v>38500881</v>
      </c>
      <c r="D617" s="2014" t="s">
        <v>1299</v>
      </c>
      <c r="E617" s="2015"/>
      <c r="F617" s="2015"/>
      <c r="G617" s="2015"/>
      <c r="H617" s="2016" t="e">
        <f t="shared" si="50"/>
        <v>#DIV/0!</v>
      </c>
    </row>
    <row r="618" spans="1:8" ht="30" hidden="1" x14ac:dyDescent="0.2">
      <c r="A618" s="2012">
        <v>3636</v>
      </c>
      <c r="B618" s="2013">
        <v>5032</v>
      </c>
      <c r="C618" s="2013">
        <v>38100880</v>
      </c>
      <c r="D618" s="2014" t="s">
        <v>1177</v>
      </c>
      <c r="E618" s="2015"/>
      <c r="F618" s="2015"/>
      <c r="G618" s="2015"/>
      <c r="H618" s="2016" t="e">
        <f t="shared" si="50"/>
        <v>#DIV/0!</v>
      </c>
    </row>
    <row r="619" spans="1:8" ht="30" hidden="1" x14ac:dyDescent="0.2">
      <c r="A619" s="2012">
        <v>3636</v>
      </c>
      <c r="B619" s="2013">
        <v>5032</v>
      </c>
      <c r="C619" s="2013">
        <v>38500881</v>
      </c>
      <c r="D619" s="2014" t="s">
        <v>1177</v>
      </c>
      <c r="E619" s="2015"/>
      <c r="F619" s="2015"/>
      <c r="G619" s="2015"/>
      <c r="H619" s="2016" t="e">
        <f t="shared" si="50"/>
        <v>#DIV/0!</v>
      </c>
    </row>
    <row r="620" spans="1:8" ht="15" hidden="1" x14ac:dyDescent="0.2">
      <c r="A620" s="2012">
        <v>3636</v>
      </c>
      <c r="B620" s="2013">
        <v>5139</v>
      </c>
      <c r="C620" s="2013">
        <v>38100880</v>
      </c>
      <c r="D620" s="2014" t="s">
        <v>270</v>
      </c>
      <c r="E620" s="2015"/>
      <c r="F620" s="2015"/>
      <c r="G620" s="2015"/>
      <c r="H620" s="2016">
        <v>0</v>
      </c>
    </row>
    <row r="621" spans="1:8" ht="15" hidden="1" x14ac:dyDescent="0.2">
      <c r="A621" s="2012">
        <v>3636</v>
      </c>
      <c r="B621" s="2013">
        <v>5139</v>
      </c>
      <c r="C621" s="2013">
        <v>38500881</v>
      </c>
      <c r="D621" s="2014" t="s">
        <v>270</v>
      </c>
      <c r="E621" s="2015"/>
      <c r="F621" s="2015"/>
      <c r="G621" s="2015"/>
      <c r="H621" s="2016" t="e">
        <f t="shared" ref="H621:H633" si="51">G621/F621*100</f>
        <v>#DIV/0!</v>
      </c>
    </row>
    <row r="622" spans="1:8" ht="15" hidden="1" x14ac:dyDescent="0.2">
      <c r="A622" s="2012">
        <v>3636</v>
      </c>
      <c r="B622" s="2013">
        <v>5162</v>
      </c>
      <c r="C622" s="2013">
        <v>38100880</v>
      </c>
      <c r="D622" s="2014" t="s">
        <v>864</v>
      </c>
      <c r="E622" s="2015"/>
      <c r="F622" s="2015"/>
      <c r="G622" s="2015"/>
      <c r="H622" s="2016" t="e">
        <f t="shared" si="51"/>
        <v>#DIV/0!</v>
      </c>
    </row>
    <row r="623" spans="1:8" ht="15" hidden="1" x14ac:dyDescent="0.2">
      <c r="A623" s="2012">
        <v>3636</v>
      </c>
      <c r="B623" s="2013">
        <v>5162</v>
      </c>
      <c r="C623" s="2013">
        <v>38500881</v>
      </c>
      <c r="D623" s="2014" t="s">
        <v>864</v>
      </c>
      <c r="E623" s="2015"/>
      <c r="F623" s="2015"/>
      <c r="G623" s="2015"/>
      <c r="H623" s="2016" t="e">
        <f t="shared" si="51"/>
        <v>#DIV/0!</v>
      </c>
    </row>
    <row r="624" spans="1:8" ht="15" hidden="1" x14ac:dyDescent="0.2">
      <c r="A624" s="2012">
        <v>3636</v>
      </c>
      <c r="B624" s="2013">
        <v>5164</v>
      </c>
      <c r="C624" s="2013">
        <v>38100880</v>
      </c>
      <c r="D624" s="2014" t="s">
        <v>170</v>
      </c>
      <c r="E624" s="2015"/>
      <c r="F624" s="2015"/>
      <c r="G624" s="2015"/>
      <c r="H624" s="2016" t="e">
        <f t="shared" si="51"/>
        <v>#DIV/0!</v>
      </c>
    </row>
    <row r="625" spans="1:8" ht="15" hidden="1" x14ac:dyDescent="0.2">
      <c r="A625" s="2012">
        <v>3636</v>
      </c>
      <c r="B625" s="2013">
        <v>5164</v>
      </c>
      <c r="C625" s="2013">
        <v>38500881</v>
      </c>
      <c r="D625" s="2014" t="s">
        <v>170</v>
      </c>
      <c r="E625" s="2015"/>
      <c r="F625" s="2015"/>
      <c r="G625" s="2015"/>
      <c r="H625" s="2016" t="e">
        <f t="shared" si="51"/>
        <v>#DIV/0!</v>
      </c>
    </row>
    <row r="626" spans="1:8" ht="30" x14ac:dyDescent="0.2">
      <c r="A626" s="2012">
        <v>3122</v>
      </c>
      <c r="B626" s="2013">
        <v>5336</v>
      </c>
      <c r="C626" s="2017">
        <v>32533019</v>
      </c>
      <c r="D626" s="2014" t="s">
        <v>1263</v>
      </c>
      <c r="E626" s="2015">
        <v>0</v>
      </c>
      <c r="F626" s="2015">
        <f>63+1165</f>
        <v>1228</v>
      </c>
      <c r="G626" s="2015">
        <f>62+1009</f>
        <v>1071</v>
      </c>
      <c r="H626" s="2016">
        <f t="shared" si="51"/>
        <v>87.214983713355053</v>
      </c>
    </row>
    <row r="627" spans="1:8" ht="15" hidden="1" x14ac:dyDescent="0.2">
      <c r="A627" s="2012">
        <v>3122</v>
      </c>
      <c r="B627" s="2013">
        <v>5166</v>
      </c>
      <c r="C627" s="2013">
        <v>41100880</v>
      </c>
      <c r="D627" s="2014" t="s">
        <v>609</v>
      </c>
      <c r="E627" s="2015"/>
      <c r="F627" s="2015"/>
      <c r="G627" s="2015"/>
      <c r="H627" s="2016" t="e">
        <f t="shared" si="51"/>
        <v>#DIV/0!</v>
      </c>
    </row>
    <row r="628" spans="1:8" ht="15" hidden="1" x14ac:dyDescent="0.2">
      <c r="A628" s="2012">
        <v>3122</v>
      </c>
      <c r="B628" s="2013">
        <v>5166</v>
      </c>
      <c r="C628" s="2013">
        <v>41100882</v>
      </c>
      <c r="D628" s="2014" t="s">
        <v>609</v>
      </c>
      <c r="E628" s="2015"/>
      <c r="F628" s="2015"/>
      <c r="G628" s="2015"/>
      <c r="H628" s="2016" t="e">
        <f t="shared" si="51"/>
        <v>#DIV/0!</v>
      </c>
    </row>
    <row r="629" spans="1:8" ht="15" hidden="1" x14ac:dyDescent="0.2">
      <c r="A629" s="2012">
        <v>3122</v>
      </c>
      <c r="B629" s="2013">
        <v>5166</v>
      </c>
      <c r="C629" s="2013">
        <v>41500881</v>
      </c>
      <c r="D629" s="2014" t="s">
        <v>609</v>
      </c>
      <c r="E629" s="2015"/>
      <c r="F629" s="2015"/>
      <c r="G629" s="2015"/>
      <c r="H629" s="2016" t="e">
        <f t="shared" si="51"/>
        <v>#DIV/0!</v>
      </c>
    </row>
    <row r="630" spans="1:8" ht="15" hidden="1" x14ac:dyDescent="0.2">
      <c r="A630" s="2012">
        <v>3122</v>
      </c>
      <c r="B630" s="2013">
        <v>5167</v>
      </c>
      <c r="C630" s="2013">
        <v>38100880</v>
      </c>
      <c r="D630" s="2014" t="s">
        <v>895</v>
      </c>
      <c r="E630" s="2015"/>
      <c r="F630" s="2015"/>
      <c r="G630" s="2015"/>
      <c r="H630" s="2016" t="e">
        <f t="shared" si="51"/>
        <v>#DIV/0!</v>
      </c>
    </row>
    <row r="631" spans="1:8" ht="15" hidden="1" x14ac:dyDescent="0.2">
      <c r="A631" s="2012">
        <v>3122</v>
      </c>
      <c r="B631" s="2013">
        <v>5167</v>
      </c>
      <c r="C631" s="2013">
        <v>38500881</v>
      </c>
      <c r="D631" s="2014" t="s">
        <v>895</v>
      </c>
      <c r="E631" s="2015"/>
      <c r="F631" s="2015"/>
      <c r="G631" s="2015"/>
      <c r="H631" s="2016" t="e">
        <f t="shared" si="51"/>
        <v>#DIV/0!</v>
      </c>
    </row>
    <row r="632" spans="1:8" ht="15" hidden="1" x14ac:dyDescent="0.2">
      <c r="A632" s="2012">
        <v>3122</v>
      </c>
      <c r="B632" s="2013">
        <v>5169</v>
      </c>
      <c r="C632" s="2013">
        <v>38100880</v>
      </c>
      <c r="D632" s="2014" t="s">
        <v>852</v>
      </c>
      <c r="E632" s="2015"/>
      <c r="F632" s="2015"/>
      <c r="G632" s="2015"/>
      <c r="H632" s="2016" t="e">
        <f t="shared" si="51"/>
        <v>#DIV/0!</v>
      </c>
    </row>
    <row r="633" spans="1:8" ht="15" hidden="1" x14ac:dyDescent="0.2">
      <c r="A633" s="2012">
        <v>3122</v>
      </c>
      <c r="B633" s="2013">
        <v>5169</v>
      </c>
      <c r="C633" s="2013">
        <v>38500881</v>
      </c>
      <c r="D633" s="2014" t="s">
        <v>852</v>
      </c>
      <c r="E633" s="2015"/>
      <c r="F633" s="2015"/>
      <c r="G633" s="2015"/>
      <c r="H633" s="2016" t="e">
        <f t="shared" si="51"/>
        <v>#DIV/0!</v>
      </c>
    </row>
    <row r="634" spans="1:8" ht="15" hidden="1" x14ac:dyDescent="0.2">
      <c r="A634" s="2012">
        <v>3122</v>
      </c>
      <c r="B634" s="2013">
        <v>5173</v>
      </c>
      <c r="C634" s="2017">
        <v>0</v>
      </c>
      <c r="D634" s="2014" t="s">
        <v>1152</v>
      </c>
      <c r="E634" s="2015"/>
      <c r="F634" s="2015"/>
      <c r="G634" s="2015"/>
      <c r="H634" s="2016">
        <v>0</v>
      </c>
    </row>
    <row r="635" spans="1:8" ht="15" hidden="1" x14ac:dyDescent="0.2">
      <c r="A635" s="2012">
        <v>3122</v>
      </c>
      <c r="B635" s="2013">
        <v>5173</v>
      </c>
      <c r="C635" s="2013">
        <v>38500881</v>
      </c>
      <c r="D635" s="2014" t="s">
        <v>1152</v>
      </c>
      <c r="E635" s="2015">
        <v>0</v>
      </c>
      <c r="F635" s="2015"/>
      <c r="G635" s="2015"/>
      <c r="H635" s="2016" t="e">
        <f t="shared" ref="H635:H642" si="52">G635/F635*100</f>
        <v>#DIV/0!</v>
      </c>
    </row>
    <row r="636" spans="1:8" ht="15" hidden="1" x14ac:dyDescent="0.2">
      <c r="A636" s="2012">
        <v>3122</v>
      </c>
      <c r="B636" s="2013">
        <v>5175</v>
      </c>
      <c r="C636" s="2013">
        <v>38100880</v>
      </c>
      <c r="D636" s="2014" t="s">
        <v>669</v>
      </c>
      <c r="E636" s="2015">
        <v>0</v>
      </c>
      <c r="F636" s="2015"/>
      <c r="G636" s="2015"/>
      <c r="H636" s="2016" t="e">
        <f t="shared" si="52"/>
        <v>#DIV/0!</v>
      </c>
    </row>
    <row r="637" spans="1:8" ht="15" hidden="1" x14ac:dyDescent="0.2">
      <c r="A637" s="2012">
        <v>3122</v>
      </c>
      <c r="B637" s="2013">
        <v>5175</v>
      </c>
      <c r="C637" s="2013">
        <v>38500881</v>
      </c>
      <c r="D637" s="2014" t="s">
        <v>669</v>
      </c>
      <c r="E637" s="2015">
        <v>0</v>
      </c>
      <c r="F637" s="2015"/>
      <c r="G637" s="2015"/>
      <c r="H637" s="2016" t="e">
        <f t="shared" si="52"/>
        <v>#DIV/0!</v>
      </c>
    </row>
    <row r="638" spans="1:8" ht="15" hidden="1" x14ac:dyDescent="0.2">
      <c r="A638" s="2012">
        <v>3122</v>
      </c>
      <c r="B638" s="2013">
        <v>5176</v>
      </c>
      <c r="C638" s="2013">
        <v>38100880</v>
      </c>
      <c r="D638" s="2014" t="s">
        <v>1247</v>
      </c>
      <c r="E638" s="2015">
        <v>0</v>
      </c>
      <c r="F638" s="2015"/>
      <c r="G638" s="2015"/>
      <c r="H638" s="2016" t="e">
        <f t="shared" si="52"/>
        <v>#DIV/0!</v>
      </c>
    </row>
    <row r="639" spans="1:8" ht="15" hidden="1" x14ac:dyDescent="0.2">
      <c r="A639" s="2012">
        <v>3122</v>
      </c>
      <c r="B639" s="2013">
        <v>5176</v>
      </c>
      <c r="C639" s="2013">
        <v>38500881</v>
      </c>
      <c r="D639" s="2014" t="s">
        <v>1247</v>
      </c>
      <c r="E639" s="2015">
        <v>0</v>
      </c>
      <c r="F639" s="2015"/>
      <c r="G639" s="2015"/>
      <c r="H639" s="2016" t="e">
        <f t="shared" si="52"/>
        <v>#DIV/0!</v>
      </c>
    </row>
    <row r="640" spans="1:8" ht="30" x14ac:dyDescent="0.2">
      <c r="A640" s="2012">
        <v>3122</v>
      </c>
      <c r="B640" s="2013">
        <v>6356</v>
      </c>
      <c r="C640" s="2013">
        <v>32133910</v>
      </c>
      <c r="D640" s="2014" t="s">
        <v>1772</v>
      </c>
      <c r="E640" s="2015">
        <v>0</v>
      </c>
      <c r="F640" s="2015">
        <v>15</v>
      </c>
      <c r="G640" s="2015">
        <v>15</v>
      </c>
      <c r="H640" s="2016">
        <f t="shared" si="52"/>
        <v>100</v>
      </c>
    </row>
    <row r="641" spans="1:8" ht="30.75" thickBot="1" x14ac:dyDescent="0.25">
      <c r="A641" s="2012">
        <v>3122</v>
      </c>
      <c r="B641" s="2013">
        <v>6356</v>
      </c>
      <c r="C641" s="2013">
        <v>32533910</v>
      </c>
      <c r="D641" s="2014" t="s">
        <v>1772</v>
      </c>
      <c r="E641" s="2015">
        <v>0</v>
      </c>
      <c r="F641" s="2015">
        <v>84</v>
      </c>
      <c r="G641" s="2015">
        <v>84</v>
      </c>
      <c r="H641" s="2018">
        <f t="shared" si="52"/>
        <v>100</v>
      </c>
    </row>
    <row r="642" spans="1:8" ht="16.5" thickTop="1" thickBot="1" x14ac:dyDescent="0.3">
      <c r="A642" s="2751" t="s">
        <v>763</v>
      </c>
      <c r="B642" s="2752"/>
      <c r="C642" s="2752"/>
      <c r="D642" s="2752"/>
      <c r="E642" s="1818">
        <f>SUM(E612:E641)</f>
        <v>0</v>
      </c>
      <c r="F642" s="1818">
        <f>SUM(F612:F641)</f>
        <v>1544</v>
      </c>
      <c r="G642" s="1818">
        <f>SUM(G612:G641)</f>
        <v>1359</v>
      </c>
      <c r="H642" s="1822">
        <f t="shared" si="52"/>
        <v>88.018134715025909</v>
      </c>
    </row>
    <row r="643" spans="1:8" ht="13.5" thickTop="1" x14ac:dyDescent="0.2"/>
    <row r="644" spans="1:8" ht="12" customHeight="1" x14ac:dyDescent="0.25">
      <c r="A644" s="2760" t="s">
        <v>561</v>
      </c>
      <c r="B644" s="2761"/>
      <c r="C644" s="2761"/>
      <c r="D644" s="2761"/>
      <c r="E644" s="2761"/>
      <c r="F644" s="2761"/>
      <c r="G644" s="2761"/>
      <c r="H644" s="2761"/>
    </row>
    <row r="645" spans="1:8" ht="15.75" thickBot="1" x14ac:dyDescent="0.3">
      <c r="A645" s="1979" t="s">
        <v>562</v>
      </c>
      <c r="B645" s="1993"/>
      <c r="C645" s="1993"/>
      <c r="E645" s="1994"/>
      <c r="F645" s="1994"/>
      <c r="G645" s="1994"/>
      <c r="H645" s="1995" t="s">
        <v>161</v>
      </c>
    </row>
    <row r="646" spans="1:8" ht="25.5" thickTop="1" thickBot="1" x14ac:dyDescent="0.25">
      <c r="A646" s="1809" t="s">
        <v>162</v>
      </c>
      <c r="B646" s="1810" t="s">
        <v>761</v>
      </c>
      <c r="C646" s="1810" t="s">
        <v>377</v>
      </c>
      <c r="D646" s="1811" t="s">
        <v>164</v>
      </c>
      <c r="E646" s="1833" t="s">
        <v>632</v>
      </c>
      <c r="F646" s="1833" t="s">
        <v>633</v>
      </c>
      <c r="G646" s="1834" t="s">
        <v>882</v>
      </c>
      <c r="H646" s="1835" t="s">
        <v>883</v>
      </c>
    </row>
    <row r="647" spans="1:8" ht="14.25" thickTop="1" thickBot="1" x14ac:dyDescent="0.25">
      <c r="A647" s="1643">
        <v>1</v>
      </c>
      <c r="B647" s="1642">
        <v>2</v>
      </c>
      <c r="C647" s="1642">
        <v>3</v>
      </c>
      <c r="D647" s="1642">
        <v>4</v>
      </c>
      <c r="E647" s="1641">
        <v>5</v>
      </c>
      <c r="F647" s="1641">
        <v>6</v>
      </c>
      <c r="G647" s="1877">
        <v>7</v>
      </c>
      <c r="H647" s="1901" t="s">
        <v>61</v>
      </c>
    </row>
    <row r="648" spans="1:8" ht="15.75" hidden="1" thickTop="1" x14ac:dyDescent="0.2">
      <c r="A648" s="2007">
        <v>3636</v>
      </c>
      <c r="B648" s="2008">
        <v>5011</v>
      </c>
      <c r="C648" s="2017">
        <v>0</v>
      </c>
      <c r="D648" s="2009" t="s">
        <v>206</v>
      </c>
      <c r="E648" s="2010">
        <v>0</v>
      </c>
      <c r="F648" s="2010">
        <v>0</v>
      </c>
      <c r="G648" s="2010">
        <v>0</v>
      </c>
      <c r="H648" s="2011" t="e">
        <f t="shared" ref="H648:H655" si="53">G648/F648*100</f>
        <v>#DIV/0!</v>
      </c>
    </row>
    <row r="649" spans="1:8" ht="15.75" hidden="1" thickTop="1" x14ac:dyDescent="0.2">
      <c r="A649" s="2012">
        <v>3636</v>
      </c>
      <c r="B649" s="2013">
        <v>5011</v>
      </c>
      <c r="C649" s="2013">
        <v>38500881</v>
      </c>
      <c r="D649" s="2014" t="s">
        <v>206</v>
      </c>
      <c r="E649" s="2015">
        <v>0</v>
      </c>
      <c r="F649" s="2015">
        <v>0</v>
      </c>
      <c r="G649" s="2015">
        <v>0</v>
      </c>
      <c r="H649" s="2016" t="e">
        <f t="shared" si="53"/>
        <v>#DIV/0!</v>
      </c>
    </row>
    <row r="650" spans="1:8" ht="30.75" thickTop="1" x14ac:dyDescent="0.2">
      <c r="A650" s="2012">
        <v>3123</v>
      </c>
      <c r="B650" s="2013">
        <v>5336</v>
      </c>
      <c r="C650" s="2017">
        <v>32133019</v>
      </c>
      <c r="D650" s="2014" t="s">
        <v>1263</v>
      </c>
      <c r="E650" s="2015">
        <v>0</v>
      </c>
      <c r="F650" s="2015">
        <f>14+173</f>
        <v>187</v>
      </c>
      <c r="G650" s="2015">
        <f>14+173</f>
        <v>187</v>
      </c>
      <c r="H650" s="2016">
        <f t="shared" si="53"/>
        <v>100</v>
      </c>
    </row>
    <row r="651" spans="1:8" ht="15" hidden="1" x14ac:dyDescent="0.2">
      <c r="A651" s="2012">
        <v>3636</v>
      </c>
      <c r="B651" s="2013">
        <v>5021</v>
      </c>
      <c r="C651" s="2013">
        <v>38500881</v>
      </c>
      <c r="D651" s="2014" t="s">
        <v>389</v>
      </c>
      <c r="E651" s="2015"/>
      <c r="F651" s="2015"/>
      <c r="G651" s="2015"/>
      <c r="H651" s="2016" t="e">
        <f t="shared" si="53"/>
        <v>#DIV/0!</v>
      </c>
    </row>
    <row r="652" spans="1:8" ht="30" hidden="1" x14ac:dyDescent="0.2">
      <c r="A652" s="2012">
        <v>3636</v>
      </c>
      <c r="B652" s="2013">
        <v>5031</v>
      </c>
      <c r="C652" s="2013">
        <v>38100880</v>
      </c>
      <c r="D652" s="2014" t="s">
        <v>1299</v>
      </c>
      <c r="E652" s="2015"/>
      <c r="F652" s="2015"/>
      <c r="G652" s="2015"/>
      <c r="H652" s="2016" t="e">
        <f t="shared" si="53"/>
        <v>#DIV/0!</v>
      </c>
    </row>
    <row r="653" spans="1:8" ht="30" hidden="1" x14ac:dyDescent="0.2">
      <c r="A653" s="2012">
        <v>3636</v>
      </c>
      <c r="B653" s="2013">
        <v>5031</v>
      </c>
      <c r="C653" s="2013">
        <v>38500881</v>
      </c>
      <c r="D653" s="2014" t="s">
        <v>1299</v>
      </c>
      <c r="E653" s="2015"/>
      <c r="F653" s="2015"/>
      <c r="G653" s="2015"/>
      <c r="H653" s="2016" t="e">
        <f t="shared" si="53"/>
        <v>#DIV/0!</v>
      </c>
    </row>
    <row r="654" spans="1:8" ht="30" hidden="1" x14ac:dyDescent="0.2">
      <c r="A654" s="2012">
        <v>3636</v>
      </c>
      <c r="B654" s="2013">
        <v>5032</v>
      </c>
      <c r="C654" s="2013">
        <v>38100880</v>
      </c>
      <c r="D654" s="2014" t="s">
        <v>1177</v>
      </c>
      <c r="E654" s="2015"/>
      <c r="F654" s="2015"/>
      <c r="G654" s="2015"/>
      <c r="H654" s="2016" t="e">
        <f t="shared" si="53"/>
        <v>#DIV/0!</v>
      </c>
    </row>
    <row r="655" spans="1:8" ht="30" hidden="1" x14ac:dyDescent="0.2">
      <c r="A655" s="2012">
        <v>3636</v>
      </c>
      <c r="B655" s="2013">
        <v>5032</v>
      </c>
      <c r="C655" s="2013">
        <v>38500881</v>
      </c>
      <c r="D655" s="2014" t="s">
        <v>1177</v>
      </c>
      <c r="E655" s="2015"/>
      <c r="F655" s="2015"/>
      <c r="G655" s="2015"/>
      <c r="H655" s="2016" t="e">
        <f t="shared" si="53"/>
        <v>#DIV/0!</v>
      </c>
    </row>
    <row r="656" spans="1:8" ht="15" hidden="1" x14ac:dyDescent="0.2">
      <c r="A656" s="2012">
        <v>3636</v>
      </c>
      <c r="B656" s="2013">
        <v>5139</v>
      </c>
      <c r="C656" s="2013">
        <v>38100880</v>
      </c>
      <c r="D656" s="2014" t="s">
        <v>270</v>
      </c>
      <c r="E656" s="2015"/>
      <c r="F656" s="2015"/>
      <c r="G656" s="2015"/>
      <c r="H656" s="2016">
        <v>0</v>
      </c>
    </row>
    <row r="657" spans="1:8" ht="15" hidden="1" x14ac:dyDescent="0.2">
      <c r="A657" s="2012">
        <v>3636</v>
      </c>
      <c r="B657" s="2013">
        <v>5139</v>
      </c>
      <c r="C657" s="2013">
        <v>38500881</v>
      </c>
      <c r="D657" s="2014" t="s">
        <v>270</v>
      </c>
      <c r="E657" s="2015"/>
      <c r="F657" s="2015"/>
      <c r="G657" s="2015"/>
      <c r="H657" s="2016" t="e">
        <f t="shared" ref="H657:H669" si="54">G657/F657*100</f>
        <v>#DIV/0!</v>
      </c>
    </row>
    <row r="658" spans="1:8" ht="15" hidden="1" x14ac:dyDescent="0.2">
      <c r="A658" s="2012">
        <v>3636</v>
      </c>
      <c r="B658" s="2013">
        <v>5162</v>
      </c>
      <c r="C658" s="2013">
        <v>38100880</v>
      </c>
      <c r="D658" s="2014" t="s">
        <v>864</v>
      </c>
      <c r="E658" s="2015"/>
      <c r="F658" s="2015"/>
      <c r="G658" s="2015"/>
      <c r="H658" s="2016" t="e">
        <f t="shared" si="54"/>
        <v>#DIV/0!</v>
      </c>
    </row>
    <row r="659" spans="1:8" ht="15" hidden="1" x14ac:dyDescent="0.2">
      <c r="A659" s="2012">
        <v>3636</v>
      </c>
      <c r="B659" s="2013">
        <v>5162</v>
      </c>
      <c r="C659" s="2013">
        <v>38500881</v>
      </c>
      <c r="D659" s="2014" t="s">
        <v>864</v>
      </c>
      <c r="E659" s="2015"/>
      <c r="F659" s="2015"/>
      <c r="G659" s="2015"/>
      <c r="H659" s="2016" t="e">
        <f t="shared" si="54"/>
        <v>#DIV/0!</v>
      </c>
    </row>
    <row r="660" spans="1:8" ht="15" hidden="1" x14ac:dyDescent="0.2">
      <c r="A660" s="2012">
        <v>3636</v>
      </c>
      <c r="B660" s="2013">
        <v>5164</v>
      </c>
      <c r="C660" s="2013">
        <v>38100880</v>
      </c>
      <c r="D660" s="2014" t="s">
        <v>170</v>
      </c>
      <c r="E660" s="2015"/>
      <c r="F660" s="2015"/>
      <c r="G660" s="2015"/>
      <c r="H660" s="2016" t="e">
        <f t="shared" si="54"/>
        <v>#DIV/0!</v>
      </c>
    </row>
    <row r="661" spans="1:8" ht="15" hidden="1" x14ac:dyDescent="0.2">
      <c r="A661" s="2012">
        <v>3636</v>
      </c>
      <c r="B661" s="2013">
        <v>5164</v>
      </c>
      <c r="C661" s="2013">
        <v>38500881</v>
      </c>
      <c r="D661" s="2014" t="s">
        <v>170</v>
      </c>
      <c r="E661" s="2015"/>
      <c r="F661" s="2015"/>
      <c r="G661" s="2015"/>
      <c r="H661" s="2016" t="e">
        <f t="shared" si="54"/>
        <v>#DIV/0!</v>
      </c>
    </row>
    <row r="662" spans="1:8" ht="30" x14ac:dyDescent="0.2">
      <c r="A662" s="2012">
        <v>3123</v>
      </c>
      <c r="B662" s="2013">
        <v>5336</v>
      </c>
      <c r="C662" s="2017">
        <v>32533019</v>
      </c>
      <c r="D662" s="2014" t="s">
        <v>1263</v>
      </c>
      <c r="E662" s="2015">
        <v>0</v>
      </c>
      <c r="F662" s="2015">
        <f>79+980</f>
        <v>1059</v>
      </c>
      <c r="G662" s="2015">
        <f>79+980</f>
        <v>1059</v>
      </c>
      <c r="H662" s="2016">
        <f t="shared" si="54"/>
        <v>100</v>
      </c>
    </row>
    <row r="663" spans="1:8" ht="15" hidden="1" x14ac:dyDescent="0.2">
      <c r="A663" s="2012">
        <v>6223</v>
      </c>
      <c r="B663" s="2013">
        <v>5166</v>
      </c>
      <c r="C663" s="2013">
        <v>41100880</v>
      </c>
      <c r="D663" s="2014" t="s">
        <v>609</v>
      </c>
      <c r="E663" s="2015"/>
      <c r="F663" s="2015"/>
      <c r="G663" s="2015"/>
      <c r="H663" s="2016" t="e">
        <f t="shared" si="54"/>
        <v>#DIV/0!</v>
      </c>
    </row>
    <row r="664" spans="1:8" ht="15" hidden="1" x14ac:dyDescent="0.2">
      <c r="A664" s="2012">
        <v>6223</v>
      </c>
      <c r="B664" s="2013">
        <v>5166</v>
      </c>
      <c r="C664" s="2013">
        <v>41100882</v>
      </c>
      <c r="D664" s="2014" t="s">
        <v>609</v>
      </c>
      <c r="E664" s="2015"/>
      <c r="F664" s="2015"/>
      <c r="G664" s="2015"/>
      <c r="H664" s="2016" t="e">
        <f t="shared" si="54"/>
        <v>#DIV/0!</v>
      </c>
    </row>
    <row r="665" spans="1:8" ht="15" hidden="1" x14ac:dyDescent="0.2">
      <c r="A665" s="2012">
        <v>6223</v>
      </c>
      <c r="B665" s="2013">
        <v>5166</v>
      </c>
      <c r="C665" s="2013">
        <v>41500881</v>
      </c>
      <c r="D665" s="2014" t="s">
        <v>609</v>
      </c>
      <c r="E665" s="2015"/>
      <c r="F665" s="2015"/>
      <c r="G665" s="2015"/>
      <c r="H665" s="2016" t="e">
        <f t="shared" si="54"/>
        <v>#DIV/0!</v>
      </c>
    </row>
    <row r="666" spans="1:8" ht="15" hidden="1" x14ac:dyDescent="0.2">
      <c r="A666" s="2012">
        <v>3636</v>
      </c>
      <c r="B666" s="2013">
        <v>5167</v>
      </c>
      <c r="C666" s="2013">
        <v>38100880</v>
      </c>
      <c r="D666" s="2014" t="s">
        <v>895</v>
      </c>
      <c r="E666" s="2015"/>
      <c r="F666" s="2015"/>
      <c r="G666" s="2015"/>
      <c r="H666" s="2016" t="e">
        <f t="shared" si="54"/>
        <v>#DIV/0!</v>
      </c>
    </row>
    <row r="667" spans="1:8" ht="15" hidden="1" x14ac:dyDescent="0.2">
      <c r="A667" s="2012">
        <v>3636</v>
      </c>
      <c r="B667" s="2013">
        <v>5167</v>
      </c>
      <c r="C667" s="2013">
        <v>38500881</v>
      </c>
      <c r="D667" s="2014" t="s">
        <v>895</v>
      </c>
      <c r="E667" s="2015"/>
      <c r="F667" s="2015"/>
      <c r="G667" s="2015"/>
      <c r="H667" s="2016" t="e">
        <f t="shared" si="54"/>
        <v>#DIV/0!</v>
      </c>
    </row>
    <row r="668" spans="1:8" ht="15" hidden="1" x14ac:dyDescent="0.2">
      <c r="A668" s="2012">
        <v>3636</v>
      </c>
      <c r="B668" s="2013">
        <v>5169</v>
      </c>
      <c r="C668" s="2013">
        <v>38100880</v>
      </c>
      <c r="D668" s="2014" t="s">
        <v>852</v>
      </c>
      <c r="E668" s="2015"/>
      <c r="F668" s="2015"/>
      <c r="G668" s="2015"/>
      <c r="H668" s="2016" t="e">
        <f t="shared" si="54"/>
        <v>#DIV/0!</v>
      </c>
    </row>
    <row r="669" spans="1:8" ht="15" hidden="1" x14ac:dyDescent="0.2">
      <c r="A669" s="2012">
        <v>3636</v>
      </c>
      <c r="B669" s="2013">
        <v>5169</v>
      </c>
      <c r="C669" s="2013">
        <v>38500881</v>
      </c>
      <c r="D669" s="2014" t="s">
        <v>852</v>
      </c>
      <c r="E669" s="2015"/>
      <c r="F669" s="2015"/>
      <c r="G669" s="2015"/>
      <c r="H669" s="2016" t="e">
        <f t="shared" si="54"/>
        <v>#DIV/0!</v>
      </c>
    </row>
    <row r="670" spans="1:8" ht="15" hidden="1" x14ac:dyDescent="0.2">
      <c r="A670" s="2012">
        <v>6223</v>
      </c>
      <c r="B670" s="2013">
        <v>5173</v>
      </c>
      <c r="C670" s="2017">
        <v>0</v>
      </c>
      <c r="D670" s="2014" t="s">
        <v>1152</v>
      </c>
      <c r="E670" s="2015"/>
      <c r="F670" s="2015"/>
      <c r="G670" s="2015"/>
      <c r="H670" s="2016">
        <v>0</v>
      </c>
    </row>
    <row r="671" spans="1:8" ht="15" hidden="1" x14ac:dyDescent="0.2">
      <c r="A671" s="2012">
        <v>3636</v>
      </c>
      <c r="B671" s="2013">
        <v>5173</v>
      </c>
      <c r="C671" s="2013">
        <v>38500881</v>
      </c>
      <c r="D671" s="2014" t="s">
        <v>1152</v>
      </c>
      <c r="E671" s="2015">
        <v>0</v>
      </c>
      <c r="F671" s="2015"/>
      <c r="G671" s="2015"/>
      <c r="H671" s="2016" t="e">
        <f t="shared" ref="H671:H678" si="55">G671/F671*100</f>
        <v>#DIV/0!</v>
      </c>
    </row>
    <row r="672" spans="1:8" ht="15" hidden="1" x14ac:dyDescent="0.2">
      <c r="A672" s="2012">
        <v>3636</v>
      </c>
      <c r="B672" s="2013">
        <v>5175</v>
      </c>
      <c r="C672" s="2013">
        <v>38100880</v>
      </c>
      <c r="D672" s="2014" t="s">
        <v>669</v>
      </c>
      <c r="E672" s="2015">
        <v>0</v>
      </c>
      <c r="F672" s="2015"/>
      <c r="G672" s="2015"/>
      <c r="H672" s="2016" t="e">
        <f t="shared" si="55"/>
        <v>#DIV/0!</v>
      </c>
    </row>
    <row r="673" spans="1:8" ht="15" hidden="1" x14ac:dyDescent="0.2">
      <c r="A673" s="2012">
        <v>3636</v>
      </c>
      <c r="B673" s="2013">
        <v>5175</v>
      </c>
      <c r="C673" s="2013">
        <v>38500881</v>
      </c>
      <c r="D673" s="2014" t="s">
        <v>669</v>
      </c>
      <c r="E673" s="2015">
        <v>0</v>
      </c>
      <c r="F673" s="2015"/>
      <c r="G673" s="2015"/>
      <c r="H673" s="2016" t="e">
        <f t="shared" si="55"/>
        <v>#DIV/0!</v>
      </c>
    </row>
    <row r="674" spans="1:8" ht="15" hidden="1" x14ac:dyDescent="0.2">
      <c r="A674" s="2012">
        <v>3636</v>
      </c>
      <c r="B674" s="2013">
        <v>5176</v>
      </c>
      <c r="C674" s="2013">
        <v>38100880</v>
      </c>
      <c r="D674" s="2014" t="s">
        <v>1247</v>
      </c>
      <c r="E674" s="2015">
        <v>0</v>
      </c>
      <c r="F674" s="2015"/>
      <c r="G674" s="2015"/>
      <c r="H674" s="2016" t="e">
        <f t="shared" si="55"/>
        <v>#DIV/0!</v>
      </c>
    </row>
    <row r="675" spans="1:8" ht="15" hidden="1" x14ac:dyDescent="0.2">
      <c r="A675" s="2012">
        <v>3636</v>
      </c>
      <c r="B675" s="2013">
        <v>5176</v>
      </c>
      <c r="C675" s="2013">
        <v>38500881</v>
      </c>
      <c r="D675" s="2014" t="s">
        <v>1247</v>
      </c>
      <c r="E675" s="2015">
        <v>0</v>
      </c>
      <c r="F675" s="2015"/>
      <c r="G675" s="2015"/>
      <c r="H675" s="2016" t="e">
        <f t="shared" si="55"/>
        <v>#DIV/0!</v>
      </c>
    </row>
    <row r="676" spans="1:8" ht="30" x14ac:dyDescent="0.2">
      <c r="A676" s="2012">
        <v>3123</v>
      </c>
      <c r="B676" s="2013">
        <v>6356</v>
      </c>
      <c r="C676" s="2013">
        <v>32133910</v>
      </c>
      <c r="D676" s="2014" t="s">
        <v>1772</v>
      </c>
      <c r="E676" s="2015">
        <v>0</v>
      </c>
      <c r="F676" s="2015">
        <v>118</v>
      </c>
      <c r="G676" s="2015">
        <v>118</v>
      </c>
      <c r="H676" s="2016">
        <f t="shared" si="55"/>
        <v>100</v>
      </c>
    </row>
    <row r="677" spans="1:8" ht="30.75" thickBot="1" x14ac:dyDescent="0.25">
      <c r="A677" s="2012">
        <v>3123</v>
      </c>
      <c r="B677" s="2013">
        <v>6356</v>
      </c>
      <c r="C677" s="2013">
        <v>32533910</v>
      </c>
      <c r="D677" s="2014" t="s">
        <v>1772</v>
      </c>
      <c r="E677" s="2015">
        <v>0</v>
      </c>
      <c r="F677" s="2015">
        <v>667</v>
      </c>
      <c r="G677" s="2015">
        <v>667</v>
      </c>
      <c r="H677" s="2018">
        <f t="shared" si="55"/>
        <v>100</v>
      </c>
    </row>
    <row r="678" spans="1:8" ht="16.5" thickTop="1" thickBot="1" x14ac:dyDescent="0.3">
      <c r="A678" s="2751" t="s">
        <v>763</v>
      </c>
      <c r="B678" s="2752"/>
      <c r="C678" s="2752"/>
      <c r="D678" s="2752"/>
      <c r="E678" s="1818">
        <f>SUM(E648:E677)</f>
        <v>0</v>
      </c>
      <c r="F678" s="1818">
        <f>SUM(F648:F677)</f>
        <v>2031</v>
      </c>
      <c r="G678" s="1818">
        <f>SUM(G648:G677)</f>
        <v>2031</v>
      </c>
      <c r="H678" s="1822">
        <f t="shared" si="55"/>
        <v>100</v>
      </c>
    </row>
    <row r="679" spans="1:8" ht="13.5" thickTop="1" x14ac:dyDescent="0.2"/>
    <row r="680" spans="1:8" ht="12" customHeight="1" x14ac:dyDescent="0.25">
      <c r="A680" s="2760" t="s">
        <v>1786</v>
      </c>
      <c r="B680" s="2761"/>
      <c r="C680" s="2761"/>
      <c r="D680" s="2761"/>
      <c r="E680" s="2761"/>
      <c r="F680" s="2761"/>
      <c r="G680" s="2761"/>
      <c r="H680" s="2761"/>
    </row>
    <row r="681" spans="1:8" ht="15.75" thickBot="1" x14ac:dyDescent="0.3">
      <c r="A681" s="1979" t="s">
        <v>1787</v>
      </c>
      <c r="B681" s="1993"/>
      <c r="C681" s="1993"/>
      <c r="E681" s="1994"/>
      <c r="F681" s="1994"/>
      <c r="G681" s="1994"/>
      <c r="H681" s="1995" t="s">
        <v>161</v>
      </c>
    </row>
    <row r="682" spans="1:8" ht="25.5" thickTop="1" thickBot="1" x14ac:dyDescent="0.25">
      <c r="A682" s="1809" t="s">
        <v>162</v>
      </c>
      <c r="B682" s="1810" t="s">
        <v>761</v>
      </c>
      <c r="C682" s="1810" t="s">
        <v>377</v>
      </c>
      <c r="D682" s="1811" t="s">
        <v>164</v>
      </c>
      <c r="E682" s="1833" t="s">
        <v>632</v>
      </c>
      <c r="F682" s="1833" t="s">
        <v>633</v>
      </c>
      <c r="G682" s="1834" t="s">
        <v>882</v>
      </c>
      <c r="H682" s="1835" t="s">
        <v>883</v>
      </c>
    </row>
    <row r="683" spans="1:8" ht="14.25" thickTop="1" thickBot="1" x14ac:dyDescent="0.25">
      <c r="A683" s="1643">
        <v>1</v>
      </c>
      <c r="B683" s="1642">
        <v>2</v>
      </c>
      <c r="C683" s="1642">
        <v>3</v>
      </c>
      <c r="D683" s="1642">
        <v>4</v>
      </c>
      <c r="E683" s="1641">
        <v>5</v>
      </c>
      <c r="F683" s="1641">
        <v>6</v>
      </c>
      <c r="G683" s="1877">
        <v>7</v>
      </c>
      <c r="H683" s="1901" t="s">
        <v>61</v>
      </c>
    </row>
    <row r="684" spans="1:8" ht="15.75" hidden="1" thickTop="1" x14ac:dyDescent="0.2">
      <c r="A684" s="2007">
        <v>3636</v>
      </c>
      <c r="B684" s="2008">
        <v>5011</v>
      </c>
      <c r="C684" s="2017">
        <v>0</v>
      </c>
      <c r="D684" s="2009" t="s">
        <v>206</v>
      </c>
      <c r="E684" s="2010">
        <v>0</v>
      </c>
      <c r="F684" s="2010">
        <v>0</v>
      </c>
      <c r="G684" s="2010">
        <v>0</v>
      </c>
      <c r="H684" s="2011" t="e">
        <f t="shared" ref="H684:H691" si="56">G684/F684*100</f>
        <v>#DIV/0!</v>
      </c>
    </row>
    <row r="685" spans="1:8" ht="15.75" hidden="1" thickTop="1" x14ac:dyDescent="0.2">
      <c r="A685" s="2012">
        <v>3636</v>
      </c>
      <c r="B685" s="2013">
        <v>5011</v>
      </c>
      <c r="C685" s="2013">
        <v>38500881</v>
      </c>
      <c r="D685" s="2014" t="s">
        <v>206</v>
      </c>
      <c r="E685" s="2015">
        <v>0</v>
      </c>
      <c r="F685" s="2015">
        <v>0</v>
      </c>
      <c r="G685" s="2015">
        <v>0</v>
      </c>
      <c r="H685" s="2016" t="e">
        <f t="shared" si="56"/>
        <v>#DIV/0!</v>
      </c>
    </row>
    <row r="686" spans="1:8" ht="30.75" thickTop="1" x14ac:dyDescent="0.2">
      <c r="A686" s="2012">
        <v>3123</v>
      </c>
      <c r="B686" s="2013">
        <v>5336</v>
      </c>
      <c r="C686" s="2017">
        <v>32133019</v>
      </c>
      <c r="D686" s="2014" t="s">
        <v>1263</v>
      </c>
      <c r="E686" s="2015">
        <v>0</v>
      </c>
      <c r="F686" s="2015">
        <f>10+127</f>
        <v>137</v>
      </c>
      <c r="G686" s="2015">
        <f>10+127</f>
        <v>137</v>
      </c>
      <c r="H686" s="2016">
        <f t="shared" si="56"/>
        <v>100</v>
      </c>
    </row>
    <row r="687" spans="1:8" ht="15" hidden="1" x14ac:dyDescent="0.2">
      <c r="A687" s="2012">
        <v>3636</v>
      </c>
      <c r="B687" s="2013">
        <v>5021</v>
      </c>
      <c r="C687" s="2013">
        <v>38500881</v>
      </c>
      <c r="D687" s="2014" t="s">
        <v>389</v>
      </c>
      <c r="E687" s="2015"/>
      <c r="F687" s="2015"/>
      <c r="G687" s="2015"/>
      <c r="H687" s="2016" t="e">
        <f t="shared" si="56"/>
        <v>#DIV/0!</v>
      </c>
    </row>
    <row r="688" spans="1:8" ht="30" hidden="1" x14ac:dyDescent="0.2">
      <c r="A688" s="2012">
        <v>3636</v>
      </c>
      <c r="B688" s="2013">
        <v>5031</v>
      </c>
      <c r="C688" s="2013">
        <v>38100880</v>
      </c>
      <c r="D688" s="2014" t="s">
        <v>1299</v>
      </c>
      <c r="E688" s="2015"/>
      <c r="F688" s="2015"/>
      <c r="G688" s="2015"/>
      <c r="H688" s="2016" t="e">
        <f t="shared" si="56"/>
        <v>#DIV/0!</v>
      </c>
    </row>
    <row r="689" spans="1:8" ht="30" hidden="1" x14ac:dyDescent="0.2">
      <c r="A689" s="2012">
        <v>3636</v>
      </c>
      <c r="B689" s="2013">
        <v>5031</v>
      </c>
      <c r="C689" s="2013">
        <v>38500881</v>
      </c>
      <c r="D689" s="2014" t="s">
        <v>1299</v>
      </c>
      <c r="E689" s="2015"/>
      <c r="F689" s="2015"/>
      <c r="G689" s="2015"/>
      <c r="H689" s="2016" t="e">
        <f t="shared" si="56"/>
        <v>#DIV/0!</v>
      </c>
    </row>
    <row r="690" spans="1:8" ht="30" hidden="1" x14ac:dyDescent="0.2">
      <c r="A690" s="2012">
        <v>3636</v>
      </c>
      <c r="B690" s="2013">
        <v>5032</v>
      </c>
      <c r="C690" s="2013">
        <v>38100880</v>
      </c>
      <c r="D690" s="2014" t="s">
        <v>1177</v>
      </c>
      <c r="E690" s="2015"/>
      <c r="F690" s="2015"/>
      <c r="G690" s="2015"/>
      <c r="H690" s="2016" t="e">
        <f t="shared" si="56"/>
        <v>#DIV/0!</v>
      </c>
    </row>
    <row r="691" spans="1:8" ht="30" hidden="1" x14ac:dyDescent="0.2">
      <c r="A691" s="2012">
        <v>3636</v>
      </c>
      <c r="B691" s="2013">
        <v>5032</v>
      </c>
      <c r="C691" s="2013">
        <v>38500881</v>
      </c>
      <c r="D691" s="2014" t="s">
        <v>1177</v>
      </c>
      <c r="E691" s="2015"/>
      <c r="F691" s="2015"/>
      <c r="G691" s="2015"/>
      <c r="H691" s="2016" t="e">
        <f t="shared" si="56"/>
        <v>#DIV/0!</v>
      </c>
    </row>
    <row r="692" spans="1:8" ht="15" hidden="1" x14ac:dyDescent="0.2">
      <c r="A692" s="2012">
        <v>3636</v>
      </c>
      <c r="B692" s="2013">
        <v>5139</v>
      </c>
      <c r="C692" s="2013">
        <v>38100880</v>
      </c>
      <c r="D692" s="2014" t="s">
        <v>270</v>
      </c>
      <c r="E692" s="2015"/>
      <c r="F692" s="2015"/>
      <c r="G692" s="2015"/>
      <c r="H692" s="2016">
        <v>0</v>
      </c>
    </row>
    <row r="693" spans="1:8" ht="15" hidden="1" x14ac:dyDescent="0.2">
      <c r="A693" s="2012">
        <v>3636</v>
      </c>
      <c r="B693" s="2013">
        <v>5139</v>
      </c>
      <c r="C693" s="2013">
        <v>38500881</v>
      </c>
      <c r="D693" s="2014" t="s">
        <v>270</v>
      </c>
      <c r="E693" s="2015"/>
      <c r="F693" s="2015"/>
      <c r="G693" s="2015"/>
      <c r="H693" s="2016" t="e">
        <f t="shared" ref="H693:H705" si="57">G693/F693*100</f>
        <v>#DIV/0!</v>
      </c>
    </row>
    <row r="694" spans="1:8" ht="15" hidden="1" x14ac:dyDescent="0.2">
      <c r="A694" s="2012">
        <v>3636</v>
      </c>
      <c r="B694" s="2013">
        <v>5162</v>
      </c>
      <c r="C694" s="2013">
        <v>38100880</v>
      </c>
      <c r="D694" s="2014" t="s">
        <v>864</v>
      </c>
      <c r="E694" s="2015"/>
      <c r="F694" s="2015"/>
      <c r="G694" s="2015"/>
      <c r="H694" s="2016" t="e">
        <f t="shared" si="57"/>
        <v>#DIV/0!</v>
      </c>
    </row>
    <row r="695" spans="1:8" ht="15" hidden="1" x14ac:dyDescent="0.2">
      <c r="A695" s="2012">
        <v>3636</v>
      </c>
      <c r="B695" s="2013">
        <v>5162</v>
      </c>
      <c r="C695" s="2013">
        <v>38500881</v>
      </c>
      <c r="D695" s="2014" t="s">
        <v>864</v>
      </c>
      <c r="E695" s="2015"/>
      <c r="F695" s="2015"/>
      <c r="G695" s="2015"/>
      <c r="H695" s="2016" t="e">
        <f t="shared" si="57"/>
        <v>#DIV/0!</v>
      </c>
    </row>
    <row r="696" spans="1:8" ht="15" hidden="1" x14ac:dyDescent="0.2">
      <c r="A696" s="2012">
        <v>3636</v>
      </c>
      <c r="B696" s="2013">
        <v>5164</v>
      </c>
      <c r="C696" s="2013">
        <v>38100880</v>
      </c>
      <c r="D696" s="2014" t="s">
        <v>170</v>
      </c>
      <c r="E696" s="2015"/>
      <c r="F696" s="2015"/>
      <c r="G696" s="2015"/>
      <c r="H696" s="2016" t="e">
        <f t="shared" si="57"/>
        <v>#DIV/0!</v>
      </c>
    </row>
    <row r="697" spans="1:8" ht="15" hidden="1" x14ac:dyDescent="0.2">
      <c r="A697" s="2012">
        <v>3636</v>
      </c>
      <c r="B697" s="2013">
        <v>5164</v>
      </c>
      <c r="C697" s="2013">
        <v>38500881</v>
      </c>
      <c r="D697" s="2014" t="s">
        <v>170</v>
      </c>
      <c r="E697" s="2015"/>
      <c r="F697" s="2015"/>
      <c r="G697" s="2015"/>
      <c r="H697" s="2016" t="e">
        <f t="shared" si="57"/>
        <v>#DIV/0!</v>
      </c>
    </row>
    <row r="698" spans="1:8" ht="30" x14ac:dyDescent="0.2">
      <c r="A698" s="2012">
        <v>3123</v>
      </c>
      <c r="B698" s="2013">
        <v>5336</v>
      </c>
      <c r="C698" s="2017">
        <v>32533019</v>
      </c>
      <c r="D698" s="2014" t="s">
        <v>1263</v>
      </c>
      <c r="E698" s="2015">
        <v>0</v>
      </c>
      <c r="F698" s="2015">
        <f>59+718</f>
        <v>777</v>
      </c>
      <c r="G698" s="2015">
        <f>59+718</f>
        <v>777</v>
      </c>
      <c r="H698" s="2016">
        <f t="shared" si="57"/>
        <v>100</v>
      </c>
    </row>
    <row r="699" spans="1:8" ht="15" hidden="1" x14ac:dyDescent="0.2">
      <c r="A699" s="2012">
        <v>6223</v>
      </c>
      <c r="B699" s="2013">
        <v>5166</v>
      </c>
      <c r="C699" s="2013">
        <v>41100880</v>
      </c>
      <c r="D699" s="2014" t="s">
        <v>609</v>
      </c>
      <c r="E699" s="2015"/>
      <c r="F699" s="2015"/>
      <c r="G699" s="2015"/>
      <c r="H699" s="2016" t="e">
        <f t="shared" si="57"/>
        <v>#DIV/0!</v>
      </c>
    </row>
    <row r="700" spans="1:8" ht="15" hidden="1" x14ac:dyDescent="0.2">
      <c r="A700" s="2012">
        <v>6223</v>
      </c>
      <c r="B700" s="2013">
        <v>5166</v>
      </c>
      <c r="C700" s="2013">
        <v>41100882</v>
      </c>
      <c r="D700" s="2014" t="s">
        <v>609</v>
      </c>
      <c r="E700" s="2015"/>
      <c r="F700" s="2015"/>
      <c r="G700" s="2015"/>
      <c r="H700" s="2016" t="e">
        <f t="shared" si="57"/>
        <v>#DIV/0!</v>
      </c>
    </row>
    <row r="701" spans="1:8" ht="15" hidden="1" x14ac:dyDescent="0.2">
      <c r="A701" s="2012">
        <v>6223</v>
      </c>
      <c r="B701" s="2013">
        <v>5166</v>
      </c>
      <c r="C701" s="2013">
        <v>41500881</v>
      </c>
      <c r="D701" s="2014" t="s">
        <v>609</v>
      </c>
      <c r="E701" s="2015"/>
      <c r="F701" s="2015"/>
      <c r="G701" s="2015"/>
      <c r="H701" s="2016" t="e">
        <f t="shared" si="57"/>
        <v>#DIV/0!</v>
      </c>
    </row>
    <row r="702" spans="1:8" ht="15" hidden="1" x14ac:dyDescent="0.2">
      <c r="A702" s="2012">
        <v>3636</v>
      </c>
      <c r="B702" s="2013">
        <v>5167</v>
      </c>
      <c r="C702" s="2013">
        <v>38100880</v>
      </c>
      <c r="D702" s="2014" t="s">
        <v>895</v>
      </c>
      <c r="E702" s="2015"/>
      <c r="F702" s="2015"/>
      <c r="G702" s="2015"/>
      <c r="H702" s="2016" t="e">
        <f t="shared" si="57"/>
        <v>#DIV/0!</v>
      </c>
    </row>
    <row r="703" spans="1:8" ht="15" hidden="1" x14ac:dyDescent="0.2">
      <c r="A703" s="2012">
        <v>3636</v>
      </c>
      <c r="B703" s="2013">
        <v>5167</v>
      </c>
      <c r="C703" s="2013">
        <v>38500881</v>
      </c>
      <c r="D703" s="2014" t="s">
        <v>895</v>
      </c>
      <c r="E703" s="2015"/>
      <c r="F703" s="2015"/>
      <c r="G703" s="2015"/>
      <c r="H703" s="2016" t="e">
        <f t="shared" si="57"/>
        <v>#DIV/0!</v>
      </c>
    </row>
    <row r="704" spans="1:8" ht="15" hidden="1" x14ac:dyDescent="0.2">
      <c r="A704" s="2012">
        <v>3636</v>
      </c>
      <c r="B704" s="2013">
        <v>5169</v>
      </c>
      <c r="C704" s="2013">
        <v>38100880</v>
      </c>
      <c r="D704" s="2014" t="s">
        <v>852</v>
      </c>
      <c r="E704" s="2015"/>
      <c r="F704" s="2015"/>
      <c r="G704" s="2015"/>
      <c r="H704" s="2016" t="e">
        <f t="shared" si="57"/>
        <v>#DIV/0!</v>
      </c>
    </row>
    <row r="705" spans="1:8" ht="15" hidden="1" x14ac:dyDescent="0.2">
      <c r="A705" s="2012">
        <v>3636</v>
      </c>
      <c r="B705" s="2013">
        <v>5169</v>
      </c>
      <c r="C705" s="2013">
        <v>38500881</v>
      </c>
      <c r="D705" s="2014" t="s">
        <v>852</v>
      </c>
      <c r="E705" s="2015"/>
      <c r="F705" s="2015"/>
      <c r="G705" s="2015"/>
      <c r="H705" s="2016" t="e">
        <f t="shared" si="57"/>
        <v>#DIV/0!</v>
      </c>
    </row>
    <row r="706" spans="1:8" ht="15" hidden="1" x14ac:dyDescent="0.2">
      <c r="A706" s="2012">
        <v>6223</v>
      </c>
      <c r="B706" s="2013">
        <v>5173</v>
      </c>
      <c r="C706" s="2017">
        <v>0</v>
      </c>
      <c r="D706" s="2014" t="s">
        <v>1152</v>
      </c>
      <c r="E706" s="2015"/>
      <c r="F706" s="2015"/>
      <c r="G706" s="2015"/>
      <c r="H706" s="2016">
        <v>0</v>
      </c>
    </row>
    <row r="707" spans="1:8" ht="15" hidden="1" x14ac:dyDescent="0.2">
      <c r="A707" s="2012">
        <v>3636</v>
      </c>
      <c r="B707" s="2013">
        <v>5173</v>
      </c>
      <c r="C707" s="2013">
        <v>38500881</v>
      </c>
      <c r="D707" s="2014" t="s">
        <v>1152</v>
      </c>
      <c r="E707" s="2015">
        <v>0</v>
      </c>
      <c r="F707" s="2015"/>
      <c r="G707" s="2015"/>
      <c r="H707" s="2016" t="e">
        <f t="shared" ref="H707:H714" si="58">G707/F707*100</f>
        <v>#DIV/0!</v>
      </c>
    </row>
    <row r="708" spans="1:8" ht="15" hidden="1" x14ac:dyDescent="0.2">
      <c r="A708" s="2012">
        <v>3636</v>
      </c>
      <c r="B708" s="2013">
        <v>5175</v>
      </c>
      <c r="C708" s="2013">
        <v>38100880</v>
      </c>
      <c r="D708" s="2014" t="s">
        <v>669</v>
      </c>
      <c r="E708" s="2015">
        <v>0</v>
      </c>
      <c r="F708" s="2015"/>
      <c r="G708" s="2015"/>
      <c r="H708" s="2016" t="e">
        <f t="shared" si="58"/>
        <v>#DIV/0!</v>
      </c>
    </row>
    <row r="709" spans="1:8" ht="15" hidden="1" x14ac:dyDescent="0.2">
      <c r="A709" s="2012">
        <v>3636</v>
      </c>
      <c r="B709" s="2013">
        <v>5175</v>
      </c>
      <c r="C709" s="2013">
        <v>38500881</v>
      </c>
      <c r="D709" s="2014" t="s">
        <v>669</v>
      </c>
      <c r="E709" s="2015">
        <v>0</v>
      </c>
      <c r="F709" s="2015"/>
      <c r="G709" s="2015"/>
      <c r="H709" s="2016" t="e">
        <f t="shared" si="58"/>
        <v>#DIV/0!</v>
      </c>
    </row>
    <row r="710" spans="1:8" ht="15" hidden="1" x14ac:dyDescent="0.2">
      <c r="A710" s="2012">
        <v>3636</v>
      </c>
      <c r="B710" s="2013">
        <v>5176</v>
      </c>
      <c r="C710" s="2013">
        <v>38100880</v>
      </c>
      <c r="D710" s="2014" t="s">
        <v>1247</v>
      </c>
      <c r="E710" s="2015">
        <v>0</v>
      </c>
      <c r="F710" s="2015"/>
      <c r="G710" s="2015"/>
      <c r="H710" s="2016" t="e">
        <f t="shared" si="58"/>
        <v>#DIV/0!</v>
      </c>
    </row>
    <row r="711" spans="1:8" ht="15" hidden="1" x14ac:dyDescent="0.2">
      <c r="A711" s="2012">
        <v>3636</v>
      </c>
      <c r="B711" s="2013">
        <v>5176</v>
      </c>
      <c r="C711" s="2013">
        <v>38500881</v>
      </c>
      <c r="D711" s="2014" t="s">
        <v>1247</v>
      </c>
      <c r="E711" s="2015">
        <v>0</v>
      </c>
      <c r="F711" s="2015"/>
      <c r="G711" s="2015"/>
      <c r="H711" s="2016" t="e">
        <f t="shared" si="58"/>
        <v>#DIV/0!</v>
      </c>
    </row>
    <row r="712" spans="1:8" ht="30" x14ac:dyDescent="0.2">
      <c r="A712" s="2012">
        <v>3123</v>
      </c>
      <c r="B712" s="2013">
        <v>6356</v>
      </c>
      <c r="C712" s="2013">
        <v>32133910</v>
      </c>
      <c r="D712" s="2014" t="s">
        <v>1772</v>
      </c>
      <c r="E712" s="2015">
        <v>0</v>
      </c>
      <c r="F712" s="2015">
        <v>305</v>
      </c>
      <c r="G712" s="2015">
        <v>305</v>
      </c>
      <c r="H712" s="2016">
        <f t="shared" si="58"/>
        <v>100</v>
      </c>
    </row>
    <row r="713" spans="1:8" ht="30.75" thickBot="1" x14ac:dyDescent="0.25">
      <c r="A713" s="2012">
        <v>3123</v>
      </c>
      <c r="B713" s="2013">
        <v>6356</v>
      </c>
      <c r="C713" s="2013">
        <v>32533910</v>
      </c>
      <c r="D713" s="2014" t="s">
        <v>1772</v>
      </c>
      <c r="E713" s="2015">
        <v>0</v>
      </c>
      <c r="F713" s="2015">
        <v>1731</v>
      </c>
      <c r="G713" s="2015">
        <v>1731</v>
      </c>
      <c r="H713" s="2018">
        <f t="shared" si="58"/>
        <v>100</v>
      </c>
    </row>
    <row r="714" spans="1:8" ht="16.5" thickTop="1" thickBot="1" x14ac:dyDescent="0.3">
      <c r="A714" s="2751" t="s">
        <v>763</v>
      </c>
      <c r="B714" s="2752"/>
      <c r="C714" s="2752"/>
      <c r="D714" s="2752"/>
      <c r="E714" s="1818">
        <f>SUM(E684:E713)</f>
        <v>0</v>
      </c>
      <c r="F714" s="1818">
        <f>SUM(F684:F713)</f>
        <v>2950</v>
      </c>
      <c r="G714" s="1818">
        <f>SUM(G684:G713)</f>
        <v>2950</v>
      </c>
      <c r="H714" s="1822">
        <f t="shared" si="58"/>
        <v>100</v>
      </c>
    </row>
    <row r="715" spans="1:8" ht="13.5" thickTop="1" x14ac:dyDescent="0.2"/>
    <row r="716" spans="1:8" ht="12" customHeight="1" x14ac:dyDescent="0.25">
      <c r="A716" s="2760" t="s">
        <v>1630</v>
      </c>
      <c r="B716" s="2761"/>
      <c r="C716" s="2761"/>
      <c r="D716" s="2761"/>
      <c r="E716" s="2761"/>
      <c r="F716" s="2761"/>
      <c r="G716" s="2761"/>
      <c r="H716" s="2761"/>
    </row>
    <row r="717" spans="1:8" ht="15.75" thickBot="1" x14ac:dyDescent="0.3">
      <c r="A717" s="1979" t="s">
        <v>868</v>
      </c>
      <c r="B717" s="1993"/>
      <c r="C717" s="1993"/>
      <c r="E717" s="1994"/>
      <c r="F717" s="1994"/>
      <c r="G717" s="1994"/>
      <c r="H717" s="1995" t="s">
        <v>161</v>
      </c>
    </row>
    <row r="718" spans="1:8" ht="25.5" thickTop="1" thickBot="1" x14ac:dyDescent="0.25">
      <c r="A718" s="1809" t="s">
        <v>162</v>
      </c>
      <c r="B718" s="1810" t="s">
        <v>761</v>
      </c>
      <c r="C718" s="1810" t="s">
        <v>377</v>
      </c>
      <c r="D718" s="1811" t="s">
        <v>164</v>
      </c>
      <c r="E718" s="1833" t="s">
        <v>632</v>
      </c>
      <c r="F718" s="1833" t="s">
        <v>633</v>
      </c>
      <c r="G718" s="1834" t="s">
        <v>882</v>
      </c>
      <c r="H718" s="1835" t="s">
        <v>883</v>
      </c>
    </row>
    <row r="719" spans="1:8" ht="14.25" thickTop="1" thickBot="1" x14ac:dyDescent="0.25">
      <c r="A719" s="1643">
        <v>1</v>
      </c>
      <c r="B719" s="1642">
        <v>2</v>
      </c>
      <c r="C719" s="1642">
        <v>3</v>
      </c>
      <c r="D719" s="1642">
        <v>4</v>
      </c>
      <c r="E719" s="1641">
        <v>5</v>
      </c>
      <c r="F719" s="1641">
        <v>6</v>
      </c>
      <c r="G719" s="1877">
        <v>7</v>
      </c>
      <c r="H719" s="1901" t="s">
        <v>61</v>
      </c>
    </row>
    <row r="720" spans="1:8" ht="15.75" hidden="1" thickTop="1" x14ac:dyDescent="0.2">
      <c r="A720" s="2007">
        <v>3636</v>
      </c>
      <c r="B720" s="2008">
        <v>5011</v>
      </c>
      <c r="C720" s="2017">
        <v>0</v>
      </c>
      <c r="D720" s="2009" t="s">
        <v>206</v>
      </c>
      <c r="E720" s="2010">
        <v>0</v>
      </c>
      <c r="F720" s="2010">
        <v>0</v>
      </c>
      <c r="G720" s="2010">
        <v>0</v>
      </c>
      <c r="H720" s="2011" t="e">
        <f t="shared" ref="H720:H727" si="59">G720/F720*100</f>
        <v>#DIV/0!</v>
      </c>
    </row>
    <row r="721" spans="1:8" ht="15.75" hidden="1" thickTop="1" x14ac:dyDescent="0.2">
      <c r="A721" s="2012">
        <v>3636</v>
      </c>
      <c r="B721" s="2013">
        <v>5011</v>
      </c>
      <c r="C721" s="2013">
        <v>38500881</v>
      </c>
      <c r="D721" s="2014" t="s">
        <v>206</v>
      </c>
      <c r="E721" s="2015">
        <v>0</v>
      </c>
      <c r="F721" s="2015">
        <v>0</v>
      </c>
      <c r="G721" s="2015">
        <v>0</v>
      </c>
      <c r="H721" s="2016" t="e">
        <f t="shared" si="59"/>
        <v>#DIV/0!</v>
      </c>
    </row>
    <row r="722" spans="1:8" ht="30.75" thickTop="1" x14ac:dyDescent="0.2">
      <c r="A722" s="2012">
        <v>3123</v>
      </c>
      <c r="B722" s="2013">
        <v>5336</v>
      </c>
      <c r="C722" s="2017">
        <v>32133019</v>
      </c>
      <c r="D722" s="2014" t="s">
        <v>1263</v>
      </c>
      <c r="E722" s="2015">
        <v>0</v>
      </c>
      <c r="F722" s="2015">
        <f>9+122</f>
        <v>131</v>
      </c>
      <c r="G722" s="2015">
        <f>9+122</f>
        <v>131</v>
      </c>
      <c r="H722" s="2016">
        <f t="shared" si="59"/>
        <v>100</v>
      </c>
    </row>
    <row r="723" spans="1:8" ht="15" hidden="1" x14ac:dyDescent="0.2">
      <c r="A723" s="2012">
        <v>3636</v>
      </c>
      <c r="B723" s="2013">
        <v>5021</v>
      </c>
      <c r="C723" s="2013">
        <v>38500881</v>
      </c>
      <c r="D723" s="2014" t="s">
        <v>389</v>
      </c>
      <c r="E723" s="2015"/>
      <c r="F723" s="2015"/>
      <c r="G723" s="2015"/>
      <c r="H723" s="2016" t="e">
        <f t="shared" si="59"/>
        <v>#DIV/0!</v>
      </c>
    </row>
    <row r="724" spans="1:8" ht="30" hidden="1" x14ac:dyDescent="0.2">
      <c r="A724" s="2012">
        <v>3636</v>
      </c>
      <c r="B724" s="2013">
        <v>5031</v>
      </c>
      <c r="C724" s="2013">
        <v>38100880</v>
      </c>
      <c r="D724" s="2014" t="s">
        <v>1299</v>
      </c>
      <c r="E724" s="2015"/>
      <c r="F724" s="2015"/>
      <c r="G724" s="2015"/>
      <c r="H724" s="2016" t="e">
        <f t="shared" si="59"/>
        <v>#DIV/0!</v>
      </c>
    </row>
    <row r="725" spans="1:8" ht="30" hidden="1" x14ac:dyDescent="0.2">
      <c r="A725" s="2012">
        <v>3636</v>
      </c>
      <c r="B725" s="2013">
        <v>5031</v>
      </c>
      <c r="C725" s="2013">
        <v>38500881</v>
      </c>
      <c r="D725" s="2014" t="s">
        <v>1299</v>
      </c>
      <c r="E725" s="2015"/>
      <c r="F725" s="2015"/>
      <c r="G725" s="2015"/>
      <c r="H725" s="2016" t="e">
        <f t="shared" si="59"/>
        <v>#DIV/0!</v>
      </c>
    </row>
    <row r="726" spans="1:8" ht="30" hidden="1" x14ac:dyDescent="0.2">
      <c r="A726" s="2012">
        <v>3636</v>
      </c>
      <c r="B726" s="2013">
        <v>5032</v>
      </c>
      <c r="C726" s="2013">
        <v>38100880</v>
      </c>
      <c r="D726" s="2014" t="s">
        <v>1177</v>
      </c>
      <c r="E726" s="2015"/>
      <c r="F726" s="2015"/>
      <c r="G726" s="2015"/>
      <c r="H726" s="2016" t="e">
        <f t="shared" si="59"/>
        <v>#DIV/0!</v>
      </c>
    </row>
    <row r="727" spans="1:8" ht="30" hidden="1" x14ac:dyDescent="0.2">
      <c r="A727" s="2012">
        <v>3636</v>
      </c>
      <c r="B727" s="2013">
        <v>5032</v>
      </c>
      <c r="C727" s="2013">
        <v>38500881</v>
      </c>
      <c r="D727" s="2014" t="s">
        <v>1177</v>
      </c>
      <c r="E727" s="2015"/>
      <c r="F727" s="2015"/>
      <c r="G727" s="2015"/>
      <c r="H727" s="2016" t="e">
        <f t="shared" si="59"/>
        <v>#DIV/0!</v>
      </c>
    </row>
    <row r="728" spans="1:8" ht="15" hidden="1" x14ac:dyDescent="0.2">
      <c r="A728" s="2012">
        <v>3636</v>
      </c>
      <c r="B728" s="2013">
        <v>5139</v>
      </c>
      <c r="C728" s="2013">
        <v>38100880</v>
      </c>
      <c r="D728" s="2014" t="s">
        <v>270</v>
      </c>
      <c r="E728" s="2015"/>
      <c r="F728" s="2015"/>
      <c r="G728" s="2015"/>
      <c r="H728" s="2016">
        <v>0</v>
      </c>
    </row>
    <row r="729" spans="1:8" ht="15" hidden="1" x14ac:dyDescent="0.2">
      <c r="A729" s="2012">
        <v>3636</v>
      </c>
      <c r="B729" s="2013">
        <v>5139</v>
      </c>
      <c r="C729" s="2013">
        <v>38500881</v>
      </c>
      <c r="D729" s="2014" t="s">
        <v>270</v>
      </c>
      <c r="E729" s="2015"/>
      <c r="F729" s="2015"/>
      <c r="G729" s="2015"/>
      <c r="H729" s="2016" t="e">
        <f t="shared" ref="H729:H741" si="60">G729/F729*100</f>
        <v>#DIV/0!</v>
      </c>
    </row>
    <row r="730" spans="1:8" ht="15" hidden="1" x14ac:dyDescent="0.2">
      <c r="A730" s="2012">
        <v>3636</v>
      </c>
      <c r="B730" s="2013">
        <v>5162</v>
      </c>
      <c r="C730" s="2013">
        <v>38100880</v>
      </c>
      <c r="D730" s="2014" t="s">
        <v>864</v>
      </c>
      <c r="E730" s="2015"/>
      <c r="F730" s="2015"/>
      <c r="G730" s="2015"/>
      <c r="H730" s="2016" t="e">
        <f t="shared" si="60"/>
        <v>#DIV/0!</v>
      </c>
    </row>
    <row r="731" spans="1:8" ht="15" hidden="1" x14ac:dyDescent="0.2">
      <c r="A731" s="2012">
        <v>3636</v>
      </c>
      <c r="B731" s="2013">
        <v>5162</v>
      </c>
      <c r="C731" s="2013">
        <v>38500881</v>
      </c>
      <c r="D731" s="2014" t="s">
        <v>864</v>
      </c>
      <c r="E731" s="2015"/>
      <c r="F731" s="2015"/>
      <c r="G731" s="2015"/>
      <c r="H731" s="2016" t="e">
        <f t="shared" si="60"/>
        <v>#DIV/0!</v>
      </c>
    </row>
    <row r="732" spans="1:8" ht="15" hidden="1" x14ac:dyDescent="0.2">
      <c r="A732" s="2012">
        <v>3636</v>
      </c>
      <c r="B732" s="2013">
        <v>5164</v>
      </c>
      <c r="C732" s="2013">
        <v>38100880</v>
      </c>
      <c r="D732" s="2014" t="s">
        <v>170</v>
      </c>
      <c r="E732" s="2015"/>
      <c r="F732" s="2015"/>
      <c r="G732" s="2015"/>
      <c r="H732" s="2016" t="e">
        <f t="shared" si="60"/>
        <v>#DIV/0!</v>
      </c>
    </row>
    <row r="733" spans="1:8" ht="15" hidden="1" x14ac:dyDescent="0.2">
      <c r="A733" s="2012">
        <v>3636</v>
      </c>
      <c r="B733" s="2013">
        <v>5164</v>
      </c>
      <c r="C733" s="2013">
        <v>38500881</v>
      </c>
      <c r="D733" s="2014" t="s">
        <v>170</v>
      </c>
      <c r="E733" s="2015"/>
      <c r="F733" s="2015"/>
      <c r="G733" s="2015"/>
      <c r="H733" s="2016" t="e">
        <f t="shared" si="60"/>
        <v>#DIV/0!</v>
      </c>
    </row>
    <row r="734" spans="1:8" ht="30" x14ac:dyDescent="0.2">
      <c r="A734" s="2012">
        <v>3123</v>
      </c>
      <c r="B734" s="2013">
        <v>5336</v>
      </c>
      <c r="C734" s="2017">
        <v>32533019</v>
      </c>
      <c r="D734" s="2014" t="s">
        <v>1263</v>
      </c>
      <c r="E734" s="2015">
        <v>0</v>
      </c>
      <c r="F734" s="2015">
        <f>53+690</f>
        <v>743</v>
      </c>
      <c r="G734" s="2015">
        <f>53+690</f>
        <v>743</v>
      </c>
      <c r="H734" s="2016">
        <f t="shared" si="60"/>
        <v>100</v>
      </c>
    </row>
    <row r="735" spans="1:8" ht="15" hidden="1" x14ac:dyDescent="0.2">
      <c r="A735" s="2012">
        <v>3123</v>
      </c>
      <c r="B735" s="2013">
        <v>5166</v>
      </c>
      <c r="C735" s="2013">
        <v>41100880</v>
      </c>
      <c r="D735" s="2014" t="s">
        <v>609</v>
      </c>
      <c r="E735" s="2015"/>
      <c r="F735" s="2015"/>
      <c r="G735" s="2015"/>
      <c r="H735" s="2016" t="e">
        <f t="shared" si="60"/>
        <v>#DIV/0!</v>
      </c>
    </row>
    <row r="736" spans="1:8" ht="15" hidden="1" x14ac:dyDescent="0.2">
      <c r="A736" s="2012">
        <v>3123</v>
      </c>
      <c r="B736" s="2013">
        <v>5166</v>
      </c>
      <c r="C736" s="2013">
        <v>41100882</v>
      </c>
      <c r="D736" s="2014" t="s">
        <v>609</v>
      </c>
      <c r="E736" s="2015"/>
      <c r="F736" s="2015"/>
      <c r="G736" s="2015"/>
      <c r="H736" s="2016" t="e">
        <f t="shared" si="60"/>
        <v>#DIV/0!</v>
      </c>
    </row>
    <row r="737" spans="1:8" ht="15" hidden="1" x14ac:dyDescent="0.2">
      <c r="A737" s="2012">
        <v>3123</v>
      </c>
      <c r="B737" s="2013">
        <v>5166</v>
      </c>
      <c r="C737" s="2013">
        <v>41500881</v>
      </c>
      <c r="D737" s="2014" t="s">
        <v>609</v>
      </c>
      <c r="E737" s="2015"/>
      <c r="F737" s="2015"/>
      <c r="G737" s="2015"/>
      <c r="H737" s="2016" t="e">
        <f t="shared" si="60"/>
        <v>#DIV/0!</v>
      </c>
    </row>
    <row r="738" spans="1:8" ht="15" hidden="1" x14ac:dyDescent="0.2">
      <c r="A738" s="2012">
        <v>3123</v>
      </c>
      <c r="B738" s="2013">
        <v>5167</v>
      </c>
      <c r="C738" s="2013">
        <v>38100880</v>
      </c>
      <c r="D738" s="2014" t="s">
        <v>895</v>
      </c>
      <c r="E738" s="2015"/>
      <c r="F738" s="2015"/>
      <c r="G738" s="2015"/>
      <c r="H738" s="2016" t="e">
        <f t="shared" si="60"/>
        <v>#DIV/0!</v>
      </c>
    </row>
    <row r="739" spans="1:8" ht="15" hidden="1" x14ac:dyDescent="0.2">
      <c r="A739" s="2012">
        <v>3123</v>
      </c>
      <c r="B739" s="2013">
        <v>5167</v>
      </c>
      <c r="C739" s="2013">
        <v>38500881</v>
      </c>
      <c r="D739" s="2014" t="s">
        <v>895</v>
      </c>
      <c r="E739" s="2015"/>
      <c r="F739" s="2015"/>
      <c r="G739" s="2015"/>
      <c r="H739" s="2016" t="e">
        <f t="shared" si="60"/>
        <v>#DIV/0!</v>
      </c>
    </row>
    <row r="740" spans="1:8" ht="15" hidden="1" x14ac:dyDescent="0.2">
      <c r="A740" s="2012">
        <v>3123</v>
      </c>
      <c r="B740" s="2013">
        <v>5169</v>
      </c>
      <c r="C740" s="2013">
        <v>38100880</v>
      </c>
      <c r="D740" s="2014" t="s">
        <v>852</v>
      </c>
      <c r="E740" s="2015"/>
      <c r="F740" s="2015"/>
      <c r="G740" s="2015"/>
      <c r="H740" s="2016" t="e">
        <f t="shared" si="60"/>
        <v>#DIV/0!</v>
      </c>
    </row>
    <row r="741" spans="1:8" ht="15" hidden="1" x14ac:dyDescent="0.2">
      <c r="A741" s="2012">
        <v>3123</v>
      </c>
      <c r="B741" s="2013">
        <v>5169</v>
      </c>
      <c r="C741" s="2013">
        <v>38500881</v>
      </c>
      <c r="D741" s="2014" t="s">
        <v>852</v>
      </c>
      <c r="E741" s="2015"/>
      <c r="F741" s="2015"/>
      <c r="G741" s="2015"/>
      <c r="H741" s="2016" t="e">
        <f t="shared" si="60"/>
        <v>#DIV/0!</v>
      </c>
    </row>
    <row r="742" spans="1:8" ht="15" hidden="1" x14ac:dyDescent="0.2">
      <c r="A742" s="2012">
        <v>3123</v>
      </c>
      <c r="B742" s="2013">
        <v>5173</v>
      </c>
      <c r="C742" s="2017">
        <v>0</v>
      </c>
      <c r="D742" s="2014" t="s">
        <v>1152</v>
      </c>
      <c r="E742" s="2015"/>
      <c r="F742" s="2015"/>
      <c r="G742" s="2015"/>
      <c r="H742" s="2016">
        <v>0</v>
      </c>
    </row>
    <row r="743" spans="1:8" ht="15" hidden="1" x14ac:dyDescent="0.2">
      <c r="A743" s="2012">
        <v>3123</v>
      </c>
      <c r="B743" s="2013">
        <v>5173</v>
      </c>
      <c r="C743" s="2013">
        <v>38500881</v>
      </c>
      <c r="D743" s="2014" t="s">
        <v>1152</v>
      </c>
      <c r="E743" s="2015">
        <v>0</v>
      </c>
      <c r="F743" s="2015"/>
      <c r="G743" s="2015"/>
      <c r="H743" s="2016" t="e">
        <f t="shared" ref="H743:H750" si="61">G743/F743*100</f>
        <v>#DIV/0!</v>
      </c>
    </row>
    <row r="744" spans="1:8" ht="15" hidden="1" x14ac:dyDescent="0.2">
      <c r="A744" s="2012">
        <v>3123</v>
      </c>
      <c r="B744" s="2013">
        <v>5175</v>
      </c>
      <c r="C744" s="2013">
        <v>38100880</v>
      </c>
      <c r="D744" s="2014" t="s">
        <v>669</v>
      </c>
      <c r="E744" s="2015">
        <v>0</v>
      </c>
      <c r="F744" s="2015"/>
      <c r="G744" s="2015"/>
      <c r="H744" s="2016" t="e">
        <f t="shared" si="61"/>
        <v>#DIV/0!</v>
      </c>
    </row>
    <row r="745" spans="1:8" ht="15" hidden="1" x14ac:dyDescent="0.2">
      <c r="A745" s="2012">
        <v>3123</v>
      </c>
      <c r="B745" s="2013">
        <v>5175</v>
      </c>
      <c r="C745" s="2013">
        <v>38500881</v>
      </c>
      <c r="D745" s="2014" t="s">
        <v>669</v>
      </c>
      <c r="E745" s="2015">
        <v>0</v>
      </c>
      <c r="F745" s="2015"/>
      <c r="G745" s="2015"/>
      <c r="H745" s="2016" t="e">
        <f t="shared" si="61"/>
        <v>#DIV/0!</v>
      </c>
    </row>
    <row r="746" spans="1:8" ht="15" hidden="1" x14ac:dyDescent="0.2">
      <c r="A746" s="2012">
        <v>3123</v>
      </c>
      <c r="B746" s="2013">
        <v>5176</v>
      </c>
      <c r="C746" s="2013">
        <v>38100880</v>
      </c>
      <c r="D746" s="2014" t="s">
        <v>1247</v>
      </c>
      <c r="E746" s="2015">
        <v>0</v>
      </c>
      <c r="F746" s="2015"/>
      <c r="G746" s="2015"/>
      <c r="H746" s="2016" t="e">
        <f t="shared" si="61"/>
        <v>#DIV/0!</v>
      </c>
    </row>
    <row r="747" spans="1:8" ht="15" hidden="1" x14ac:dyDescent="0.2">
      <c r="A747" s="2012">
        <v>3123</v>
      </c>
      <c r="B747" s="2013">
        <v>5176</v>
      </c>
      <c r="C747" s="2013">
        <v>38500881</v>
      </c>
      <c r="D747" s="2014" t="s">
        <v>1247</v>
      </c>
      <c r="E747" s="2015">
        <v>0</v>
      </c>
      <c r="F747" s="2015"/>
      <c r="G747" s="2015"/>
      <c r="H747" s="2016" t="e">
        <f t="shared" si="61"/>
        <v>#DIV/0!</v>
      </c>
    </row>
    <row r="748" spans="1:8" ht="30" x14ac:dyDescent="0.2">
      <c r="A748" s="2012">
        <v>3123</v>
      </c>
      <c r="B748" s="2013">
        <v>6356</v>
      </c>
      <c r="C748" s="2013">
        <v>32133910</v>
      </c>
      <c r="D748" s="2014" t="s">
        <v>1772</v>
      </c>
      <c r="E748" s="2015">
        <v>0</v>
      </c>
      <c r="F748" s="2015">
        <v>107</v>
      </c>
      <c r="G748" s="2015">
        <v>107</v>
      </c>
      <c r="H748" s="2016">
        <f t="shared" si="61"/>
        <v>100</v>
      </c>
    </row>
    <row r="749" spans="1:8" ht="30.75" thickBot="1" x14ac:dyDescent="0.25">
      <c r="A749" s="2012">
        <v>3123</v>
      </c>
      <c r="B749" s="2013">
        <v>6356</v>
      </c>
      <c r="C749" s="2013">
        <v>32533910</v>
      </c>
      <c r="D749" s="2014" t="s">
        <v>1772</v>
      </c>
      <c r="E749" s="2015">
        <v>0</v>
      </c>
      <c r="F749" s="2015">
        <v>610</v>
      </c>
      <c r="G749" s="2015">
        <v>610</v>
      </c>
      <c r="H749" s="2018">
        <f t="shared" si="61"/>
        <v>100</v>
      </c>
    </row>
    <row r="750" spans="1:8" ht="16.5" thickTop="1" thickBot="1" x14ac:dyDescent="0.3">
      <c r="A750" s="2751" t="s">
        <v>763</v>
      </c>
      <c r="B750" s="2752"/>
      <c r="C750" s="2752"/>
      <c r="D750" s="2752"/>
      <c r="E750" s="1818">
        <f>SUM(E720:E749)</f>
        <v>0</v>
      </c>
      <c r="F750" s="1818">
        <f>SUM(F720:F749)</f>
        <v>1591</v>
      </c>
      <c r="G750" s="1818">
        <f>SUM(G720:G749)</f>
        <v>1591</v>
      </c>
      <c r="H750" s="1822">
        <f t="shared" si="61"/>
        <v>100</v>
      </c>
    </row>
    <row r="751" spans="1:8" ht="13.5" thickTop="1" x14ac:dyDescent="0.2"/>
    <row r="752" spans="1:8" ht="12" customHeight="1" x14ac:dyDescent="0.25">
      <c r="A752" s="2760" t="s">
        <v>1788</v>
      </c>
      <c r="B752" s="2761"/>
      <c r="C752" s="2761"/>
      <c r="D752" s="2761"/>
      <c r="E752" s="2761"/>
      <c r="F752" s="2761"/>
      <c r="G752" s="2761"/>
      <c r="H752" s="2761"/>
    </row>
    <row r="753" spans="1:8" ht="15.75" thickBot="1" x14ac:dyDescent="0.3">
      <c r="A753" s="1979" t="s">
        <v>1789</v>
      </c>
      <c r="B753" s="1993"/>
      <c r="C753" s="1993"/>
      <c r="E753" s="1994"/>
      <c r="F753" s="1994"/>
      <c r="G753" s="1994"/>
      <c r="H753" s="1995" t="s">
        <v>161</v>
      </c>
    </row>
    <row r="754" spans="1:8" ht="25.5" thickTop="1" thickBot="1" x14ac:dyDescent="0.25">
      <c r="A754" s="1809" t="s">
        <v>162</v>
      </c>
      <c r="B754" s="1810" t="s">
        <v>761</v>
      </c>
      <c r="C754" s="1810" t="s">
        <v>377</v>
      </c>
      <c r="D754" s="1811" t="s">
        <v>164</v>
      </c>
      <c r="E754" s="1833" t="s">
        <v>632</v>
      </c>
      <c r="F754" s="1833" t="s">
        <v>633</v>
      </c>
      <c r="G754" s="1834" t="s">
        <v>882</v>
      </c>
      <c r="H754" s="1835" t="s">
        <v>883</v>
      </c>
    </row>
    <row r="755" spans="1:8" ht="14.25" thickTop="1" thickBot="1" x14ac:dyDescent="0.25">
      <c r="A755" s="1643">
        <v>1</v>
      </c>
      <c r="B755" s="1642">
        <v>2</v>
      </c>
      <c r="C755" s="1642">
        <v>3</v>
      </c>
      <c r="D755" s="1642">
        <v>4</v>
      </c>
      <c r="E755" s="1641">
        <v>5</v>
      </c>
      <c r="F755" s="1641">
        <v>6</v>
      </c>
      <c r="G755" s="1877">
        <v>7</v>
      </c>
      <c r="H755" s="1901" t="s">
        <v>61</v>
      </c>
    </row>
    <row r="756" spans="1:8" ht="15.75" hidden="1" thickTop="1" x14ac:dyDescent="0.2">
      <c r="A756" s="2007">
        <v>3636</v>
      </c>
      <c r="B756" s="2008">
        <v>5011</v>
      </c>
      <c r="C756" s="2017">
        <v>0</v>
      </c>
      <c r="D756" s="2009" t="s">
        <v>206</v>
      </c>
      <c r="E756" s="2010">
        <v>0</v>
      </c>
      <c r="F756" s="2010">
        <v>0</v>
      </c>
      <c r="G756" s="2010">
        <v>0</v>
      </c>
      <c r="H756" s="2011" t="e">
        <f t="shared" ref="H756:H763" si="62">G756/F756*100</f>
        <v>#DIV/0!</v>
      </c>
    </row>
    <row r="757" spans="1:8" ht="15.75" hidden="1" thickTop="1" x14ac:dyDescent="0.2">
      <c r="A757" s="2012">
        <v>3636</v>
      </c>
      <c r="B757" s="2013">
        <v>5011</v>
      </c>
      <c r="C757" s="2013">
        <v>38500881</v>
      </c>
      <c r="D757" s="2014" t="s">
        <v>206</v>
      </c>
      <c r="E757" s="2015">
        <v>0</v>
      </c>
      <c r="F757" s="2015">
        <v>0</v>
      </c>
      <c r="G757" s="2015">
        <v>0</v>
      </c>
      <c r="H757" s="2016" t="e">
        <f t="shared" si="62"/>
        <v>#DIV/0!</v>
      </c>
    </row>
    <row r="758" spans="1:8" ht="30.75" thickTop="1" x14ac:dyDescent="0.2">
      <c r="A758" s="2012">
        <v>3123</v>
      </c>
      <c r="B758" s="2013">
        <v>5336</v>
      </c>
      <c r="C758" s="2017">
        <v>32133019</v>
      </c>
      <c r="D758" s="2014" t="s">
        <v>1263</v>
      </c>
      <c r="E758" s="2015">
        <v>0</v>
      </c>
      <c r="F758" s="2015">
        <f>13+156</f>
        <v>169</v>
      </c>
      <c r="G758" s="2015">
        <f>13+156</f>
        <v>169</v>
      </c>
      <c r="H758" s="2016">
        <f t="shared" si="62"/>
        <v>100</v>
      </c>
    </row>
    <row r="759" spans="1:8" ht="15" hidden="1" x14ac:dyDescent="0.2">
      <c r="A759" s="2012">
        <v>3636</v>
      </c>
      <c r="B759" s="2013">
        <v>5021</v>
      </c>
      <c r="C759" s="2013">
        <v>38500881</v>
      </c>
      <c r="D759" s="2014" t="s">
        <v>389</v>
      </c>
      <c r="E759" s="2015"/>
      <c r="F759" s="2015"/>
      <c r="G759" s="2015"/>
      <c r="H759" s="2016" t="e">
        <f t="shared" si="62"/>
        <v>#DIV/0!</v>
      </c>
    </row>
    <row r="760" spans="1:8" ht="30" hidden="1" x14ac:dyDescent="0.2">
      <c r="A760" s="2012">
        <v>3636</v>
      </c>
      <c r="B760" s="2013">
        <v>5031</v>
      </c>
      <c r="C760" s="2013">
        <v>38100880</v>
      </c>
      <c r="D760" s="2014" t="s">
        <v>1299</v>
      </c>
      <c r="E760" s="2015"/>
      <c r="F760" s="2015"/>
      <c r="G760" s="2015"/>
      <c r="H760" s="2016" t="e">
        <f t="shared" si="62"/>
        <v>#DIV/0!</v>
      </c>
    </row>
    <row r="761" spans="1:8" ht="30" hidden="1" x14ac:dyDescent="0.2">
      <c r="A761" s="2012">
        <v>3636</v>
      </c>
      <c r="B761" s="2013">
        <v>5031</v>
      </c>
      <c r="C761" s="2013">
        <v>38500881</v>
      </c>
      <c r="D761" s="2014" t="s">
        <v>1299</v>
      </c>
      <c r="E761" s="2015"/>
      <c r="F761" s="2015"/>
      <c r="G761" s="2015"/>
      <c r="H761" s="2016" t="e">
        <f t="shared" si="62"/>
        <v>#DIV/0!</v>
      </c>
    </row>
    <row r="762" spans="1:8" ht="30" hidden="1" x14ac:dyDescent="0.2">
      <c r="A762" s="2012">
        <v>3636</v>
      </c>
      <c r="B762" s="2013">
        <v>5032</v>
      </c>
      <c r="C762" s="2013">
        <v>38100880</v>
      </c>
      <c r="D762" s="2014" t="s">
        <v>1177</v>
      </c>
      <c r="E762" s="2015"/>
      <c r="F762" s="2015"/>
      <c r="G762" s="2015"/>
      <c r="H762" s="2016" t="e">
        <f t="shared" si="62"/>
        <v>#DIV/0!</v>
      </c>
    </row>
    <row r="763" spans="1:8" ht="30" hidden="1" x14ac:dyDescent="0.2">
      <c r="A763" s="2012">
        <v>3636</v>
      </c>
      <c r="B763" s="2013">
        <v>5032</v>
      </c>
      <c r="C763" s="2013">
        <v>38500881</v>
      </c>
      <c r="D763" s="2014" t="s">
        <v>1177</v>
      </c>
      <c r="E763" s="2015"/>
      <c r="F763" s="2015"/>
      <c r="G763" s="2015"/>
      <c r="H763" s="2016" t="e">
        <f t="shared" si="62"/>
        <v>#DIV/0!</v>
      </c>
    </row>
    <row r="764" spans="1:8" ht="15" hidden="1" x14ac:dyDescent="0.2">
      <c r="A764" s="2012">
        <v>3636</v>
      </c>
      <c r="B764" s="2013">
        <v>5139</v>
      </c>
      <c r="C764" s="2013">
        <v>38100880</v>
      </c>
      <c r="D764" s="2014" t="s">
        <v>270</v>
      </c>
      <c r="E764" s="2015"/>
      <c r="F764" s="2015"/>
      <c r="G764" s="2015"/>
      <c r="H764" s="2016">
        <v>0</v>
      </c>
    </row>
    <row r="765" spans="1:8" ht="15" hidden="1" x14ac:dyDescent="0.2">
      <c r="A765" s="2012">
        <v>3636</v>
      </c>
      <c r="B765" s="2013">
        <v>5139</v>
      </c>
      <c r="C765" s="2013">
        <v>38500881</v>
      </c>
      <c r="D765" s="2014" t="s">
        <v>270</v>
      </c>
      <c r="E765" s="2015"/>
      <c r="F765" s="2015"/>
      <c r="G765" s="2015"/>
      <c r="H765" s="2016" t="e">
        <f t="shared" ref="H765:H777" si="63">G765/F765*100</f>
        <v>#DIV/0!</v>
      </c>
    </row>
    <row r="766" spans="1:8" ht="15" hidden="1" x14ac:dyDescent="0.2">
      <c r="A766" s="2012">
        <v>3636</v>
      </c>
      <c r="B766" s="2013">
        <v>5162</v>
      </c>
      <c r="C766" s="2013">
        <v>38100880</v>
      </c>
      <c r="D766" s="2014" t="s">
        <v>864</v>
      </c>
      <c r="E766" s="2015"/>
      <c r="F766" s="2015"/>
      <c r="G766" s="2015"/>
      <c r="H766" s="2016" t="e">
        <f t="shared" si="63"/>
        <v>#DIV/0!</v>
      </c>
    </row>
    <row r="767" spans="1:8" ht="15" hidden="1" x14ac:dyDescent="0.2">
      <c r="A767" s="2012">
        <v>3636</v>
      </c>
      <c r="B767" s="2013">
        <v>5162</v>
      </c>
      <c r="C767" s="2013">
        <v>38500881</v>
      </c>
      <c r="D767" s="2014" t="s">
        <v>864</v>
      </c>
      <c r="E767" s="2015"/>
      <c r="F767" s="2015"/>
      <c r="G767" s="2015"/>
      <c r="H767" s="2016" t="e">
        <f t="shared" si="63"/>
        <v>#DIV/0!</v>
      </c>
    </row>
    <row r="768" spans="1:8" ht="15" hidden="1" x14ac:dyDescent="0.2">
      <c r="A768" s="2012">
        <v>3636</v>
      </c>
      <c r="B768" s="2013">
        <v>5164</v>
      </c>
      <c r="C768" s="2013">
        <v>38100880</v>
      </c>
      <c r="D768" s="2014" t="s">
        <v>170</v>
      </c>
      <c r="E768" s="2015"/>
      <c r="F768" s="2015"/>
      <c r="G768" s="2015"/>
      <c r="H768" s="2016" t="e">
        <f t="shared" si="63"/>
        <v>#DIV/0!</v>
      </c>
    </row>
    <row r="769" spans="1:8" ht="15" hidden="1" x14ac:dyDescent="0.2">
      <c r="A769" s="2012">
        <v>3636</v>
      </c>
      <c r="B769" s="2013">
        <v>5164</v>
      </c>
      <c r="C769" s="2013">
        <v>38500881</v>
      </c>
      <c r="D769" s="2014" t="s">
        <v>170</v>
      </c>
      <c r="E769" s="2015"/>
      <c r="F769" s="2015"/>
      <c r="G769" s="2015"/>
      <c r="H769" s="2016" t="e">
        <f t="shared" si="63"/>
        <v>#DIV/0!</v>
      </c>
    </row>
    <row r="770" spans="1:8" ht="30" x14ac:dyDescent="0.2">
      <c r="A770" s="2012">
        <v>3123</v>
      </c>
      <c r="B770" s="2013">
        <v>5336</v>
      </c>
      <c r="C770" s="2017">
        <v>32533019</v>
      </c>
      <c r="D770" s="2014" t="s">
        <v>1263</v>
      </c>
      <c r="E770" s="2015">
        <v>0</v>
      </c>
      <c r="F770" s="2015">
        <f>72+887</f>
        <v>959</v>
      </c>
      <c r="G770" s="2015">
        <f>72+887</f>
        <v>959</v>
      </c>
      <c r="H770" s="2016">
        <f t="shared" si="63"/>
        <v>100</v>
      </c>
    </row>
    <row r="771" spans="1:8" ht="15" hidden="1" x14ac:dyDescent="0.2">
      <c r="A771" s="2012">
        <v>3123</v>
      </c>
      <c r="B771" s="2013">
        <v>5166</v>
      </c>
      <c r="C771" s="2013">
        <v>41100880</v>
      </c>
      <c r="D771" s="2014" t="s">
        <v>609</v>
      </c>
      <c r="E771" s="2015"/>
      <c r="F771" s="2015"/>
      <c r="G771" s="2015"/>
      <c r="H771" s="2016" t="e">
        <f t="shared" si="63"/>
        <v>#DIV/0!</v>
      </c>
    </row>
    <row r="772" spans="1:8" ht="15" hidden="1" x14ac:dyDescent="0.2">
      <c r="A772" s="2012">
        <v>3123</v>
      </c>
      <c r="B772" s="2013">
        <v>5166</v>
      </c>
      <c r="C772" s="2013">
        <v>41100882</v>
      </c>
      <c r="D772" s="2014" t="s">
        <v>609</v>
      </c>
      <c r="E772" s="2015"/>
      <c r="F772" s="2015"/>
      <c r="G772" s="2015"/>
      <c r="H772" s="2016" t="e">
        <f t="shared" si="63"/>
        <v>#DIV/0!</v>
      </c>
    </row>
    <row r="773" spans="1:8" ht="15" hidden="1" x14ac:dyDescent="0.2">
      <c r="A773" s="2012">
        <v>3123</v>
      </c>
      <c r="B773" s="2013">
        <v>5166</v>
      </c>
      <c r="C773" s="2013">
        <v>41500881</v>
      </c>
      <c r="D773" s="2014" t="s">
        <v>609</v>
      </c>
      <c r="E773" s="2015"/>
      <c r="F773" s="2015"/>
      <c r="G773" s="2015"/>
      <c r="H773" s="2016" t="e">
        <f t="shared" si="63"/>
        <v>#DIV/0!</v>
      </c>
    </row>
    <row r="774" spans="1:8" ht="15" hidden="1" x14ac:dyDescent="0.2">
      <c r="A774" s="2012">
        <v>3123</v>
      </c>
      <c r="B774" s="2013">
        <v>5167</v>
      </c>
      <c r="C774" s="2013">
        <v>38100880</v>
      </c>
      <c r="D774" s="2014" t="s">
        <v>895</v>
      </c>
      <c r="E774" s="2015"/>
      <c r="F774" s="2015"/>
      <c r="G774" s="2015"/>
      <c r="H774" s="2016" t="e">
        <f t="shared" si="63"/>
        <v>#DIV/0!</v>
      </c>
    </row>
    <row r="775" spans="1:8" ht="15" hidden="1" x14ac:dyDescent="0.2">
      <c r="A775" s="2012">
        <v>3123</v>
      </c>
      <c r="B775" s="2013">
        <v>5167</v>
      </c>
      <c r="C775" s="2013">
        <v>38500881</v>
      </c>
      <c r="D775" s="2014" t="s">
        <v>895</v>
      </c>
      <c r="E775" s="2015"/>
      <c r="F775" s="2015"/>
      <c r="G775" s="2015"/>
      <c r="H775" s="2016" t="e">
        <f t="shared" si="63"/>
        <v>#DIV/0!</v>
      </c>
    </row>
    <row r="776" spans="1:8" ht="15" hidden="1" x14ac:dyDescent="0.2">
      <c r="A776" s="2012">
        <v>3123</v>
      </c>
      <c r="B776" s="2013">
        <v>5169</v>
      </c>
      <c r="C776" s="2013">
        <v>38100880</v>
      </c>
      <c r="D776" s="2014" t="s">
        <v>852</v>
      </c>
      <c r="E776" s="2015"/>
      <c r="F776" s="2015"/>
      <c r="G776" s="2015"/>
      <c r="H776" s="2016" t="e">
        <f t="shared" si="63"/>
        <v>#DIV/0!</v>
      </c>
    </row>
    <row r="777" spans="1:8" ht="15" hidden="1" x14ac:dyDescent="0.2">
      <c r="A777" s="2012">
        <v>3123</v>
      </c>
      <c r="B777" s="2013">
        <v>5169</v>
      </c>
      <c r="C777" s="2013">
        <v>38500881</v>
      </c>
      <c r="D777" s="2014" t="s">
        <v>852</v>
      </c>
      <c r="E777" s="2015"/>
      <c r="F777" s="2015"/>
      <c r="G777" s="2015"/>
      <c r="H777" s="2016" t="e">
        <f t="shared" si="63"/>
        <v>#DIV/0!</v>
      </c>
    </row>
    <row r="778" spans="1:8" ht="15" hidden="1" x14ac:dyDescent="0.2">
      <c r="A778" s="2012">
        <v>3123</v>
      </c>
      <c r="B778" s="2013">
        <v>5173</v>
      </c>
      <c r="C778" s="2017">
        <v>0</v>
      </c>
      <c r="D778" s="2014" t="s">
        <v>1152</v>
      </c>
      <c r="E778" s="2015"/>
      <c r="F778" s="2015"/>
      <c r="G778" s="2015"/>
      <c r="H778" s="2016">
        <v>0</v>
      </c>
    </row>
    <row r="779" spans="1:8" ht="15" hidden="1" x14ac:dyDescent="0.2">
      <c r="A779" s="2012">
        <v>3123</v>
      </c>
      <c r="B779" s="2013">
        <v>5173</v>
      </c>
      <c r="C779" s="2013">
        <v>38500881</v>
      </c>
      <c r="D779" s="2014" t="s">
        <v>1152</v>
      </c>
      <c r="E779" s="2015">
        <v>0</v>
      </c>
      <c r="F779" s="2015"/>
      <c r="G779" s="2015"/>
      <c r="H779" s="2016" t="e">
        <f t="shared" ref="H779:H786" si="64">G779/F779*100</f>
        <v>#DIV/0!</v>
      </c>
    </row>
    <row r="780" spans="1:8" ht="15" hidden="1" x14ac:dyDescent="0.2">
      <c r="A780" s="2012">
        <v>3123</v>
      </c>
      <c r="B780" s="2013">
        <v>5175</v>
      </c>
      <c r="C780" s="2013">
        <v>38100880</v>
      </c>
      <c r="D780" s="2014" t="s">
        <v>669</v>
      </c>
      <c r="E780" s="2015">
        <v>0</v>
      </c>
      <c r="F780" s="2015"/>
      <c r="G780" s="2015"/>
      <c r="H780" s="2016" t="e">
        <f t="shared" si="64"/>
        <v>#DIV/0!</v>
      </c>
    </row>
    <row r="781" spans="1:8" ht="15" hidden="1" x14ac:dyDescent="0.2">
      <c r="A781" s="2012">
        <v>3123</v>
      </c>
      <c r="B781" s="2013">
        <v>5175</v>
      </c>
      <c r="C781" s="2013">
        <v>38500881</v>
      </c>
      <c r="D781" s="2014" t="s">
        <v>669</v>
      </c>
      <c r="E781" s="2015">
        <v>0</v>
      </c>
      <c r="F781" s="2015"/>
      <c r="G781" s="2015"/>
      <c r="H781" s="2016" t="e">
        <f t="shared" si="64"/>
        <v>#DIV/0!</v>
      </c>
    </row>
    <row r="782" spans="1:8" ht="15" hidden="1" x14ac:dyDescent="0.2">
      <c r="A782" s="2012">
        <v>3123</v>
      </c>
      <c r="B782" s="2013">
        <v>5176</v>
      </c>
      <c r="C782" s="2013">
        <v>38100880</v>
      </c>
      <c r="D782" s="2014" t="s">
        <v>1247</v>
      </c>
      <c r="E782" s="2015">
        <v>0</v>
      </c>
      <c r="F782" s="2015"/>
      <c r="G782" s="2015"/>
      <c r="H782" s="2016" t="e">
        <f t="shared" si="64"/>
        <v>#DIV/0!</v>
      </c>
    </row>
    <row r="783" spans="1:8" ht="15" hidden="1" x14ac:dyDescent="0.2">
      <c r="A783" s="2012">
        <v>3123</v>
      </c>
      <c r="B783" s="2013">
        <v>5176</v>
      </c>
      <c r="C783" s="2013">
        <v>38500881</v>
      </c>
      <c r="D783" s="2014" t="s">
        <v>1247</v>
      </c>
      <c r="E783" s="2015">
        <v>0</v>
      </c>
      <c r="F783" s="2015"/>
      <c r="G783" s="2015"/>
      <c r="H783" s="2016" t="e">
        <f t="shared" si="64"/>
        <v>#DIV/0!</v>
      </c>
    </row>
    <row r="784" spans="1:8" ht="30" x14ac:dyDescent="0.2">
      <c r="A784" s="2012">
        <v>3123</v>
      </c>
      <c r="B784" s="2013">
        <v>6356</v>
      </c>
      <c r="C784" s="2013">
        <v>32133910</v>
      </c>
      <c r="D784" s="2014" t="s">
        <v>1772</v>
      </c>
      <c r="E784" s="2015">
        <v>0</v>
      </c>
      <c r="F784" s="2015">
        <v>312</v>
      </c>
      <c r="G784" s="2015">
        <v>312</v>
      </c>
      <c r="H784" s="2016">
        <f t="shared" si="64"/>
        <v>100</v>
      </c>
    </row>
    <row r="785" spans="1:8" ht="30.75" thickBot="1" x14ac:dyDescent="0.25">
      <c r="A785" s="2012">
        <v>3123</v>
      </c>
      <c r="B785" s="2013">
        <v>6356</v>
      </c>
      <c r="C785" s="2013">
        <v>32533910</v>
      </c>
      <c r="D785" s="2014" t="s">
        <v>1772</v>
      </c>
      <c r="E785" s="2015">
        <v>0</v>
      </c>
      <c r="F785" s="2015">
        <v>1768</v>
      </c>
      <c r="G785" s="2015">
        <v>1768</v>
      </c>
      <c r="H785" s="2018">
        <f t="shared" si="64"/>
        <v>100</v>
      </c>
    </row>
    <row r="786" spans="1:8" ht="16.5" thickTop="1" thickBot="1" x14ac:dyDescent="0.3">
      <c r="A786" s="2751" t="s">
        <v>763</v>
      </c>
      <c r="B786" s="2752"/>
      <c r="C786" s="2752"/>
      <c r="D786" s="2752"/>
      <c r="E786" s="1818">
        <f>SUM(E756:E785)</f>
        <v>0</v>
      </c>
      <c r="F786" s="1818">
        <f>SUM(F756:F785)</f>
        <v>3208</v>
      </c>
      <c r="G786" s="1818">
        <f>SUM(G756:G785)</f>
        <v>3208</v>
      </c>
      <c r="H786" s="1822">
        <f t="shared" si="64"/>
        <v>100</v>
      </c>
    </row>
    <row r="787" spans="1:8" ht="13.5" thickTop="1" x14ac:dyDescent="0.2"/>
    <row r="788" spans="1:8" ht="12" customHeight="1" x14ac:dyDescent="0.25">
      <c r="A788" s="2760" t="s">
        <v>1450</v>
      </c>
      <c r="B788" s="2761"/>
      <c r="C788" s="2761"/>
      <c r="D788" s="2761"/>
      <c r="E788" s="2761"/>
      <c r="F788" s="2761"/>
      <c r="G788" s="2761"/>
      <c r="H788" s="2761"/>
    </row>
    <row r="789" spans="1:8" ht="15.75" thickBot="1" x14ac:dyDescent="0.3">
      <c r="A789" s="1979" t="s">
        <v>1556</v>
      </c>
      <c r="B789" s="1993"/>
      <c r="C789" s="1993"/>
      <c r="E789" s="1994"/>
      <c r="F789" s="1994"/>
      <c r="G789" s="1994"/>
      <c r="H789" s="1995" t="s">
        <v>161</v>
      </c>
    </row>
    <row r="790" spans="1:8" ht="25.5" thickTop="1" thickBot="1" x14ac:dyDescent="0.25">
      <c r="A790" s="1809" t="s">
        <v>162</v>
      </c>
      <c r="B790" s="1810" t="s">
        <v>761</v>
      </c>
      <c r="C790" s="1810" t="s">
        <v>377</v>
      </c>
      <c r="D790" s="1811" t="s">
        <v>164</v>
      </c>
      <c r="E790" s="1833" t="s">
        <v>632</v>
      </c>
      <c r="F790" s="1833" t="s">
        <v>633</v>
      </c>
      <c r="G790" s="1834" t="s">
        <v>882</v>
      </c>
      <c r="H790" s="1835" t="s">
        <v>883</v>
      </c>
    </row>
    <row r="791" spans="1:8" ht="14.25" thickTop="1" thickBot="1" x14ac:dyDescent="0.25">
      <c r="A791" s="1643">
        <v>1</v>
      </c>
      <c r="B791" s="1642">
        <v>2</v>
      </c>
      <c r="C791" s="1642">
        <v>3</v>
      </c>
      <c r="D791" s="1642">
        <v>4</v>
      </c>
      <c r="E791" s="1641">
        <v>5</v>
      </c>
      <c r="F791" s="1641">
        <v>6</v>
      </c>
      <c r="G791" s="1877">
        <v>7</v>
      </c>
      <c r="H791" s="1901" t="s">
        <v>61</v>
      </c>
    </row>
    <row r="792" spans="1:8" ht="15.75" hidden="1" thickTop="1" x14ac:dyDescent="0.2">
      <c r="A792" s="2007">
        <v>3636</v>
      </c>
      <c r="B792" s="2008">
        <v>5011</v>
      </c>
      <c r="C792" s="2017">
        <v>0</v>
      </c>
      <c r="D792" s="2009" t="s">
        <v>206</v>
      </c>
      <c r="E792" s="2010">
        <v>0</v>
      </c>
      <c r="F792" s="2010">
        <v>0</v>
      </c>
      <c r="G792" s="2010">
        <v>0</v>
      </c>
      <c r="H792" s="2011" t="e">
        <f t="shared" ref="H792:H799" si="65">G792/F792*100</f>
        <v>#DIV/0!</v>
      </c>
    </row>
    <row r="793" spans="1:8" ht="15.75" hidden="1" thickTop="1" x14ac:dyDescent="0.2">
      <c r="A793" s="2012">
        <v>3636</v>
      </c>
      <c r="B793" s="2013">
        <v>5011</v>
      </c>
      <c r="C793" s="2013">
        <v>38500881</v>
      </c>
      <c r="D793" s="2014" t="s">
        <v>206</v>
      </c>
      <c r="E793" s="2015">
        <v>0</v>
      </c>
      <c r="F793" s="2015">
        <v>0</v>
      </c>
      <c r="G793" s="2015">
        <v>0</v>
      </c>
      <c r="H793" s="2016" t="e">
        <f t="shared" si="65"/>
        <v>#DIV/0!</v>
      </c>
    </row>
    <row r="794" spans="1:8" ht="30.75" thickTop="1" x14ac:dyDescent="0.2">
      <c r="A794" s="2012">
        <v>3122</v>
      </c>
      <c r="B794" s="2013">
        <v>5336</v>
      </c>
      <c r="C794" s="2017">
        <v>32133019</v>
      </c>
      <c r="D794" s="2014" t="s">
        <v>1263</v>
      </c>
      <c r="E794" s="2015">
        <v>0</v>
      </c>
      <c r="F794" s="2015">
        <f>6+223</f>
        <v>229</v>
      </c>
      <c r="G794" s="2015">
        <f>5+223</f>
        <v>228</v>
      </c>
      <c r="H794" s="2016">
        <f t="shared" si="65"/>
        <v>99.563318777292579</v>
      </c>
    </row>
    <row r="795" spans="1:8" ht="15" hidden="1" x14ac:dyDescent="0.2">
      <c r="A795" s="2012">
        <v>3636</v>
      </c>
      <c r="B795" s="2013">
        <v>5021</v>
      </c>
      <c r="C795" s="2013">
        <v>38500881</v>
      </c>
      <c r="D795" s="2014" t="s">
        <v>389</v>
      </c>
      <c r="E795" s="2015"/>
      <c r="F795" s="2015"/>
      <c r="G795" s="2015"/>
      <c r="H795" s="2016" t="e">
        <f t="shared" si="65"/>
        <v>#DIV/0!</v>
      </c>
    </row>
    <row r="796" spans="1:8" ht="30" hidden="1" x14ac:dyDescent="0.2">
      <c r="A796" s="2012">
        <v>3636</v>
      </c>
      <c r="B796" s="2013">
        <v>5031</v>
      </c>
      <c r="C796" s="2013">
        <v>38100880</v>
      </c>
      <c r="D796" s="2014" t="s">
        <v>1299</v>
      </c>
      <c r="E796" s="2015"/>
      <c r="F796" s="2015"/>
      <c r="G796" s="2015"/>
      <c r="H796" s="2016" t="e">
        <f t="shared" si="65"/>
        <v>#DIV/0!</v>
      </c>
    </row>
    <row r="797" spans="1:8" ht="30" hidden="1" x14ac:dyDescent="0.2">
      <c r="A797" s="2012">
        <v>3636</v>
      </c>
      <c r="B797" s="2013">
        <v>5031</v>
      </c>
      <c r="C797" s="2013">
        <v>38500881</v>
      </c>
      <c r="D797" s="2014" t="s">
        <v>1299</v>
      </c>
      <c r="E797" s="2015"/>
      <c r="F797" s="2015"/>
      <c r="G797" s="2015"/>
      <c r="H797" s="2016" t="e">
        <f t="shared" si="65"/>
        <v>#DIV/0!</v>
      </c>
    </row>
    <row r="798" spans="1:8" ht="30" hidden="1" x14ac:dyDescent="0.2">
      <c r="A798" s="2012">
        <v>3636</v>
      </c>
      <c r="B798" s="2013">
        <v>5032</v>
      </c>
      <c r="C798" s="2013">
        <v>38100880</v>
      </c>
      <c r="D798" s="2014" t="s">
        <v>1177</v>
      </c>
      <c r="E798" s="2015"/>
      <c r="F798" s="2015"/>
      <c r="G798" s="2015"/>
      <c r="H798" s="2016" t="e">
        <f t="shared" si="65"/>
        <v>#DIV/0!</v>
      </c>
    </row>
    <row r="799" spans="1:8" ht="30" hidden="1" x14ac:dyDescent="0.2">
      <c r="A799" s="2012">
        <v>3636</v>
      </c>
      <c r="B799" s="2013">
        <v>5032</v>
      </c>
      <c r="C799" s="2013">
        <v>38500881</v>
      </c>
      <c r="D799" s="2014" t="s">
        <v>1177</v>
      </c>
      <c r="E799" s="2015"/>
      <c r="F799" s="2015"/>
      <c r="G799" s="2015"/>
      <c r="H799" s="2016" t="e">
        <f t="shared" si="65"/>
        <v>#DIV/0!</v>
      </c>
    </row>
    <row r="800" spans="1:8" ht="15" hidden="1" x14ac:dyDescent="0.2">
      <c r="A800" s="2012">
        <v>3636</v>
      </c>
      <c r="B800" s="2013">
        <v>5139</v>
      </c>
      <c r="C800" s="2013">
        <v>38100880</v>
      </c>
      <c r="D800" s="2014" t="s">
        <v>270</v>
      </c>
      <c r="E800" s="2015"/>
      <c r="F800" s="2015"/>
      <c r="G800" s="2015"/>
      <c r="H800" s="2016">
        <v>0</v>
      </c>
    </row>
    <row r="801" spans="1:8" ht="15" hidden="1" x14ac:dyDescent="0.2">
      <c r="A801" s="2012">
        <v>3636</v>
      </c>
      <c r="B801" s="2013">
        <v>5139</v>
      </c>
      <c r="C801" s="2013">
        <v>38500881</v>
      </c>
      <c r="D801" s="2014" t="s">
        <v>270</v>
      </c>
      <c r="E801" s="2015"/>
      <c r="F801" s="2015"/>
      <c r="G801" s="2015"/>
      <c r="H801" s="2016" t="e">
        <f t="shared" ref="H801:H813" si="66">G801/F801*100</f>
        <v>#DIV/0!</v>
      </c>
    </row>
    <row r="802" spans="1:8" ht="15" hidden="1" x14ac:dyDescent="0.2">
      <c r="A802" s="2012">
        <v>3636</v>
      </c>
      <c r="B802" s="2013">
        <v>5162</v>
      </c>
      <c r="C802" s="2013">
        <v>38100880</v>
      </c>
      <c r="D802" s="2014" t="s">
        <v>864</v>
      </c>
      <c r="E802" s="2015"/>
      <c r="F802" s="2015"/>
      <c r="G802" s="2015"/>
      <c r="H802" s="2016" t="e">
        <f t="shared" si="66"/>
        <v>#DIV/0!</v>
      </c>
    </row>
    <row r="803" spans="1:8" ht="15" hidden="1" x14ac:dyDescent="0.2">
      <c r="A803" s="2012">
        <v>3636</v>
      </c>
      <c r="B803" s="2013">
        <v>5162</v>
      </c>
      <c r="C803" s="2013">
        <v>38500881</v>
      </c>
      <c r="D803" s="2014" t="s">
        <v>864</v>
      </c>
      <c r="E803" s="2015"/>
      <c r="F803" s="2015"/>
      <c r="G803" s="2015"/>
      <c r="H803" s="2016" t="e">
        <f t="shared" si="66"/>
        <v>#DIV/0!</v>
      </c>
    </row>
    <row r="804" spans="1:8" ht="15" hidden="1" x14ac:dyDescent="0.2">
      <c r="A804" s="2012">
        <v>3636</v>
      </c>
      <c r="B804" s="2013">
        <v>5164</v>
      </c>
      <c r="C804" s="2013">
        <v>38100880</v>
      </c>
      <c r="D804" s="2014" t="s">
        <v>170</v>
      </c>
      <c r="E804" s="2015"/>
      <c r="F804" s="2015"/>
      <c r="G804" s="2015"/>
      <c r="H804" s="2016" t="e">
        <f t="shared" si="66"/>
        <v>#DIV/0!</v>
      </c>
    </row>
    <row r="805" spans="1:8" ht="15" hidden="1" x14ac:dyDescent="0.2">
      <c r="A805" s="2012">
        <v>3636</v>
      </c>
      <c r="B805" s="2013">
        <v>5164</v>
      </c>
      <c r="C805" s="2013">
        <v>38500881</v>
      </c>
      <c r="D805" s="2014" t="s">
        <v>170</v>
      </c>
      <c r="E805" s="2015"/>
      <c r="F805" s="2015"/>
      <c r="G805" s="2015"/>
      <c r="H805" s="2016" t="e">
        <f t="shared" si="66"/>
        <v>#DIV/0!</v>
      </c>
    </row>
    <row r="806" spans="1:8" ht="30" x14ac:dyDescent="0.2">
      <c r="A806" s="2012">
        <v>3122</v>
      </c>
      <c r="B806" s="2013">
        <v>5336</v>
      </c>
      <c r="C806" s="2017">
        <v>32533019</v>
      </c>
      <c r="D806" s="2014" t="s">
        <v>1263</v>
      </c>
      <c r="E806" s="2015">
        <v>0</v>
      </c>
      <c r="F806" s="2015">
        <f>33+1266</f>
        <v>1299</v>
      </c>
      <c r="G806" s="2015">
        <f>29+1266</f>
        <v>1295</v>
      </c>
      <c r="H806" s="2016">
        <f t="shared" si="66"/>
        <v>99.692070823710537</v>
      </c>
    </row>
    <row r="807" spans="1:8" ht="15" hidden="1" x14ac:dyDescent="0.2">
      <c r="A807" s="2012">
        <v>3122</v>
      </c>
      <c r="B807" s="2013">
        <v>5166</v>
      </c>
      <c r="C807" s="2013">
        <v>41100880</v>
      </c>
      <c r="D807" s="2014" t="s">
        <v>609</v>
      </c>
      <c r="E807" s="2015"/>
      <c r="F807" s="2015"/>
      <c r="G807" s="2015"/>
      <c r="H807" s="2016" t="e">
        <f t="shared" si="66"/>
        <v>#DIV/0!</v>
      </c>
    </row>
    <row r="808" spans="1:8" ht="15" hidden="1" x14ac:dyDescent="0.2">
      <c r="A808" s="2012">
        <v>3122</v>
      </c>
      <c r="B808" s="2013">
        <v>5166</v>
      </c>
      <c r="C808" s="2013">
        <v>41100882</v>
      </c>
      <c r="D808" s="2014" t="s">
        <v>609</v>
      </c>
      <c r="E808" s="2015"/>
      <c r="F808" s="2015"/>
      <c r="G808" s="2015"/>
      <c r="H808" s="2016" t="e">
        <f t="shared" si="66"/>
        <v>#DIV/0!</v>
      </c>
    </row>
    <row r="809" spans="1:8" ht="15" hidden="1" x14ac:dyDescent="0.2">
      <c r="A809" s="2012">
        <v>3122</v>
      </c>
      <c r="B809" s="2013">
        <v>5166</v>
      </c>
      <c r="C809" s="2013">
        <v>41500881</v>
      </c>
      <c r="D809" s="2014" t="s">
        <v>609</v>
      </c>
      <c r="E809" s="2015"/>
      <c r="F809" s="2015"/>
      <c r="G809" s="2015"/>
      <c r="H809" s="2016" t="e">
        <f t="shared" si="66"/>
        <v>#DIV/0!</v>
      </c>
    </row>
    <row r="810" spans="1:8" ht="15" hidden="1" x14ac:dyDescent="0.2">
      <c r="A810" s="2012">
        <v>3122</v>
      </c>
      <c r="B810" s="2013">
        <v>5167</v>
      </c>
      <c r="C810" s="2013">
        <v>38100880</v>
      </c>
      <c r="D810" s="2014" t="s">
        <v>895</v>
      </c>
      <c r="E810" s="2015"/>
      <c r="F810" s="2015"/>
      <c r="G810" s="2015"/>
      <c r="H810" s="2016" t="e">
        <f t="shared" si="66"/>
        <v>#DIV/0!</v>
      </c>
    </row>
    <row r="811" spans="1:8" ht="15" hidden="1" x14ac:dyDescent="0.2">
      <c r="A811" s="2012">
        <v>3122</v>
      </c>
      <c r="B811" s="2013">
        <v>5167</v>
      </c>
      <c r="C811" s="2013">
        <v>38500881</v>
      </c>
      <c r="D811" s="2014" t="s">
        <v>895</v>
      </c>
      <c r="E811" s="2015"/>
      <c r="F811" s="2015"/>
      <c r="G811" s="2015"/>
      <c r="H811" s="2016" t="e">
        <f t="shared" si="66"/>
        <v>#DIV/0!</v>
      </c>
    </row>
    <row r="812" spans="1:8" ht="15" hidden="1" x14ac:dyDescent="0.2">
      <c r="A812" s="2012">
        <v>3122</v>
      </c>
      <c r="B812" s="2013">
        <v>5169</v>
      </c>
      <c r="C812" s="2013">
        <v>38100880</v>
      </c>
      <c r="D812" s="2014" t="s">
        <v>852</v>
      </c>
      <c r="E812" s="2015"/>
      <c r="F812" s="2015"/>
      <c r="G812" s="2015"/>
      <c r="H812" s="2016" t="e">
        <f t="shared" si="66"/>
        <v>#DIV/0!</v>
      </c>
    </row>
    <row r="813" spans="1:8" ht="15" hidden="1" x14ac:dyDescent="0.2">
      <c r="A813" s="2012">
        <v>3122</v>
      </c>
      <c r="B813" s="2013">
        <v>5169</v>
      </c>
      <c r="C813" s="2013">
        <v>38500881</v>
      </c>
      <c r="D813" s="2014" t="s">
        <v>852</v>
      </c>
      <c r="E813" s="2015"/>
      <c r="F813" s="2015"/>
      <c r="G813" s="2015"/>
      <c r="H813" s="2016" t="e">
        <f t="shared" si="66"/>
        <v>#DIV/0!</v>
      </c>
    </row>
    <row r="814" spans="1:8" ht="15" hidden="1" x14ac:dyDescent="0.2">
      <c r="A814" s="2012">
        <v>3122</v>
      </c>
      <c r="B814" s="2013">
        <v>5173</v>
      </c>
      <c r="C814" s="2017">
        <v>0</v>
      </c>
      <c r="D814" s="2014" t="s">
        <v>1152</v>
      </c>
      <c r="E814" s="2015"/>
      <c r="F814" s="2015"/>
      <c r="G814" s="2015"/>
      <c r="H814" s="2016">
        <v>0</v>
      </c>
    </row>
    <row r="815" spans="1:8" ht="15" hidden="1" x14ac:dyDescent="0.2">
      <c r="A815" s="2012">
        <v>3122</v>
      </c>
      <c r="B815" s="2013">
        <v>5173</v>
      </c>
      <c r="C815" s="2013">
        <v>38500881</v>
      </c>
      <c r="D815" s="2014" t="s">
        <v>1152</v>
      </c>
      <c r="E815" s="2015">
        <v>0</v>
      </c>
      <c r="F815" s="2015"/>
      <c r="G815" s="2015"/>
      <c r="H815" s="2016" t="e">
        <f t="shared" ref="H815:H822" si="67">G815/F815*100</f>
        <v>#DIV/0!</v>
      </c>
    </row>
    <row r="816" spans="1:8" ht="15" hidden="1" x14ac:dyDescent="0.2">
      <c r="A816" s="2012">
        <v>3122</v>
      </c>
      <c r="B816" s="2013">
        <v>5175</v>
      </c>
      <c r="C816" s="2013">
        <v>38100880</v>
      </c>
      <c r="D816" s="2014" t="s">
        <v>669</v>
      </c>
      <c r="E816" s="2015">
        <v>0</v>
      </c>
      <c r="F816" s="2015"/>
      <c r="G816" s="2015"/>
      <c r="H816" s="2016" t="e">
        <f t="shared" si="67"/>
        <v>#DIV/0!</v>
      </c>
    </row>
    <row r="817" spans="1:8" ht="15" hidden="1" x14ac:dyDescent="0.2">
      <c r="A817" s="2012">
        <v>3122</v>
      </c>
      <c r="B817" s="2013">
        <v>5175</v>
      </c>
      <c r="C817" s="2013">
        <v>38500881</v>
      </c>
      <c r="D817" s="2014" t="s">
        <v>669</v>
      </c>
      <c r="E817" s="2015">
        <v>0</v>
      </c>
      <c r="F817" s="2015"/>
      <c r="G817" s="2015"/>
      <c r="H817" s="2016" t="e">
        <f t="shared" si="67"/>
        <v>#DIV/0!</v>
      </c>
    </row>
    <row r="818" spans="1:8" ht="15" hidden="1" x14ac:dyDescent="0.2">
      <c r="A818" s="2012">
        <v>3122</v>
      </c>
      <c r="B818" s="2013">
        <v>5176</v>
      </c>
      <c r="C818" s="2013">
        <v>38100880</v>
      </c>
      <c r="D818" s="2014" t="s">
        <v>1247</v>
      </c>
      <c r="E818" s="2015">
        <v>0</v>
      </c>
      <c r="F818" s="2015"/>
      <c r="G818" s="2015"/>
      <c r="H818" s="2016" t="e">
        <f t="shared" si="67"/>
        <v>#DIV/0!</v>
      </c>
    </row>
    <row r="819" spans="1:8" ht="15" hidden="1" x14ac:dyDescent="0.2">
      <c r="A819" s="2012">
        <v>3122</v>
      </c>
      <c r="B819" s="2013">
        <v>5176</v>
      </c>
      <c r="C819" s="2013">
        <v>38500881</v>
      </c>
      <c r="D819" s="2014" t="s">
        <v>1247</v>
      </c>
      <c r="E819" s="2015">
        <v>0</v>
      </c>
      <c r="F819" s="2015"/>
      <c r="G819" s="2015"/>
      <c r="H819" s="2016" t="e">
        <f t="shared" si="67"/>
        <v>#DIV/0!</v>
      </c>
    </row>
    <row r="820" spans="1:8" ht="30" x14ac:dyDescent="0.2">
      <c r="A820" s="2012">
        <v>3122</v>
      </c>
      <c r="B820" s="2013">
        <v>6356</v>
      </c>
      <c r="C820" s="2013">
        <v>32133910</v>
      </c>
      <c r="D820" s="2014" t="s">
        <v>1772</v>
      </c>
      <c r="E820" s="2015">
        <v>0</v>
      </c>
      <c r="F820" s="2015">
        <v>48</v>
      </c>
      <c r="G820" s="2015">
        <v>48</v>
      </c>
      <c r="H820" s="2016">
        <f t="shared" si="67"/>
        <v>100</v>
      </c>
    </row>
    <row r="821" spans="1:8" ht="30.75" thickBot="1" x14ac:dyDescent="0.25">
      <c r="A821" s="2012">
        <v>3122</v>
      </c>
      <c r="B821" s="2013">
        <v>6356</v>
      </c>
      <c r="C821" s="2013">
        <v>32533910</v>
      </c>
      <c r="D821" s="2014" t="s">
        <v>1772</v>
      </c>
      <c r="E821" s="2015">
        <v>0</v>
      </c>
      <c r="F821" s="2015">
        <v>272</v>
      </c>
      <c r="G821" s="2015">
        <v>272</v>
      </c>
      <c r="H821" s="2018">
        <f t="shared" si="67"/>
        <v>100</v>
      </c>
    </row>
    <row r="822" spans="1:8" ht="16.5" thickTop="1" thickBot="1" x14ac:dyDescent="0.3">
      <c r="A822" s="2751" t="s">
        <v>763</v>
      </c>
      <c r="B822" s="2752"/>
      <c r="C822" s="2752"/>
      <c r="D822" s="2752"/>
      <c r="E822" s="1818">
        <f>SUM(E792:E821)</f>
        <v>0</v>
      </c>
      <c r="F822" s="1818">
        <f>SUM(F792:F821)</f>
        <v>1848</v>
      </c>
      <c r="G822" s="1818">
        <f>SUM(G792:G821)</f>
        <v>1843</v>
      </c>
      <c r="H822" s="1822">
        <f t="shared" si="67"/>
        <v>99.729437229437238</v>
      </c>
    </row>
    <row r="823" spans="1:8" ht="13.5" thickTop="1" x14ac:dyDescent="0.2"/>
    <row r="824" spans="1:8" ht="12" customHeight="1" x14ac:dyDescent="0.25">
      <c r="A824" s="2760" t="s">
        <v>319</v>
      </c>
      <c r="B824" s="2761"/>
      <c r="C824" s="2761"/>
      <c r="D824" s="2761"/>
      <c r="E824" s="2761"/>
      <c r="F824" s="2761"/>
      <c r="G824" s="2761"/>
      <c r="H824" s="2761"/>
    </row>
    <row r="825" spans="1:8" ht="15.75" thickBot="1" x14ac:dyDescent="0.3">
      <c r="A825" s="1979" t="s">
        <v>563</v>
      </c>
      <c r="B825" s="1993"/>
      <c r="C825" s="1993"/>
      <c r="E825" s="1994"/>
      <c r="F825" s="1994"/>
      <c r="G825" s="1994"/>
      <c r="H825" s="1995" t="s">
        <v>161</v>
      </c>
    </row>
    <row r="826" spans="1:8" ht="25.5" thickTop="1" thickBot="1" x14ac:dyDescent="0.25">
      <c r="A826" s="1809" t="s">
        <v>162</v>
      </c>
      <c r="B826" s="1810" t="s">
        <v>761</v>
      </c>
      <c r="C826" s="1810" t="s">
        <v>377</v>
      </c>
      <c r="D826" s="1811" t="s">
        <v>164</v>
      </c>
      <c r="E826" s="1833" t="s">
        <v>632</v>
      </c>
      <c r="F826" s="1833" t="s">
        <v>633</v>
      </c>
      <c r="G826" s="1834" t="s">
        <v>882</v>
      </c>
      <c r="H826" s="1835" t="s">
        <v>883</v>
      </c>
    </row>
    <row r="827" spans="1:8" ht="14.25" thickTop="1" thickBot="1" x14ac:dyDescent="0.25">
      <c r="A827" s="1643">
        <v>1</v>
      </c>
      <c r="B827" s="1642">
        <v>2</v>
      </c>
      <c r="C827" s="1642">
        <v>3</v>
      </c>
      <c r="D827" s="1642">
        <v>4</v>
      </c>
      <c r="E827" s="1641">
        <v>5</v>
      </c>
      <c r="F827" s="1641">
        <v>6</v>
      </c>
      <c r="G827" s="1877">
        <v>7</v>
      </c>
      <c r="H827" s="1901" t="s">
        <v>61</v>
      </c>
    </row>
    <row r="828" spans="1:8" ht="15.75" hidden="1" thickTop="1" x14ac:dyDescent="0.2">
      <c r="A828" s="2007">
        <v>3636</v>
      </c>
      <c r="B828" s="2008">
        <v>5011</v>
      </c>
      <c r="C828" s="2017">
        <v>0</v>
      </c>
      <c r="D828" s="2009" t="s">
        <v>206</v>
      </c>
      <c r="E828" s="2010">
        <v>0</v>
      </c>
      <c r="F828" s="2010">
        <v>0</v>
      </c>
      <c r="G828" s="2010">
        <v>0</v>
      </c>
      <c r="H828" s="2011" t="e">
        <f t="shared" ref="H828:H835" si="68">G828/F828*100</f>
        <v>#DIV/0!</v>
      </c>
    </row>
    <row r="829" spans="1:8" ht="15.75" hidden="1" thickTop="1" x14ac:dyDescent="0.2">
      <c r="A829" s="2012">
        <v>3636</v>
      </c>
      <c r="B829" s="2013">
        <v>5011</v>
      </c>
      <c r="C829" s="2013">
        <v>38500881</v>
      </c>
      <c r="D829" s="2014" t="s">
        <v>206</v>
      </c>
      <c r="E829" s="2015">
        <v>0</v>
      </c>
      <c r="F829" s="2015">
        <v>0</v>
      </c>
      <c r="G829" s="2015">
        <v>0</v>
      </c>
      <c r="H829" s="2016" t="e">
        <f t="shared" si="68"/>
        <v>#DIV/0!</v>
      </c>
    </row>
    <row r="830" spans="1:8" ht="30.75" thickTop="1" x14ac:dyDescent="0.2">
      <c r="A830" s="2012">
        <v>3123</v>
      </c>
      <c r="B830" s="2013">
        <v>5336</v>
      </c>
      <c r="C830" s="2017">
        <v>32133019</v>
      </c>
      <c r="D830" s="2014" t="s">
        <v>1263</v>
      </c>
      <c r="E830" s="2015">
        <v>0</v>
      </c>
      <c r="F830" s="2015">
        <f>26+306</f>
        <v>332</v>
      </c>
      <c r="G830" s="2015">
        <f>23+300</f>
        <v>323</v>
      </c>
      <c r="H830" s="2016">
        <f t="shared" si="68"/>
        <v>97.289156626506028</v>
      </c>
    </row>
    <row r="831" spans="1:8" ht="15" hidden="1" x14ac:dyDescent="0.2">
      <c r="A831" s="2012">
        <v>3636</v>
      </c>
      <c r="B831" s="2013">
        <v>5021</v>
      </c>
      <c r="C831" s="2013">
        <v>38500881</v>
      </c>
      <c r="D831" s="2014" t="s">
        <v>389</v>
      </c>
      <c r="E831" s="2015"/>
      <c r="F831" s="2015"/>
      <c r="G831" s="2015"/>
      <c r="H831" s="2016" t="e">
        <f t="shared" si="68"/>
        <v>#DIV/0!</v>
      </c>
    </row>
    <row r="832" spans="1:8" ht="30" hidden="1" x14ac:dyDescent="0.2">
      <c r="A832" s="2012">
        <v>3636</v>
      </c>
      <c r="B832" s="2013">
        <v>5031</v>
      </c>
      <c r="C832" s="2013">
        <v>38100880</v>
      </c>
      <c r="D832" s="2014" t="s">
        <v>1299</v>
      </c>
      <c r="E832" s="2015"/>
      <c r="F832" s="2015"/>
      <c r="G832" s="2015"/>
      <c r="H832" s="2016" t="e">
        <f t="shared" si="68"/>
        <v>#DIV/0!</v>
      </c>
    </row>
    <row r="833" spans="1:8" ht="30" hidden="1" x14ac:dyDescent="0.2">
      <c r="A833" s="2012">
        <v>3636</v>
      </c>
      <c r="B833" s="2013">
        <v>5031</v>
      </c>
      <c r="C833" s="2013">
        <v>38500881</v>
      </c>
      <c r="D833" s="2014" t="s">
        <v>1299</v>
      </c>
      <c r="E833" s="2015"/>
      <c r="F833" s="2015"/>
      <c r="G833" s="2015"/>
      <c r="H833" s="2016" t="e">
        <f t="shared" si="68"/>
        <v>#DIV/0!</v>
      </c>
    </row>
    <row r="834" spans="1:8" ht="30" hidden="1" x14ac:dyDescent="0.2">
      <c r="A834" s="2012">
        <v>3636</v>
      </c>
      <c r="B834" s="2013">
        <v>5032</v>
      </c>
      <c r="C834" s="2013">
        <v>38100880</v>
      </c>
      <c r="D834" s="2014" t="s">
        <v>1177</v>
      </c>
      <c r="E834" s="2015"/>
      <c r="F834" s="2015"/>
      <c r="G834" s="2015"/>
      <c r="H834" s="2016" t="e">
        <f t="shared" si="68"/>
        <v>#DIV/0!</v>
      </c>
    </row>
    <row r="835" spans="1:8" ht="30" hidden="1" x14ac:dyDescent="0.2">
      <c r="A835" s="2012">
        <v>3636</v>
      </c>
      <c r="B835" s="2013">
        <v>5032</v>
      </c>
      <c r="C835" s="2013">
        <v>38500881</v>
      </c>
      <c r="D835" s="2014" t="s">
        <v>1177</v>
      </c>
      <c r="E835" s="2015"/>
      <c r="F835" s="2015"/>
      <c r="G835" s="2015"/>
      <c r="H835" s="2016" t="e">
        <f t="shared" si="68"/>
        <v>#DIV/0!</v>
      </c>
    </row>
    <row r="836" spans="1:8" ht="15" hidden="1" x14ac:dyDescent="0.2">
      <c r="A836" s="2012">
        <v>3636</v>
      </c>
      <c r="B836" s="2013">
        <v>5139</v>
      </c>
      <c r="C836" s="2013">
        <v>38100880</v>
      </c>
      <c r="D836" s="2014" t="s">
        <v>270</v>
      </c>
      <c r="E836" s="2015"/>
      <c r="F836" s="2015"/>
      <c r="G836" s="2015"/>
      <c r="H836" s="2016">
        <v>0</v>
      </c>
    </row>
    <row r="837" spans="1:8" ht="15" hidden="1" x14ac:dyDescent="0.2">
      <c r="A837" s="2012">
        <v>3636</v>
      </c>
      <c r="B837" s="2013">
        <v>5139</v>
      </c>
      <c r="C837" s="2013">
        <v>38500881</v>
      </c>
      <c r="D837" s="2014" t="s">
        <v>270</v>
      </c>
      <c r="E837" s="2015"/>
      <c r="F837" s="2015"/>
      <c r="G837" s="2015"/>
      <c r="H837" s="2016" t="e">
        <f t="shared" ref="H837:H849" si="69">G837/F837*100</f>
        <v>#DIV/0!</v>
      </c>
    </row>
    <row r="838" spans="1:8" ht="15" hidden="1" x14ac:dyDescent="0.2">
      <c r="A838" s="2012">
        <v>3636</v>
      </c>
      <c r="B838" s="2013">
        <v>5162</v>
      </c>
      <c r="C838" s="2013">
        <v>38100880</v>
      </c>
      <c r="D838" s="2014" t="s">
        <v>864</v>
      </c>
      <c r="E838" s="2015"/>
      <c r="F838" s="2015"/>
      <c r="G838" s="2015"/>
      <c r="H838" s="2016" t="e">
        <f t="shared" si="69"/>
        <v>#DIV/0!</v>
      </c>
    </row>
    <row r="839" spans="1:8" ht="15" hidden="1" x14ac:dyDescent="0.2">
      <c r="A839" s="2012">
        <v>3636</v>
      </c>
      <c r="B839" s="2013">
        <v>5162</v>
      </c>
      <c r="C839" s="2013">
        <v>38500881</v>
      </c>
      <c r="D839" s="2014" t="s">
        <v>864</v>
      </c>
      <c r="E839" s="2015"/>
      <c r="F839" s="2015"/>
      <c r="G839" s="2015"/>
      <c r="H839" s="2016" t="e">
        <f t="shared" si="69"/>
        <v>#DIV/0!</v>
      </c>
    </row>
    <row r="840" spans="1:8" ht="15" hidden="1" x14ac:dyDescent="0.2">
      <c r="A840" s="2012">
        <v>3636</v>
      </c>
      <c r="B840" s="2013">
        <v>5164</v>
      </c>
      <c r="C840" s="2013">
        <v>38100880</v>
      </c>
      <c r="D840" s="2014" t="s">
        <v>170</v>
      </c>
      <c r="E840" s="2015"/>
      <c r="F840" s="2015"/>
      <c r="G840" s="2015"/>
      <c r="H840" s="2016" t="e">
        <f t="shared" si="69"/>
        <v>#DIV/0!</v>
      </c>
    </row>
    <row r="841" spans="1:8" ht="15" hidden="1" x14ac:dyDescent="0.2">
      <c r="A841" s="2012">
        <v>3636</v>
      </c>
      <c r="B841" s="2013">
        <v>5164</v>
      </c>
      <c r="C841" s="2013">
        <v>38500881</v>
      </c>
      <c r="D841" s="2014" t="s">
        <v>170</v>
      </c>
      <c r="E841" s="2015"/>
      <c r="F841" s="2015"/>
      <c r="G841" s="2015"/>
      <c r="H841" s="2016" t="e">
        <f t="shared" si="69"/>
        <v>#DIV/0!</v>
      </c>
    </row>
    <row r="842" spans="1:8" ht="30" x14ac:dyDescent="0.2">
      <c r="A842" s="2012">
        <v>3123</v>
      </c>
      <c r="B842" s="2013">
        <v>5336</v>
      </c>
      <c r="C842" s="2017">
        <v>32533019</v>
      </c>
      <c r="D842" s="2014" t="s">
        <v>1263</v>
      </c>
      <c r="E842" s="2015">
        <v>0</v>
      </c>
      <c r="F842" s="2015">
        <f>146+1733</f>
        <v>1879</v>
      </c>
      <c r="G842" s="2015">
        <f>130+1700</f>
        <v>1830</v>
      </c>
      <c r="H842" s="2016">
        <f t="shared" si="69"/>
        <v>97.392229909526336</v>
      </c>
    </row>
    <row r="843" spans="1:8" ht="15" hidden="1" x14ac:dyDescent="0.2">
      <c r="A843" s="2012">
        <v>6223</v>
      </c>
      <c r="B843" s="2013">
        <v>5166</v>
      </c>
      <c r="C843" s="2013">
        <v>41100880</v>
      </c>
      <c r="D843" s="2014" t="s">
        <v>609</v>
      </c>
      <c r="E843" s="2015"/>
      <c r="F843" s="2015"/>
      <c r="G843" s="2015"/>
      <c r="H843" s="2016" t="e">
        <f t="shared" si="69"/>
        <v>#DIV/0!</v>
      </c>
    </row>
    <row r="844" spans="1:8" ht="15" hidden="1" x14ac:dyDescent="0.2">
      <c r="A844" s="2012">
        <v>6223</v>
      </c>
      <c r="B844" s="2013">
        <v>5166</v>
      </c>
      <c r="C844" s="2013">
        <v>41100882</v>
      </c>
      <c r="D844" s="2014" t="s">
        <v>609</v>
      </c>
      <c r="E844" s="2015"/>
      <c r="F844" s="2015"/>
      <c r="G844" s="2015"/>
      <c r="H844" s="2016" t="e">
        <f t="shared" si="69"/>
        <v>#DIV/0!</v>
      </c>
    </row>
    <row r="845" spans="1:8" ht="15" hidden="1" x14ac:dyDescent="0.2">
      <c r="A845" s="2012">
        <v>6223</v>
      </c>
      <c r="B845" s="2013">
        <v>5166</v>
      </c>
      <c r="C845" s="2013">
        <v>41500881</v>
      </c>
      <c r="D845" s="2014" t="s">
        <v>609</v>
      </c>
      <c r="E845" s="2015"/>
      <c r="F845" s="2015"/>
      <c r="G845" s="2015"/>
      <c r="H845" s="2016" t="e">
        <f t="shared" si="69"/>
        <v>#DIV/0!</v>
      </c>
    </row>
    <row r="846" spans="1:8" ht="15" hidden="1" x14ac:dyDescent="0.2">
      <c r="A846" s="2012">
        <v>3636</v>
      </c>
      <c r="B846" s="2013">
        <v>5167</v>
      </c>
      <c r="C846" s="2013">
        <v>38100880</v>
      </c>
      <c r="D846" s="2014" t="s">
        <v>895</v>
      </c>
      <c r="E846" s="2015"/>
      <c r="F846" s="2015"/>
      <c r="G846" s="2015"/>
      <c r="H846" s="2016" t="e">
        <f t="shared" si="69"/>
        <v>#DIV/0!</v>
      </c>
    </row>
    <row r="847" spans="1:8" ht="15" hidden="1" x14ac:dyDescent="0.2">
      <c r="A847" s="2012">
        <v>3636</v>
      </c>
      <c r="B847" s="2013">
        <v>5167</v>
      </c>
      <c r="C847" s="2013">
        <v>38500881</v>
      </c>
      <c r="D847" s="2014" t="s">
        <v>895</v>
      </c>
      <c r="E847" s="2015"/>
      <c r="F847" s="2015"/>
      <c r="G847" s="2015"/>
      <c r="H847" s="2016" t="e">
        <f t="shared" si="69"/>
        <v>#DIV/0!</v>
      </c>
    </row>
    <row r="848" spans="1:8" ht="15" hidden="1" x14ac:dyDescent="0.2">
      <c r="A848" s="2012">
        <v>3636</v>
      </c>
      <c r="B848" s="2013">
        <v>5169</v>
      </c>
      <c r="C848" s="2013">
        <v>38100880</v>
      </c>
      <c r="D848" s="2014" t="s">
        <v>852</v>
      </c>
      <c r="E848" s="2015"/>
      <c r="F848" s="2015"/>
      <c r="G848" s="2015"/>
      <c r="H848" s="2016" t="e">
        <f t="shared" si="69"/>
        <v>#DIV/0!</v>
      </c>
    </row>
    <row r="849" spans="1:8" ht="15" hidden="1" x14ac:dyDescent="0.2">
      <c r="A849" s="2012">
        <v>3636</v>
      </c>
      <c r="B849" s="2013">
        <v>5169</v>
      </c>
      <c r="C849" s="2013">
        <v>38500881</v>
      </c>
      <c r="D849" s="2014" t="s">
        <v>852</v>
      </c>
      <c r="E849" s="2015"/>
      <c r="F849" s="2015"/>
      <c r="G849" s="2015"/>
      <c r="H849" s="2016" t="e">
        <f t="shared" si="69"/>
        <v>#DIV/0!</v>
      </c>
    </row>
    <row r="850" spans="1:8" ht="15" hidden="1" x14ac:dyDescent="0.2">
      <c r="A850" s="2012">
        <v>6223</v>
      </c>
      <c r="B850" s="2013">
        <v>5173</v>
      </c>
      <c r="C850" s="2017">
        <v>0</v>
      </c>
      <c r="D850" s="2014" t="s">
        <v>1152</v>
      </c>
      <c r="E850" s="2015"/>
      <c r="F850" s="2015"/>
      <c r="G850" s="2015"/>
      <c r="H850" s="2016">
        <v>0</v>
      </c>
    </row>
    <row r="851" spans="1:8" ht="15" hidden="1" x14ac:dyDescent="0.2">
      <c r="A851" s="2012">
        <v>3636</v>
      </c>
      <c r="B851" s="2013">
        <v>5173</v>
      </c>
      <c r="C851" s="2013">
        <v>38500881</v>
      </c>
      <c r="D851" s="2014" t="s">
        <v>1152</v>
      </c>
      <c r="E851" s="2015">
        <v>0</v>
      </c>
      <c r="F851" s="2015"/>
      <c r="G851" s="2015"/>
      <c r="H851" s="2016" t="e">
        <f t="shared" ref="H851:H858" si="70">G851/F851*100</f>
        <v>#DIV/0!</v>
      </c>
    </row>
    <row r="852" spans="1:8" ht="15" hidden="1" x14ac:dyDescent="0.2">
      <c r="A852" s="2012">
        <v>3636</v>
      </c>
      <c r="B852" s="2013">
        <v>5175</v>
      </c>
      <c r="C852" s="2013">
        <v>38100880</v>
      </c>
      <c r="D852" s="2014" t="s">
        <v>669</v>
      </c>
      <c r="E852" s="2015">
        <v>0</v>
      </c>
      <c r="F852" s="2015"/>
      <c r="G852" s="2015"/>
      <c r="H852" s="2016" t="e">
        <f t="shared" si="70"/>
        <v>#DIV/0!</v>
      </c>
    </row>
    <row r="853" spans="1:8" ht="15" hidden="1" x14ac:dyDescent="0.2">
      <c r="A853" s="2012">
        <v>3636</v>
      </c>
      <c r="B853" s="2013">
        <v>5175</v>
      </c>
      <c r="C853" s="2013">
        <v>38500881</v>
      </c>
      <c r="D853" s="2014" t="s">
        <v>669</v>
      </c>
      <c r="E853" s="2015">
        <v>0</v>
      </c>
      <c r="F853" s="2015"/>
      <c r="G853" s="2015"/>
      <c r="H853" s="2016" t="e">
        <f t="shared" si="70"/>
        <v>#DIV/0!</v>
      </c>
    </row>
    <row r="854" spans="1:8" ht="15" hidden="1" x14ac:dyDescent="0.2">
      <c r="A854" s="2012">
        <v>3636</v>
      </c>
      <c r="B854" s="2013">
        <v>5176</v>
      </c>
      <c r="C854" s="2013">
        <v>38100880</v>
      </c>
      <c r="D854" s="2014" t="s">
        <v>1247</v>
      </c>
      <c r="E854" s="2015">
        <v>0</v>
      </c>
      <c r="F854" s="2015"/>
      <c r="G854" s="2015"/>
      <c r="H854" s="2016" t="e">
        <f t="shared" si="70"/>
        <v>#DIV/0!</v>
      </c>
    </row>
    <row r="855" spans="1:8" ht="15" hidden="1" x14ac:dyDescent="0.2">
      <c r="A855" s="2012">
        <v>3636</v>
      </c>
      <c r="B855" s="2013">
        <v>5176</v>
      </c>
      <c r="C855" s="2013">
        <v>38500881</v>
      </c>
      <c r="D855" s="2014" t="s">
        <v>1247</v>
      </c>
      <c r="E855" s="2015">
        <v>0</v>
      </c>
      <c r="F855" s="2015"/>
      <c r="G855" s="2015"/>
      <c r="H855" s="2016" t="e">
        <f t="shared" si="70"/>
        <v>#DIV/0!</v>
      </c>
    </row>
    <row r="856" spans="1:8" ht="30" x14ac:dyDescent="0.2">
      <c r="A856" s="2012">
        <v>3123</v>
      </c>
      <c r="B856" s="2013">
        <v>6356</v>
      </c>
      <c r="C856" s="2013">
        <v>32133910</v>
      </c>
      <c r="D856" s="2014" t="s">
        <v>1772</v>
      </c>
      <c r="E856" s="2015">
        <v>0</v>
      </c>
      <c r="F856" s="2015">
        <v>156</v>
      </c>
      <c r="G856" s="2015">
        <v>132</v>
      </c>
      <c r="H856" s="2016">
        <f t="shared" si="70"/>
        <v>84.615384615384613</v>
      </c>
    </row>
    <row r="857" spans="1:8" ht="30.75" thickBot="1" x14ac:dyDescent="0.25">
      <c r="A857" s="2012">
        <v>3123</v>
      </c>
      <c r="B857" s="2013">
        <v>6356</v>
      </c>
      <c r="C857" s="2013">
        <v>32533910</v>
      </c>
      <c r="D857" s="2014" t="s">
        <v>1772</v>
      </c>
      <c r="E857" s="2015">
        <v>0</v>
      </c>
      <c r="F857" s="2015">
        <v>883</v>
      </c>
      <c r="G857" s="2015">
        <v>752</v>
      </c>
      <c r="H857" s="2018">
        <f t="shared" si="70"/>
        <v>85.164212910532271</v>
      </c>
    </row>
    <row r="858" spans="1:8" ht="16.5" thickTop="1" thickBot="1" x14ac:dyDescent="0.3">
      <c r="A858" s="2751" t="s">
        <v>763</v>
      </c>
      <c r="B858" s="2752"/>
      <c r="C858" s="2752"/>
      <c r="D858" s="2752"/>
      <c r="E858" s="1818">
        <f>SUM(E828:E857)</f>
        <v>0</v>
      </c>
      <c r="F858" s="1818">
        <f>SUM(F828:F857)</f>
        <v>3250</v>
      </c>
      <c r="G858" s="1818">
        <f>SUM(G828:G857)</f>
        <v>3037</v>
      </c>
      <c r="H858" s="1822">
        <f t="shared" si="70"/>
        <v>93.446153846153848</v>
      </c>
    </row>
    <row r="859" spans="1:8" ht="13.5" thickTop="1" x14ac:dyDescent="0.2"/>
    <row r="860" spans="1:8" ht="12" customHeight="1" x14ac:dyDescent="0.25">
      <c r="A860" s="2760" t="s">
        <v>1790</v>
      </c>
      <c r="B860" s="2761"/>
      <c r="C860" s="2761"/>
      <c r="D860" s="2761"/>
      <c r="E860" s="2761"/>
      <c r="F860" s="2761"/>
      <c r="G860" s="2761"/>
      <c r="H860" s="2761"/>
    </row>
    <row r="861" spans="1:8" ht="15.75" thickBot="1" x14ac:dyDescent="0.3">
      <c r="A861" s="1979" t="s">
        <v>565</v>
      </c>
      <c r="B861" s="1993"/>
      <c r="C861" s="1993"/>
      <c r="E861" s="1994"/>
      <c r="F861" s="1994"/>
      <c r="G861" s="1994"/>
      <c r="H861" s="1995" t="s">
        <v>161</v>
      </c>
    </row>
    <row r="862" spans="1:8" ht="25.5" thickTop="1" thickBot="1" x14ac:dyDescent="0.25">
      <c r="A862" s="1809" t="s">
        <v>162</v>
      </c>
      <c r="B862" s="1810" t="s">
        <v>761</v>
      </c>
      <c r="C862" s="1810" t="s">
        <v>377</v>
      </c>
      <c r="D862" s="1811" t="s">
        <v>164</v>
      </c>
      <c r="E862" s="1833" t="s">
        <v>632</v>
      </c>
      <c r="F862" s="1833" t="s">
        <v>633</v>
      </c>
      <c r="G862" s="1834" t="s">
        <v>882</v>
      </c>
      <c r="H862" s="1835" t="s">
        <v>883</v>
      </c>
    </row>
    <row r="863" spans="1:8" ht="14.25" thickTop="1" thickBot="1" x14ac:dyDescent="0.25">
      <c r="A863" s="1643">
        <v>1</v>
      </c>
      <c r="B863" s="1642">
        <v>2</v>
      </c>
      <c r="C863" s="1642">
        <v>3</v>
      </c>
      <c r="D863" s="1642">
        <v>4</v>
      </c>
      <c r="E863" s="1641">
        <v>5</v>
      </c>
      <c r="F863" s="1641">
        <v>6</v>
      </c>
      <c r="G863" s="1877">
        <v>7</v>
      </c>
      <c r="H863" s="1901" t="s">
        <v>61</v>
      </c>
    </row>
    <row r="864" spans="1:8" ht="15.75" hidden="1" thickTop="1" x14ac:dyDescent="0.2">
      <c r="A864" s="2007">
        <v>3636</v>
      </c>
      <c r="B864" s="2008">
        <v>5011</v>
      </c>
      <c r="C864" s="2017">
        <v>0</v>
      </c>
      <c r="D864" s="2009" t="s">
        <v>206</v>
      </c>
      <c r="E864" s="2010">
        <v>0</v>
      </c>
      <c r="F864" s="2010">
        <v>0</v>
      </c>
      <c r="G864" s="2010">
        <v>0</v>
      </c>
      <c r="H864" s="2011" t="e">
        <f t="shared" ref="H864:H871" si="71">G864/F864*100</f>
        <v>#DIV/0!</v>
      </c>
    </row>
    <row r="865" spans="1:8" ht="15.75" hidden="1" thickTop="1" x14ac:dyDescent="0.2">
      <c r="A865" s="2012">
        <v>3636</v>
      </c>
      <c r="B865" s="2013">
        <v>5011</v>
      </c>
      <c r="C865" s="2013">
        <v>38500881</v>
      </c>
      <c r="D865" s="2014" t="s">
        <v>206</v>
      </c>
      <c r="E865" s="2015">
        <v>0</v>
      </c>
      <c r="F865" s="2015">
        <v>0</v>
      </c>
      <c r="G865" s="2015">
        <v>0</v>
      </c>
      <c r="H865" s="2016" t="e">
        <f t="shared" si="71"/>
        <v>#DIV/0!</v>
      </c>
    </row>
    <row r="866" spans="1:8" ht="30.75" thickTop="1" x14ac:dyDescent="0.2">
      <c r="A866" s="2012">
        <v>3123</v>
      </c>
      <c r="B866" s="2013">
        <v>5336</v>
      </c>
      <c r="C866" s="2017">
        <v>32133019</v>
      </c>
      <c r="D866" s="2014" t="s">
        <v>1263</v>
      </c>
      <c r="E866" s="2015">
        <v>0</v>
      </c>
      <c r="F866" s="2015">
        <f>161+11</f>
        <v>172</v>
      </c>
      <c r="G866" s="2015">
        <f>136+9</f>
        <v>145</v>
      </c>
      <c r="H866" s="2016">
        <f t="shared" si="71"/>
        <v>84.302325581395351</v>
      </c>
    </row>
    <row r="867" spans="1:8" ht="15" hidden="1" x14ac:dyDescent="0.2">
      <c r="A867" s="2012">
        <v>3636</v>
      </c>
      <c r="B867" s="2013">
        <v>5021</v>
      </c>
      <c r="C867" s="2013">
        <v>38500881</v>
      </c>
      <c r="D867" s="2014" t="s">
        <v>389</v>
      </c>
      <c r="E867" s="2015"/>
      <c r="F867" s="2015"/>
      <c r="G867" s="2015"/>
      <c r="H867" s="2016" t="e">
        <f t="shared" si="71"/>
        <v>#DIV/0!</v>
      </c>
    </row>
    <row r="868" spans="1:8" ht="30" hidden="1" x14ac:dyDescent="0.2">
      <c r="A868" s="2012">
        <v>3636</v>
      </c>
      <c r="B868" s="2013">
        <v>5031</v>
      </c>
      <c r="C868" s="2013">
        <v>38100880</v>
      </c>
      <c r="D868" s="2014" t="s">
        <v>1299</v>
      </c>
      <c r="E868" s="2015"/>
      <c r="F868" s="2015"/>
      <c r="G868" s="2015"/>
      <c r="H868" s="2016" t="e">
        <f t="shared" si="71"/>
        <v>#DIV/0!</v>
      </c>
    </row>
    <row r="869" spans="1:8" ht="30" hidden="1" x14ac:dyDescent="0.2">
      <c r="A869" s="2012">
        <v>3636</v>
      </c>
      <c r="B869" s="2013">
        <v>5031</v>
      </c>
      <c r="C869" s="2013">
        <v>38500881</v>
      </c>
      <c r="D869" s="2014" t="s">
        <v>1299</v>
      </c>
      <c r="E869" s="2015"/>
      <c r="F869" s="2015"/>
      <c r="G869" s="2015"/>
      <c r="H869" s="2016" t="e">
        <f t="shared" si="71"/>
        <v>#DIV/0!</v>
      </c>
    </row>
    <row r="870" spans="1:8" ht="30" hidden="1" x14ac:dyDescent="0.2">
      <c r="A870" s="2012">
        <v>3636</v>
      </c>
      <c r="B870" s="2013">
        <v>5032</v>
      </c>
      <c r="C870" s="2013">
        <v>38100880</v>
      </c>
      <c r="D870" s="2014" t="s">
        <v>1177</v>
      </c>
      <c r="E870" s="2015"/>
      <c r="F870" s="2015"/>
      <c r="G870" s="2015"/>
      <c r="H870" s="2016" t="e">
        <f t="shared" si="71"/>
        <v>#DIV/0!</v>
      </c>
    </row>
    <row r="871" spans="1:8" ht="30" hidden="1" x14ac:dyDescent="0.2">
      <c r="A871" s="2012">
        <v>3636</v>
      </c>
      <c r="B871" s="2013">
        <v>5032</v>
      </c>
      <c r="C871" s="2013">
        <v>38500881</v>
      </c>
      <c r="D871" s="2014" t="s">
        <v>1177</v>
      </c>
      <c r="E871" s="2015"/>
      <c r="F871" s="2015"/>
      <c r="G871" s="2015"/>
      <c r="H871" s="2016" t="e">
        <f t="shared" si="71"/>
        <v>#DIV/0!</v>
      </c>
    </row>
    <row r="872" spans="1:8" ht="15" hidden="1" x14ac:dyDescent="0.2">
      <c r="A872" s="2012">
        <v>3636</v>
      </c>
      <c r="B872" s="2013">
        <v>5139</v>
      </c>
      <c r="C872" s="2013">
        <v>38100880</v>
      </c>
      <c r="D872" s="2014" t="s">
        <v>270</v>
      </c>
      <c r="E872" s="2015"/>
      <c r="F872" s="2015"/>
      <c r="G872" s="2015"/>
      <c r="H872" s="2016">
        <v>0</v>
      </c>
    </row>
    <row r="873" spans="1:8" ht="15" hidden="1" x14ac:dyDescent="0.2">
      <c r="A873" s="2012">
        <v>3636</v>
      </c>
      <c r="B873" s="2013">
        <v>5139</v>
      </c>
      <c r="C873" s="2013">
        <v>38500881</v>
      </c>
      <c r="D873" s="2014" t="s">
        <v>270</v>
      </c>
      <c r="E873" s="2015"/>
      <c r="F873" s="2015"/>
      <c r="G873" s="2015"/>
      <c r="H873" s="2016" t="e">
        <f t="shared" ref="H873:H885" si="72">G873/F873*100</f>
        <v>#DIV/0!</v>
      </c>
    </row>
    <row r="874" spans="1:8" ht="15" hidden="1" x14ac:dyDescent="0.2">
      <c r="A874" s="2012">
        <v>3636</v>
      </c>
      <c r="B874" s="2013">
        <v>5162</v>
      </c>
      <c r="C874" s="2013">
        <v>38100880</v>
      </c>
      <c r="D874" s="2014" t="s">
        <v>864</v>
      </c>
      <c r="E874" s="2015"/>
      <c r="F874" s="2015"/>
      <c r="G874" s="2015"/>
      <c r="H874" s="2016" t="e">
        <f t="shared" si="72"/>
        <v>#DIV/0!</v>
      </c>
    </row>
    <row r="875" spans="1:8" ht="15" hidden="1" x14ac:dyDescent="0.2">
      <c r="A875" s="2012">
        <v>3636</v>
      </c>
      <c r="B875" s="2013">
        <v>5162</v>
      </c>
      <c r="C875" s="2013">
        <v>38500881</v>
      </c>
      <c r="D875" s="2014" t="s">
        <v>864</v>
      </c>
      <c r="E875" s="2015"/>
      <c r="F875" s="2015"/>
      <c r="G875" s="2015"/>
      <c r="H875" s="2016" t="e">
        <f t="shared" si="72"/>
        <v>#DIV/0!</v>
      </c>
    </row>
    <row r="876" spans="1:8" ht="15" hidden="1" x14ac:dyDescent="0.2">
      <c r="A876" s="2012">
        <v>3636</v>
      </c>
      <c r="B876" s="2013">
        <v>5164</v>
      </c>
      <c r="C876" s="2013">
        <v>38100880</v>
      </c>
      <c r="D876" s="2014" t="s">
        <v>170</v>
      </c>
      <c r="E876" s="2015"/>
      <c r="F876" s="2015"/>
      <c r="G876" s="2015"/>
      <c r="H876" s="2016" t="e">
        <f t="shared" si="72"/>
        <v>#DIV/0!</v>
      </c>
    </row>
    <row r="877" spans="1:8" ht="15" hidden="1" x14ac:dyDescent="0.2">
      <c r="A877" s="2012">
        <v>3636</v>
      </c>
      <c r="B877" s="2013">
        <v>5164</v>
      </c>
      <c r="C877" s="2013">
        <v>38500881</v>
      </c>
      <c r="D877" s="2014" t="s">
        <v>170</v>
      </c>
      <c r="E877" s="2015"/>
      <c r="F877" s="2015"/>
      <c r="G877" s="2015"/>
      <c r="H877" s="2016" t="e">
        <f t="shared" si="72"/>
        <v>#DIV/0!</v>
      </c>
    </row>
    <row r="878" spans="1:8" ht="30" x14ac:dyDescent="0.2">
      <c r="A878" s="2012">
        <v>3123</v>
      </c>
      <c r="B878" s="2013">
        <v>5336</v>
      </c>
      <c r="C878" s="2017">
        <v>32533019</v>
      </c>
      <c r="D878" s="2014" t="s">
        <v>1263</v>
      </c>
      <c r="E878" s="2015">
        <v>0</v>
      </c>
      <c r="F878" s="2015">
        <f>912+65</f>
        <v>977</v>
      </c>
      <c r="G878" s="2015">
        <f>771+53</f>
        <v>824</v>
      </c>
      <c r="H878" s="2016">
        <f t="shared" si="72"/>
        <v>84.339815762538379</v>
      </c>
    </row>
    <row r="879" spans="1:8" ht="15" hidden="1" x14ac:dyDescent="0.2">
      <c r="A879" s="2012">
        <v>3123</v>
      </c>
      <c r="B879" s="2013">
        <v>5166</v>
      </c>
      <c r="C879" s="2013">
        <v>41100880</v>
      </c>
      <c r="D879" s="2014" t="s">
        <v>609</v>
      </c>
      <c r="E879" s="2015"/>
      <c r="F879" s="2015"/>
      <c r="G879" s="2015"/>
      <c r="H879" s="2016" t="e">
        <f t="shared" si="72"/>
        <v>#DIV/0!</v>
      </c>
    </row>
    <row r="880" spans="1:8" ht="15" hidden="1" x14ac:dyDescent="0.2">
      <c r="A880" s="2012">
        <v>3123</v>
      </c>
      <c r="B880" s="2013">
        <v>5166</v>
      </c>
      <c r="C880" s="2013">
        <v>41100882</v>
      </c>
      <c r="D880" s="2014" t="s">
        <v>609</v>
      </c>
      <c r="E880" s="2015"/>
      <c r="F880" s="2015"/>
      <c r="G880" s="2015"/>
      <c r="H880" s="2016" t="e">
        <f t="shared" si="72"/>
        <v>#DIV/0!</v>
      </c>
    </row>
    <row r="881" spans="1:8" ht="15" hidden="1" x14ac:dyDescent="0.2">
      <c r="A881" s="2012">
        <v>3123</v>
      </c>
      <c r="B881" s="2013">
        <v>5166</v>
      </c>
      <c r="C881" s="2013">
        <v>41500881</v>
      </c>
      <c r="D881" s="2014" t="s">
        <v>609</v>
      </c>
      <c r="E881" s="2015"/>
      <c r="F881" s="2015"/>
      <c r="G881" s="2015"/>
      <c r="H881" s="2016" t="e">
        <f t="shared" si="72"/>
        <v>#DIV/0!</v>
      </c>
    </row>
    <row r="882" spans="1:8" ht="15" hidden="1" x14ac:dyDescent="0.2">
      <c r="A882" s="2012">
        <v>3123</v>
      </c>
      <c r="B882" s="2013">
        <v>5167</v>
      </c>
      <c r="C882" s="2013">
        <v>38100880</v>
      </c>
      <c r="D882" s="2014" t="s">
        <v>895</v>
      </c>
      <c r="E882" s="2015"/>
      <c r="F882" s="2015"/>
      <c r="G882" s="2015"/>
      <c r="H882" s="2016" t="e">
        <f t="shared" si="72"/>
        <v>#DIV/0!</v>
      </c>
    </row>
    <row r="883" spans="1:8" ht="15" hidden="1" x14ac:dyDescent="0.2">
      <c r="A883" s="2012">
        <v>3123</v>
      </c>
      <c r="B883" s="2013">
        <v>5167</v>
      </c>
      <c r="C883" s="2013">
        <v>38500881</v>
      </c>
      <c r="D883" s="2014" t="s">
        <v>895</v>
      </c>
      <c r="E883" s="2015"/>
      <c r="F883" s="2015"/>
      <c r="G883" s="2015"/>
      <c r="H883" s="2016" t="e">
        <f t="shared" si="72"/>
        <v>#DIV/0!</v>
      </c>
    </row>
    <row r="884" spans="1:8" ht="15" hidden="1" x14ac:dyDescent="0.2">
      <c r="A884" s="2012">
        <v>3123</v>
      </c>
      <c r="B884" s="2013">
        <v>5169</v>
      </c>
      <c r="C884" s="2013">
        <v>38100880</v>
      </c>
      <c r="D884" s="2014" t="s">
        <v>852</v>
      </c>
      <c r="E884" s="2015"/>
      <c r="F884" s="2015"/>
      <c r="G884" s="2015"/>
      <c r="H884" s="2016" t="e">
        <f t="shared" si="72"/>
        <v>#DIV/0!</v>
      </c>
    </row>
    <row r="885" spans="1:8" ht="15" hidden="1" x14ac:dyDescent="0.2">
      <c r="A885" s="2012">
        <v>3123</v>
      </c>
      <c r="B885" s="2013">
        <v>5169</v>
      </c>
      <c r="C885" s="2013">
        <v>38500881</v>
      </c>
      <c r="D885" s="2014" t="s">
        <v>852</v>
      </c>
      <c r="E885" s="2015"/>
      <c r="F885" s="2015"/>
      <c r="G885" s="2015"/>
      <c r="H885" s="2016" t="e">
        <f t="shared" si="72"/>
        <v>#DIV/0!</v>
      </c>
    </row>
    <row r="886" spans="1:8" ht="15" hidden="1" x14ac:dyDescent="0.2">
      <c r="A886" s="2012">
        <v>3123</v>
      </c>
      <c r="B886" s="2013">
        <v>5173</v>
      </c>
      <c r="C886" s="2017">
        <v>0</v>
      </c>
      <c r="D886" s="2014" t="s">
        <v>1152</v>
      </c>
      <c r="E886" s="2015"/>
      <c r="F886" s="2015"/>
      <c r="G886" s="2015"/>
      <c r="H886" s="2016">
        <v>0</v>
      </c>
    </row>
    <row r="887" spans="1:8" ht="15" hidden="1" x14ac:dyDescent="0.2">
      <c r="A887" s="2012">
        <v>3123</v>
      </c>
      <c r="B887" s="2013">
        <v>5173</v>
      </c>
      <c r="C887" s="2013">
        <v>38500881</v>
      </c>
      <c r="D887" s="2014" t="s">
        <v>1152</v>
      </c>
      <c r="E887" s="2015">
        <v>0</v>
      </c>
      <c r="F887" s="2015"/>
      <c r="G887" s="2015"/>
      <c r="H887" s="2016" t="e">
        <f t="shared" ref="H887:H894" si="73">G887/F887*100</f>
        <v>#DIV/0!</v>
      </c>
    </row>
    <row r="888" spans="1:8" ht="15" hidden="1" x14ac:dyDescent="0.2">
      <c r="A888" s="2012">
        <v>3123</v>
      </c>
      <c r="B888" s="2013">
        <v>5175</v>
      </c>
      <c r="C888" s="2013">
        <v>38100880</v>
      </c>
      <c r="D888" s="2014" t="s">
        <v>669</v>
      </c>
      <c r="E888" s="2015">
        <v>0</v>
      </c>
      <c r="F888" s="2015"/>
      <c r="G888" s="2015"/>
      <c r="H888" s="2016" t="e">
        <f t="shared" si="73"/>
        <v>#DIV/0!</v>
      </c>
    </row>
    <row r="889" spans="1:8" ht="15" hidden="1" x14ac:dyDescent="0.2">
      <c r="A889" s="2012">
        <v>3123</v>
      </c>
      <c r="B889" s="2013">
        <v>5175</v>
      </c>
      <c r="C889" s="2013">
        <v>38500881</v>
      </c>
      <c r="D889" s="2014" t="s">
        <v>669</v>
      </c>
      <c r="E889" s="2015">
        <v>0</v>
      </c>
      <c r="F889" s="2015"/>
      <c r="G889" s="2015"/>
      <c r="H889" s="2016" t="e">
        <f t="shared" si="73"/>
        <v>#DIV/0!</v>
      </c>
    </row>
    <row r="890" spans="1:8" ht="15" hidden="1" x14ac:dyDescent="0.2">
      <c r="A890" s="2012">
        <v>3123</v>
      </c>
      <c r="B890" s="2013">
        <v>5176</v>
      </c>
      <c r="C890" s="2013">
        <v>38100880</v>
      </c>
      <c r="D890" s="2014" t="s">
        <v>1247</v>
      </c>
      <c r="E890" s="2015">
        <v>0</v>
      </c>
      <c r="F890" s="2015"/>
      <c r="G890" s="2015"/>
      <c r="H890" s="2016" t="e">
        <f t="shared" si="73"/>
        <v>#DIV/0!</v>
      </c>
    </row>
    <row r="891" spans="1:8" ht="15" hidden="1" x14ac:dyDescent="0.2">
      <c r="A891" s="2012">
        <v>3123</v>
      </c>
      <c r="B891" s="2013">
        <v>5176</v>
      </c>
      <c r="C891" s="2013">
        <v>38500881</v>
      </c>
      <c r="D891" s="2014" t="s">
        <v>1247</v>
      </c>
      <c r="E891" s="2015">
        <v>0</v>
      </c>
      <c r="F891" s="2015"/>
      <c r="G891" s="2015"/>
      <c r="H891" s="2016" t="e">
        <f t="shared" si="73"/>
        <v>#DIV/0!</v>
      </c>
    </row>
    <row r="892" spans="1:8" ht="30" x14ac:dyDescent="0.2">
      <c r="A892" s="2012">
        <v>3123</v>
      </c>
      <c r="B892" s="2013">
        <v>6356</v>
      </c>
      <c r="C892" s="2013">
        <v>32133910</v>
      </c>
      <c r="D892" s="2014" t="s">
        <v>1772</v>
      </c>
      <c r="E892" s="2015">
        <v>0</v>
      </c>
      <c r="F892" s="2015">
        <v>112</v>
      </c>
      <c r="G892" s="2015">
        <v>112</v>
      </c>
      <c r="H892" s="2016">
        <f t="shared" si="73"/>
        <v>100</v>
      </c>
    </row>
    <row r="893" spans="1:8" ht="30.75" thickBot="1" x14ac:dyDescent="0.25">
      <c r="A893" s="2012">
        <v>3123</v>
      </c>
      <c r="B893" s="2013">
        <v>6356</v>
      </c>
      <c r="C893" s="2013">
        <v>32533910</v>
      </c>
      <c r="D893" s="2014" t="s">
        <v>1772</v>
      </c>
      <c r="E893" s="2015">
        <v>0</v>
      </c>
      <c r="F893" s="2015">
        <v>636</v>
      </c>
      <c r="G893" s="2015">
        <v>636</v>
      </c>
      <c r="H893" s="2018">
        <f t="shared" si="73"/>
        <v>100</v>
      </c>
    </row>
    <row r="894" spans="1:8" ht="16.5" thickTop="1" thickBot="1" x14ac:dyDescent="0.3">
      <c r="A894" s="2751" t="s">
        <v>763</v>
      </c>
      <c r="B894" s="2752"/>
      <c r="C894" s="2752"/>
      <c r="D894" s="2752"/>
      <c r="E894" s="1818">
        <f>SUM(E864:E893)</f>
        <v>0</v>
      </c>
      <c r="F894" s="1818">
        <f>SUM(F864:F893)</f>
        <v>1897</v>
      </c>
      <c r="G894" s="1818">
        <f>SUM(G864:G893)</f>
        <v>1717</v>
      </c>
      <c r="H894" s="1822">
        <f t="shared" si="73"/>
        <v>90.511333684765418</v>
      </c>
    </row>
    <row r="895" spans="1:8" ht="13.5" thickTop="1" x14ac:dyDescent="0.2"/>
    <row r="896" spans="1:8" ht="12" hidden="1" customHeight="1" x14ac:dyDescent="0.25">
      <c r="A896" s="2760" t="s">
        <v>1791</v>
      </c>
      <c r="B896" s="2761"/>
      <c r="C896" s="2761"/>
      <c r="D896" s="2761"/>
      <c r="E896" s="2761"/>
      <c r="F896" s="2761"/>
      <c r="G896" s="2761"/>
      <c r="H896" s="2761"/>
    </row>
    <row r="897" spans="1:8" ht="15" hidden="1" x14ac:dyDescent="0.25">
      <c r="A897" s="1979" t="s">
        <v>1792</v>
      </c>
      <c r="B897" s="1993"/>
      <c r="C897" s="1993"/>
      <c r="E897" s="1994"/>
      <c r="F897" s="1994"/>
      <c r="G897" s="1994"/>
      <c r="H897" s="1995" t="s">
        <v>161</v>
      </c>
    </row>
    <row r="898" spans="1:8" ht="25.5" hidden="1" thickTop="1" thickBot="1" x14ac:dyDescent="0.25">
      <c r="A898" s="1809" t="s">
        <v>162</v>
      </c>
      <c r="B898" s="1810" t="s">
        <v>761</v>
      </c>
      <c r="C898" s="1810" t="s">
        <v>377</v>
      </c>
      <c r="D898" s="1811" t="s">
        <v>164</v>
      </c>
      <c r="E898" s="1833" t="s">
        <v>632</v>
      </c>
      <c r="F898" s="1833" t="s">
        <v>633</v>
      </c>
      <c r="G898" s="1834" t="s">
        <v>882</v>
      </c>
      <c r="H898" s="1835" t="s">
        <v>883</v>
      </c>
    </row>
    <row r="899" spans="1:8" ht="14.25" hidden="1" thickTop="1" thickBot="1" x14ac:dyDescent="0.25">
      <c r="A899" s="1643">
        <v>1</v>
      </c>
      <c r="B899" s="1642">
        <v>2</v>
      </c>
      <c r="C899" s="1642">
        <v>3</v>
      </c>
      <c r="D899" s="1642">
        <v>4</v>
      </c>
      <c r="E899" s="1641">
        <v>5</v>
      </c>
      <c r="F899" s="1641">
        <v>6</v>
      </c>
      <c r="G899" s="1877">
        <v>7</v>
      </c>
      <c r="H899" s="1901" t="s">
        <v>61</v>
      </c>
    </row>
    <row r="900" spans="1:8" ht="15.75" hidden="1" thickTop="1" x14ac:dyDescent="0.2">
      <c r="A900" s="2007">
        <v>3636</v>
      </c>
      <c r="B900" s="2008">
        <v>5011</v>
      </c>
      <c r="C900" s="2017">
        <v>0</v>
      </c>
      <c r="D900" s="2009" t="s">
        <v>206</v>
      </c>
      <c r="E900" s="2010">
        <v>0</v>
      </c>
      <c r="F900" s="2010">
        <v>0</v>
      </c>
      <c r="G900" s="2010">
        <v>0</v>
      </c>
      <c r="H900" s="2011" t="e">
        <f>G900/F900*100</f>
        <v>#DIV/0!</v>
      </c>
    </row>
    <row r="901" spans="1:8" ht="15" hidden="1" x14ac:dyDescent="0.2">
      <c r="A901" s="2012">
        <v>3636</v>
      </c>
      <c r="B901" s="2013">
        <v>5011</v>
      </c>
      <c r="C901" s="2013">
        <v>38500881</v>
      </c>
      <c r="D901" s="2014" t="s">
        <v>206</v>
      </c>
      <c r="E901" s="2015">
        <v>0</v>
      </c>
      <c r="F901" s="2015">
        <v>0</v>
      </c>
      <c r="G901" s="2015">
        <v>0</v>
      </c>
      <c r="H901" s="2016" t="e">
        <f>G901/F901*100</f>
        <v>#DIV/0!</v>
      </c>
    </row>
    <row r="902" spans="1:8" ht="30" hidden="1" x14ac:dyDescent="0.2">
      <c r="A902" s="2012">
        <v>3123</v>
      </c>
      <c r="B902" s="2013">
        <v>5336</v>
      </c>
      <c r="C902" s="2017">
        <v>32133019</v>
      </c>
      <c r="D902" s="2014" t="s">
        <v>1263</v>
      </c>
      <c r="E902" s="2015">
        <v>0</v>
      </c>
      <c r="F902" s="2015">
        <v>0</v>
      </c>
      <c r="G902" s="2015">
        <v>0</v>
      </c>
      <c r="H902" s="2016">
        <v>0</v>
      </c>
    </row>
    <row r="903" spans="1:8" ht="15" hidden="1" x14ac:dyDescent="0.2">
      <c r="A903" s="2012">
        <v>3636</v>
      </c>
      <c r="B903" s="2013">
        <v>5021</v>
      </c>
      <c r="C903" s="2013">
        <v>38500881</v>
      </c>
      <c r="D903" s="2014" t="s">
        <v>389</v>
      </c>
      <c r="E903" s="2015"/>
      <c r="F903" s="2015"/>
      <c r="G903" s="2015"/>
      <c r="H903" s="2016" t="e">
        <f>G903/F903*100</f>
        <v>#DIV/0!</v>
      </c>
    </row>
    <row r="904" spans="1:8" ht="30" hidden="1" x14ac:dyDescent="0.2">
      <c r="A904" s="2012">
        <v>3636</v>
      </c>
      <c r="B904" s="2013">
        <v>5031</v>
      </c>
      <c r="C904" s="2013">
        <v>38100880</v>
      </c>
      <c r="D904" s="2014" t="s">
        <v>1299</v>
      </c>
      <c r="E904" s="2015"/>
      <c r="F904" s="2015"/>
      <c r="G904" s="2015"/>
      <c r="H904" s="2016" t="e">
        <f>G904/F904*100</f>
        <v>#DIV/0!</v>
      </c>
    </row>
    <row r="905" spans="1:8" ht="30" hidden="1" x14ac:dyDescent="0.2">
      <c r="A905" s="2012">
        <v>3636</v>
      </c>
      <c r="B905" s="2013">
        <v>5031</v>
      </c>
      <c r="C905" s="2013">
        <v>38500881</v>
      </c>
      <c r="D905" s="2014" t="s">
        <v>1299</v>
      </c>
      <c r="E905" s="2015"/>
      <c r="F905" s="2015"/>
      <c r="G905" s="2015"/>
      <c r="H905" s="2016" t="e">
        <f>G905/F905*100</f>
        <v>#DIV/0!</v>
      </c>
    </row>
    <row r="906" spans="1:8" ht="30" hidden="1" x14ac:dyDescent="0.2">
      <c r="A906" s="2012">
        <v>3636</v>
      </c>
      <c r="B906" s="2013">
        <v>5032</v>
      </c>
      <c r="C906" s="2013">
        <v>38100880</v>
      </c>
      <c r="D906" s="2014" t="s">
        <v>1177</v>
      </c>
      <c r="E906" s="2015"/>
      <c r="F906" s="2015"/>
      <c r="G906" s="2015"/>
      <c r="H906" s="2016" t="e">
        <f>G906/F906*100</f>
        <v>#DIV/0!</v>
      </c>
    </row>
    <row r="907" spans="1:8" ht="30" hidden="1" x14ac:dyDescent="0.2">
      <c r="A907" s="2012">
        <v>3636</v>
      </c>
      <c r="B907" s="2013">
        <v>5032</v>
      </c>
      <c r="C907" s="2013">
        <v>38500881</v>
      </c>
      <c r="D907" s="2014" t="s">
        <v>1177</v>
      </c>
      <c r="E907" s="2015"/>
      <c r="F907" s="2015"/>
      <c r="G907" s="2015"/>
      <c r="H907" s="2016" t="e">
        <f>G907/F907*100</f>
        <v>#DIV/0!</v>
      </c>
    </row>
    <row r="908" spans="1:8" ht="15" hidden="1" x14ac:dyDescent="0.2">
      <c r="A908" s="2012">
        <v>3636</v>
      </c>
      <c r="B908" s="2013">
        <v>5139</v>
      </c>
      <c r="C908" s="2013">
        <v>38100880</v>
      </c>
      <c r="D908" s="2014" t="s">
        <v>270</v>
      </c>
      <c r="E908" s="2015"/>
      <c r="F908" s="2015"/>
      <c r="G908" s="2015"/>
      <c r="H908" s="2016">
        <v>0</v>
      </c>
    </row>
    <row r="909" spans="1:8" ht="15" hidden="1" x14ac:dyDescent="0.2">
      <c r="A909" s="2012">
        <v>3636</v>
      </c>
      <c r="B909" s="2013">
        <v>5139</v>
      </c>
      <c r="C909" s="2013">
        <v>38500881</v>
      </c>
      <c r="D909" s="2014" t="s">
        <v>270</v>
      </c>
      <c r="E909" s="2015"/>
      <c r="F909" s="2015"/>
      <c r="G909" s="2015"/>
      <c r="H909" s="2016" t="e">
        <f t="shared" ref="H909:H921" si="74">G909/F909*100</f>
        <v>#DIV/0!</v>
      </c>
    </row>
    <row r="910" spans="1:8" ht="15" hidden="1" x14ac:dyDescent="0.2">
      <c r="A910" s="2012">
        <v>3636</v>
      </c>
      <c r="B910" s="2013">
        <v>5162</v>
      </c>
      <c r="C910" s="2013">
        <v>38100880</v>
      </c>
      <c r="D910" s="2014" t="s">
        <v>864</v>
      </c>
      <c r="E910" s="2015"/>
      <c r="F910" s="2015"/>
      <c r="G910" s="2015"/>
      <c r="H910" s="2016" t="e">
        <f t="shared" si="74"/>
        <v>#DIV/0!</v>
      </c>
    </row>
    <row r="911" spans="1:8" ht="15" hidden="1" x14ac:dyDescent="0.2">
      <c r="A911" s="2012">
        <v>3636</v>
      </c>
      <c r="B911" s="2013">
        <v>5162</v>
      </c>
      <c r="C911" s="2013">
        <v>38500881</v>
      </c>
      <c r="D911" s="2014" t="s">
        <v>864</v>
      </c>
      <c r="E911" s="2015"/>
      <c r="F911" s="2015"/>
      <c r="G911" s="2015"/>
      <c r="H911" s="2016" t="e">
        <f t="shared" si="74"/>
        <v>#DIV/0!</v>
      </c>
    </row>
    <row r="912" spans="1:8" ht="15" hidden="1" x14ac:dyDescent="0.2">
      <c r="A912" s="2012">
        <v>3636</v>
      </c>
      <c r="B912" s="2013">
        <v>5164</v>
      </c>
      <c r="C912" s="2013">
        <v>38100880</v>
      </c>
      <c r="D912" s="2014" t="s">
        <v>170</v>
      </c>
      <c r="E912" s="2015"/>
      <c r="F912" s="2015"/>
      <c r="G912" s="2015"/>
      <c r="H912" s="2016" t="e">
        <f t="shared" si="74"/>
        <v>#DIV/0!</v>
      </c>
    </row>
    <row r="913" spans="1:8" ht="15" hidden="1" x14ac:dyDescent="0.2">
      <c r="A913" s="2012">
        <v>3636</v>
      </c>
      <c r="B913" s="2013">
        <v>5164</v>
      </c>
      <c r="C913" s="2013">
        <v>38500881</v>
      </c>
      <c r="D913" s="2014" t="s">
        <v>170</v>
      </c>
      <c r="E913" s="2015"/>
      <c r="F913" s="2015"/>
      <c r="G913" s="2015"/>
      <c r="H913" s="2016" t="e">
        <f t="shared" si="74"/>
        <v>#DIV/0!</v>
      </c>
    </row>
    <row r="914" spans="1:8" ht="30" hidden="1" x14ac:dyDescent="0.2">
      <c r="A914" s="2012">
        <v>3123</v>
      </c>
      <c r="B914" s="2013">
        <v>5336</v>
      </c>
      <c r="C914" s="2017">
        <v>32533019</v>
      </c>
      <c r="D914" s="2014" t="s">
        <v>1263</v>
      </c>
      <c r="E914" s="2015">
        <v>0</v>
      </c>
      <c r="F914" s="2015"/>
      <c r="G914" s="2015">
        <v>0</v>
      </c>
      <c r="H914" s="2016" t="e">
        <f t="shared" si="74"/>
        <v>#DIV/0!</v>
      </c>
    </row>
    <row r="915" spans="1:8" ht="15" hidden="1" x14ac:dyDescent="0.2">
      <c r="A915" s="2012">
        <v>6223</v>
      </c>
      <c r="B915" s="2013">
        <v>5166</v>
      </c>
      <c r="C915" s="2013">
        <v>41100880</v>
      </c>
      <c r="D915" s="2014" t="s">
        <v>609</v>
      </c>
      <c r="E915" s="2015"/>
      <c r="F915" s="2015"/>
      <c r="G915" s="2015"/>
      <c r="H915" s="2016" t="e">
        <f t="shared" si="74"/>
        <v>#DIV/0!</v>
      </c>
    </row>
    <row r="916" spans="1:8" ht="15" hidden="1" x14ac:dyDescent="0.2">
      <c r="A916" s="2012">
        <v>6223</v>
      </c>
      <c r="B916" s="2013">
        <v>5166</v>
      </c>
      <c r="C916" s="2013">
        <v>41100882</v>
      </c>
      <c r="D916" s="2014" t="s">
        <v>609</v>
      </c>
      <c r="E916" s="2015"/>
      <c r="F916" s="2015"/>
      <c r="G916" s="2015"/>
      <c r="H916" s="2016" t="e">
        <f t="shared" si="74"/>
        <v>#DIV/0!</v>
      </c>
    </row>
    <row r="917" spans="1:8" ht="15" hidden="1" x14ac:dyDescent="0.2">
      <c r="A917" s="2012">
        <v>6223</v>
      </c>
      <c r="B917" s="2013">
        <v>5166</v>
      </c>
      <c r="C917" s="2013">
        <v>41500881</v>
      </c>
      <c r="D917" s="2014" t="s">
        <v>609</v>
      </c>
      <c r="E917" s="2015"/>
      <c r="F917" s="2015"/>
      <c r="G917" s="2015"/>
      <c r="H917" s="2016" t="e">
        <f t="shared" si="74"/>
        <v>#DIV/0!</v>
      </c>
    </row>
    <row r="918" spans="1:8" ht="15" hidden="1" x14ac:dyDescent="0.2">
      <c r="A918" s="2012">
        <v>3636</v>
      </c>
      <c r="B918" s="2013">
        <v>5167</v>
      </c>
      <c r="C918" s="2013">
        <v>38100880</v>
      </c>
      <c r="D918" s="2014" t="s">
        <v>895</v>
      </c>
      <c r="E918" s="2015"/>
      <c r="F918" s="2015"/>
      <c r="G918" s="2015"/>
      <c r="H918" s="2016" t="e">
        <f t="shared" si="74"/>
        <v>#DIV/0!</v>
      </c>
    </row>
    <row r="919" spans="1:8" ht="15" hidden="1" x14ac:dyDescent="0.2">
      <c r="A919" s="2012">
        <v>3636</v>
      </c>
      <c r="B919" s="2013">
        <v>5167</v>
      </c>
      <c r="C919" s="2013">
        <v>38500881</v>
      </c>
      <c r="D919" s="2014" t="s">
        <v>895</v>
      </c>
      <c r="E919" s="2015"/>
      <c r="F919" s="2015"/>
      <c r="G919" s="2015"/>
      <c r="H919" s="2016" t="e">
        <f t="shared" si="74"/>
        <v>#DIV/0!</v>
      </c>
    </row>
    <row r="920" spans="1:8" ht="15" hidden="1" x14ac:dyDescent="0.2">
      <c r="A920" s="2012">
        <v>3636</v>
      </c>
      <c r="B920" s="2013">
        <v>5169</v>
      </c>
      <c r="C920" s="2013">
        <v>38100880</v>
      </c>
      <c r="D920" s="2014" t="s">
        <v>852</v>
      </c>
      <c r="E920" s="2015"/>
      <c r="F920" s="2015"/>
      <c r="G920" s="2015"/>
      <c r="H920" s="2016" t="e">
        <f t="shared" si="74"/>
        <v>#DIV/0!</v>
      </c>
    </row>
    <row r="921" spans="1:8" ht="15" hidden="1" x14ac:dyDescent="0.2">
      <c r="A921" s="2012">
        <v>3636</v>
      </c>
      <c r="B921" s="2013">
        <v>5169</v>
      </c>
      <c r="C921" s="2013">
        <v>38500881</v>
      </c>
      <c r="D921" s="2014" t="s">
        <v>852</v>
      </c>
      <c r="E921" s="2015"/>
      <c r="F921" s="2015"/>
      <c r="G921" s="2015"/>
      <c r="H921" s="2016" t="e">
        <f t="shared" si="74"/>
        <v>#DIV/0!</v>
      </c>
    </row>
    <row r="922" spans="1:8" ht="15" hidden="1" x14ac:dyDescent="0.2">
      <c r="A922" s="2012">
        <v>6223</v>
      </c>
      <c r="B922" s="2013">
        <v>5173</v>
      </c>
      <c r="C922" s="2017">
        <v>0</v>
      </c>
      <c r="D922" s="2014" t="s">
        <v>1152</v>
      </c>
      <c r="E922" s="2015"/>
      <c r="F922" s="2015"/>
      <c r="G922" s="2015"/>
      <c r="H922" s="2016">
        <v>0</v>
      </c>
    </row>
    <row r="923" spans="1:8" ht="15" hidden="1" x14ac:dyDescent="0.2">
      <c r="A923" s="2012">
        <v>3636</v>
      </c>
      <c r="B923" s="2013">
        <v>5173</v>
      </c>
      <c r="C923" s="2013">
        <v>38500881</v>
      </c>
      <c r="D923" s="2014" t="s">
        <v>1152</v>
      </c>
      <c r="E923" s="2015">
        <v>0</v>
      </c>
      <c r="F923" s="2015"/>
      <c r="G923" s="2015"/>
      <c r="H923" s="2016" t="e">
        <f t="shared" ref="H923:H930" si="75">G923/F923*100</f>
        <v>#DIV/0!</v>
      </c>
    </row>
    <row r="924" spans="1:8" ht="15" hidden="1" x14ac:dyDescent="0.2">
      <c r="A924" s="2012">
        <v>3636</v>
      </c>
      <c r="B924" s="2013">
        <v>5175</v>
      </c>
      <c r="C924" s="2013">
        <v>38100880</v>
      </c>
      <c r="D924" s="2014" t="s">
        <v>669</v>
      </c>
      <c r="E924" s="2015">
        <v>0</v>
      </c>
      <c r="F924" s="2015"/>
      <c r="G924" s="2015"/>
      <c r="H924" s="2016" t="e">
        <f t="shared" si="75"/>
        <v>#DIV/0!</v>
      </c>
    </row>
    <row r="925" spans="1:8" ht="15" hidden="1" x14ac:dyDescent="0.2">
      <c r="A925" s="2012">
        <v>3636</v>
      </c>
      <c r="B925" s="2013">
        <v>5175</v>
      </c>
      <c r="C925" s="2013">
        <v>38500881</v>
      </c>
      <c r="D925" s="2014" t="s">
        <v>669</v>
      </c>
      <c r="E925" s="2015">
        <v>0</v>
      </c>
      <c r="F925" s="2015"/>
      <c r="G925" s="2015"/>
      <c r="H925" s="2016" t="e">
        <f t="shared" si="75"/>
        <v>#DIV/0!</v>
      </c>
    </row>
    <row r="926" spans="1:8" ht="15" hidden="1" x14ac:dyDescent="0.2">
      <c r="A926" s="2012">
        <v>3636</v>
      </c>
      <c r="B926" s="2013">
        <v>5176</v>
      </c>
      <c r="C926" s="2013">
        <v>38100880</v>
      </c>
      <c r="D926" s="2014" t="s">
        <v>1247</v>
      </c>
      <c r="E926" s="2015">
        <v>0</v>
      </c>
      <c r="F926" s="2015"/>
      <c r="G926" s="2015"/>
      <c r="H926" s="2016" t="e">
        <f t="shared" si="75"/>
        <v>#DIV/0!</v>
      </c>
    </row>
    <row r="927" spans="1:8" ht="15" hidden="1" x14ac:dyDescent="0.2">
      <c r="A927" s="2012">
        <v>3636</v>
      </c>
      <c r="B927" s="2013">
        <v>5176</v>
      </c>
      <c r="C927" s="2013">
        <v>38500881</v>
      </c>
      <c r="D927" s="2014" t="s">
        <v>1247</v>
      </c>
      <c r="E927" s="2015">
        <v>0</v>
      </c>
      <c r="F927" s="2015"/>
      <c r="G927" s="2015"/>
      <c r="H927" s="2016" t="e">
        <f t="shared" si="75"/>
        <v>#DIV/0!</v>
      </c>
    </row>
    <row r="928" spans="1:8" ht="15" hidden="1" x14ac:dyDescent="0.2">
      <c r="A928" s="2012">
        <v>3636</v>
      </c>
      <c r="B928" s="2013">
        <v>6901</v>
      </c>
      <c r="C928" s="2013">
        <v>38100880</v>
      </c>
      <c r="D928" s="2014" t="s">
        <v>428</v>
      </c>
      <c r="E928" s="2015">
        <v>0</v>
      </c>
      <c r="F928" s="2015">
        <v>0</v>
      </c>
      <c r="G928" s="2015">
        <v>0</v>
      </c>
      <c r="H928" s="2016" t="e">
        <f t="shared" si="75"/>
        <v>#DIV/0!</v>
      </c>
    </row>
    <row r="929" spans="1:8" ht="15.75" hidden="1" thickBot="1" x14ac:dyDescent="0.25">
      <c r="A929" s="2012">
        <v>3636</v>
      </c>
      <c r="B929" s="2013">
        <v>5363</v>
      </c>
      <c r="C929" s="2013">
        <v>38500881</v>
      </c>
      <c r="D929" s="2014" t="s">
        <v>549</v>
      </c>
      <c r="E929" s="2015">
        <v>0</v>
      </c>
      <c r="F929" s="2015">
        <v>0</v>
      </c>
      <c r="G929" s="2015">
        <v>0</v>
      </c>
      <c r="H929" s="2018" t="e">
        <f t="shared" si="75"/>
        <v>#DIV/0!</v>
      </c>
    </row>
    <row r="930" spans="1:8" ht="16.5" hidden="1" thickTop="1" thickBot="1" x14ac:dyDescent="0.3">
      <c r="A930" s="2751" t="s">
        <v>763</v>
      </c>
      <c r="B930" s="2752"/>
      <c r="C930" s="2752"/>
      <c r="D930" s="2752"/>
      <c r="E930" s="1818">
        <f>SUM(E900:E929)</f>
        <v>0</v>
      </c>
      <c r="F930" s="1818">
        <f>SUM(F900:F929)</f>
        <v>0</v>
      </c>
      <c r="G930" s="1818">
        <f>SUM(G900:G929)</f>
        <v>0</v>
      </c>
      <c r="H930" s="1822" t="e">
        <f t="shared" si="75"/>
        <v>#DIV/0!</v>
      </c>
    </row>
    <row r="932" spans="1:8" ht="12" customHeight="1" x14ac:dyDescent="0.25">
      <c r="A932" s="2760" t="s">
        <v>322</v>
      </c>
      <c r="B932" s="2761"/>
      <c r="C932" s="2761"/>
      <c r="D932" s="2761"/>
      <c r="E932" s="2761"/>
      <c r="F932" s="2761"/>
      <c r="G932" s="2761"/>
      <c r="H932" s="2761"/>
    </row>
    <row r="933" spans="1:8" ht="15.75" thickBot="1" x14ac:dyDescent="0.3">
      <c r="A933" s="1979" t="s">
        <v>1739</v>
      </c>
      <c r="B933" s="1993"/>
      <c r="C933" s="1993"/>
      <c r="E933" s="1994"/>
      <c r="F933" s="1994"/>
      <c r="G933" s="1994"/>
      <c r="H933" s="1995" t="s">
        <v>161</v>
      </c>
    </row>
    <row r="934" spans="1:8" ht="25.5" thickTop="1" thickBot="1" x14ac:dyDescent="0.25">
      <c r="A934" s="1809" t="s">
        <v>162</v>
      </c>
      <c r="B934" s="1810" t="s">
        <v>761</v>
      </c>
      <c r="C934" s="1810" t="s">
        <v>377</v>
      </c>
      <c r="D934" s="1811" t="s">
        <v>164</v>
      </c>
      <c r="E934" s="1833" t="s">
        <v>632</v>
      </c>
      <c r="F934" s="1833" t="s">
        <v>633</v>
      </c>
      <c r="G934" s="1834" t="s">
        <v>882</v>
      </c>
      <c r="H934" s="1835" t="s">
        <v>883</v>
      </c>
    </row>
    <row r="935" spans="1:8" ht="14.25" thickTop="1" thickBot="1" x14ac:dyDescent="0.25">
      <c r="A935" s="1643">
        <v>1</v>
      </c>
      <c r="B935" s="1642">
        <v>2</v>
      </c>
      <c r="C935" s="1642">
        <v>3</v>
      </c>
      <c r="D935" s="1642">
        <v>4</v>
      </c>
      <c r="E935" s="1641">
        <v>5</v>
      </c>
      <c r="F935" s="1641">
        <v>6</v>
      </c>
      <c r="G935" s="1877">
        <v>7</v>
      </c>
      <c r="H935" s="1901" t="s">
        <v>61</v>
      </c>
    </row>
    <row r="936" spans="1:8" ht="15.75" hidden="1" thickTop="1" x14ac:dyDescent="0.2">
      <c r="A936" s="2007">
        <v>3636</v>
      </c>
      <c r="B936" s="2008">
        <v>5011</v>
      </c>
      <c r="C936" s="2017">
        <v>0</v>
      </c>
      <c r="D936" s="2009" t="s">
        <v>206</v>
      </c>
      <c r="E936" s="2010">
        <v>0</v>
      </c>
      <c r="F936" s="2010">
        <v>0</v>
      </c>
      <c r="G936" s="2010">
        <v>0</v>
      </c>
      <c r="H936" s="2011" t="e">
        <f t="shared" ref="H936:H943" si="76">G936/F936*100</f>
        <v>#DIV/0!</v>
      </c>
    </row>
    <row r="937" spans="1:8" ht="15.75" hidden="1" thickTop="1" x14ac:dyDescent="0.2">
      <c r="A937" s="2012">
        <v>3636</v>
      </c>
      <c r="B937" s="2013">
        <v>5011</v>
      </c>
      <c r="C937" s="2013">
        <v>38500881</v>
      </c>
      <c r="D937" s="2014" t="s">
        <v>206</v>
      </c>
      <c r="E937" s="2015">
        <v>0</v>
      </c>
      <c r="F937" s="2015">
        <v>0</v>
      </c>
      <c r="G937" s="2015">
        <v>0</v>
      </c>
      <c r="H937" s="2016" t="e">
        <f t="shared" si="76"/>
        <v>#DIV/0!</v>
      </c>
    </row>
    <row r="938" spans="1:8" ht="30.75" thickTop="1" x14ac:dyDescent="0.2">
      <c r="A938" s="2012">
        <v>3122</v>
      </c>
      <c r="B938" s="2013">
        <v>5336</v>
      </c>
      <c r="C938" s="2017">
        <v>32133019</v>
      </c>
      <c r="D938" s="2014" t="s">
        <v>1263</v>
      </c>
      <c r="E938" s="2015">
        <v>0</v>
      </c>
      <c r="F938" s="2015">
        <f>15+208</f>
        <v>223</v>
      </c>
      <c r="G938" s="2015">
        <f>15+208</f>
        <v>223</v>
      </c>
      <c r="H938" s="2016">
        <f t="shared" si="76"/>
        <v>100</v>
      </c>
    </row>
    <row r="939" spans="1:8" ht="15" hidden="1" x14ac:dyDescent="0.2">
      <c r="A939" s="2012">
        <v>3636</v>
      </c>
      <c r="B939" s="2013">
        <v>5021</v>
      </c>
      <c r="C939" s="2013">
        <v>38500881</v>
      </c>
      <c r="D939" s="2014" t="s">
        <v>389</v>
      </c>
      <c r="E939" s="2015"/>
      <c r="F939" s="2015"/>
      <c r="G939" s="2015"/>
      <c r="H939" s="2016" t="e">
        <f t="shared" si="76"/>
        <v>#DIV/0!</v>
      </c>
    </row>
    <row r="940" spans="1:8" ht="30" hidden="1" x14ac:dyDescent="0.2">
      <c r="A940" s="2012">
        <v>3636</v>
      </c>
      <c r="B940" s="2013">
        <v>5031</v>
      </c>
      <c r="C940" s="2013">
        <v>38100880</v>
      </c>
      <c r="D940" s="2014" t="s">
        <v>1299</v>
      </c>
      <c r="E940" s="2015"/>
      <c r="F940" s="2015"/>
      <c r="G940" s="2015"/>
      <c r="H940" s="2016" t="e">
        <f t="shared" si="76"/>
        <v>#DIV/0!</v>
      </c>
    </row>
    <row r="941" spans="1:8" ht="30" hidden="1" x14ac:dyDescent="0.2">
      <c r="A941" s="2012">
        <v>3636</v>
      </c>
      <c r="B941" s="2013">
        <v>5031</v>
      </c>
      <c r="C941" s="2013">
        <v>38500881</v>
      </c>
      <c r="D941" s="2014" t="s">
        <v>1299</v>
      </c>
      <c r="E941" s="2015"/>
      <c r="F941" s="2015"/>
      <c r="G941" s="2015"/>
      <c r="H941" s="2016" t="e">
        <f t="shared" si="76"/>
        <v>#DIV/0!</v>
      </c>
    </row>
    <row r="942" spans="1:8" ht="30" hidden="1" x14ac:dyDescent="0.2">
      <c r="A942" s="2012">
        <v>3636</v>
      </c>
      <c r="B942" s="2013">
        <v>5032</v>
      </c>
      <c r="C942" s="2013">
        <v>38100880</v>
      </c>
      <c r="D942" s="2014" t="s">
        <v>1177</v>
      </c>
      <c r="E942" s="2015"/>
      <c r="F942" s="2015"/>
      <c r="G942" s="2015"/>
      <c r="H942" s="2016" t="e">
        <f t="shared" si="76"/>
        <v>#DIV/0!</v>
      </c>
    </row>
    <row r="943" spans="1:8" ht="30" hidden="1" x14ac:dyDescent="0.2">
      <c r="A943" s="2012">
        <v>3636</v>
      </c>
      <c r="B943" s="2013">
        <v>5032</v>
      </c>
      <c r="C943" s="2013">
        <v>38500881</v>
      </c>
      <c r="D943" s="2014" t="s">
        <v>1177</v>
      </c>
      <c r="E943" s="2015"/>
      <c r="F943" s="2015"/>
      <c r="G943" s="2015"/>
      <c r="H943" s="2016" t="e">
        <f t="shared" si="76"/>
        <v>#DIV/0!</v>
      </c>
    </row>
    <row r="944" spans="1:8" ht="15" hidden="1" x14ac:dyDescent="0.2">
      <c r="A944" s="2012">
        <v>3636</v>
      </c>
      <c r="B944" s="2013">
        <v>5139</v>
      </c>
      <c r="C944" s="2013">
        <v>38100880</v>
      </c>
      <c r="D944" s="2014" t="s">
        <v>270</v>
      </c>
      <c r="E944" s="2015"/>
      <c r="F944" s="2015"/>
      <c r="G944" s="2015"/>
      <c r="H944" s="2016">
        <v>0</v>
      </c>
    </row>
    <row r="945" spans="1:8" ht="15" hidden="1" x14ac:dyDescent="0.2">
      <c r="A945" s="2012">
        <v>3636</v>
      </c>
      <c r="B945" s="2013">
        <v>5139</v>
      </c>
      <c r="C945" s="2013">
        <v>38500881</v>
      </c>
      <c r="D945" s="2014" t="s">
        <v>270</v>
      </c>
      <c r="E945" s="2015"/>
      <c r="F945" s="2015"/>
      <c r="G945" s="2015"/>
      <c r="H945" s="2016" t="e">
        <f t="shared" ref="H945:H957" si="77">G945/F945*100</f>
        <v>#DIV/0!</v>
      </c>
    </row>
    <row r="946" spans="1:8" ht="15" hidden="1" x14ac:dyDescent="0.2">
      <c r="A946" s="2012">
        <v>3636</v>
      </c>
      <c r="B946" s="2013">
        <v>5162</v>
      </c>
      <c r="C946" s="2013">
        <v>38100880</v>
      </c>
      <c r="D946" s="2014" t="s">
        <v>864</v>
      </c>
      <c r="E946" s="2015"/>
      <c r="F946" s="2015"/>
      <c r="G946" s="2015"/>
      <c r="H946" s="2016" t="e">
        <f t="shared" si="77"/>
        <v>#DIV/0!</v>
      </c>
    </row>
    <row r="947" spans="1:8" ht="15" hidden="1" x14ac:dyDescent="0.2">
      <c r="A947" s="2012">
        <v>3636</v>
      </c>
      <c r="B947" s="2013">
        <v>5162</v>
      </c>
      <c r="C947" s="2013">
        <v>38500881</v>
      </c>
      <c r="D947" s="2014" t="s">
        <v>864</v>
      </c>
      <c r="E947" s="2015"/>
      <c r="F947" s="2015"/>
      <c r="G947" s="2015"/>
      <c r="H947" s="2016" t="e">
        <f t="shared" si="77"/>
        <v>#DIV/0!</v>
      </c>
    </row>
    <row r="948" spans="1:8" ht="15" hidden="1" x14ac:dyDescent="0.2">
      <c r="A948" s="2012">
        <v>3636</v>
      </c>
      <c r="B948" s="2013">
        <v>5164</v>
      </c>
      <c r="C948" s="2013">
        <v>38100880</v>
      </c>
      <c r="D948" s="2014" t="s">
        <v>170</v>
      </c>
      <c r="E948" s="2015"/>
      <c r="F948" s="2015"/>
      <c r="G948" s="2015"/>
      <c r="H948" s="2016" t="e">
        <f t="shared" si="77"/>
        <v>#DIV/0!</v>
      </c>
    </row>
    <row r="949" spans="1:8" ht="15" hidden="1" x14ac:dyDescent="0.2">
      <c r="A949" s="2012">
        <v>3636</v>
      </c>
      <c r="B949" s="2013">
        <v>5164</v>
      </c>
      <c r="C949" s="2013">
        <v>38500881</v>
      </c>
      <c r="D949" s="2014" t="s">
        <v>170</v>
      </c>
      <c r="E949" s="2015"/>
      <c r="F949" s="2015"/>
      <c r="G949" s="2015"/>
      <c r="H949" s="2016" t="e">
        <f t="shared" si="77"/>
        <v>#DIV/0!</v>
      </c>
    </row>
    <row r="950" spans="1:8" ht="30" x14ac:dyDescent="0.2">
      <c r="A950" s="2012">
        <v>3122</v>
      </c>
      <c r="B950" s="2013">
        <v>5336</v>
      </c>
      <c r="C950" s="2017">
        <v>32533019</v>
      </c>
      <c r="D950" s="2014" t="s">
        <v>1263</v>
      </c>
      <c r="E950" s="2015">
        <v>0</v>
      </c>
      <c r="F950" s="2015">
        <f>84+1179</f>
        <v>1263</v>
      </c>
      <c r="G950" s="2015">
        <f>84+1179</f>
        <v>1263</v>
      </c>
      <c r="H950" s="2016">
        <f t="shared" si="77"/>
        <v>100</v>
      </c>
    </row>
    <row r="951" spans="1:8" ht="15" hidden="1" x14ac:dyDescent="0.2">
      <c r="A951" s="2012">
        <v>3122</v>
      </c>
      <c r="B951" s="2013">
        <v>5166</v>
      </c>
      <c r="C951" s="2013">
        <v>41100880</v>
      </c>
      <c r="D951" s="2014" t="s">
        <v>609</v>
      </c>
      <c r="E951" s="2015"/>
      <c r="F951" s="2015"/>
      <c r="G951" s="2015"/>
      <c r="H951" s="2016" t="e">
        <f t="shared" si="77"/>
        <v>#DIV/0!</v>
      </c>
    </row>
    <row r="952" spans="1:8" ht="15" hidden="1" x14ac:dyDescent="0.2">
      <c r="A952" s="2012">
        <v>3122</v>
      </c>
      <c r="B952" s="2013">
        <v>5166</v>
      </c>
      <c r="C952" s="2013">
        <v>41100882</v>
      </c>
      <c r="D952" s="2014" t="s">
        <v>609</v>
      </c>
      <c r="E952" s="2015"/>
      <c r="F952" s="2015"/>
      <c r="G952" s="2015"/>
      <c r="H952" s="2016" t="e">
        <f t="shared" si="77"/>
        <v>#DIV/0!</v>
      </c>
    </row>
    <row r="953" spans="1:8" ht="15" hidden="1" x14ac:dyDescent="0.2">
      <c r="A953" s="2012">
        <v>3122</v>
      </c>
      <c r="B953" s="2013">
        <v>5166</v>
      </c>
      <c r="C953" s="2013">
        <v>41500881</v>
      </c>
      <c r="D953" s="2014" t="s">
        <v>609</v>
      </c>
      <c r="E953" s="2015"/>
      <c r="F953" s="2015"/>
      <c r="G953" s="2015"/>
      <c r="H953" s="2016" t="e">
        <f t="shared" si="77"/>
        <v>#DIV/0!</v>
      </c>
    </row>
    <row r="954" spans="1:8" ht="15" hidden="1" x14ac:dyDescent="0.2">
      <c r="A954" s="2012">
        <v>3122</v>
      </c>
      <c r="B954" s="2013">
        <v>5167</v>
      </c>
      <c r="C954" s="2013">
        <v>38100880</v>
      </c>
      <c r="D954" s="2014" t="s">
        <v>895</v>
      </c>
      <c r="E954" s="2015"/>
      <c r="F954" s="2015"/>
      <c r="G954" s="2015"/>
      <c r="H954" s="2016" t="e">
        <f t="shared" si="77"/>
        <v>#DIV/0!</v>
      </c>
    </row>
    <row r="955" spans="1:8" ht="15" hidden="1" x14ac:dyDescent="0.2">
      <c r="A955" s="2012">
        <v>3122</v>
      </c>
      <c r="B955" s="2013">
        <v>5167</v>
      </c>
      <c r="C955" s="2013">
        <v>38500881</v>
      </c>
      <c r="D955" s="2014" t="s">
        <v>895</v>
      </c>
      <c r="E955" s="2015"/>
      <c r="F955" s="2015"/>
      <c r="G955" s="2015"/>
      <c r="H955" s="2016" t="e">
        <f t="shared" si="77"/>
        <v>#DIV/0!</v>
      </c>
    </row>
    <row r="956" spans="1:8" ht="15" hidden="1" x14ac:dyDescent="0.2">
      <c r="A956" s="2012">
        <v>3122</v>
      </c>
      <c r="B956" s="2013">
        <v>5169</v>
      </c>
      <c r="C956" s="2013">
        <v>38100880</v>
      </c>
      <c r="D956" s="2014" t="s">
        <v>852</v>
      </c>
      <c r="E956" s="2015"/>
      <c r="F956" s="2015"/>
      <c r="G956" s="2015"/>
      <c r="H956" s="2016" t="e">
        <f t="shared" si="77"/>
        <v>#DIV/0!</v>
      </c>
    </row>
    <row r="957" spans="1:8" ht="15" hidden="1" x14ac:dyDescent="0.2">
      <c r="A957" s="2012">
        <v>3122</v>
      </c>
      <c r="B957" s="2013">
        <v>5169</v>
      </c>
      <c r="C957" s="2013">
        <v>38500881</v>
      </c>
      <c r="D957" s="2014" t="s">
        <v>852</v>
      </c>
      <c r="E957" s="2015"/>
      <c r="F957" s="2015"/>
      <c r="G957" s="2015"/>
      <c r="H957" s="2016" t="e">
        <f t="shared" si="77"/>
        <v>#DIV/0!</v>
      </c>
    </row>
    <row r="958" spans="1:8" ht="15" hidden="1" x14ac:dyDescent="0.2">
      <c r="A958" s="2012">
        <v>3122</v>
      </c>
      <c r="B958" s="2013">
        <v>5173</v>
      </c>
      <c r="C958" s="2017">
        <v>0</v>
      </c>
      <c r="D958" s="2014" t="s">
        <v>1152</v>
      </c>
      <c r="E958" s="2015"/>
      <c r="F958" s="2015"/>
      <c r="G958" s="2015"/>
      <c r="H958" s="2016">
        <v>0</v>
      </c>
    </row>
    <row r="959" spans="1:8" ht="15" hidden="1" x14ac:dyDescent="0.2">
      <c r="A959" s="2012">
        <v>3122</v>
      </c>
      <c r="B959" s="2013">
        <v>5173</v>
      </c>
      <c r="C959" s="2013">
        <v>38500881</v>
      </c>
      <c r="D959" s="2014" t="s">
        <v>1152</v>
      </c>
      <c r="E959" s="2015">
        <v>0</v>
      </c>
      <c r="F959" s="2015"/>
      <c r="G959" s="2015"/>
      <c r="H959" s="2016" t="e">
        <f t="shared" ref="H959:H966" si="78">G959/F959*100</f>
        <v>#DIV/0!</v>
      </c>
    </row>
    <row r="960" spans="1:8" ht="15" hidden="1" x14ac:dyDescent="0.2">
      <c r="A960" s="2012">
        <v>3122</v>
      </c>
      <c r="B960" s="2013">
        <v>5175</v>
      </c>
      <c r="C960" s="2013">
        <v>38100880</v>
      </c>
      <c r="D960" s="2014" t="s">
        <v>669</v>
      </c>
      <c r="E960" s="2015">
        <v>0</v>
      </c>
      <c r="F960" s="2015"/>
      <c r="G960" s="2015"/>
      <c r="H960" s="2016" t="e">
        <f t="shared" si="78"/>
        <v>#DIV/0!</v>
      </c>
    </row>
    <row r="961" spans="1:8" ht="15" hidden="1" x14ac:dyDescent="0.2">
      <c r="A961" s="2012">
        <v>3122</v>
      </c>
      <c r="B961" s="2013">
        <v>5175</v>
      </c>
      <c r="C961" s="2013">
        <v>38500881</v>
      </c>
      <c r="D961" s="2014" t="s">
        <v>669</v>
      </c>
      <c r="E961" s="2015">
        <v>0</v>
      </c>
      <c r="F961" s="2015"/>
      <c r="G961" s="2015"/>
      <c r="H961" s="2016" t="e">
        <f t="shared" si="78"/>
        <v>#DIV/0!</v>
      </c>
    </row>
    <row r="962" spans="1:8" ht="15" hidden="1" x14ac:dyDescent="0.2">
      <c r="A962" s="2012">
        <v>3122</v>
      </c>
      <c r="B962" s="2013">
        <v>5176</v>
      </c>
      <c r="C962" s="2013">
        <v>38100880</v>
      </c>
      <c r="D962" s="2014" t="s">
        <v>1247</v>
      </c>
      <c r="E962" s="2015">
        <v>0</v>
      </c>
      <c r="F962" s="2015"/>
      <c r="G962" s="2015"/>
      <c r="H962" s="2016" t="e">
        <f t="shared" si="78"/>
        <v>#DIV/0!</v>
      </c>
    </row>
    <row r="963" spans="1:8" ht="15" hidden="1" x14ac:dyDescent="0.2">
      <c r="A963" s="2012">
        <v>3122</v>
      </c>
      <c r="B963" s="2013">
        <v>5176</v>
      </c>
      <c r="C963" s="2013">
        <v>38500881</v>
      </c>
      <c r="D963" s="2014" t="s">
        <v>1247</v>
      </c>
      <c r="E963" s="2015">
        <v>0</v>
      </c>
      <c r="F963" s="2015"/>
      <c r="G963" s="2015"/>
      <c r="H963" s="2016" t="e">
        <f t="shared" si="78"/>
        <v>#DIV/0!</v>
      </c>
    </row>
    <row r="964" spans="1:8" ht="30" x14ac:dyDescent="0.2">
      <c r="A964" s="2012">
        <v>3122</v>
      </c>
      <c r="B964" s="2013">
        <v>6356</v>
      </c>
      <c r="C964" s="2013">
        <v>32133910</v>
      </c>
      <c r="D964" s="2014" t="s">
        <v>1772</v>
      </c>
      <c r="E964" s="2015">
        <v>0</v>
      </c>
      <c r="F964" s="2015">
        <v>40</v>
      </c>
      <c r="G964" s="2015">
        <v>40</v>
      </c>
      <c r="H964" s="2016">
        <f t="shared" si="78"/>
        <v>100</v>
      </c>
    </row>
    <row r="965" spans="1:8" ht="30.75" thickBot="1" x14ac:dyDescent="0.25">
      <c r="A965" s="2012">
        <v>3122</v>
      </c>
      <c r="B965" s="2013">
        <v>6356</v>
      </c>
      <c r="C965" s="2013">
        <v>32533910</v>
      </c>
      <c r="D965" s="2014" t="s">
        <v>1772</v>
      </c>
      <c r="E965" s="2015">
        <v>0</v>
      </c>
      <c r="F965" s="2015">
        <v>227</v>
      </c>
      <c r="G965" s="2015">
        <v>227</v>
      </c>
      <c r="H965" s="2018">
        <f t="shared" si="78"/>
        <v>100</v>
      </c>
    </row>
    <row r="966" spans="1:8" ht="16.5" thickTop="1" thickBot="1" x14ac:dyDescent="0.3">
      <c r="A966" s="2751" t="s">
        <v>763</v>
      </c>
      <c r="B966" s="2752"/>
      <c r="C966" s="2752"/>
      <c r="D966" s="2752"/>
      <c r="E966" s="1818">
        <f>SUM(E936:E965)</f>
        <v>0</v>
      </c>
      <c r="F966" s="1818">
        <f>SUM(F936:F965)</f>
        <v>1753</v>
      </c>
      <c r="G966" s="1818">
        <f>SUM(G936:G965)</f>
        <v>1753</v>
      </c>
      <c r="H966" s="1822">
        <f t="shared" si="78"/>
        <v>100</v>
      </c>
    </row>
    <row r="967" spans="1:8" ht="13.5" thickTop="1" x14ac:dyDescent="0.2"/>
    <row r="968" spans="1:8" ht="12" customHeight="1" x14ac:dyDescent="0.25">
      <c r="A968" s="2760" t="s">
        <v>1793</v>
      </c>
      <c r="B968" s="2761"/>
      <c r="C968" s="2761"/>
      <c r="D968" s="2761"/>
      <c r="E968" s="2761"/>
      <c r="F968" s="2761"/>
      <c r="G968" s="2761"/>
      <c r="H968" s="2761"/>
    </row>
    <row r="969" spans="1:8" ht="15.75" thickBot="1" x14ac:dyDescent="0.3">
      <c r="A969" s="1979" t="s">
        <v>1794</v>
      </c>
      <c r="B969" s="1993"/>
      <c r="C969" s="1993"/>
      <c r="E969" s="1994"/>
      <c r="F969" s="1994"/>
      <c r="G969" s="1994"/>
      <c r="H969" s="1995" t="s">
        <v>161</v>
      </c>
    </row>
    <row r="970" spans="1:8" ht="25.5" thickTop="1" thickBot="1" x14ac:dyDescent="0.25">
      <c r="A970" s="1809" t="s">
        <v>162</v>
      </c>
      <c r="B970" s="1810" t="s">
        <v>761</v>
      </c>
      <c r="C970" s="1810" t="s">
        <v>377</v>
      </c>
      <c r="D970" s="1811" t="s">
        <v>164</v>
      </c>
      <c r="E970" s="1833" t="s">
        <v>632</v>
      </c>
      <c r="F970" s="1833" t="s">
        <v>633</v>
      </c>
      <c r="G970" s="1834" t="s">
        <v>882</v>
      </c>
      <c r="H970" s="1835" t="s">
        <v>883</v>
      </c>
    </row>
    <row r="971" spans="1:8" ht="14.25" thickTop="1" thickBot="1" x14ac:dyDescent="0.25">
      <c r="A971" s="1643">
        <v>1</v>
      </c>
      <c r="B971" s="1642">
        <v>2</v>
      </c>
      <c r="C971" s="1642">
        <v>3</v>
      </c>
      <c r="D971" s="1642">
        <v>4</v>
      </c>
      <c r="E971" s="1641">
        <v>5</v>
      </c>
      <c r="F971" s="1641">
        <v>6</v>
      </c>
      <c r="G971" s="1877">
        <v>7</v>
      </c>
      <c r="H971" s="1901" t="s">
        <v>61</v>
      </c>
    </row>
    <row r="972" spans="1:8" ht="15.75" hidden="1" thickTop="1" x14ac:dyDescent="0.2">
      <c r="A972" s="2007">
        <v>3636</v>
      </c>
      <c r="B972" s="2008">
        <v>5011</v>
      </c>
      <c r="C972" s="2017">
        <v>0</v>
      </c>
      <c r="D972" s="2009" t="s">
        <v>206</v>
      </c>
      <c r="E972" s="2010">
        <v>0</v>
      </c>
      <c r="F972" s="2010">
        <v>0</v>
      </c>
      <c r="G972" s="2010">
        <v>0</v>
      </c>
      <c r="H972" s="2011" t="e">
        <f t="shared" ref="H972:H979" si="79">G972/F972*100</f>
        <v>#DIV/0!</v>
      </c>
    </row>
    <row r="973" spans="1:8" ht="15.75" hidden="1" thickTop="1" x14ac:dyDescent="0.2">
      <c r="A973" s="2012">
        <v>3636</v>
      </c>
      <c r="B973" s="2013">
        <v>5011</v>
      </c>
      <c r="C973" s="2013">
        <v>38500881</v>
      </c>
      <c r="D973" s="2014" t="s">
        <v>206</v>
      </c>
      <c r="E973" s="2015">
        <v>0</v>
      </c>
      <c r="F973" s="2015">
        <v>0</v>
      </c>
      <c r="G973" s="2015">
        <v>0</v>
      </c>
      <c r="H973" s="2016" t="e">
        <f t="shared" si="79"/>
        <v>#DIV/0!</v>
      </c>
    </row>
    <row r="974" spans="1:8" ht="30.75" thickTop="1" x14ac:dyDescent="0.2">
      <c r="A974" s="2012">
        <v>3123</v>
      </c>
      <c r="B974" s="2013">
        <v>5336</v>
      </c>
      <c r="C974" s="2017">
        <v>32133019</v>
      </c>
      <c r="D974" s="2014" t="s">
        <v>1263</v>
      </c>
      <c r="E974" s="2015">
        <v>0</v>
      </c>
      <c r="F974" s="2015">
        <f>9+162</f>
        <v>171</v>
      </c>
      <c r="G974" s="2015">
        <f>9+162</f>
        <v>171</v>
      </c>
      <c r="H974" s="2016">
        <f t="shared" si="79"/>
        <v>100</v>
      </c>
    </row>
    <row r="975" spans="1:8" ht="15" hidden="1" x14ac:dyDescent="0.2">
      <c r="A975" s="2012">
        <v>3636</v>
      </c>
      <c r="B975" s="2013">
        <v>5021</v>
      </c>
      <c r="C975" s="2013">
        <v>38500881</v>
      </c>
      <c r="D975" s="2014" t="s">
        <v>389</v>
      </c>
      <c r="E975" s="2015"/>
      <c r="F975" s="2015"/>
      <c r="G975" s="2015"/>
      <c r="H975" s="2016" t="e">
        <f t="shared" si="79"/>
        <v>#DIV/0!</v>
      </c>
    </row>
    <row r="976" spans="1:8" ht="30" hidden="1" x14ac:dyDescent="0.2">
      <c r="A976" s="2012">
        <v>3636</v>
      </c>
      <c r="B976" s="2013">
        <v>5031</v>
      </c>
      <c r="C976" s="2013">
        <v>38100880</v>
      </c>
      <c r="D976" s="2014" t="s">
        <v>1299</v>
      </c>
      <c r="E976" s="2015"/>
      <c r="F976" s="2015"/>
      <c r="G976" s="2015"/>
      <c r="H976" s="2016" t="e">
        <f t="shared" si="79"/>
        <v>#DIV/0!</v>
      </c>
    </row>
    <row r="977" spans="1:8" ht="30" hidden="1" x14ac:dyDescent="0.2">
      <c r="A977" s="2012">
        <v>3636</v>
      </c>
      <c r="B977" s="2013">
        <v>5031</v>
      </c>
      <c r="C977" s="2013">
        <v>38500881</v>
      </c>
      <c r="D977" s="2014" t="s">
        <v>1299</v>
      </c>
      <c r="E977" s="2015"/>
      <c r="F977" s="2015"/>
      <c r="G977" s="2015"/>
      <c r="H977" s="2016" t="e">
        <f t="shared" si="79"/>
        <v>#DIV/0!</v>
      </c>
    </row>
    <row r="978" spans="1:8" ht="30" hidden="1" x14ac:dyDescent="0.2">
      <c r="A978" s="2012">
        <v>3636</v>
      </c>
      <c r="B978" s="2013">
        <v>5032</v>
      </c>
      <c r="C978" s="2013">
        <v>38100880</v>
      </c>
      <c r="D978" s="2014" t="s">
        <v>1177</v>
      </c>
      <c r="E978" s="2015"/>
      <c r="F978" s="2015"/>
      <c r="G978" s="2015"/>
      <c r="H978" s="2016" t="e">
        <f t="shared" si="79"/>
        <v>#DIV/0!</v>
      </c>
    </row>
    <row r="979" spans="1:8" ht="30" hidden="1" x14ac:dyDescent="0.2">
      <c r="A979" s="2012">
        <v>3636</v>
      </c>
      <c r="B979" s="2013">
        <v>5032</v>
      </c>
      <c r="C979" s="2013">
        <v>38500881</v>
      </c>
      <c r="D979" s="2014" t="s">
        <v>1177</v>
      </c>
      <c r="E979" s="2015"/>
      <c r="F979" s="2015"/>
      <c r="G979" s="2015"/>
      <c r="H979" s="2016" t="e">
        <f t="shared" si="79"/>
        <v>#DIV/0!</v>
      </c>
    </row>
    <row r="980" spans="1:8" ht="15" hidden="1" x14ac:dyDescent="0.2">
      <c r="A980" s="2012">
        <v>3636</v>
      </c>
      <c r="B980" s="2013">
        <v>5139</v>
      </c>
      <c r="C980" s="2013">
        <v>38100880</v>
      </c>
      <c r="D980" s="2014" t="s">
        <v>270</v>
      </c>
      <c r="E980" s="2015"/>
      <c r="F980" s="2015"/>
      <c r="G980" s="2015"/>
      <c r="H980" s="2016">
        <v>0</v>
      </c>
    </row>
    <row r="981" spans="1:8" ht="15" hidden="1" x14ac:dyDescent="0.2">
      <c r="A981" s="2012">
        <v>3636</v>
      </c>
      <c r="B981" s="2013">
        <v>5139</v>
      </c>
      <c r="C981" s="2013">
        <v>38500881</v>
      </c>
      <c r="D981" s="2014" t="s">
        <v>270</v>
      </c>
      <c r="E981" s="2015"/>
      <c r="F981" s="2015"/>
      <c r="G981" s="2015"/>
      <c r="H981" s="2016" t="e">
        <f t="shared" ref="H981:H993" si="80">G981/F981*100</f>
        <v>#DIV/0!</v>
      </c>
    </row>
    <row r="982" spans="1:8" ht="15" hidden="1" x14ac:dyDescent="0.2">
      <c r="A982" s="2012">
        <v>3636</v>
      </c>
      <c r="B982" s="2013">
        <v>5162</v>
      </c>
      <c r="C982" s="2013">
        <v>38100880</v>
      </c>
      <c r="D982" s="2014" t="s">
        <v>864</v>
      </c>
      <c r="E982" s="2015"/>
      <c r="F982" s="2015"/>
      <c r="G982" s="2015"/>
      <c r="H982" s="2016" t="e">
        <f t="shared" si="80"/>
        <v>#DIV/0!</v>
      </c>
    </row>
    <row r="983" spans="1:8" ht="15" hidden="1" x14ac:dyDescent="0.2">
      <c r="A983" s="2012">
        <v>3636</v>
      </c>
      <c r="B983" s="2013">
        <v>5162</v>
      </c>
      <c r="C983" s="2013">
        <v>38500881</v>
      </c>
      <c r="D983" s="2014" t="s">
        <v>864</v>
      </c>
      <c r="E983" s="2015"/>
      <c r="F983" s="2015"/>
      <c r="G983" s="2015"/>
      <c r="H983" s="2016" t="e">
        <f t="shared" si="80"/>
        <v>#DIV/0!</v>
      </c>
    </row>
    <row r="984" spans="1:8" ht="15" hidden="1" x14ac:dyDescent="0.2">
      <c r="A984" s="2012">
        <v>3636</v>
      </c>
      <c r="B984" s="2013">
        <v>5164</v>
      </c>
      <c r="C984" s="2013">
        <v>38100880</v>
      </c>
      <c r="D984" s="2014" t="s">
        <v>170</v>
      </c>
      <c r="E984" s="2015"/>
      <c r="F984" s="2015"/>
      <c r="G984" s="2015"/>
      <c r="H984" s="2016" t="e">
        <f t="shared" si="80"/>
        <v>#DIV/0!</v>
      </c>
    </row>
    <row r="985" spans="1:8" ht="15" hidden="1" x14ac:dyDescent="0.2">
      <c r="A985" s="2012">
        <v>3636</v>
      </c>
      <c r="B985" s="2013">
        <v>5164</v>
      </c>
      <c r="C985" s="2013">
        <v>38500881</v>
      </c>
      <c r="D985" s="2014" t="s">
        <v>170</v>
      </c>
      <c r="E985" s="2015"/>
      <c r="F985" s="2015"/>
      <c r="G985" s="2015"/>
      <c r="H985" s="2016" t="e">
        <f t="shared" si="80"/>
        <v>#DIV/0!</v>
      </c>
    </row>
    <row r="986" spans="1:8" ht="30" x14ac:dyDescent="0.2">
      <c r="A986" s="2012">
        <v>3123</v>
      </c>
      <c r="B986" s="2013">
        <v>5336</v>
      </c>
      <c r="C986" s="2017">
        <v>32533019</v>
      </c>
      <c r="D986" s="2014" t="s">
        <v>1263</v>
      </c>
      <c r="E986" s="2015">
        <v>0</v>
      </c>
      <c r="F986" s="2015">
        <f>51+919</f>
        <v>970</v>
      </c>
      <c r="G986" s="2015">
        <f>51+919</f>
        <v>970</v>
      </c>
      <c r="H986" s="2016">
        <f t="shared" si="80"/>
        <v>100</v>
      </c>
    </row>
    <row r="987" spans="1:8" ht="15" hidden="1" x14ac:dyDescent="0.2">
      <c r="A987" s="2012">
        <v>3123</v>
      </c>
      <c r="B987" s="2013">
        <v>5166</v>
      </c>
      <c r="C987" s="2013">
        <v>41100880</v>
      </c>
      <c r="D987" s="2014" t="s">
        <v>609</v>
      </c>
      <c r="E987" s="2015"/>
      <c r="F987" s="2015"/>
      <c r="G987" s="2015"/>
      <c r="H987" s="2016" t="e">
        <f t="shared" si="80"/>
        <v>#DIV/0!</v>
      </c>
    </row>
    <row r="988" spans="1:8" ht="15" hidden="1" x14ac:dyDescent="0.2">
      <c r="A988" s="2012">
        <v>3123</v>
      </c>
      <c r="B988" s="2013">
        <v>5166</v>
      </c>
      <c r="C988" s="2013">
        <v>41100882</v>
      </c>
      <c r="D988" s="2014" t="s">
        <v>609</v>
      </c>
      <c r="E988" s="2015"/>
      <c r="F988" s="2015"/>
      <c r="G988" s="2015"/>
      <c r="H988" s="2016" t="e">
        <f t="shared" si="80"/>
        <v>#DIV/0!</v>
      </c>
    </row>
    <row r="989" spans="1:8" ht="15" hidden="1" x14ac:dyDescent="0.2">
      <c r="A989" s="2012">
        <v>3123</v>
      </c>
      <c r="B989" s="2013">
        <v>5166</v>
      </c>
      <c r="C989" s="2013">
        <v>41500881</v>
      </c>
      <c r="D989" s="2014" t="s">
        <v>609</v>
      </c>
      <c r="E989" s="2015"/>
      <c r="F989" s="2015"/>
      <c r="G989" s="2015"/>
      <c r="H989" s="2016" t="e">
        <f t="shared" si="80"/>
        <v>#DIV/0!</v>
      </c>
    </row>
    <row r="990" spans="1:8" ht="15" hidden="1" x14ac:dyDescent="0.2">
      <c r="A990" s="2012">
        <v>3123</v>
      </c>
      <c r="B990" s="2013">
        <v>5167</v>
      </c>
      <c r="C990" s="2013">
        <v>38100880</v>
      </c>
      <c r="D990" s="2014" t="s">
        <v>895</v>
      </c>
      <c r="E990" s="2015"/>
      <c r="F990" s="2015"/>
      <c r="G990" s="2015"/>
      <c r="H990" s="2016" t="e">
        <f t="shared" si="80"/>
        <v>#DIV/0!</v>
      </c>
    </row>
    <row r="991" spans="1:8" ht="15" hidden="1" x14ac:dyDescent="0.2">
      <c r="A991" s="2012">
        <v>3123</v>
      </c>
      <c r="B991" s="2013">
        <v>5167</v>
      </c>
      <c r="C991" s="2013">
        <v>38500881</v>
      </c>
      <c r="D991" s="2014" t="s">
        <v>895</v>
      </c>
      <c r="E991" s="2015"/>
      <c r="F991" s="2015"/>
      <c r="G991" s="2015"/>
      <c r="H991" s="2016" t="e">
        <f t="shared" si="80"/>
        <v>#DIV/0!</v>
      </c>
    </row>
    <row r="992" spans="1:8" ht="15" hidden="1" x14ac:dyDescent="0.2">
      <c r="A992" s="2012">
        <v>3123</v>
      </c>
      <c r="B992" s="2013">
        <v>5169</v>
      </c>
      <c r="C992" s="2013">
        <v>38100880</v>
      </c>
      <c r="D992" s="2014" t="s">
        <v>852</v>
      </c>
      <c r="E992" s="2015"/>
      <c r="F992" s="2015"/>
      <c r="G992" s="2015"/>
      <c r="H992" s="2016" t="e">
        <f t="shared" si="80"/>
        <v>#DIV/0!</v>
      </c>
    </row>
    <row r="993" spans="1:8" ht="15" hidden="1" x14ac:dyDescent="0.2">
      <c r="A993" s="2012">
        <v>3123</v>
      </c>
      <c r="B993" s="2013">
        <v>5169</v>
      </c>
      <c r="C993" s="2013">
        <v>38500881</v>
      </c>
      <c r="D993" s="2014" t="s">
        <v>852</v>
      </c>
      <c r="E993" s="2015"/>
      <c r="F993" s="2015"/>
      <c r="G993" s="2015"/>
      <c r="H993" s="2016" t="e">
        <f t="shared" si="80"/>
        <v>#DIV/0!</v>
      </c>
    </row>
    <row r="994" spans="1:8" ht="15" hidden="1" x14ac:dyDescent="0.2">
      <c r="A994" s="2012">
        <v>3123</v>
      </c>
      <c r="B994" s="2013">
        <v>5173</v>
      </c>
      <c r="C994" s="2017">
        <v>0</v>
      </c>
      <c r="D994" s="2014" t="s">
        <v>1152</v>
      </c>
      <c r="E994" s="2015"/>
      <c r="F994" s="2015"/>
      <c r="G994" s="2015"/>
      <c r="H994" s="2016">
        <v>0</v>
      </c>
    </row>
    <row r="995" spans="1:8" ht="15" hidden="1" x14ac:dyDescent="0.2">
      <c r="A995" s="2012">
        <v>3123</v>
      </c>
      <c r="B995" s="2013">
        <v>5173</v>
      </c>
      <c r="C995" s="2013">
        <v>38500881</v>
      </c>
      <c r="D995" s="2014" t="s">
        <v>1152</v>
      </c>
      <c r="E995" s="2015">
        <v>0</v>
      </c>
      <c r="F995" s="2015"/>
      <c r="G995" s="2015"/>
      <c r="H995" s="2016" t="e">
        <f t="shared" ref="H995:H1002" si="81">G995/F995*100</f>
        <v>#DIV/0!</v>
      </c>
    </row>
    <row r="996" spans="1:8" ht="15" hidden="1" x14ac:dyDescent="0.2">
      <c r="A996" s="2012">
        <v>3123</v>
      </c>
      <c r="B996" s="2013">
        <v>5175</v>
      </c>
      <c r="C996" s="2013">
        <v>38100880</v>
      </c>
      <c r="D996" s="2014" t="s">
        <v>669</v>
      </c>
      <c r="E996" s="2015">
        <v>0</v>
      </c>
      <c r="F996" s="2015"/>
      <c r="G996" s="2015"/>
      <c r="H996" s="2016" t="e">
        <f t="shared" si="81"/>
        <v>#DIV/0!</v>
      </c>
    </row>
    <row r="997" spans="1:8" ht="15" hidden="1" x14ac:dyDescent="0.2">
      <c r="A997" s="2012">
        <v>3123</v>
      </c>
      <c r="B997" s="2013">
        <v>5175</v>
      </c>
      <c r="C997" s="2013">
        <v>38500881</v>
      </c>
      <c r="D997" s="2014" t="s">
        <v>669</v>
      </c>
      <c r="E997" s="2015">
        <v>0</v>
      </c>
      <c r="F997" s="2015"/>
      <c r="G997" s="2015"/>
      <c r="H997" s="2016" t="e">
        <f t="shared" si="81"/>
        <v>#DIV/0!</v>
      </c>
    </row>
    <row r="998" spans="1:8" ht="15" hidden="1" x14ac:dyDescent="0.2">
      <c r="A998" s="2012">
        <v>3123</v>
      </c>
      <c r="B998" s="2013">
        <v>5176</v>
      </c>
      <c r="C998" s="2013">
        <v>38100880</v>
      </c>
      <c r="D998" s="2014" t="s">
        <v>1247</v>
      </c>
      <c r="E998" s="2015">
        <v>0</v>
      </c>
      <c r="F998" s="2015"/>
      <c r="G998" s="2015"/>
      <c r="H998" s="2016" t="e">
        <f t="shared" si="81"/>
        <v>#DIV/0!</v>
      </c>
    </row>
    <row r="999" spans="1:8" ht="15" hidden="1" x14ac:dyDescent="0.2">
      <c r="A999" s="2012">
        <v>3123</v>
      </c>
      <c r="B999" s="2013">
        <v>5176</v>
      </c>
      <c r="C999" s="2013">
        <v>38500881</v>
      </c>
      <c r="D999" s="2014" t="s">
        <v>1247</v>
      </c>
      <c r="E999" s="2015">
        <v>0</v>
      </c>
      <c r="F999" s="2015"/>
      <c r="G999" s="2015"/>
      <c r="H999" s="2016" t="e">
        <f t="shared" si="81"/>
        <v>#DIV/0!</v>
      </c>
    </row>
    <row r="1000" spans="1:8" ht="30" x14ac:dyDescent="0.2">
      <c r="A1000" s="2012">
        <v>3123</v>
      </c>
      <c r="B1000" s="2013">
        <v>6356</v>
      </c>
      <c r="C1000" s="2013">
        <v>32133910</v>
      </c>
      <c r="D1000" s="2014" t="s">
        <v>1772</v>
      </c>
      <c r="E1000" s="2015">
        <v>0</v>
      </c>
      <c r="F1000" s="2015">
        <v>71</v>
      </c>
      <c r="G1000" s="2015">
        <v>71</v>
      </c>
      <c r="H1000" s="2016">
        <f t="shared" si="81"/>
        <v>100</v>
      </c>
    </row>
    <row r="1001" spans="1:8" ht="30.75" thickBot="1" x14ac:dyDescent="0.25">
      <c r="A1001" s="2012">
        <v>3123</v>
      </c>
      <c r="B1001" s="2013">
        <v>6356</v>
      </c>
      <c r="C1001" s="2013">
        <v>32533910</v>
      </c>
      <c r="D1001" s="2014" t="s">
        <v>1772</v>
      </c>
      <c r="E1001" s="2015">
        <v>0</v>
      </c>
      <c r="F1001" s="2015">
        <v>401</v>
      </c>
      <c r="G1001" s="2015">
        <v>401</v>
      </c>
      <c r="H1001" s="2018">
        <f t="shared" si="81"/>
        <v>100</v>
      </c>
    </row>
    <row r="1002" spans="1:8" ht="16.5" thickTop="1" thickBot="1" x14ac:dyDescent="0.3">
      <c r="A1002" s="2751" t="s">
        <v>763</v>
      </c>
      <c r="B1002" s="2752"/>
      <c r="C1002" s="2752"/>
      <c r="D1002" s="2752"/>
      <c r="E1002" s="1818">
        <f>SUM(E972:E1001)</f>
        <v>0</v>
      </c>
      <c r="F1002" s="1818">
        <f>SUM(F972:F1001)</f>
        <v>1613</v>
      </c>
      <c r="G1002" s="1818">
        <f>SUM(G972:G1001)</f>
        <v>1613</v>
      </c>
      <c r="H1002" s="1822">
        <f t="shared" si="81"/>
        <v>100</v>
      </c>
    </row>
    <row r="1003" spans="1:8" ht="13.5" thickTop="1" x14ac:dyDescent="0.2"/>
    <row r="1004" spans="1:8" ht="12" customHeight="1" x14ac:dyDescent="0.25">
      <c r="A1004" s="2760" t="s">
        <v>323</v>
      </c>
      <c r="B1004" s="2761"/>
      <c r="C1004" s="2761"/>
      <c r="D1004" s="2761"/>
      <c r="E1004" s="2761"/>
      <c r="F1004" s="2761"/>
      <c r="G1004" s="2761"/>
      <c r="H1004" s="2761"/>
    </row>
    <row r="1005" spans="1:8" ht="15.75" thickBot="1" x14ac:dyDescent="0.3">
      <c r="A1005" s="1979" t="s">
        <v>1041</v>
      </c>
      <c r="B1005" s="1993"/>
      <c r="C1005" s="1993"/>
      <c r="E1005" s="1994"/>
      <c r="F1005" s="1994"/>
      <c r="G1005" s="1994"/>
      <c r="H1005" s="1995" t="s">
        <v>161</v>
      </c>
    </row>
    <row r="1006" spans="1:8" ht="25.5" thickTop="1" thickBot="1" x14ac:dyDescent="0.25">
      <c r="A1006" s="1809" t="s">
        <v>162</v>
      </c>
      <c r="B1006" s="1810" t="s">
        <v>761</v>
      </c>
      <c r="C1006" s="1810" t="s">
        <v>377</v>
      </c>
      <c r="D1006" s="1811" t="s">
        <v>164</v>
      </c>
      <c r="E1006" s="1833" t="s">
        <v>632</v>
      </c>
      <c r="F1006" s="1833" t="s">
        <v>633</v>
      </c>
      <c r="G1006" s="1834" t="s">
        <v>882</v>
      </c>
      <c r="H1006" s="1835" t="s">
        <v>883</v>
      </c>
    </row>
    <row r="1007" spans="1:8" ht="14.25" thickTop="1" thickBot="1" x14ac:dyDescent="0.25">
      <c r="A1007" s="1643">
        <v>1</v>
      </c>
      <c r="B1007" s="1642">
        <v>2</v>
      </c>
      <c r="C1007" s="1642">
        <v>3</v>
      </c>
      <c r="D1007" s="1642">
        <v>4</v>
      </c>
      <c r="E1007" s="1641">
        <v>5</v>
      </c>
      <c r="F1007" s="1641">
        <v>6</v>
      </c>
      <c r="G1007" s="1877">
        <v>7</v>
      </c>
      <c r="H1007" s="1901" t="s">
        <v>61</v>
      </c>
    </row>
    <row r="1008" spans="1:8" ht="15.75" hidden="1" thickTop="1" x14ac:dyDescent="0.2">
      <c r="A1008" s="2007">
        <v>3636</v>
      </c>
      <c r="B1008" s="2008">
        <v>5011</v>
      </c>
      <c r="C1008" s="2017">
        <v>0</v>
      </c>
      <c r="D1008" s="2009" t="s">
        <v>206</v>
      </c>
      <c r="E1008" s="2010">
        <v>0</v>
      </c>
      <c r="F1008" s="2010">
        <v>0</v>
      </c>
      <c r="G1008" s="2010">
        <v>0</v>
      </c>
      <c r="H1008" s="2011" t="e">
        <f t="shared" ref="H1008:H1015" si="82">G1008/F1008*100</f>
        <v>#DIV/0!</v>
      </c>
    </row>
    <row r="1009" spans="1:8" ht="15.75" hidden="1" thickTop="1" x14ac:dyDescent="0.2">
      <c r="A1009" s="2012">
        <v>3636</v>
      </c>
      <c r="B1009" s="2013">
        <v>5011</v>
      </c>
      <c r="C1009" s="2013">
        <v>38500881</v>
      </c>
      <c r="D1009" s="2014" t="s">
        <v>206</v>
      </c>
      <c r="E1009" s="2015">
        <v>0</v>
      </c>
      <c r="F1009" s="2015">
        <v>0</v>
      </c>
      <c r="G1009" s="2015">
        <v>0</v>
      </c>
      <c r="H1009" s="2016" t="e">
        <f t="shared" si="82"/>
        <v>#DIV/0!</v>
      </c>
    </row>
    <row r="1010" spans="1:8" ht="30.75" thickTop="1" x14ac:dyDescent="0.2">
      <c r="A1010" s="2012">
        <v>3123</v>
      </c>
      <c r="B1010" s="2013">
        <v>5336</v>
      </c>
      <c r="C1010" s="2017">
        <v>32133019</v>
      </c>
      <c r="D1010" s="2014" t="s">
        <v>1263</v>
      </c>
      <c r="E1010" s="2015">
        <v>0</v>
      </c>
      <c r="F1010" s="2015">
        <f>7+59</f>
        <v>66</v>
      </c>
      <c r="G1010" s="2015">
        <f>7+59</f>
        <v>66</v>
      </c>
      <c r="H1010" s="2016">
        <f t="shared" si="82"/>
        <v>100</v>
      </c>
    </row>
    <row r="1011" spans="1:8" ht="15" hidden="1" x14ac:dyDescent="0.2">
      <c r="A1011" s="2012">
        <v>3636</v>
      </c>
      <c r="B1011" s="2013">
        <v>5021</v>
      </c>
      <c r="C1011" s="2013">
        <v>38500881</v>
      </c>
      <c r="D1011" s="2014" t="s">
        <v>389</v>
      </c>
      <c r="E1011" s="2015"/>
      <c r="F1011" s="2015"/>
      <c r="G1011" s="2015"/>
      <c r="H1011" s="2016" t="e">
        <f t="shared" si="82"/>
        <v>#DIV/0!</v>
      </c>
    </row>
    <row r="1012" spans="1:8" ht="30" hidden="1" x14ac:dyDescent="0.2">
      <c r="A1012" s="2012">
        <v>3636</v>
      </c>
      <c r="B1012" s="2013">
        <v>5031</v>
      </c>
      <c r="C1012" s="2013">
        <v>38100880</v>
      </c>
      <c r="D1012" s="2014" t="s">
        <v>1299</v>
      </c>
      <c r="E1012" s="2015"/>
      <c r="F1012" s="2015"/>
      <c r="G1012" s="2015"/>
      <c r="H1012" s="2016" t="e">
        <f t="shared" si="82"/>
        <v>#DIV/0!</v>
      </c>
    </row>
    <row r="1013" spans="1:8" ht="30" hidden="1" x14ac:dyDescent="0.2">
      <c r="A1013" s="2012">
        <v>3636</v>
      </c>
      <c r="B1013" s="2013">
        <v>5031</v>
      </c>
      <c r="C1013" s="2013">
        <v>38500881</v>
      </c>
      <c r="D1013" s="2014" t="s">
        <v>1299</v>
      </c>
      <c r="E1013" s="2015"/>
      <c r="F1013" s="2015"/>
      <c r="G1013" s="2015"/>
      <c r="H1013" s="2016" t="e">
        <f t="shared" si="82"/>
        <v>#DIV/0!</v>
      </c>
    </row>
    <row r="1014" spans="1:8" ht="30" hidden="1" x14ac:dyDescent="0.2">
      <c r="A1014" s="2012">
        <v>3636</v>
      </c>
      <c r="B1014" s="2013">
        <v>5032</v>
      </c>
      <c r="C1014" s="2013">
        <v>38100880</v>
      </c>
      <c r="D1014" s="2014" t="s">
        <v>1177</v>
      </c>
      <c r="E1014" s="2015"/>
      <c r="F1014" s="2015"/>
      <c r="G1014" s="2015"/>
      <c r="H1014" s="2016" t="e">
        <f t="shared" si="82"/>
        <v>#DIV/0!</v>
      </c>
    </row>
    <row r="1015" spans="1:8" ht="30" hidden="1" x14ac:dyDescent="0.2">
      <c r="A1015" s="2012">
        <v>3636</v>
      </c>
      <c r="B1015" s="2013">
        <v>5032</v>
      </c>
      <c r="C1015" s="2013">
        <v>38500881</v>
      </c>
      <c r="D1015" s="2014" t="s">
        <v>1177</v>
      </c>
      <c r="E1015" s="2015"/>
      <c r="F1015" s="2015"/>
      <c r="G1015" s="2015"/>
      <c r="H1015" s="2016" t="e">
        <f t="shared" si="82"/>
        <v>#DIV/0!</v>
      </c>
    </row>
    <row r="1016" spans="1:8" ht="15" hidden="1" x14ac:dyDescent="0.2">
      <c r="A1016" s="2012">
        <v>3636</v>
      </c>
      <c r="B1016" s="2013">
        <v>5139</v>
      </c>
      <c r="C1016" s="2013">
        <v>38100880</v>
      </c>
      <c r="D1016" s="2014" t="s">
        <v>270</v>
      </c>
      <c r="E1016" s="2015"/>
      <c r="F1016" s="2015"/>
      <c r="G1016" s="2015"/>
      <c r="H1016" s="2016">
        <v>0</v>
      </c>
    </row>
    <row r="1017" spans="1:8" ht="15" hidden="1" x14ac:dyDescent="0.2">
      <c r="A1017" s="2012">
        <v>3636</v>
      </c>
      <c r="B1017" s="2013">
        <v>5139</v>
      </c>
      <c r="C1017" s="2013">
        <v>38500881</v>
      </c>
      <c r="D1017" s="2014" t="s">
        <v>270</v>
      </c>
      <c r="E1017" s="2015"/>
      <c r="F1017" s="2015"/>
      <c r="G1017" s="2015"/>
      <c r="H1017" s="2016" t="e">
        <f t="shared" ref="H1017:H1029" si="83">G1017/F1017*100</f>
        <v>#DIV/0!</v>
      </c>
    </row>
    <row r="1018" spans="1:8" ht="15" hidden="1" x14ac:dyDescent="0.2">
      <c r="A1018" s="2012">
        <v>3636</v>
      </c>
      <c r="B1018" s="2013">
        <v>5162</v>
      </c>
      <c r="C1018" s="2013">
        <v>38100880</v>
      </c>
      <c r="D1018" s="2014" t="s">
        <v>864</v>
      </c>
      <c r="E1018" s="2015"/>
      <c r="F1018" s="2015"/>
      <c r="G1018" s="2015"/>
      <c r="H1018" s="2016" t="e">
        <f t="shared" si="83"/>
        <v>#DIV/0!</v>
      </c>
    </row>
    <row r="1019" spans="1:8" ht="15" hidden="1" x14ac:dyDescent="0.2">
      <c r="A1019" s="2012">
        <v>3636</v>
      </c>
      <c r="B1019" s="2013">
        <v>5162</v>
      </c>
      <c r="C1019" s="2013">
        <v>38500881</v>
      </c>
      <c r="D1019" s="2014" t="s">
        <v>864</v>
      </c>
      <c r="E1019" s="2015"/>
      <c r="F1019" s="2015"/>
      <c r="G1019" s="2015"/>
      <c r="H1019" s="2016" t="e">
        <f t="shared" si="83"/>
        <v>#DIV/0!</v>
      </c>
    </row>
    <row r="1020" spans="1:8" ht="15" hidden="1" x14ac:dyDescent="0.2">
      <c r="A1020" s="2012">
        <v>3636</v>
      </c>
      <c r="B1020" s="2013">
        <v>5164</v>
      </c>
      <c r="C1020" s="2013">
        <v>38100880</v>
      </c>
      <c r="D1020" s="2014" t="s">
        <v>170</v>
      </c>
      <c r="E1020" s="2015"/>
      <c r="F1020" s="2015"/>
      <c r="G1020" s="2015"/>
      <c r="H1020" s="2016" t="e">
        <f t="shared" si="83"/>
        <v>#DIV/0!</v>
      </c>
    </row>
    <row r="1021" spans="1:8" ht="15" hidden="1" x14ac:dyDescent="0.2">
      <c r="A1021" s="2012">
        <v>3636</v>
      </c>
      <c r="B1021" s="2013">
        <v>5164</v>
      </c>
      <c r="C1021" s="2013">
        <v>38500881</v>
      </c>
      <c r="D1021" s="2014" t="s">
        <v>170</v>
      </c>
      <c r="E1021" s="2015"/>
      <c r="F1021" s="2015"/>
      <c r="G1021" s="2015"/>
      <c r="H1021" s="2016" t="e">
        <f t="shared" si="83"/>
        <v>#DIV/0!</v>
      </c>
    </row>
    <row r="1022" spans="1:8" ht="30.75" thickBot="1" x14ac:dyDescent="0.25">
      <c r="A1022" s="2012">
        <v>3123</v>
      </c>
      <c r="B1022" s="2013">
        <v>5336</v>
      </c>
      <c r="C1022" s="2017">
        <v>32533019</v>
      </c>
      <c r="D1022" s="2014" t="s">
        <v>1263</v>
      </c>
      <c r="E1022" s="2015">
        <v>0</v>
      </c>
      <c r="F1022" s="2015">
        <f>37+335</f>
        <v>372</v>
      </c>
      <c r="G1022" s="2015">
        <f>37+335</f>
        <v>372</v>
      </c>
      <c r="H1022" s="2016">
        <f t="shared" si="83"/>
        <v>100</v>
      </c>
    </row>
    <row r="1023" spans="1:8" ht="15.75" hidden="1" thickBot="1" x14ac:dyDescent="0.25">
      <c r="A1023" s="2012">
        <v>3123</v>
      </c>
      <c r="B1023" s="2013">
        <v>5166</v>
      </c>
      <c r="C1023" s="2013">
        <v>41100880</v>
      </c>
      <c r="D1023" s="2014" t="s">
        <v>609</v>
      </c>
      <c r="E1023" s="2015"/>
      <c r="F1023" s="2015"/>
      <c r="G1023" s="2015"/>
      <c r="H1023" s="2016" t="e">
        <f t="shared" si="83"/>
        <v>#DIV/0!</v>
      </c>
    </row>
    <row r="1024" spans="1:8" ht="15.75" hidden="1" thickBot="1" x14ac:dyDescent="0.25">
      <c r="A1024" s="2012">
        <v>3123</v>
      </c>
      <c r="B1024" s="2013">
        <v>5166</v>
      </c>
      <c r="C1024" s="2013">
        <v>41100882</v>
      </c>
      <c r="D1024" s="2014" t="s">
        <v>609</v>
      </c>
      <c r="E1024" s="2015"/>
      <c r="F1024" s="2015"/>
      <c r="G1024" s="2015"/>
      <c r="H1024" s="2016" t="e">
        <f t="shared" si="83"/>
        <v>#DIV/0!</v>
      </c>
    </row>
    <row r="1025" spans="1:8" ht="15.75" hidden="1" thickBot="1" x14ac:dyDescent="0.25">
      <c r="A1025" s="2012">
        <v>3123</v>
      </c>
      <c r="B1025" s="2013">
        <v>5166</v>
      </c>
      <c r="C1025" s="2013">
        <v>41500881</v>
      </c>
      <c r="D1025" s="2014" t="s">
        <v>609</v>
      </c>
      <c r="E1025" s="2015"/>
      <c r="F1025" s="2015"/>
      <c r="G1025" s="2015"/>
      <c r="H1025" s="2016" t="e">
        <f t="shared" si="83"/>
        <v>#DIV/0!</v>
      </c>
    </row>
    <row r="1026" spans="1:8" ht="15.75" hidden="1" thickBot="1" x14ac:dyDescent="0.25">
      <c r="A1026" s="2012">
        <v>3123</v>
      </c>
      <c r="B1026" s="2013">
        <v>5167</v>
      </c>
      <c r="C1026" s="2013">
        <v>38100880</v>
      </c>
      <c r="D1026" s="2014" t="s">
        <v>895</v>
      </c>
      <c r="E1026" s="2015"/>
      <c r="F1026" s="2015"/>
      <c r="G1026" s="2015"/>
      <c r="H1026" s="2016" t="e">
        <f t="shared" si="83"/>
        <v>#DIV/0!</v>
      </c>
    </row>
    <row r="1027" spans="1:8" ht="15.75" hidden="1" thickBot="1" x14ac:dyDescent="0.25">
      <c r="A1027" s="2012">
        <v>3123</v>
      </c>
      <c r="B1027" s="2013">
        <v>5167</v>
      </c>
      <c r="C1027" s="2013">
        <v>38500881</v>
      </c>
      <c r="D1027" s="2014" t="s">
        <v>895</v>
      </c>
      <c r="E1027" s="2015"/>
      <c r="F1027" s="2015"/>
      <c r="G1027" s="2015"/>
      <c r="H1027" s="2016" t="e">
        <f t="shared" si="83"/>
        <v>#DIV/0!</v>
      </c>
    </row>
    <row r="1028" spans="1:8" ht="15.75" hidden="1" thickBot="1" x14ac:dyDescent="0.25">
      <c r="A1028" s="2012">
        <v>3123</v>
      </c>
      <c r="B1028" s="2013">
        <v>5169</v>
      </c>
      <c r="C1028" s="2013">
        <v>38100880</v>
      </c>
      <c r="D1028" s="2014" t="s">
        <v>852</v>
      </c>
      <c r="E1028" s="2015"/>
      <c r="F1028" s="2015"/>
      <c r="G1028" s="2015"/>
      <c r="H1028" s="2016" t="e">
        <f t="shared" si="83"/>
        <v>#DIV/0!</v>
      </c>
    </row>
    <row r="1029" spans="1:8" ht="15.75" hidden="1" thickBot="1" x14ac:dyDescent="0.25">
      <c r="A1029" s="2012">
        <v>3123</v>
      </c>
      <c r="B1029" s="2013">
        <v>5169</v>
      </c>
      <c r="C1029" s="2013">
        <v>38500881</v>
      </c>
      <c r="D1029" s="2014" t="s">
        <v>852</v>
      </c>
      <c r="E1029" s="2015"/>
      <c r="F1029" s="2015"/>
      <c r="G1029" s="2015"/>
      <c r="H1029" s="2016" t="e">
        <f t="shared" si="83"/>
        <v>#DIV/0!</v>
      </c>
    </row>
    <row r="1030" spans="1:8" ht="15.75" hidden="1" thickBot="1" x14ac:dyDescent="0.25">
      <c r="A1030" s="2012">
        <v>3123</v>
      </c>
      <c r="B1030" s="2013">
        <v>5173</v>
      </c>
      <c r="C1030" s="2017">
        <v>0</v>
      </c>
      <c r="D1030" s="2014" t="s">
        <v>1152</v>
      </c>
      <c r="E1030" s="2015"/>
      <c r="F1030" s="2015"/>
      <c r="G1030" s="2015"/>
      <c r="H1030" s="2016">
        <v>0</v>
      </c>
    </row>
    <row r="1031" spans="1:8" ht="15.75" hidden="1" thickBot="1" x14ac:dyDescent="0.25">
      <c r="A1031" s="2012">
        <v>3123</v>
      </c>
      <c r="B1031" s="2013">
        <v>5173</v>
      </c>
      <c r="C1031" s="2013">
        <v>38500881</v>
      </c>
      <c r="D1031" s="2014" t="s">
        <v>1152</v>
      </c>
      <c r="E1031" s="2015">
        <v>0</v>
      </c>
      <c r="F1031" s="2015"/>
      <c r="G1031" s="2015"/>
      <c r="H1031" s="2016" t="e">
        <f t="shared" ref="H1031:H1038" si="84">G1031/F1031*100</f>
        <v>#DIV/0!</v>
      </c>
    </row>
    <row r="1032" spans="1:8" ht="15.75" hidden="1" thickBot="1" x14ac:dyDescent="0.25">
      <c r="A1032" s="2012">
        <v>3123</v>
      </c>
      <c r="B1032" s="2013">
        <v>5175</v>
      </c>
      <c r="C1032" s="2013">
        <v>38100880</v>
      </c>
      <c r="D1032" s="2014" t="s">
        <v>669</v>
      </c>
      <c r="E1032" s="2015">
        <v>0</v>
      </c>
      <c r="F1032" s="2015"/>
      <c r="G1032" s="2015"/>
      <c r="H1032" s="2016" t="e">
        <f t="shared" si="84"/>
        <v>#DIV/0!</v>
      </c>
    </row>
    <row r="1033" spans="1:8" ht="15.75" hidden="1" thickBot="1" x14ac:dyDescent="0.25">
      <c r="A1033" s="2012">
        <v>3123</v>
      </c>
      <c r="B1033" s="2013">
        <v>5175</v>
      </c>
      <c r="C1033" s="2013">
        <v>38500881</v>
      </c>
      <c r="D1033" s="2014" t="s">
        <v>669</v>
      </c>
      <c r="E1033" s="2015">
        <v>0</v>
      </c>
      <c r="F1033" s="2015"/>
      <c r="G1033" s="2015"/>
      <c r="H1033" s="2016" t="e">
        <f t="shared" si="84"/>
        <v>#DIV/0!</v>
      </c>
    </row>
    <row r="1034" spans="1:8" ht="15.75" hidden="1" thickBot="1" x14ac:dyDescent="0.25">
      <c r="A1034" s="2012">
        <v>3123</v>
      </c>
      <c r="B1034" s="2013">
        <v>5176</v>
      </c>
      <c r="C1034" s="2013">
        <v>38100880</v>
      </c>
      <c r="D1034" s="2014" t="s">
        <v>1247</v>
      </c>
      <c r="E1034" s="2015">
        <v>0</v>
      </c>
      <c r="F1034" s="2015"/>
      <c r="G1034" s="2015"/>
      <c r="H1034" s="2016" t="e">
        <f t="shared" si="84"/>
        <v>#DIV/0!</v>
      </c>
    </row>
    <row r="1035" spans="1:8" ht="15.75" hidden="1" thickBot="1" x14ac:dyDescent="0.25">
      <c r="A1035" s="2012">
        <v>3123</v>
      </c>
      <c r="B1035" s="2013">
        <v>5176</v>
      </c>
      <c r="C1035" s="2013">
        <v>38500881</v>
      </c>
      <c r="D1035" s="2014" t="s">
        <v>1247</v>
      </c>
      <c r="E1035" s="2015">
        <v>0</v>
      </c>
      <c r="F1035" s="2015"/>
      <c r="G1035" s="2015"/>
      <c r="H1035" s="2016" t="e">
        <f t="shared" si="84"/>
        <v>#DIV/0!</v>
      </c>
    </row>
    <row r="1036" spans="1:8" ht="30.75" hidden="1" thickBot="1" x14ac:dyDescent="0.25">
      <c r="A1036" s="2012">
        <v>3123</v>
      </c>
      <c r="B1036" s="2013">
        <v>6356</v>
      </c>
      <c r="C1036" s="2013">
        <v>32133910</v>
      </c>
      <c r="D1036" s="2014" t="s">
        <v>1772</v>
      </c>
      <c r="E1036" s="2015">
        <v>0</v>
      </c>
      <c r="F1036" s="2015">
        <v>0</v>
      </c>
      <c r="G1036" s="2015">
        <v>0</v>
      </c>
      <c r="H1036" s="2016" t="e">
        <f t="shared" si="84"/>
        <v>#DIV/0!</v>
      </c>
    </row>
    <row r="1037" spans="1:8" ht="30.75" hidden="1" thickBot="1" x14ac:dyDescent="0.25">
      <c r="A1037" s="2012">
        <v>3123</v>
      </c>
      <c r="B1037" s="2013">
        <v>6356</v>
      </c>
      <c r="C1037" s="2013">
        <v>32533910</v>
      </c>
      <c r="D1037" s="2014" t="s">
        <v>1772</v>
      </c>
      <c r="E1037" s="2015">
        <v>0</v>
      </c>
      <c r="F1037" s="2015">
        <v>0</v>
      </c>
      <c r="G1037" s="2015">
        <v>0</v>
      </c>
      <c r="H1037" s="2018" t="e">
        <f t="shared" si="84"/>
        <v>#DIV/0!</v>
      </c>
    </row>
    <row r="1038" spans="1:8" ht="16.5" thickTop="1" thickBot="1" x14ac:dyDescent="0.3">
      <c r="A1038" s="2751" t="s">
        <v>763</v>
      </c>
      <c r="B1038" s="2752"/>
      <c r="C1038" s="2752"/>
      <c r="D1038" s="2752"/>
      <c r="E1038" s="1818">
        <f>SUM(E1008:E1037)</f>
        <v>0</v>
      </c>
      <c r="F1038" s="1818">
        <f>SUM(F1008:F1037)</f>
        <v>438</v>
      </c>
      <c r="G1038" s="1818">
        <f>SUM(G1008:G1037)</f>
        <v>438</v>
      </c>
      <c r="H1038" s="1822">
        <f t="shared" si="84"/>
        <v>100</v>
      </c>
    </row>
    <row r="1039" spans="1:8" ht="13.5" thickTop="1" x14ac:dyDescent="0.2"/>
    <row r="1040" spans="1:8" ht="12" customHeight="1" x14ac:dyDescent="0.25">
      <c r="A1040" s="2760" t="s">
        <v>1452</v>
      </c>
      <c r="B1040" s="2761"/>
      <c r="C1040" s="2761"/>
      <c r="D1040" s="2761"/>
      <c r="E1040" s="2761"/>
      <c r="F1040" s="2761"/>
      <c r="G1040" s="2761"/>
      <c r="H1040" s="2761"/>
    </row>
    <row r="1041" spans="1:8" ht="15.75" thickBot="1" x14ac:dyDescent="0.3">
      <c r="A1041" s="1979" t="s">
        <v>1795</v>
      </c>
      <c r="B1041" s="1993"/>
      <c r="C1041" s="1993"/>
      <c r="E1041" s="1994"/>
      <c r="F1041" s="1994"/>
      <c r="G1041" s="1994"/>
      <c r="H1041" s="1995" t="s">
        <v>161</v>
      </c>
    </row>
    <row r="1042" spans="1:8" ht="25.5" thickTop="1" thickBot="1" x14ac:dyDescent="0.25">
      <c r="A1042" s="1809" t="s">
        <v>162</v>
      </c>
      <c r="B1042" s="1810" t="s">
        <v>761</v>
      </c>
      <c r="C1042" s="1810" t="s">
        <v>377</v>
      </c>
      <c r="D1042" s="1811" t="s">
        <v>164</v>
      </c>
      <c r="E1042" s="1833" t="s">
        <v>632</v>
      </c>
      <c r="F1042" s="1833" t="s">
        <v>633</v>
      </c>
      <c r="G1042" s="1834" t="s">
        <v>882</v>
      </c>
      <c r="H1042" s="1835" t="s">
        <v>883</v>
      </c>
    </row>
    <row r="1043" spans="1:8" ht="14.25" thickTop="1" thickBot="1" x14ac:dyDescent="0.25">
      <c r="A1043" s="1643">
        <v>1</v>
      </c>
      <c r="B1043" s="1642">
        <v>2</v>
      </c>
      <c r="C1043" s="1642">
        <v>3</v>
      </c>
      <c r="D1043" s="1642">
        <v>4</v>
      </c>
      <c r="E1043" s="1641">
        <v>5</v>
      </c>
      <c r="F1043" s="1641">
        <v>6</v>
      </c>
      <c r="G1043" s="1877">
        <v>7</v>
      </c>
      <c r="H1043" s="1901" t="s">
        <v>61</v>
      </c>
    </row>
    <row r="1044" spans="1:8" ht="15.75" hidden="1" thickTop="1" x14ac:dyDescent="0.2">
      <c r="A1044" s="2007">
        <v>3636</v>
      </c>
      <c r="B1044" s="2008">
        <v>5011</v>
      </c>
      <c r="C1044" s="2017">
        <v>0</v>
      </c>
      <c r="D1044" s="2009" t="s">
        <v>206</v>
      </c>
      <c r="E1044" s="2010">
        <v>0</v>
      </c>
      <c r="F1044" s="2010">
        <v>0</v>
      </c>
      <c r="G1044" s="2010">
        <v>0</v>
      </c>
      <c r="H1044" s="2011" t="e">
        <f t="shared" ref="H1044:H1051" si="85">G1044/F1044*100</f>
        <v>#DIV/0!</v>
      </c>
    </row>
    <row r="1045" spans="1:8" ht="15.75" hidden="1" thickTop="1" x14ac:dyDescent="0.2">
      <c r="A1045" s="2012">
        <v>3636</v>
      </c>
      <c r="B1045" s="2013">
        <v>5011</v>
      </c>
      <c r="C1045" s="2013">
        <v>38500881</v>
      </c>
      <c r="D1045" s="2014" t="s">
        <v>206</v>
      </c>
      <c r="E1045" s="2015">
        <v>0</v>
      </c>
      <c r="F1045" s="2015">
        <v>0</v>
      </c>
      <c r="G1045" s="2015">
        <v>0</v>
      </c>
      <c r="H1045" s="2016" t="e">
        <f t="shared" si="85"/>
        <v>#DIV/0!</v>
      </c>
    </row>
    <row r="1046" spans="1:8" ht="30.75" thickTop="1" x14ac:dyDescent="0.2">
      <c r="A1046" s="2012">
        <v>3123</v>
      </c>
      <c r="B1046" s="2013">
        <v>5336</v>
      </c>
      <c r="C1046" s="2017">
        <v>32133019</v>
      </c>
      <c r="D1046" s="2014" t="s">
        <v>1263</v>
      </c>
      <c r="E1046" s="2015">
        <v>0</v>
      </c>
      <c r="F1046" s="2015">
        <f>354+21</f>
        <v>375</v>
      </c>
      <c r="G1046" s="2015">
        <f>295+21</f>
        <v>316</v>
      </c>
      <c r="H1046" s="2016">
        <f t="shared" si="85"/>
        <v>84.266666666666666</v>
      </c>
    </row>
    <row r="1047" spans="1:8" ht="15" hidden="1" x14ac:dyDescent="0.2">
      <c r="A1047" s="2012">
        <v>3636</v>
      </c>
      <c r="B1047" s="2013">
        <v>5021</v>
      </c>
      <c r="C1047" s="2013">
        <v>38500881</v>
      </c>
      <c r="D1047" s="2014" t="s">
        <v>389</v>
      </c>
      <c r="E1047" s="2015"/>
      <c r="F1047" s="2015"/>
      <c r="G1047" s="2015"/>
      <c r="H1047" s="2016" t="e">
        <f t="shared" si="85"/>
        <v>#DIV/0!</v>
      </c>
    </row>
    <row r="1048" spans="1:8" ht="30" hidden="1" x14ac:dyDescent="0.2">
      <c r="A1048" s="2012">
        <v>3636</v>
      </c>
      <c r="B1048" s="2013">
        <v>5031</v>
      </c>
      <c r="C1048" s="2013">
        <v>38100880</v>
      </c>
      <c r="D1048" s="2014" t="s">
        <v>1299</v>
      </c>
      <c r="E1048" s="2015"/>
      <c r="F1048" s="2015"/>
      <c r="G1048" s="2015"/>
      <c r="H1048" s="2016" t="e">
        <f t="shared" si="85"/>
        <v>#DIV/0!</v>
      </c>
    </row>
    <row r="1049" spans="1:8" ht="30" hidden="1" x14ac:dyDescent="0.2">
      <c r="A1049" s="2012">
        <v>3636</v>
      </c>
      <c r="B1049" s="2013">
        <v>5031</v>
      </c>
      <c r="C1049" s="2013">
        <v>38500881</v>
      </c>
      <c r="D1049" s="2014" t="s">
        <v>1299</v>
      </c>
      <c r="E1049" s="2015"/>
      <c r="F1049" s="2015"/>
      <c r="G1049" s="2015"/>
      <c r="H1049" s="2016" t="e">
        <f t="shared" si="85"/>
        <v>#DIV/0!</v>
      </c>
    </row>
    <row r="1050" spans="1:8" ht="30" hidden="1" x14ac:dyDescent="0.2">
      <c r="A1050" s="2012">
        <v>3636</v>
      </c>
      <c r="B1050" s="2013">
        <v>5032</v>
      </c>
      <c r="C1050" s="2013">
        <v>38100880</v>
      </c>
      <c r="D1050" s="2014" t="s">
        <v>1177</v>
      </c>
      <c r="E1050" s="2015"/>
      <c r="F1050" s="2015"/>
      <c r="G1050" s="2015"/>
      <c r="H1050" s="2016" t="e">
        <f t="shared" si="85"/>
        <v>#DIV/0!</v>
      </c>
    </row>
    <row r="1051" spans="1:8" ht="30" hidden="1" x14ac:dyDescent="0.2">
      <c r="A1051" s="2012">
        <v>3636</v>
      </c>
      <c r="B1051" s="2013">
        <v>5032</v>
      </c>
      <c r="C1051" s="2013">
        <v>38500881</v>
      </c>
      <c r="D1051" s="2014" t="s">
        <v>1177</v>
      </c>
      <c r="E1051" s="2015"/>
      <c r="F1051" s="2015"/>
      <c r="G1051" s="2015"/>
      <c r="H1051" s="2016" t="e">
        <f t="shared" si="85"/>
        <v>#DIV/0!</v>
      </c>
    </row>
    <row r="1052" spans="1:8" ht="15" hidden="1" x14ac:dyDescent="0.2">
      <c r="A1052" s="2012">
        <v>3636</v>
      </c>
      <c r="B1052" s="2013">
        <v>5139</v>
      </c>
      <c r="C1052" s="2013">
        <v>38100880</v>
      </c>
      <c r="D1052" s="2014" t="s">
        <v>270</v>
      </c>
      <c r="E1052" s="2015"/>
      <c r="F1052" s="2015"/>
      <c r="G1052" s="2015"/>
      <c r="H1052" s="2016">
        <v>0</v>
      </c>
    </row>
    <row r="1053" spans="1:8" ht="15" hidden="1" x14ac:dyDescent="0.2">
      <c r="A1053" s="2012">
        <v>3636</v>
      </c>
      <c r="B1053" s="2013">
        <v>5139</v>
      </c>
      <c r="C1053" s="2013">
        <v>38500881</v>
      </c>
      <c r="D1053" s="2014" t="s">
        <v>270</v>
      </c>
      <c r="E1053" s="2015"/>
      <c r="F1053" s="2015"/>
      <c r="G1053" s="2015"/>
      <c r="H1053" s="2016" t="e">
        <f t="shared" ref="H1053:H1065" si="86">G1053/F1053*100</f>
        <v>#DIV/0!</v>
      </c>
    </row>
    <row r="1054" spans="1:8" ht="15" hidden="1" x14ac:dyDescent="0.2">
      <c r="A1054" s="2012">
        <v>3636</v>
      </c>
      <c r="B1054" s="2013">
        <v>5162</v>
      </c>
      <c r="C1054" s="2013">
        <v>38100880</v>
      </c>
      <c r="D1054" s="2014" t="s">
        <v>864</v>
      </c>
      <c r="E1054" s="2015"/>
      <c r="F1054" s="2015"/>
      <c r="G1054" s="2015"/>
      <c r="H1054" s="2016" t="e">
        <f t="shared" si="86"/>
        <v>#DIV/0!</v>
      </c>
    </row>
    <row r="1055" spans="1:8" ht="15" hidden="1" x14ac:dyDescent="0.2">
      <c r="A1055" s="2012">
        <v>3636</v>
      </c>
      <c r="B1055" s="2013">
        <v>5162</v>
      </c>
      <c r="C1055" s="2013">
        <v>38500881</v>
      </c>
      <c r="D1055" s="2014" t="s">
        <v>864</v>
      </c>
      <c r="E1055" s="2015"/>
      <c r="F1055" s="2015"/>
      <c r="G1055" s="2015"/>
      <c r="H1055" s="2016" t="e">
        <f t="shared" si="86"/>
        <v>#DIV/0!</v>
      </c>
    </row>
    <row r="1056" spans="1:8" ht="15" hidden="1" x14ac:dyDescent="0.2">
      <c r="A1056" s="2012">
        <v>3636</v>
      </c>
      <c r="B1056" s="2013">
        <v>5164</v>
      </c>
      <c r="C1056" s="2013">
        <v>38100880</v>
      </c>
      <c r="D1056" s="2014" t="s">
        <v>170</v>
      </c>
      <c r="E1056" s="2015"/>
      <c r="F1056" s="2015"/>
      <c r="G1056" s="2015"/>
      <c r="H1056" s="2016" t="e">
        <f t="shared" si="86"/>
        <v>#DIV/0!</v>
      </c>
    </row>
    <row r="1057" spans="1:8" ht="15" hidden="1" x14ac:dyDescent="0.2">
      <c r="A1057" s="2012">
        <v>3636</v>
      </c>
      <c r="B1057" s="2013">
        <v>5164</v>
      </c>
      <c r="C1057" s="2013">
        <v>38500881</v>
      </c>
      <c r="D1057" s="2014" t="s">
        <v>170</v>
      </c>
      <c r="E1057" s="2015"/>
      <c r="F1057" s="2015"/>
      <c r="G1057" s="2015"/>
      <c r="H1057" s="2016" t="e">
        <f t="shared" si="86"/>
        <v>#DIV/0!</v>
      </c>
    </row>
    <row r="1058" spans="1:8" ht="30" x14ac:dyDescent="0.2">
      <c r="A1058" s="2012">
        <v>3123</v>
      </c>
      <c r="B1058" s="2013">
        <v>5336</v>
      </c>
      <c r="C1058" s="2017">
        <v>32533019</v>
      </c>
      <c r="D1058" s="2014" t="s">
        <v>1263</v>
      </c>
      <c r="E1058" s="2015">
        <v>0</v>
      </c>
      <c r="F1058" s="2015">
        <f>120+2006</f>
        <v>2126</v>
      </c>
      <c r="G1058" s="2015">
        <f>120+1676</f>
        <v>1796</v>
      </c>
      <c r="H1058" s="2016">
        <f t="shared" si="86"/>
        <v>84.477892756349945</v>
      </c>
    </row>
    <row r="1059" spans="1:8" ht="15" hidden="1" x14ac:dyDescent="0.2">
      <c r="A1059" s="2012">
        <v>6223</v>
      </c>
      <c r="B1059" s="2013">
        <v>5166</v>
      </c>
      <c r="C1059" s="2013">
        <v>41100880</v>
      </c>
      <c r="D1059" s="2014" t="s">
        <v>609</v>
      </c>
      <c r="E1059" s="2015"/>
      <c r="F1059" s="2015"/>
      <c r="G1059" s="2015"/>
      <c r="H1059" s="2016" t="e">
        <f t="shared" si="86"/>
        <v>#DIV/0!</v>
      </c>
    </row>
    <row r="1060" spans="1:8" ht="15" hidden="1" x14ac:dyDescent="0.2">
      <c r="A1060" s="2012">
        <v>6223</v>
      </c>
      <c r="B1060" s="2013">
        <v>5166</v>
      </c>
      <c r="C1060" s="2013">
        <v>41100882</v>
      </c>
      <c r="D1060" s="2014" t="s">
        <v>609</v>
      </c>
      <c r="E1060" s="2015"/>
      <c r="F1060" s="2015"/>
      <c r="G1060" s="2015"/>
      <c r="H1060" s="2016" t="e">
        <f t="shared" si="86"/>
        <v>#DIV/0!</v>
      </c>
    </row>
    <row r="1061" spans="1:8" ht="15" hidden="1" x14ac:dyDescent="0.2">
      <c r="A1061" s="2012">
        <v>6223</v>
      </c>
      <c r="B1061" s="2013">
        <v>5166</v>
      </c>
      <c r="C1061" s="2013">
        <v>41500881</v>
      </c>
      <c r="D1061" s="2014" t="s">
        <v>609</v>
      </c>
      <c r="E1061" s="2015"/>
      <c r="F1061" s="2015"/>
      <c r="G1061" s="2015"/>
      <c r="H1061" s="2016" t="e">
        <f t="shared" si="86"/>
        <v>#DIV/0!</v>
      </c>
    </row>
    <row r="1062" spans="1:8" ht="15" hidden="1" x14ac:dyDescent="0.2">
      <c r="A1062" s="2012">
        <v>3636</v>
      </c>
      <c r="B1062" s="2013">
        <v>5167</v>
      </c>
      <c r="C1062" s="2013">
        <v>38100880</v>
      </c>
      <c r="D1062" s="2014" t="s">
        <v>895</v>
      </c>
      <c r="E1062" s="2015"/>
      <c r="F1062" s="2015"/>
      <c r="G1062" s="2015"/>
      <c r="H1062" s="2016" t="e">
        <f t="shared" si="86"/>
        <v>#DIV/0!</v>
      </c>
    </row>
    <row r="1063" spans="1:8" ht="15" hidden="1" x14ac:dyDescent="0.2">
      <c r="A1063" s="2012">
        <v>3636</v>
      </c>
      <c r="B1063" s="2013">
        <v>5167</v>
      </c>
      <c r="C1063" s="2013">
        <v>38500881</v>
      </c>
      <c r="D1063" s="2014" t="s">
        <v>895</v>
      </c>
      <c r="E1063" s="2015"/>
      <c r="F1063" s="2015"/>
      <c r="G1063" s="2015"/>
      <c r="H1063" s="2016" t="e">
        <f t="shared" si="86"/>
        <v>#DIV/0!</v>
      </c>
    </row>
    <row r="1064" spans="1:8" ht="15" hidden="1" x14ac:dyDescent="0.2">
      <c r="A1064" s="2012">
        <v>3636</v>
      </c>
      <c r="B1064" s="2013">
        <v>5169</v>
      </c>
      <c r="C1064" s="2013">
        <v>38100880</v>
      </c>
      <c r="D1064" s="2014" t="s">
        <v>852</v>
      </c>
      <c r="E1064" s="2015"/>
      <c r="F1064" s="2015"/>
      <c r="G1064" s="2015"/>
      <c r="H1064" s="2016" t="e">
        <f t="shared" si="86"/>
        <v>#DIV/0!</v>
      </c>
    </row>
    <row r="1065" spans="1:8" ht="15" hidden="1" x14ac:dyDescent="0.2">
      <c r="A1065" s="2012">
        <v>3636</v>
      </c>
      <c r="B1065" s="2013">
        <v>5169</v>
      </c>
      <c r="C1065" s="2013">
        <v>38500881</v>
      </c>
      <c r="D1065" s="2014" t="s">
        <v>852</v>
      </c>
      <c r="E1065" s="2015"/>
      <c r="F1065" s="2015"/>
      <c r="G1065" s="2015"/>
      <c r="H1065" s="2016" t="e">
        <f t="shared" si="86"/>
        <v>#DIV/0!</v>
      </c>
    </row>
    <row r="1066" spans="1:8" ht="15" hidden="1" x14ac:dyDescent="0.2">
      <c r="A1066" s="2012">
        <v>6223</v>
      </c>
      <c r="B1066" s="2013">
        <v>5173</v>
      </c>
      <c r="C1066" s="2017">
        <v>0</v>
      </c>
      <c r="D1066" s="2014" t="s">
        <v>1152</v>
      </c>
      <c r="E1066" s="2015"/>
      <c r="F1066" s="2015"/>
      <c r="G1066" s="2015"/>
      <c r="H1066" s="2016">
        <v>0</v>
      </c>
    </row>
    <row r="1067" spans="1:8" ht="15" hidden="1" x14ac:dyDescent="0.2">
      <c r="A1067" s="2012">
        <v>3636</v>
      </c>
      <c r="B1067" s="2013">
        <v>5173</v>
      </c>
      <c r="C1067" s="2013">
        <v>38500881</v>
      </c>
      <c r="D1067" s="2014" t="s">
        <v>1152</v>
      </c>
      <c r="E1067" s="2015">
        <v>0</v>
      </c>
      <c r="F1067" s="2015"/>
      <c r="G1067" s="2015"/>
      <c r="H1067" s="2016" t="e">
        <f t="shared" ref="H1067:H1074" si="87">G1067/F1067*100</f>
        <v>#DIV/0!</v>
      </c>
    </row>
    <row r="1068" spans="1:8" ht="15" hidden="1" x14ac:dyDescent="0.2">
      <c r="A1068" s="2012">
        <v>3636</v>
      </c>
      <c r="B1068" s="2013">
        <v>5175</v>
      </c>
      <c r="C1068" s="2013">
        <v>38100880</v>
      </c>
      <c r="D1068" s="2014" t="s">
        <v>669</v>
      </c>
      <c r="E1068" s="2015">
        <v>0</v>
      </c>
      <c r="F1068" s="2015"/>
      <c r="G1068" s="2015"/>
      <c r="H1068" s="2016" t="e">
        <f t="shared" si="87"/>
        <v>#DIV/0!</v>
      </c>
    </row>
    <row r="1069" spans="1:8" ht="15" hidden="1" x14ac:dyDescent="0.2">
      <c r="A1069" s="2012">
        <v>3636</v>
      </c>
      <c r="B1069" s="2013">
        <v>5175</v>
      </c>
      <c r="C1069" s="2013">
        <v>38500881</v>
      </c>
      <c r="D1069" s="2014" t="s">
        <v>669</v>
      </c>
      <c r="E1069" s="2015">
        <v>0</v>
      </c>
      <c r="F1069" s="2015"/>
      <c r="G1069" s="2015"/>
      <c r="H1069" s="2016" t="e">
        <f t="shared" si="87"/>
        <v>#DIV/0!</v>
      </c>
    </row>
    <row r="1070" spans="1:8" ht="15" hidden="1" x14ac:dyDescent="0.2">
      <c r="A1070" s="2012">
        <v>3636</v>
      </c>
      <c r="B1070" s="2013">
        <v>5176</v>
      </c>
      <c r="C1070" s="2013">
        <v>38100880</v>
      </c>
      <c r="D1070" s="2014" t="s">
        <v>1247</v>
      </c>
      <c r="E1070" s="2015">
        <v>0</v>
      </c>
      <c r="F1070" s="2015"/>
      <c r="G1070" s="2015"/>
      <c r="H1070" s="2016" t="e">
        <f t="shared" si="87"/>
        <v>#DIV/0!</v>
      </c>
    </row>
    <row r="1071" spans="1:8" ht="15" hidden="1" x14ac:dyDescent="0.2">
      <c r="A1071" s="2012">
        <v>3636</v>
      </c>
      <c r="B1071" s="2013">
        <v>5176</v>
      </c>
      <c r="C1071" s="2013">
        <v>38500881</v>
      </c>
      <c r="D1071" s="2014" t="s">
        <v>1247</v>
      </c>
      <c r="E1071" s="2015">
        <v>0</v>
      </c>
      <c r="F1071" s="2015"/>
      <c r="G1071" s="2015"/>
      <c r="H1071" s="2016" t="e">
        <f t="shared" si="87"/>
        <v>#DIV/0!</v>
      </c>
    </row>
    <row r="1072" spans="1:8" ht="30" x14ac:dyDescent="0.2">
      <c r="A1072" s="2012">
        <v>3123</v>
      </c>
      <c r="B1072" s="2013">
        <v>6356</v>
      </c>
      <c r="C1072" s="2013">
        <v>32133910</v>
      </c>
      <c r="D1072" s="2014" t="s">
        <v>1772</v>
      </c>
      <c r="E1072" s="2015">
        <v>0</v>
      </c>
      <c r="F1072" s="2015">
        <v>275</v>
      </c>
      <c r="G1072" s="2015">
        <v>275</v>
      </c>
      <c r="H1072" s="2016">
        <f t="shared" si="87"/>
        <v>100</v>
      </c>
    </row>
    <row r="1073" spans="1:8" ht="30.75" thickBot="1" x14ac:dyDescent="0.25">
      <c r="A1073" s="2012">
        <v>3123</v>
      </c>
      <c r="B1073" s="2013">
        <v>6356</v>
      </c>
      <c r="C1073" s="2013">
        <v>32533910</v>
      </c>
      <c r="D1073" s="2014" t="s">
        <v>1772</v>
      </c>
      <c r="E1073" s="2015">
        <v>0</v>
      </c>
      <c r="F1073" s="2015">
        <v>1555</v>
      </c>
      <c r="G1073" s="2015">
        <v>1555</v>
      </c>
      <c r="H1073" s="2018">
        <f t="shared" si="87"/>
        <v>100</v>
      </c>
    </row>
    <row r="1074" spans="1:8" ht="16.5" thickTop="1" thickBot="1" x14ac:dyDescent="0.3">
      <c r="A1074" s="2751" t="s">
        <v>763</v>
      </c>
      <c r="B1074" s="2752"/>
      <c r="C1074" s="2752"/>
      <c r="D1074" s="2752"/>
      <c r="E1074" s="1818">
        <f>SUM(E1044:E1073)</f>
        <v>0</v>
      </c>
      <c r="F1074" s="1818">
        <f>SUM(F1044:F1073)</f>
        <v>4331</v>
      </c>
      <c r="G1074" s="1818">
        <f>SUM(G1044:G1073)</f>
        <v>3942</v>
      </c>
      <c r="H1074" s="1822">
        <f t="shared" si="87"/>
        <v>91.018240591087505</v>
      </c>
    </row>
    <row r="1075" spans="1:8" ht="13.5" thickTop="1" x14ac:dyDescent="0.2"/>
    <row r="1076" spans="1:8" ht="12" customHeight="1" x14ac:dyDescent="0.25">
      <c r="A1076" s="2760" t="s">
        <v>1796</v>
      </c>
      <c r="B1076" s="2761"/>
      <c r="C1076" s="2761"/>
      <c r="D1076" s="2761"/>
      <c r="E1076" s="2761"/>
      <c r="F1076" s="2761"/>
      <c r="G1076" s="2761"/>
      <c r="H1076" s="2761"/>
    </row>
    <row r="1077" spans="1:8" ht="15.75" thickBot="1" x14ac:dyDescent="0.3">
      <c r="A1077" s="1979" t="s">
        <v>1144</v>
      </c>
      <c r="B1077" s="1993"/>
      <c r="C1077" s="1993"/>
      <c r="E1077" s="1994"/>
      <c r="F1077" s="1994"/>
      <c r="G1077" s="1994"/>
      <c r="H1077" s="1995" t="s">
        <v>161</v>
      </c>
    </row>
    <row r="1078" spans="1:8" ht="25.5" thickTop="1" thickBot="1" x14ac:dyDescent="0.25">
      <c r="A1078" s="1809" t="s">
        <v>162</v>
      </c>
      <c r="B1078" s="1810" t="s">
        <v>761</v>
      </c>
      <c r="C1078" s="1810" t="s">
        <v>377</v>
      </c>
      <c r="D1078" s="1811" t="s">
        <v>164</v>
      </c>
      <c r="E1078" s="1833" t="s">
        <v>632</v>
      </c>
      <c r="F1078" s="1833" t="s">
        <v>633</v>
      </c>
      <c r="G1078" s="1834" t="s">
        <v>882</v>
      </c>
      <c r="H1078" s="1835" t="s">
        <v>883</v>
      </c>
    </row>
    <row r="1079" spans="1:8" ht="14.25" thickTop="1" thickBot="1" x14ac:dyDescent="0.25">
      <c r="A1079" s="1643">
        <v>1</v>
      </c>
      <c r="B1079" s="1642">
        <v>2</v>
      </c>
      <c r="C1079" s="1642">
        <v>3</v>
      </c>
      <c r="D1079" s="1642">
        <v>4</v>
      </c>
      <c r="E1079" s="1641">
        <v>5</v>
      </c>
      <c r="F1079" s="1641">
        <v>6</v>
      </c>
      <c r="G1079" s="1877">
        <v>7</v>
      </c>
      <c r="H1079" s="1901" t="s">
        <v>61</v>
      </c>
    </row>
    <row r="1080" spans="1:8" ht="30.75" thickTop="1" x14ac:dyDescent="0.2">
      <c r="A1080" s="2012">
        <v>3124</v>
      </c>
      <c r="B1080" s="2013">
        <v>5336</v>
      </c>
      <c r="C1080" s="2017">
        <v>32133019</v>
      </c>
      <c r="D1080" s="2014" t="s">
        <v>1263</v>
      </c>
      <c r="E1080" s="2015">
        <v>0</v>
      </c>
      <c r="F1080" s="2015">
        <f>11+133</f>
        <v>144</v>
      </c>
      <c r="G1080" s="2015">
        <f>10+120</f>
        <v>130</v>
      </c>
      <c r="H1080" s="2016">
        <f>G1080/F1080*100</f>
        <v>90.277777777777786</v>
      </c>
    </row>
    <row r="1081" spans="1:8" ht="30" x14ac:dyDescent="0.2">
      <c r="A1081" s="2012">
        <v>3124</v>
      </c>
      <c r="B1081" s="2013">
        <v>5336</v>
      </c>
      <c r="C1081" s="2017">
        <v>32533019</v>
      </c>
      <c r="D1081" s="2014" t="s">
        <v>1263</v>
      </c>
      <c r="E1081" s="2015">
        <v>0</v>
      </c>
      <c r="F1081" s="2015">
        <f>61+753</f>
        <v>814</v>
      </c>
      <c r="G1081" s="2015">
        <f>57+679</f>
        <v>736</v>
      </c>
      <c r="H1081" s="2016">
        <f>G1081/F1081*100</f>
        <v>90.417690417690423</v>
      </c>
    </row>
    <row r="1082" spans="1:8" ht="15" hidden="1" x14ac:dyDescent="0.2">
      <c r="A1082" s="2012">
        <v>3124</v>
      </c>
      <c r="B1082" s="2013">
        <v>5166</v>
      </c>
      <c r="C1082" s="2013">
        <v>41100880</v>
      </c>
      <c r="D1082" s="2014" t="s">
        <v>609</v>
      </c>
      <c r="E1082" s="2015"/>
      <c r="F1082" s="2015"/>
      <c r="G1082" s="2015"/>
      <c r="H1082" s="2016" t="e">
        <f t="shared" ref="H1082:H1088" si="88">G1082/F1082*100</f>
        <v>#DIV/0!</v>
      </c>
    </row>
    <row r="1083" spans="1:8" ht="15" hidden="1" x14ac:dyDescent="0.2">
      <c r="A1083" s="2012">
        <v>3124</v>
      </c>
      <c r="B1083" s="2013">
        <v>5166</v>
      </c>
      <c r="C1083" s="2013">
        <v>41100882</v>
      </c>
      <c r="D1083" s="2014" t="s">
        <v>609</v>
      </c>
      <c r="E1083" s="2015"/>
      <c r="F1083" s="2015"/>
      <c r="G1083" s="2015"/>
      <c r="H1083" s="2016" t="e">
        <f t="shared" si="88"/>
        <v>#DIV/0!</v>
      </c>
    </row>
    <row r="1084" spans="1:8" ht="15" hidden="1" x14ac:dyDescent="0.2">
      <c r="A1084" s="2012">
        <v>3124</v>
      </c>
      <c r="B1084" s="2013">
        <v>5166</v>
      </c>
      <c r="C1084" s="2013">
        <v>41500881</v>
      </c>
      <c r="D1084" s="2014" t="s">
        <v>609</v>
      </c>
      <c r="E1084" s="2015"/>
      <c r="F1084" s="2015"/>
      <c r="G1084" s="2015"/>
      <c r="H1084" s="2016" t="e">
        <f t="shared" si="88"/>
        <v>#DIV/0!</v>
      </c>
    </row>
    <row r="1085" spans="1:8" ht="15" hidden="1" x14ac:dyDescent="0.2">
      <c r="A1085" s="2012">
        <v>3124</v>
      </c>
      <c r="B1085" s="2013">
        <v>5167</v>
      </c>
      <c r="C1085" s="2013">
        <v>38100880</v>
      </c>
      <c r="D1085" s="2014" t="s">
        <v>895</v>
      </c>
      <c r="E1085" s="2015"/>
      <c r="F1085" s="2015"/>
      <c r="G1085" s="2015"/>
      <c r="H1085" s="2016" t="e">
        <f t="shared" si="88"/>
        <v>#DIV/0!</v>
      </c>
    </row>
    <row r="1086" spans="1:8" ht="15" hidden="1" x14ac:dyDescent="0.2">
      <c r="A1086" s="2012">
        <v>3124</v>
      </c>
      <c r="B1086" s="2013">
        <v>5167</v>
      </c>
      <c r="C1086" s="2013">
        <v>38500881</v>
      </c>
      <c r="D1086" s="2014" t="s">
        <v>895</v>
      </c>
      <c r="E1086" s="2015"/>
      <c r="F1086" s="2015"/>
      <c r="G1086" s="2015"/>
      <c r="H1086" s="2016" t="e">
        <f t="shared" si="88"/>
        <v>#DIV/0!</v>
      </c>
    </row>
    <row r="1087" spans="1:8" ht="15" hidden="1" x14ac:dyDescent="0.2">
      <c r="A1087" s="2012">
        <v>3124</v>
      </c>
      <c r="B1087" s="2013">
        <v>5169</v>
      </c>
      <c r="C1087" s="2013">
        <v>38100880</v>
      </c>
      <c r="D1087" s="2014" t="s">
        <v>852</v>
      </c>
      <c r="E1087" s="2015"/>
      <c r="F1087" s="2015"/>
      <c r="G1087" s="2015"/>
      <c r="H1087" s="2016" t="e">
        <f t="shared" si="88"/>
        <v>#DIV/0!</v>
      </c>
    </row>
    <row r="1088" spans="1:8" ht="15" hidden="1" x14ac:dyDescent="0.2">
      <c r="A1088" s="2012">
        <v>3124</v>
      </c>
      <c r="B1088" s="2013">
        <v>5169</v>
      </c>
      <c r="C1088" s="2013">
        <v>38500881</v>
      </c>
      <c r="D1088" s="2014" t="s">
        <v>852</v>
      </c>
      <c r="E1088" s="2015"/>
      <c r="F1088" s="2015"/>
      <c r="G1088" s="2015"/>
      <c r="H1088" s="2016" t="e">
        <f t="shared" si="88"/>
        <v>#DIV/0!</v>
      </c>
    </row>
    <row r="1089" spans="1:8" ht="15" hidden="1" x14ac:dyDescent="0.2">
      <c r="A1089" s="2012">
        <v>3124</v>
      </c>
      <c r="B1089" s="2013">
        <v>5173</v>
      </c>
      <c r="C1089" s="2017">
        <v>0</v>
      </c>
      <c r="D1089" s="2014" t="s">
        <v>1152</v>
      </c>
      <c r="E1089" s="2015"/>
      <c r="F1089" s="2015"/>
      <c r="G1089" s="2015"/>
      <c r="H1089" s="2016">
        <v>0</v>
      </c>
    </row>
    <row r="1090" spans="1:8" ht="15" hidden="1" x14ac:dyDescent="0.2">
      <c r="A1090" s="2012">
        <v>3124</v>
      </c>
      <c r="B1090" s="2013">
        <v>5173</v>
      </c>
      <c r="C1090" s="2013">
        <v>38500881</v>
      </c>
      <c r="D1090" s="2014" t="s">
        <v>1152</v>
      </c>
      <c r="E1090" s="2015">
        <v>0</v>
      </c>
      <c r="F1090" s="2015"/>
      <c r="G1090" s="2015"/>
      <c r="H1090" s="2016" t="e">
        <f t="shared" ref="H1090:H1097" si="89">G1090/F1090*100</f>
        <v>#DIV/0!</v>
      </c>
    </row>
    <row r="1091" spans="1:8" ht="15" hidden="1" x14ac:dyDescent="0.2">
      <c r="A1091" s="2012">
        <v>3124</v>
      </c>
      <c r="B1091" s="2013">
        <v>5175</v>
      </c>
      <c r="C1091" s="2013">
        <v>38100880</v>
      </c>
      <c r="D1091" s="2014" t="s">
        <v>669</v>
      </c>
      <c r="E1091" s="2015">
        <v>0</v>
      </c>
      <c r="F1091" s="2015"/>
      <c r="G1091" s="2015"/>
      <c r="H1091" s="2016" t="e">
        <f t="shared" si="89"/>
        <v>#DIV/0!</v>
      </c>
    </row>
    <row r="1092" spans="1:8" ht="15" hidden="1" x14ac:dyDescent="0.2">
      <c r="A1092" s="2012">
        <v>3124</v>
      </c>
      <c r="B1092" s="2013">
        <v>5175</v>
      </c>
      <c r="C1092" s="2013">
        <v>38500881</v>
      </c>
      <c r="D1092" s="2014" t="s">
        <v>669</v>
      </c>
      <c r="E1092" s="2015">
        <v>0</v>
      </c>
      <c r="F1092" s="2015"/>
      <c r="G1092" s="2015"/>
      <c r="H1092" s="2016" t="e">
        <f t="shared" si="89"/>
        <v>#DIV/0!</v>
      </c>
    </row>
    <row r="1093" spans="1:8" ht="15" hidden="1" x14ac:dyDescent="0.2">
      <c r="A1093" s="2012">
        <v>3124</v>
      </c>
      <c r="B1093" s="2013">
        <v>5176</v>
      </c>
      <c r="C1093" s="2013">
        <v>38100880</v>
      </c>
      <c r="D1093" s="2014" t="s">
        <v>1247</v>
      </c>
      <c r="E1093" s="2015">
        <v>0</v>
      </c>
      <c r="F1093" s="2015"/>
      <c r="G1093" s="2015"/>
      <c r="H1093" s="2016" t="e">
        <f t="shared" si="89"/>
        <v>#DIV/0!</v>
      </c>
    </row>
    <row r="1094" spans="1:8" ht="15" hidden="1" x14ac:dyDescent="0.2">
      <c r="A1094" s="2012">
        <v>3124</v>
      </c>
      <c r="B1094" s="2013">
        <v>5176</v>
      </c>
      <c r="C1094" s="2013">
        <v>38500881</v>
      </c>
      <c r="D1094" s="2014" t="s">
        <v>1247</v>
      </c>
      <c r="E1094" s="2015">
        <v>0</v>
      </c>
      <c r="F1094" s="2015"/>
      <c r="G1094" s="2015"/>
      <c r="H1094" s="2016" t="e">
        <f t="shared" si="89"/>
        <v>#DIV/0!</v>
      </c>
    </row>
    <row r="1095" spans="1:8" ht="30" x14ac:dyDescent="0.2">
      <c r="A1095" s="2012">
        <v>3124</v>
      </c>
      <c r="B1095" s="2013">
        <v>6356</v>
      </c>
      <c r="C1095" s="2013">
        <v>32133910</v>
      </c>
      <c r="D1095" s="2014" t="s">
        <v>1772</v>
      </c>
      <c r="E1095" s="2015">
        <v>0</v>
      </c>
      <c r="F1095" s="2015">
        <v>88</v>
      </c>
      <c r="G1095" s="2015">
        <v>73</v>
      </c>
      <c r="H1095" s="2016">
        <f t="shared" si="89"/>
        <v>82.954545454545453</v>
      </c>
    </row>
    <row r="1096" spans="1:8" ht="30.75" thickBot="1" x14ac:dyDescent="0.25">
      <c r="A1096" s="2012">
        <v>3124</v>
      </c>
      <c r="B1096" s="2013">
        <v>6356</v>
      </c>
      <c r="C1096" s="2013">
        <v>32533910</v>
      </c>
      <c r="D1096" s="2014" t="s">
        <v>1772</v>
      </c>
      <c r="E1096" s="2015">
        <v>0</v>
      </c>
      <c r="F1096" s="2015">
        <v>499</v>
      </c>
      <c r="G1096" s="2015">
        <v>410</v>
      </c>
      <c r="H1096" s="2018">
        <f t="shared" si="89"/>
        <v>82.164328657314627</v>
      </c>
    </row>
    <row r="1097" spans="1:8" ht="16.5" thickTop="1" thickBot="1" x14ac:dyDescent="0.3">
      <c r="A1097" s="2751" t="s">
        <v>763</v>
      </c>
      <c r="B1097" s="2752"/>
      <c r="C1097" s="2752"/>
      <c r="D1097" s="2752"/>
      <c r="E1097" s="1818">
        <f>SUM(E1080:E1096)</f>
        <v>0</v>
      </c>
      <c r="F1097" s="1818">
        <f>SUM(F1080:F1096)</f>
        <v>1545</v>
      </c>
      <c r="G1097" s="1818">
        <f>SUM(G1080:G1096)</f>
        <v>1349</v>
      </c>
      <c r="H1097" s="1822">
        <f t="shared" si="89"/>
        <v>87.313915857605167</v>
      </c>
    </row>
    <row r="1098" spans="1:8" ht="13.5" thickTop="1" x14ac:dyDescent="0.2"/>
    <row r="1099" spans="1:8" ht="12" customHeight="1" x14ac:dyDescent="0.25">
      <c r="A1099" s="2760" t="s">
        <v>2041</v>
      </c>
      <c r="B1099" s="2761"/>
      <c r="C1099" s="2761"/>
      <c r="D1099" s="2761"/>
      <c r="E1099" s="2761"/>
      <c r="F1099" s="2761"/>
      <c r="G1099" s="2761"/>
      <c r="H1099" s="2761"/>
    </row>
    <row r="1100" spans="1:8" ht="15.75" thickBot="1" x14ac:dyDescent="0.3">
      <c r="A1100" s="1979" t="s">
        <v>1013</v>
      </c>
      <c r="B1100" s="1993"/>
      <c r="C1100" s="1993"/>
      <c r="E1100" s="1994"/>
      <c r="F1100" s="1994"/>
      <c r="G1100" s="1994"/>
      <c r="H1100" s="1995" t="s">
        <v>161</v>
      </c>
    </row>
    <row r="1101" spans="1:8" ht="25.5" thickTop="1" thickBot="1" x14ac:dyDescent="0.25">
      <c r="A1101" s="1809" t="s">
        <v>162</v>
      </c>
      <c r="B1101" s="1810" t="s">
        <v>761</v>
      </c>
      <c r="C1101" s="1810" t="s">
        <v>377</v>
      </c>
      <c r="D1101" s="1811" t="s">
        <v>164</v>
      </c>
      <c r="E1101" s="1833" t="s">
        <v>632</v>
      </c>
      <c r="F1101" s="1833" t="s">
        <v>633</v>
      </c>
      <c r="G1101" s="1834" t="s">
        <v>882</v>
      </c>
      <c r="H1101" s="1835" t="s">
        <v>883</v>
      </c>
    </row>
    <row r="1102" spans="1:8" ht="14.25" thickTop="1" thickBot="1" x14ac:dyDescent="0.25">
      <c r="A1102" s="1643">
        <v>1</v>
      </c>
      <c r="B1102" s="1642">
        <v>2</v>
      </c>
      <c r="C1102" s="1642">
        <v>3</v>
      </c>
      <c r="D1102" s="1642">
        <v>4</v>
      </c>
      <c r="E1102" s="1641">
        <v>5</v>
      </c>
      <c r="F1102" s="1641">
        <v>6</v>
      </c>
      <c r="G1102" s="1877">
        <v>7</v>
      </c>
      <c r="H1102" s="1901" t="s">
        <v>61</v>
      </c>
    </row>
    <row r="1103" spans="1:8" ht="30.75" thickTop="1" x14ac:dyDescent="0.2">
      <c r="A1103" s="2012">
        <v>3123</v>
      </c>
      <c r="B1103" s="2013">
        <v>5336</v>
      </c>
      <c r="C1103" s="2017">
        <v>32133019</v>
      </c>
      <c r="D1103" s="2014" t="s">
        <v>1263</v>
      </c>
      <c r="E1103" s="2015">
        <v>0</v>
      </c>
      <c r="F1103" s="2015">
        <f>6+69</f>
        <v>75</v>
      </c>
      <c r="G1103" s="2015">
        <f>6+69</f>
        <v>75</v>
      </c>
      <c r="H1103" s="2016">
        <f>G1103/F1103*100</f>
        <v>100</v>
      </c>
    </row>
    <row r="1104" spans="1:8" ht="30.75" thickBot="1" x14ac:dyDescent="0.25">
      <c r="A1104" s="2012">
        <v>3123</v>
      </c>
      <c r="B1104" s="2013">
        <v>5336</v>
      </c>
      <c r="C1104" s="2017">
        <v>32533019</v>
      </c>
      <c r="D1104" s="2014" t="s">
        <v>1263</v>
      </c>
      <c r="E1104" s="2015">
        <v>0</v>
      </c>
      <c r="F1104" s="2015">
        <f>34+393</f>
        <v>427</v>
      </c>
      <c r="G1104" s="2015">
        <f>34+393</f>
        <v>427</v>
      </c>
      <c r="H1104" s="2016">
        <f>G1104/F1104*100</f>
        <v>100</v>
      </c>
    </row>
    <row r="1105" spans="1:8" ht="15.75" hidden="1" thickBot="1" x14ac:dyDescent="0.25">
      <c r="A1105" s="2012">
        <v>3124</v>
      </c>
      <c r="B1105" s="2013">
        <v>5166</v>
      </c>
      <c r="C1105" s="2013">
        <v>41100880</v>
      </c>
      <c r="D1105" s="2014" t="s">
        <v>609</v>
      </c>
      <c r="E1105" s="2015"/>
      <c r="F1105" s="2015"/>
      <c r="G1105" s="2015"/>
      <c r="H1105" s="2016" t="e">
        <f t="shared" ref="H1105:H1111" si="90">G1105/F1105*100</f>
        <v>#DIV/0!</v>
      </c>
    </row>
    <row r="1106" spans="1:8" ht="15.75" hidden="1" thickBot="1" x14ac:dyDescent="0.25">
      <c r="A1106" s="2012">
        <v>3124</v>
      </c>
      <c r="B1106" s="2013">
        <v>5166</v>
      </c>
      <c r="C1106" s="2013">
        <v>41100882</v>
      </c>
      <c r="D1106" s="2014" t="s">
        <v>609</v>
      </c>
      <c r="E1106" s="2015"/>
      <c r="F1106" s="2015"/>
      <c r="G1106" s="2015"/>
      <c r="H1106" s="2016" t="e">
        <f t="shared" si="90"/>
        <v>#DIV/0!</v>
      </c>
    </row>
    <row r="1107" spans="1:8" ht="15.75" hidden="1" thickBot="1" x14ac:dyDescent="0.25">
      <c r="A1107" s="2012">
        <v>3124</v>
      </c>
      <c r="B1107" s="2013">
        <v>5166</v>
      </c>
      <c r="C1107" s="2013">
        <v>41500881</v>
      </c>
      <c r="D1107" s="2014" t="s">
        <v>609</v>
      </c>
      <c r="E1107" s="2015"/>
      <c r="F1107" s="2015"/>
      <c r="G1107" s="2015"/>
      <c r="H1107" s="2016" t="e">
        <f t="shared" si="90"/>
        <v>#DIV/0!</v>
      </c>
    </row>
    <row r="1108" spans="1:8" ht="15.75" hidden="1" thickBot="1" x14ac:dyDescent="0.25">
      <c r="A1108" s="2012">
        <v>3124</v>
      </c>
      <c r="B1108" s="2013">
        <v>5167</v>
      </c>
      <c r="C1108" s="2013">
        <v>38100880</v>
      </c>
      <c r="D1108" s="2014" t="s">
        <v>895</v>
      </c>
      <c r="E1108" s="2015"/>
      <c r="F1108" s="2015"/>
      <c r="G1108" s="2015"/>
      <c r="H1108" s="2016" t="e">
        <f t="shared" si="90"/>
        <v>#DIV/0!</v>
      </c>
    </row>
    <row r="1109" spans="1:8" ht="15.75" hidden="1" thickBot="1" x14ac:dyDescent="0.25">
      <c r="A1109" s="2012">
        <v>3124</v>
      </c>
      <c r="B1109" s="2013">
        <v>5167</v>
      </c>
      <c r="C1109" s="2013">
        <v>38500881</v>
      </c>
      <c r="D1109" s="2014" t="s">
        <v>895</v>
      </c>
      <c r="E1109" s="2015"/>
      <c r="F1109" s="2015"/>
      <c r="G1109" s="2015"/>
      <c r="H1109" s="2016" t="e">
        <f t="shared" si="90"/>
        <v>#DIV/0!</v>
      </c>
    </row>
    <row r="1110" spans="1:8" ht="15.75" hidden="1" thickBot="1" x14ac:dyDescent="0.25">
      <c r="A1110" s="2012">
        <v>3124</v>
      </c>
      <c r="B1110" s="2013">
        <v>5169</v>
      </c>
      <c r="C1110" s="2013">
        <v>38100880</v>
      </c>
      <c r="D1110" s="2014" t="s">
        <v>852</v>
      </c>
      <c r="E1110" s="2015"/>
      <c r="F1110" s="2015"/>
      <c r="G1110" s="2015"/>
      <c r="H1110" s="2016" t="e">
        <f t="shared" si="90"/>
        <v>#DIV/0!</v>
      </c>
    </row>
    <row r="1111" spans="1:8" ht="15.75" hidden="1" thickBot="1" x14ac:dyDescent="0.25">
      <c r="A1111" s="2012">
        <v>3124</v>
      </c>
      <c r="B1111" s="2013">
        <v>5169</v>
      </c>
      <c r="C1111" s="2013">
        <v>38500881</v>
      </c>
      <c r="D1111" s="2014" t="s">
        <v>852</v>
      </c>
      <c r="E1111" s="2015"/>
      <c r="F1111" s="2015"/>
      <c r="G1111" s="2015"/>
      <c r="H1111" s="2016" t="e">
        <f t="shared" si="90"/>
        <v>#DIV/0!</v>
      </c>
    </row>
    <row r="1112" spans="1:8" ht="15.75" hidden="1" thickBot="1" x14ac:dyDescent="0.25">
      <c r="A1112" s="2012">
        <v>3124</v>
      </c>
      <c r="B1112" s="2013">
        <v>5173</v>
      </c>
      <c r="C1112" s="2017">
        <v>0</v>
      </c>
      <c r="D1112" s="2014" t="s">
        <v>1152</v>
      </c>
      <c r="E1112" s="2015"/>
      <c r="F1112" s="2015"/>
      <c r="G1112" s="2015"/>
      <c r="H1112" s="2016">
        <v>0</v>
      </c>
    </row>
    <row r="1113" spans="1:8" ht="15.75" hidden="1" thickBot="1" x14ac:dyDescent="0.25">
      <c r="A1113" s="2012">
        <v>3124</v>
      </c>
      <c r="B1113" s="2013">
        <v>5173</v>
      </c>
      <c r="C1113" s="2013">
        <v>38500881</v>
      </c>
      <c r="D1113" s="2014" t="s">
        <v>1152</v>
      </c>
      <c r="E1113" s="2015">
        <v>0</v>
      </c>
      <c r="F1113" s="2015"/>
      <c r="G1113" s="2015"/>
      <c r="H1113" s="2016" t="e">
        <f t="shared" ref="H1113:H1120" si="91">G1113/F1113*100</f>
        <v>#DIV/0!</v>
      </c>
    </row>
    <row r="1114" spans="1:8" ht="15.75" hidden="1" thickBot="1" x14ac:dyDescent="0.25">
      <c r="A1114" s="2012">
        <v>3124</v>
      </c>
      <c r="B1114" s="2013">
        <v>5175</v>
      </c>
      <c r="C1114" s="2013">
        <v>38100880</v>
      </c>
      <c r="D1114" s="2014" t="s">
        <v>669</v>
      </c>
      <c r="E1114" s="2015">
        <v>0</v>
      </c>
      <c r="F1114" s="2015"/>
      <c r="G1114" s="2015"/>
      <c r="H1114" s="2016" t="e">
        <f t="shared" si="91"/>
        <v>#DIV/0!</v>
      </c>
    </row>
    <row r="1115" spans="1:8" ht="15.75" hidden="1" thickBot="1" x14ac:dyDescent="0.25">
      <c r="A1115" s="2012">
        <v>3124</v>
      </c>
      <c r="B1115" s="2013">
        <v>5175</v>
      </c>
      <c r="C1115" s="2013">
        <v>38500881</v>
      </c>
      <c r="D1115" s="2014" t="s">
        <v>669</v>
      </c>
      <c r="E1115" s="2015">
        <v>0</v>
      </c>
      <c r="F1115" s="2015"/>
      <c r="G1115" s="2015"/>
      <c r="H1115" s="2016" t="e">
        <f t="shared" si="91"/>
        <v>#DIV/0!</v>
      </c>
    </row>
    <row r="1116" spans="1:8" ht="15.75" hidden="1" thickBot="1" x14ac:dyDescent="0.25">
      <c r="A1116" s="2012">
        <v>3124</v>
      </c>
      <c r="B1116" s="2013">
        <v>5176</v>
      </c>
      <c r="C1116" s="2013">
        <v>38100880</v>
      </c>
      <c r="D1116" s="2014" t="s">
        <v>1247</v>
      </c>
      <c r="E1116" s="2015">
        <v>0</v>
      </c>
      <c r="F1116" s="2015"/>
      <c r="G1116" s="2015"/>
      <c r="H1116" s="2016" t="e">
        <f t="shared" si="91"/>
        <v>#DIV/0!</v>
      </c>
    </row>
    <row r="1117" spans="1:8" ht="15.75" hidden="1" thickBot="1" x14ac:dyDescent="0.25">
      <c r="A1117" s="2012">
        <v>3124</v>
      </c>
      <c r="B1117" s="2013">
        <v>5176</v>
      </c>
      <c r="C1117" s="2013">
        <v>38500881</v>
      </c>
      <c r="D1117" s="2014" t="s">
        <v>1247</v>
      </c>
      <c r="E1117" s="2015">
        <v>0</v>
      </c>
      <c r="F1117" s="2015"/>
      <c r="G1117" s="2015"/>
      <c r="H1117" s="2016" t="e">
        <f t="shared" si="91"/>
        <v>#DIV/0!</v>
      </c>
    </row>
    <row r="1118" spans="1:8" ht="30.75" hidden="1" thickBot="1" x14ac:dyDescent="0.25">
      <c r="A1118" s="2012">
        <v>3124</v>
      </c>
      <c r="B1118" s="2013">
        <v>6356</v>
      </c>
      <c r="C1118" s="2013">
        <v>32133910</v>
      </c>
      <c r="D1118" s="2014" t="s">
        <v>1772</v>
      </c>
      <c r="E1118" s="2015">
        <v>0</v>
      </c>
      <c r="F1118" s="2015"/>
      <c r="G1118" s="2015"/>
      <c r="H1118" s="2016" t="e">
        <f t="shared" si="91"/>
        <v>#DIV/0!</v>
      </c>
    </row>
    <row r="1119" spans="1:8" ht="30.75" hidden="1" thickBot="1" x14ac:dyDescent="0.25">
      <c r="A1119" s="2012">
        <v>3124</v>
      </c>
      <c r="B1119" s="2013">
        <v>6356</v>
      </c>
      <c r="C1119" s="2013">
        <v>32533910</v>
      </c>
      <c r="D1119" s="2014" t="s">
        <v>1772</v>
      </c>
      <c r="E1119" s="2015">
        <v>0</v>
      </c>
      <c r="F1119" s="2015"/>
      <c r="G1119" s="2015"/>
      <c r="H1119" s="2018" t="e">
        <f t="shared" si="91"/>
        <v>#DIV/0!</v>
      </c>
    </row>
    <row r="1120" spans="1:8" ht="16.5" thickTop="1" thickBot="1" x14ac:dyDescent="0.3">
      <c r="A1120" s="2751" t="s">
        <v>763</v>
      </c>
      <c r="B1120" s="2752"/>
      <c r="C1120" s="2752"/>
      <c r="D1120" s="2752"/>
      <c r="E1120" s="1818">
        <f>SUM(E1103:E1119)</f>
        <v>0</v>
      </c>
      <c r="F1120" s="1818">
        <f>SUM(F1103:F1119)</f>
        <v>502</v>
      </c>
      <c r="G1120" s="1818">
        <f>SUM(G1103:G1119)</f>
        <v>502</v>
      </c>
      <c r="H1120" s="1822">
        <f t="shared" si="91"/>
        <v>100</v>
      </c>
    </row>
    <row r="1121" spans="1:8" ht="15.75" thickTop="1" x14ac:dyDescent="0.25">
      <c r="A1121" s="1979"/>
      <c r="B1121" s="1993"/>
      <c r="C1121" s="1993"/>
      <c r="E1121" s="1994"/>
      <c r="F1121" s="1994"/>
      <c r="G1121" s="1994"/>
      <c r="H1121" s="1995"/>
    </row>
    <row r="1122" spans="1:8" ht="12" customHeight="1" x14ac:dyDescent="0.25">
      <c r="A1122" s="2760" t="s">
        <v>1797</v>
      </c>
      <c r="B1122" s="2761"/>
      <c r="C1122" s="2761"/>
      <c r="D1122" s="2761"/>
      <c r="E1122" s="2761"/>
      <c r="F1122" s="2761"/>
      <c r="G1122" s="2761"/>
      <c r="H1122" s="2761"/>
    </row>
    <row r="1123" spans="1:8" ht="15.75" thickBot="1" x14ac:dyDescent="0.3">
      <c r="A1123" s="1979" t="s">
        <v>1798</v>
      </c>
      <c r="B1123" s="1993"/>
      <c r="C1123" s="1993"/>
      <c r="E1123" s="1994"/>
      <c r="F1123" s="1994"/>
      <c r="G1123" s="1994"/>
      <c r="H1123" s="1995" t="s">
        <v>161</v>
      </c>
    </row>
    <row r="1124" spans="1:8" ht="25.5" thickTop="1" thickBot="1" x14ac:dyDescent="0.25">
      <c r="A1124" s="1809" t="s">
        <v>162</v>
      </c>
      <c r="B1124" s="1810" t="s">
        <v>761</v>
      </c>
      <c r="C1124" s="1810" t="s">
        <v>377</v>
      </c>
      <c r="D1124" s="1811" t="s">
        <v>164</v>
      </c>
      <c r="E1124" s="1833" t="s">
        <v>632</v>
      </c>
      <c r="F1124" s="1833" t="s">
        <v>633</v>
      </c>
      <c r="G1124" s="1834" t="s">
        <v>882</v>
      </c>
      <c r="H1124" s="1835" t="s">
        <v>883</v>
      </c>
    </row>
    <row r="1125" spans="1:8" ht="14.25" thickTop="1" thickBot="1" x14ac:dyDescent="0.25">
      <c r="A1125" s="1643">
        <v>1</v>
      </c>
      <c r="B1125" s="1642">
        <v>2</v>
      </c>
      <c r="C1125" s="1642">
        <v>3</v>
      </c>
      <c r="D1125" s="1642">
        <v>4</v>
      </c>
      <c r="E1125" s="1641">
        <v>5</v>
      </c>
      <c r="F1125" s="1641">
        <v>6</v>
      </c>
      <c r="G1125" s="1877">
        <v>7</v>
      </c>
      <c r="H1125" s="1901" t="s">
        <v>61</v>
      </c>
    </row>
    <row r="1126" spans="1:8" ht="30.75" thickTop="1" x14ac:dyDescent="0.2">
      <c r="A1126" s="2012">
        <v>3123</v>
      </c>
      <c r="B1126" s="2013">
        <v>5336</v>
      </c>
      <c r="C1126" s="2017">
        <v>32133019</v>
      </c>
      <c r="D1126" s="2014" t="s">
        <v>1263</v>
      </c>
      <c r="E1126" s="2015">
        <v>0</v>
      </c>
      <c r="F1126" s="2015">
        <f>6+94</f>
        <v>100</v>
      </c>
      <c r="G1126" s="2015">
        <f>5+84</f>
        <v>89</v>
      </c>
      <c r="H1126" s="2016">
        <f>G1126/F1126*100</f>
        <v>89</v>
      </c>
    </row>
    <row r="1127" spans="1:8" ht="30" x14ac:dyDescent="0.2">
      <c r="A1127" s="2012">
        <v>3123</v>
      </c>
      <c r="B1127" s="2013">
        <v>5336</v>
      </c>
      <c r="C1127" s="2017">
        <v>32533019</v>
      </c>
      <c r="D1127" s="2014" t="s">
        <v>1263</v>
      </c>
      <c r="E1127" s="2015">
        <v>0</v>
      </c>
      <c r="F1127" s="2015">
        <f>34+533</f>
        <v>567</v>
      </c>
      <c r="G1127" s="2015">
        <f>475+29</f>
        <v>504</v>
      </c>
      <c r="H1127" s="2016">
        <f>G1127/F1127*100</f>
        <v>88.888888888888886</v>
      </c>
    </row>
    <row r="1128" spans="1:8" ht="15" hidden="1" x14ac:dyDescent="0.2">
      <c r="A1128" s="2012">
        <v>3123</v>
      </c>
      <c r="B1128" s="2013">
        <v>5166</v>
      </c>
      <c r="C1128" s="2013">
        <v>41100880</v>
      </c>
      <c r="D1128" s="2014" t="s">
        <v>609</v>
      </c>
      <c r="E1128" s="2015"/>
      <c r="F1128" s="2015"/>
      <c r="G1128" s="2015"/>
      <c r="H1128" s="2016" t="e">
        <f t="shared" ref="H1128:H1134" si="92">G1128/F1128*100</f>
        <v>#DIV/0!</v>
      </c>
    </row>
    <row r="1129" spans="1:8" ht="15" hidden="1" x14ac:dyDescent="0.2">
      <c r="A1129" s="2012">
        <v>3123</v>
      </c>
      <c r="B1129" s="2013">
        <v>5166</v>
      </c>
      <c r="C1129" s="2013">
        <v>41100882</v>
      </c>
      <c r="D1129" s="2014" t="s">
        <v>609</v>
      </c>
      <c r="E1129" s="2015"/>
      <c r="F1129" s="2015"/>
      <c r="G1129" s="2015"/>
      <c r="H1129" s="2016" t="e">
        <f t="shared" si="92"/>
        <v>#DIV/0!</v>
      </c>
    </row>
    <row r="1130" spans="1:8" ht="15" hidden="1" x14ac:dyDescent="0.2">
      <c r="A1130" s="2012">
        <v>3123</v>
      </c>
      <c r="B1130" s="2013">
        <v>5166</v>
      </c>
      <c r="C1130" s="2013">
        <v>41500881</v>
      </c>
      <c r="D1130" s="2014" t="s">
        <v>609</v>
      </c>
      <c r="E1130" s="2015"/>
      <c r="F1130" s="2015"/>
      <c r="G1130" s="2015"/>
      <c r="H1130" s="2016" t="e">
        <f t="shared" si="92"/>
        <v>#DIV/0!</v>
      </c>
    </row>
    <row r="1131" spans="1:8" ht="15" hidden="1" x14ac:dyDescent="0.2">
      <c r="A1131" s="2012">
        <v>3123</v>
      </c>
      <c r="B1131" s="2013">
        <v>5167</v>
      </c>
      <c r="C1131" s="2013">
        <v>38100880</v>
      </c>
      <c r="D1131" s="2014" t="s">
        <v>895</v>
      </c>
      <c r="E1131" s="2015"/>
      <c r="F1131" s="2015"/>
      <c r="G1131" s="2015"/>
      <c r="H1131" s="2016" t="e">
        <f t="shared" si="92"/>
        <v>#DIV/0!</v>
      </c>
    </row>
    <row r="1132" spans="1:8" ht="15" hidden="1" x14ac:dyDescent="0.2">
      <c r="A1132" s="2012">
        <v>3123</v>
      </c>
      <c r="B1132" s="2013">
        <v>5167</v>
      </c>
      <c r="C1132" s="2013">
        <v>38500881</v>
      </c>
      <c r="D1132" s="2014" t="s">
        <v>895</v>
      </c>
      <c r="E1132" s="2015"/>
      <c r="F1132" s="2015"/>
      <c r="G1132" s="2015"/>
      <c r="H1132" s="2016" t="e">
        <f t="shared" si="92"/>
        <v>#DIV/0!</v>
      </c>
    </row>
    <row r="1133" spans="1:8" ht="15" hidden="1" x14ac:dyDescent="0.2">
      <c r="A1133" s="2012">
        <v>3123</v>
      </c>
      <c r="B1133" s="2013">
        <v>5169</v>
      </c>
      <c r="C1133" s="2013">
        <v>38100880</v>
      </c>
      <c r="D1133" s="2014" t="s">
        <v>852</v>
      </c>
      <c r="E1133" s="2015"/>
      <c r="F1133" s="2015"/>
      <c r="G1133" s="2015"/>
      <c r="H1133" s="2016" t="e">
        <f t="shared" si="92"/>
        <v>#DIV/0!</v>
      </c>
    </row>
    <row r="1134" spans="1:8" ht="15" hidden="1" x14ac:dyDescent="0.2">
      <c r="A1134" s="2012">
        <v>3123</v>
      </c>
      <c r="B1134" s="2013">
        <v>5169</v>
      </c>
      <c r="C1134" s="2013">
        <v>38500881</v>
      </c>
      <c r="D1134" s="2014" t="s">
        <v>852</v>
      </c>
      <c r="E1134" s="2015"/>
      <c r="F1134" s="2015"/>
      <c r="G1134" s="2015"/>
      <c r="H1134" s="2016" t="e">
        <f t="shared" si="92"/>
        <v>#DIV/0!</v>
      </c>
    </row>
    <row r="1135" spans="1:8" ht="15" hidden="1" x14ac:dyDescent="0.2">
      <c r="A1135" s="2012">
        <v>3123</v>
      </c>
      <c r="B1135" s="2013">
        <v>5173</v>
      </c>
      <c r="C1135" s="2017">
        <v>0</v>
      </c>
      <c r="D1135" s="2014" t="s">
        <v>1152</v>
      </c>
      <c r="E1135" s="2015"/>
      <c r="F1135" s="2015"/>
      <c r="G1135" s="2015"/>
      <c r="H1135" s="2016">
        <v>0</v>
      </c>
    </row>
    <row r="1136" spans="1:8" ht="15" hidden="1" x14ac:dyDescent="0.2">
      <c r="A1136" s="2012">
        <v>3123</v>
      </c>
      <c r="B1136" s="2013">
        <v>5173</v>
      </c>
      <c r="C1136" s="2013">
        <v>38500881</v>
      </c>
      <c r="D1136" s="2014" t="s">
        <v>1152</v>
      </c>
      <c r="E1136" s="2015">
        <v>0</v>
      </c>
      <c r="F1136" s="2015"/>
      <c r="G1136" s="2015"/>
      <c r="H1136" s="2016" t="e">
        <f t="shared" ref="H1136:H1143" si="93">G1136/F1136*100</f>
        <v>#DIV/0!</v>
      </c>
    </row>
    <row r="1137" spans="1:8" ht="15" hidden="1" x14ac:dyDescent="0.2">
      <c r="A1137" s="2012">
        <v>3123</v>
      </c>
      <c r="B1137" s="2013">
        <v>5175</v>
      </c>
      <c r="C1137" s="2013">
        <v>38100880</v>
      </c>
      <c r="D1137" s="2014" t="s">
        <v>669</v>
      </c>
      <c r="E1137" s="2015">
        <v>0</v>
      </c>
      <c r="F1137" s="2015"/>
      <c r="G1137" s="2015"/>
      <c r="H1137" s="2016" t="e">
        <f t="shared" si="93"/>
        <v>#DIV/0!</v>
      </c>
    </row>
    <row r="1138" spans="1:8" ht="15" hidden="1" x14ac:dyDescent="0.2">
      <c r="A1138" s="2012">
        <v>3123</v>
      </c>
      <c r="B1138" s="2013">
        <v>5175</v>
      </c>
      <c r="C1138" s="2013">
        <v>38500881</v>
      </c>
      <c r="D1138" s="2014" t="s">
        <v>669</v>
      </c>
      <c r="E1138" s="2015">
        <v>0</v>
      </c>
      <c r="F1138" s="2015"/>
      <c r="G1138" s="2015"/>
      <c r="H1138" s="2016" t="e">
        <f t="shared" si="93"/>
        <v>#DIV/0!</v>
      </c>
    </row>
    <row r="1139" spans="1:8" ht="15" hidden="1" x14ac:dyDescent="0.2">
      <c r="A1139" s="2012">
        <v>3123</v>
      </c>
      <c r="B1139" s="2013">
        <v>5176</v>
      </c>
      <c r="C1139" s="2013">
        <v>38100880</v>
      </c>
      <c r="D1139" s="2014" t="s">
        <v>1247</v>
      </c>
      <c r="E1139" s="2015">
        <v>0</v>
      </c>
      <c r="F1139" s="2015"/>
      <c r="G1139" s="2015"/>
      <c r="H1139" s="2016" t="e">
        <f t="shared" si="93"/>
        <v>#DIV/0!</v>
      </c>
    </row>
    <row r="1140" spans="1:8" ht="15" hidden="1" x14ac:dyDescent="0.2">
      <c r="A1140" s="2012">
        <v>3123</v>
      </c>
      <c r="B1140" s="2013">
        <v>5176</v>
      </c>
      <c r="C1140" s="2013">
        <v>38500881</v>
      </c>
      <c r="D1140" s="2014" t="s">
        <v>1247</v>
      </c>
      <c r="E1140" s="2015">
        <v>0</v>
      </c>
      <c r="F1140" s="2015"/>
      <c r="G1140" s="2015"/>
      <c r="H1140" s="2016" t="e">
        <f t="shared" si="93"/>
        <v>#DIV/0!</v>
      </c>
    </row>
    <row r="1141" spans="1:8" ht="30" x14ac:dyDescent="0.2">
      <c r="A1141" s="2012">
        <v>3123</v>
      </c>
      <c r="B1141" s="2013">
        <v>6356</v>
      </c>
      <c r="C1141" s="2013">
        <v>32133910</v>
      </c>
      <c r="D1141" s="2014" t="s">
        <v>1772</v>
      </c>
      <c r="E1141" s="2015">
        <v>0</v>
      </c>
      <c r="F1141" s="2015">
        <v>117</v>
      </c>
      <c r="G1141" s="2015">
        <v>117</v>
      </c>
      <c r="H1141" s="2016">
        <f t="shared" si="93"/>
        <v>100</v>
      </c>
    </row>
    <row r="1142" spans="1:8" ht="30.75" thickBot="1" x14ac:dyDescent="0.25">
      <c r="A1142" s="2012">
        <v>3123</v>
      </c>
      <c r="B1142" s="2013">
        <v>6356</v>
      </c>
      <c r="C1142" s="2013">
        <v>32533910</v>
      </c>
      <c r="D1142" s="2014" t="s">
        <v>1772</v>
      </c>
      <c r="E1142" s="2015">
        <v>0</v>
      </c>
      <c r="F1142" s="2015">
        <v>666</v>
      </c>
      <c r="G1142" s="2015">
        <v>666</v>
      </c>
      <c r="H1142" s="2018">
        <f t="shared" si="93"/>
        <v>100</v>
      </c>
    </row>
    <row r="1143" spans="1:8" ht="16.5" thickTop="1" thickBot="1" x14ac:dyDescent="0.3">
      <c r="A1143" s="2751" t="s">
        <v>763</v>
      </c>
      <c r="B1143" s="2752"/>
      <c r="C1143" s="2752"/>
      <c r="D1143" s="2752"/>
      <c r="E1143" s="1818">
        <f>SUM(E1126:E1142)</f>
        <v>0</v>
      </c>
      <c r="F1143" s="1818">
        <f>SUM(F1126:F1142)</f>
        <v>1450</v>
      </c>
      <c r="G1143" s="1818">
        <f>SUM(G1126:G1142)</f>
        <v>1376</v>
      </c>
      <c r="H1143" s="1822">
        <f t="shared" si="93"/>
        <v>94.896551724137936</v>
      </c>
    </row>
    <row r="1144" spans="1:8" ht="13.5" thickTop="1" x14ac:dyDescent="0.2"/>
    <row r="1145" spans="1:8" ht="12" customHeight="1" x14ac:dyDescent="0.25">
      <c r="A1145" s="2760" t="s">
        <v>1799</v>
      </c>
      <c r="B1145" s="2761"/>
      <c r="C1145" s="2761"/>
      <c r="D1145" s="2761"/>
      <c r="E1145" s="2761"/>
      <c r="F1145" s="2761"/>
      <c r="G1145" s="2761"/>
      <c r="H1145" s="2761"/>
    </row>
    <row r="1146" spans="1:8" ht="15.75" thickBot="1" x14ac:dyDescent="0.3">
      <c r="A1146" s="1979" t="s">
        <v>966</v>
      </c>
      <c r="B1146" s="1993"/>
      <c r="C1146" s="1993"/>
      <c r="E1146" s="1994"/>
      <c r="F1146" s="1994"/>
      <c r="G1146" s="1994"/>
      <c r="H1146" s="1995" t="s">
        <v>161</v>
      </c>
    </row>
    <row r="1147" spans="1:8" ht="25.5" thickTop="1" thickBot="1" x14ac:dyDescent="0.25">
      <c r="A1147" s="1809" t="s">
        <v>162</v>
      </c>
      <c r="B1147" s="1810" t="s">
        <v>761</v>
      </c>
      <c r="C1147" s="1810" t="s">
        <v>377</v>
      </c>
      <c r="D1147" s="1811" t="s">
        <v>164</v>
      </c>
      <c r="E1147" s="1833" t="s">
        <v>632</v>
      </c>
      <c r="F1147" s="1833" t="s">
        <v>633</v>
      </c>
      <c r="G1147" s="1834" t="s">
        <v>882</v>
      </c>
      <c r="H1147" s="1835" t="s">
        <v>883</v>
      </c>
    </row>
    <row r="1148" spans="1:8" ht="14.25" thickTop="1" thickBot="1" x14ac:dyDescent="0.25">
      <c r="A1148" s="1643">
        <v>1</v>
      </c>
      <c r="B1148" s="1642">
        <v>2</v>
      </c>
      <c r="C1148" s="1642">
        <v>3</v>
      </c>
      <c r="D1148" s="1642">
        <v>4</v>
      </c>
      <c r="E1148" s="1641">
        <v>5</v>
      </c>
      <c r="F1148" s="1641">
        <v>6</v>
      </c>
      <c r="G1148" s="1877">
        <v>7</v>
      </c>
      <c r="H1148" s="1901" t="s">
        <v>61</v>
      </c>
    </row>
    <row r="1149" spans="1:8" ht="38.25" customHeight="1" thickTop="1" x14ac:dyDescent="0.2">
      <c r="A1149" s="2012">
        <v>3122</v>
      </c>
      <c r="B1149" s="2013">
        <v>5213</v>
      </c>
      <c r="C1149" s="2017">
        <v>32133019</v>
      </c>
      <c r="D1149" s="2014" t="s">
        <v>1800</v>
      </c>
      <c r="E1149" s="2015">
        <v>0</v>
      </c>
      <c r="F1149" s="2015">
        <f>19+230</f>
        <v>249</v>
      </c>
      <c r="G1149" s="2015">
        <f>19+230</f>
        <v>249</v>
      </c>
      <c r="H1149" s="2016">
        <f>G1149/F1149*100</f>
        <v>100</v>
      </c>
    </row>
    <row r="1150" spans="1:8" ht="36" customHeight="1" thickBot="1" x14ac:dyDescent="0.25">
      <c r="A1150" s="2012">
        <v>3122</v>
      </c>
      <c r="B1150" s="2013">
        <v>5213</v>
      </c>
      <c r="C1150" s="2017">
        <v>32533019</v>
      </c>
      <c r="D1150" s="2014" t="s">
        <v>1800</v>
      </c>
      <c r="E1150" s="2015">
        <v>0</v>
      </c>
      <c r="F1150" s="2015">
        <f>108+1301</f>
        <v>1409</v>
      </c>
      <c r="G1150" s="2015">
        <f>108+1301</f>
        <v>1409</v>
      </c>
      <c r="H1150" s="2016">
        <f>G1150/F1150*100</f>
        <v>100</v>
      </c>
    </row>
    <row r="1151" spans="1:8" ht="15.75" hidden="1" thickBot="1" x14ac:dyDescent="0.25">
      <c r="A1151" s="2012">
        <v>6223</v>
      </c>
      <c r="B1151" s="2013">
        <v>5166</v>
      </c>
      <c r="C1151" s="2013">
        <v>41100880</v>
      </c>
      <c r="D1151" s="2014" t="s">
        <v>609</v>
      </c>
      <c r="E1151" s="2015"/>
      <c r="F1151" s="2015"/>
      <c r="G1151" s="2015"/>
      <c r="H1151" s="2016" t="e">
        <f t="shared" ref="H1151:H1157" si="94">G1151/F1151*100</f>
        <v>#DIV/0!</v>
      </c>
    </row>
    <row r="1152" spans="1:8" ht="15.75" hidden="1" thickBot="1" x14ac:dyDescent="0.25">
      <c r="A1152" s="2012">
        <v>6223</v>
      </c>
      <c r="B1152" s="2013">
        <v>5166</v>
      </c>
      <c r="C1152" s="2013">
        <v>41100882</v>
      </c>
      <c r="D1152" s="2014" t="s">
        <v>609</v>
      </c>
      <c r="E1152" s="2015"/>
      <c r="F1152" s="2015"/>
      <c r="G1152" s="2015"/>
      <c r="H1152" s="2016" t="e">
        <f t="shared" si="94"/>
        <v>#DIV/0!</v>
      </c>
    </row>
    <row r="1153" spans="1:8" ht="15.75" hidden="1" thickBot="1" x14ac:dyDescent="0.25">
      <c r="A1153" s="2012">
        <v>6223</v>
      </c>
      <c r="B1153" s="2013">
        <v>5166</v>
      </c>
      <c r="C1153" s="2013">
        <v>41500881</v>
      </c>
      <c r="D1153" s="2014" t="s">
        <v>609</v>
      </c>
      <c r="E1153" s="2015"/>
      <c r="F1153" s="2015"/>
      <c r="G1153" s="2015"/>
      <c r="H1153" s="2016" t="e">
        <f t="shared" si="94"/>
        <v>#DIV/0!</v>
      </c>
    </row>
    <row r="1154" spans="1:8" ht="15.75" hidden="1" thickBot="1" x14ac:dyDescent="0.25">
      <c r="A1154" s="2012">
        <v>3636</v>
      </c>
      <c r="B1154" s="2013">
        <v>5167</v>
      </c>
      <c r="C1154" s="2013">
        <v>38100880</v>
      </c>
      <c r="D1154" s="2014" t="s">
        <v>895</v>
      </c>
      <c r="E1154" s="2015"/>
      <c r="F1154" s="2015"/>
      <c r="G1154" s="2015"/>
      <c r="H1154" s="2016" t="e">
        <f t="shared" si="94"/>
        <v>#DIV/0!</v>
      </c>
    </row>
    <row r="1155" spans="1:8" ht="15.75" hidden="1" thickBot="1" x14ac:dyDescent="0.25">
      <c r="A1155" s="2012">
        <v>3636</v>
      </c>
      <c r="B1155" s="2013">
        <v>5167</v>
      </c>
      <c r="C1155" s="2013">
        <v>38500881</v>
      </c>
      <c r="D1155" s="2014" t="s">
        <v>895</v>
      </c>
      <c r="E1155" s="2015"/>
      <c r="F1155" s="2015"/>
      <c r="G1155" s="2015"/>
      <c r="H1155" s="2016" t="e">
        <f t="shared" si="94"/>
        <v>#DIV/0!</v>
      </c>
    </row>
    <row r="1156" spans="1:8" ht="15.75" hidden="1" thickBot="1" x14ac:dyDescent="0.25">
      <c r="A1156" s="2012">
        <v>3636</v>
      </c>
      <c r="B1156" s="2013">
        <v>5169</v>
      </c>
      <c r="C1156" s="2013">
        <v>38100880</v>
      </c>
      <c r="D1156" s="2014" t="s">
        <v>852</v>
      </c>
      <c r="E1156" s="2015"/>
      <c r="F1156" s="2015"/>
      <c r="G1156" s="2015"/>
      <c r="H1156" s="2016" t="e">
        <f t="shared" si="94"/>
        <v>#DIV/0!</v>
      </c>
    </row>
    <row r="1157" spans="1:8" ht="15.75" hidden="1" thickBot="1" x14ac:dyDescent="0.25">
      <c r="A1157" s="2012">
        <v>3636</v>
      </c>
      <c r="B1157" s="2013">
        <v>5169</v>
      </c>
      <c r="C1157" s="2013">
        <v>38500881</v>
      </c>
      <c r="D1157" s="2014" t="s">
        <v>852</v>
      </c>
      <c r="E1157" s="2015"/>
      <c r="F1157" s="2015"/>
      <c r="G1157" s="2015"/>
      <c r="H1157" s="2016" t="e">
        <f t="shared" si="94"/>
        <v>#DIV/0!</v>
      </c>
    </row>
    <row r="1158" spans="1:8" ht="15.75" hidden="1" thickBot="1" x14ac:dyDescent="0.25">
      <c r="A1158" s="2012">
        <v>6223</v>
      </c>
      <c r="B1158" s="2013">
        <v>5173</v>
      </c>
      <c r="C1158" s="2017">
        <v>0</v>
      </c>
      <c r="D1158" s="2014" t="s">
        <v>1152</v>
      </c>
      <c r="E1158" s="2015"/>
      <c r="F1158" s="2015"/>
      <c r="G1158" s="2015"/>
      <c r="H1158" s="2016">
        <v>0</v>
      </c>
    </row>
    <row r="1159" spans="1:8" ht="15.75" hidden="1" thickBot="1" x14ac:dyDescent="0.25">
      <c r="A1159" s="2012">
        <v>3636</v>
      </c>
      <c r="B1159" s="2013">
        <v>5173</v>
      </c>
      <c r="C1159" s="2013">
        <v>38500881</v>
      </c>
      <c r="D1159" s="2014" t="s">
        <v>1152</v>
      </c>
      <c r="E1159" s="2015">
        <v>0</v>
      </c>
      <c r="F1159" s="2015"/>
      <c r="G1159" s="2015"/>
      <c r="H1159" s="2016" t="e">
        <f t="shared" ref="H1159:H1166" si="95">G1159/F1159*100</f>
        <v>#DIV/0!</v>
      </c>
    </row>
    <row r="1160" spans="1:8" ht="15.75" hidden="1" thickBot="1" x14ac:dyDescent="0.25">
      <c r="A1160" s="2012">
        <v>3636</v>
      </c>
      <c r="B1160" s="2013">
        <v>5175</v>
      </c>
      <c r="C1160" s="2013">
        <v>38100880</v>
      </c>
      <c r="D1160" s="2014" t="s">
        <v>669</v>
      </c>
      <c r="E1160" s="2015">
        <v>0</v>
      </c>
      <c r="F1160" s="2015"/>
      <c r="G1160" s="2015"/>
      <c r="H1160" s="2016" t="e">
        <f t="shared" si="95"/>
        <v>#DIV/0!</v>
      </c>
    </row>
    <row r="1161" spans="1:8" ht="15.75" hidden="1" thickBot="1" x14ac:dyDescent="0.25">
      <c r="A1161" s="2012">
        <v>3636</v>
      </c>
      <c r="B1161" s="2013">
        <v>5175</v>
      </c>
      <c r="C1161" s="2013">
        <v>38500881</v>
      </c>
      <c r="D1161" s="2014" t="s">
        <v>669</v>
      </c>
      <c r="E1161" s="2015">
        <v>0</v>
      </c>
      <c r="F1161" s="2015"/>
      <c r="G1161" s="2015"/>
      <c r="H1161" s="2016" t="e">
        <f t="shared" si="95"/>
        <v>#DIV/0!</v>
      </c>
    </row>
    <row r="1162" spans="1:8" ht="15.75" hidden="1" thickBot="1" x14ac:dyDescent="0.25">
      <c r="A1162" s="2012">
        <v>3636</v>
      </c>
      <c r="B1162" s="2013">
        <v>5176</v>
      </c>
      <c r="C1162" s="2013">
        <v>38100880</v>
      </c>
      <c r="D1162" s="2014" t="s">
        <v>1247</v>
      </c>
      <c r="E1162" s="2015">
        <v>0</v>
      </c>
      <c r="F1162" s="2015"/>
      <c r="G1162" s="2015"/>
      <c r="H1162" s="2016" t="e">
        <f t="shared" si="95"/>
        <v>#DIV/0!</v>
      </c>
    </row>
    <row r="1163" spans="1:8" ht="15.75" hidden="1" thickBot="1" x14ac:dyDescent="0.25">
      <c r="A1163" s="2012">
        <v>3636</v>
      </c>
      <c r="B1163" s="2013">
        <v>5176</v>
      </c>
      <c r="C1163" s="2013">
        <v>38500881</v>
      </c>
      <c r="D1163" s="2014" t="s">
        <v>1247</v>
      </c>
      <c r="E1163" s="2015">
        <v>0</v>
      </c>
      <c r="F1163" s="2015"/>
      <c r="G1163" s="2015"/>
      <c r="H1163" s="2016" t="e">
        <f t="shared" si="95"/>
        <v>#DIV/0!</v>
      </c>
    </row>
    <row r="1164" spans="1:8" ht="15.75" hidden="1" thickBot="1" x14ac:dyDescent="0.25">
      <c r="A1164" s="2012">
        <v>3636</v>
      </c>
      <c r="B1164" s="2013">
        <v>6901</v>
      </c>
      <c r="C1164" s="2013">
        <v>38100880</v>
      </c>
      <c r="D1164" s="2014" t="s">
        <v>428</v>
      </c>
      <c r="E1164" s="2015">
        <v>0</v>
      </c>
      <c r="F1164" s="2015">
        <v>0</v>
      </c>
      <c r="G1164" s="2015">
        <v>0</v>
      </c>
      <c r="H1164" s="2016" t="e">
        <f t="shared" si="95"/>
        <v>#DIV/0!</v>
      </c>
    </row>
    <row r="1165" spans="1:8" ht="15.75" hidden="1" thickBot="1" x14ac:dyDescent="0.25">
      <c r="A1165" s="2012">
        <v>3636</v>
      </c>
      <c r="B1165" s="2013">
        <v>5363</v>
      </c>
      <c r="C1165" s="2013">
        <v>38500881</v>
      </c>
      <c r="D1165" s="2014" t="s">
        <v>549</v>
      </c>
      <c r="E1165" s="2015">
        <v>0</v>
      </c>
      <c r="F1165" s="2015">
        <v>0</v>
      </c>
      <c r="G1165" s="2015">
        <v>0</v>
      </c>
      <c r="H1165" s="2018" t="e">
        <f t="shared" si="95"/>
        <v>#DIV/0!</v>
      </c>
    </row>
    <row r="1166" spans="1:8" ht="16.5" thickTop="1" thickBot="1" x14ac:dyDescent="0.3">
      <c r="A1166" s="2751" t="s">
        <v>763</v>
      </c>
      <c r="B1166" s="2752"/>
      <c r="C1166" s="2752"/>
      <c r="D1166" s="2752"/>
      <c r="E1166" s="1818">
        <f>SUM(E1149:E1165)</f>
        <v>0</v>
      </c>
      <c r="F1166" s="1818">
        <f>SUM(F1149:F1165)</f>
        <v>1658</v>
      </c>
      <c r="G1166" s="1818">
        <f>SUM(G1149:G1165)</f>
        <v>1658</v>
      </c>
      <c r="H1166" s="1822">
        <f t="shared" si="95"/>
        <v>100</v>
      </c>
    </row>
    <row r="1167" spans="1:8" ht="13.5" thickTop="1" x14ac:dyDescent="0.2"/>
    <row r="1168" spans="1:8" ht="12" customHeight="1" x14ac:dyDescent="0.25">
      <c r="A1168" s="2760" t="s">
        <v>939</v>
      </c>
      <c r="B1168" s="2761"/>
      <c r="C1168" s="2761"/>
      <c r="D1168" s="2761"/>
      <c r="E1168" s="2761"/>
      <c r="F1168" s="2761"/>
      <c r="G1168" s="2761"/>
      <c r="H1168" s="2761"/>
    </row>
    <row r="1169" spans="1:8" ht="15.75" thickBot="1" x14ac:dyDescent="0.3">
      <c r="A1169" s="1979" t="s">
        <v>967</v>
      </c>
      <c r="B1169" s="1993"/>
      <c r="C1169" s="1993"/>
      <c r="E1169" s="1994"/>
      <c r="F1169" s="1994"/>
      <c r="G1169" s="1994"/>
      <c r="H1169" s="1995" t="s">
        <v>161</v>
      </c>
    </row>
    <row r="1170" spans="1:8" ht="25.5" thickTop="1" thickBot="1" x14ac:dyDescent="0.25">
      <c r="A1170" s="1809" t="s">
        <v>162</v>
      </c>
      <c r="B1170" s="1810" t="s">
        <v>761</v>
      </c>
      <c r="C1170" s="1810" t="s">
        <v>377</v>
      </c>
      <c r="D1170" s="1811" t="s">
        <v>164</v>
      </c>
      <c r="E1170" s="1833" t="s">
        <v>632</v>
      </c>
      <c r="F1170" s="1833" t="s">
        <v>633</v>
      </c>
      <c r="G1170" s="1834" t="s">
        <v>882</v>
      </c>
      <c r="H1170" s="1835" t="s">
        <v>883</v>
      </c>
    </row>
    <row r="1171" spans="1:8" ht="14.25" thickTop="1" thickBot="1" x14ac:dyDescent="0.25">
      <c r="A1171" s="1643">
        <v>1</v>
      </c>
      <c r="B1171" s="1642">
        <v>2</v>
      </c>
      <c r="C1171" s="1642">
        <v>3</v>
      </c>
      <c r="D1171" s="1642">
        <v>4</v>
      </c>
      <c r="E1171" s="1641">
        <v>5</v>
      </c>
      <c r="F1171" s="1641">
        <v>6</v>
      </c>
      <c r="G1171" s="1877">
        <v>7</v>
      </c>
      <c r="H1171" s="1901" t="s">
        <v>61</v>
      </c>
    </row>
    <row r="1172" spans="1:8" ht="37.5" customHeight="1" thickTop="1" x14ac:dyDescent="0.2">
      <c r="A1172" s="2012">
        <v>3123</v>
      </c>
      <c r="B1172" s="2013">
        <v>5213</v>
      </c>
      <c r="C1172" s="2017">
        <v>32133019</v>
      </c>
      <c r="D1172" s="2014" t="s">
        <v>1800</v>
      </c>
      <c r="E1172" s="2015">
        <v>0</v>
      </c>
      <c r="F1172" s="2015">
        <f>14+189</f>
        <v>203</v>
      </c>
      <c r="G1172" s="2015">
        <f>14+189</f>
        <v>203</v>
      </c>
      <c r="H1172" s="2016">
        <f>G1172/F1172*100</f>
        <v>100</v>
      </c>
    </row>
    <row r="1173" spans="1:8" ht="37.5" customHeight="1" x14ac:dyDescent="0.2">
      <c r="A1173" s="2012">
        <v>3123</v>
      </c>
      <c r="B1173" s="2013">
        <v>5213</v>
      </c>
      <c r="C1173" s="2017">
        <v>32533019</v>
      </c>
      <c r="D1173" s="2014" t="s">
        <v>1800</v>
      </c>
      <c r="E1173" s="2015">
        <v>0</v>
      </c>
      <c r="F1173" s="2015">
        <f>78+1069</f>
        <v>1147</v>
      </c>
      <c r="G1173" s="2015">
        <f>78+1069</f>
        <v>1147</v>
      </c>
      <c r="H1173" s="2016">
        <f>G1173/F1173*100</f>
        <v>100</v>
      </c>
    </row>
    <row r="1174" spans="1:8" ht="15" hidden="1" x14ac:dyDescent="0.2">
      <c r="A1174" s="2012">
        <v>6223</v>
      </c>
      <c r="B1174" s="2013">
        <v>5166</v>
      </c>
      <c r="C1174" s="2013">
        <v>41100880</v>
      </c>
      <c r="D1174" s="2014" t="s">
        <v>609</v>
      </c>
      <c r="E1174" s="2015"/>
      <c r="F1174" s="2015"/>
      <c r="G1174" s="2015"/>
      <c r="H1174" s="2016" t="e">
        <f t="shared" ref="H1174:H1180" si="96">G1174/F1174*100</f>
        <v>#DIV/0!</v>
      </c>
    </row>
    <row r="1175" spans="1:8" ht="15" hidden="1" x14ac:dyDescent="0.2">
      <c r="A1175" s="2012">
        <v>6223</v>
      </c>
      <c r="B1175" s="2013">
        <v>5166</v>
      </c>
      <c r="C1175" s="2013">
        <v>41100882</v>
      </c>
      <c r="D1175" s="2014" t="s">
        <v>609</v>
      </c>
      <c r="E1175" s="2015"/>
      <c r="F1175" s="2015"/>
      <c r="G1175" s="2015"/>
      <c r="H1175" s="2016" t="e">
        <f t="shared" si="96"/>
        <v>#DIV/0!</v>
      </c>
    </row>
    <row r="1176" spans="1:8" ht="15" hidden="1" x14ac:dyDescent="0.2">
      <c r="A1176" s="2012">
        <v>6223</v>
      </c>
      <c r="B1176" s="2013">
        <v>5166</v>
      </c>
      <c r="C1176" s="2013">
        <v>41500881</v>
      </c>
      <c r="D1176" s="2014" t="s">
        <v>609</v>
      </c>
      <c r="E1176" s="2015"/>
      <c r="F1176" s="2015"/>
      <c r="G1176" s="2015"/>
      <c r="H1176" s="2016" t="e">
        <f t="shared" si="96"/>
        <v>#DIV/0!</v>
      </c>
    </row>
    <row r="1177" spans="1:8" ht="15" hidden="1" x14ac:dyDescent="0.2">
      <c r="A1177" s="2012">
        <v>3636</v>
      </c>
      <c r="B1177" s="2013">
        <v>5167</v>
      </c>
      <c r="C1177" s="2013">
        <v>38100880</v>
      </c>
      <c r="D1177" s="2014" t="s">
        <v>895</v>
      </c>
      <c r="E1177" s="2015"/>
      <c r="F1177" s="2015"/>
      <c r="G1177" s="2015"/>
      <c r="H1177" s="2016" t="e">
        <f t="shared" si="96"/>
        <v>#DIV/0!</v>
      </c>
    </row>
    <row r="1178" spans="1:8" ht="15" hidden="1" x14ac:dyDescent="0.2">
      <c r="A1178" s="2012">
        <v>3636</v>
      </c>
      <c r="B1178" s="2013">
        <v>5167</v>
      </c>
      <c r="C1178" s="2013">
        <v>38500881</v>
      </c>
      <c r="D1178" s="2014" t="s">
        <v>895</v>
      </c>
      <c r="E1178" s="2015"/>
      <c r="F1178" s="2015"/>
      <c r="G1178" s="2015"/>
      <c r="H1178" s="2016" t="e">
        <f t="shared" si="96"/>
        <v>#DIV/0!</v>
      </c>
    </row>
    <row r="1179" spans="1:8" ht="15" hidden="1" x14ac:dyDescent="0.2">
      <c r="A1179" s="2012">
        <v>3636</v>
      </c>
      <c r="B1179" s="2013">
        <v>5169</v>
      </c>
      <c r="C1179" s="2013">
        <v>38100880</v>
      </c>
      <c r="D1179" s="2014" t="s">
        <v>852</v>
      </c>
      <c r="E1179" s="2015"/>
      <c r="F1179" s="2015"/>
      <c r="G1179" s="2015"/>
      <c r="H1179" s="2016" t="e">
        <f t="shared" si="96"/>
        <v>#DIV/0!</v>
      </c>
    </row>
    <row r="1180" spans="1:8" ht="15" hidden="1" x14ac:dyDescent="0.2">
      <c r="A1180" s="2012">
        <v>3636</v>
      </c>
      <c r="B1180" s="2013">
        <v>5169</v>
      </c>
      <c r="C1180" s="2013">
        <v>38500881</v>
      </c>
      <c r="D1180" s="2014" t="s">
        <v>852</v>
      </c>
      <c r="E1180" s="2015"/>
      <c r="F1180" s="2015"/>
      <c r="G1180" s="2015"/>
      <c r="H1180" s="2016" t="e">
        <f t="shared" si="96"/>
        <v>#DIV/0!</v>
      </c>
    </row>
    <row r="1181" spans="1:8" ht="15" hidden="1" x14ac:dyDescent="0.2">
      <c r="A1181" s="2012">
        <v>6223</v>
      </c>
      <c r="B1181" s="2013">
        <v>5173</v>
      </c>
      <c r="C1181" s="2017">
        <v>0</v>
      </c>
      <c r="D1181" s="2014" t="s">
        <v>1152</v>
      </c>
      <c r="E1181" s="2015"/>
      <c r="F1181" s="2015"/>
      <c r="G1181" s="2015"/>
      <c r="H1181" s="2016">
        <v>0</v>
      </c>
    </row>
    <row r="1182" spans="1:8" ht="15" hidden="1" x14ac:dyDescent="0.2">
      <c r="A1182" s="2012">
        <v>3636</v>
      </c>
      <c r="B1182" s="2013">
        <v>5173</v>
      </c>
      <c r="C1182" s="2013">
        <v>38500881</v>
      </c>
      <c r="D1182" s="2014" t="s">
        <v>1152</v>
      </c>
      <c r="E1182" s="2015">
        <v>0</v>
      </c>
      <c r="F1182" s="2015"/>
      <c r="G1182" s="2015"/>
      <c r="H1182" s="2016" t="e">
        <f t="shared" ref="H1182:H1189" si="97">G1182/F1182*100</f>
        <v>#DIV/0!</v>
      </c>
    </row>
    <row r="1183" spans="1:8" ht="15" hidden="1" x14ac:dyDescent="0.2">
      <c r="A1183" s="2012">
        <v>3636</v>
      </c>
      <c r="B1183" s="2013">
        <v>5175</v>
      </c>
      <c r="C1183" s="2013">
        <v>38100880</v>
      </c>
      <c r="D1183" s="2014" t="s">
        <v>669</v>
      </c>
      <c r="E1183" s="2015">
        <v>0</v>
      </c>
      <c r="F1183" s="2015"/>
      <c r="G1183" s="2015"/>
      <c r="H1183" s="2016" t="e">
        <f t="shared" si="97"/>
        <v>#DIV/0!</v>
      </c>
    </row>
    <row r="1184" spans="1:8" ht="15" hidden="1" x14ac:dyDescent="0.2">
      <c r="A1184" s="2012">
        <v>3636</v>
      </c>
      <c r="B1184" s="2013">
        <v>5175</v>
      </c>
      <c r="C1184" s="2013">
        <v>38500881</v>
      </c>
      <c r="D1184" s="2014" t="s">
        <v>669</v>
      </c>
      <c r="E1184" s="2015">
        <v>0</v>
      </c>
      <c r="F1184" s="2015"/>
      <c r="G1184" s="2015"/>
      <c r="H1184" s="2016" t="e">
        <f t="shared" si="97"/>
        <v>#DIV/0!</v>
      </c>
    </row>
    <row r="1185" spans="1:8" ht="15" hidden="1" x14ac:dyDescent="0.2">
      <c r="A1185" s="2012">
        <v>3636</v>
      </c>
      <c r="B1185" s="2013">
        <v>5176</v>
      </c>
      <c r="C1185" s="2013">
        <v>38100880</v>
      </c>
      <c r="D1185" s="2014" t="s">
        <v>1247</v>
      </c>
      <c r="E1185" s="2015">
        <v>0</v>
      </c>
      <c r="F1185" s="2015"/>
      <c r="G1185" s="2015"/>
      <c r="H1185" s="2016" t="e">
        <f t="shared" si="97"/>
        <v>#DIV/0!</v>
      </c>
    </row>
    <row r="1186" spans="1:8" ht="15" hidden="1" x14ac:dyDescent="0.2">
      <c r="A1186" s="2012">
        <v>3636</v>
      </c>
      <c r="B1186" s="2013">
        <v>5176</v>
      </c>
      <c r="C1186" s="2013">
        <v>38500881</v>
      </c>
      <c r="D1186" s="2014" t="s">
        <v>1247</v>
      </c>
      <c r="E1186" s="2015">
        <v>0</v>
      </c>
      <c r="F1186" s="2015"/>
      <c r="G1186" s="2015"/>
      <c r="H1186" s="2016" t="e">
        <f t="shared" si="97"/>
        <v>#DIV/0!</v>
      </c>
    </row>
    <row r="1187" spans="1:8" ht="30" x14ac:dyDescent="0.2">
      <c r="A1187" s="2012">
        <v>3123</v>
      </c>
      <c r="B1187" s="2174">
        <v>6313</v>
      </c>
      <c r="C1187" s="2175">
        <v>32133910</v>
      </c>
      <c r="D1187" s="2176" t="s">
        <v>1772</v>
      </c>
      <c r="E1187" s="2015">
        <v>0</v>
      </c>
      <c r="F1187" s="2015">
        <v>113</v>
      </c>
      <c r="G1187" s="2015">
        <v>113</v>
      </c>
      <c r="H1187" s="2016">
        <f t="shared" si="97"/>
        <v>100</v>
      </c>
    </row>
    <row r="1188" spans="1:8" ht="30.75" thickBot="1" x14ac:dyDescent="0.25">
      <c r="A1188" s="2012">
        <v>3123</v>
      </c>
      <c r="B1188" s="2174">
        <v>6313</v>
      </c>
      <c r="C1188" s="2175">
        <v>32533910</v>
      </c>
      <c r="D1188" s="2176" t="s">
        <v>1772</v>
      </c>
      <c r="E1188" s="2015">
        <v>0</v>
      </c>
      <c r="F1188" s="2015">
        <v>641</v>
      </c>
      <c r="G1188" s="2015">
        <v>641</v>
      </c>
      <c r="H1188" s="2018">
        <f t="shared" si="97"/>
        <v>100</v>
      </c>
    </row>
    <row r="1189" spans="1:8" ht="16.5" thickTop="1" thickBot="1" x14ac:dyDescent="0.3">
      <c r="A1189" s="2751" t="s">
        <v>763</v>
      </c>
      <c r="B1189" s="2752"/>
      <c r="C1189" s="2752"/>
      <c r="D1189" s="2752"/>
      <c r="E1189" s="1818">
        <f>SUM(E1172:E1188)</f>
        <v>0</v>
      </c>
      <c r="F1189" s="1818">
        <f>SUM(F1172:F1188)</f>
        <v>2104</v>
      </c>
      <c r="G1189" s="1818">
        <f>SUM(G1172:G1188)</f>
        <v>2104</v>
      </c>
      <c r="H1189" s="1822">
        <f t="shared" si="97"/>
        <v>100</v>
      </c>
    </row>
    <row r="1190" spans="1:8" ht="13.5" thickTop="1" x14ac:dyDescent="0.2"/>
    <row r="1191" spans="1:8" ht="12" customHeight="1" x14ac:dyDescent="0.25">
      <c r="A1191" s="2760" t="s">
        <v>1801</v>
      </c>
      <c r="B1191" s="2761"/>
      <c r="C1191" s="2761"/>
      <c r="D1191" s="2761"/>
      <c r="E1191" s="2761"/>
      <c r="F1191" s="2761"/>
      <c r="G1191" s="2761"/>
      <c r="H1191" s="2761"/>
    </row>
    <row r="1192" spans="1:8" ht="15.75" thickBot="1" x14ac:dyDescent="0.3">
      <c r="A1192" s="1979" t="s">
        <v>1681</v>
      </c>
      <c r="B1192" s="1993"/>
      <c r="C1192" s="1993"/>
      <c r="E1192" s="1994"/>
      <c r="F1192" s="1994"/>
      <c r="G1192" s="1994"/>
      <c r="H1192" s="1995" t="s">
        <v>161</v>
      </c>
    </row>
    <row r="1193" spans="1:8" ht="25.5" thickTop="1" thickBot="1" x14ac:dyDescent="0.25">
      <c r="A1193" s="1809" t="s">
        <v>162</v>
      </c>
      <c r="B1193" s="1810" t="s">
        <v>761</v>
      </c>
      <c r="C1193" s="1810" t="s">
        <v>377</v>
      </c>
      <c r="D1193" s="1811" t="s">
        <v>164</v>
      </c>
      <c r="E1193" s="1833" t="s">
        <v>632</v>
      </c>
      <c r="F1193" s="1833" t="s">
        <v>633</v>
      </c>
      <c r="G1193" s="1834" t="s">
        <v>882</v>
      </c>
      <c r="H1193" s="1835" t="s">
        <v>883</v>
      </c>
    </row>
    <row r="1194" spans="1:8" ht="14.25" thickTop="1" thickBot="1" x14ac:dyDescent="0.25">
      <c r="A1194" s="1643">
        <v>1</v>
      </c>
      <c r="B1194" s="1642">
        <v>2</v>
      </c>
      <c r="C1194" s="1642">
        <v>3</v>
      </c>
      <c r="D1194" s="1642">
        <v>4</v>
      </c>
      <c r="E1194" s="1641">
        <v>5</v>
      </c>
      <c r="F1194" s="1641">
        <v>6</v>
      </c>
      <c r="G1194" s="1877">
        <v>7</v>
      </c>
      <c r="H1194" s="1901" t="s">
        <v>61</v>
      </c>
    </row>
    <row r="1195" spans="1:8" ht="15.75" thickTop="1" x14ac:dyDescent="0.2">
      <c r="A1195" s="2012">
        <v>3299</v>
      </c>
      <c r="B1195" s="2013">
        <v>5011</v>
      </c>
      <c r="C1195" s="2017">
        <v>32133019</v>
      </c>
      <c r="D1195" s="2014" t="s">
        <v>206</v>
      </c>
      <c r="E1195" s="2015">
        <v>0</v>
      </c>
      <c r="F1195" s="2015">
        <f>72+374</f>
        <v>446</v>
      </c>
      <c r="G1195" s="2015">
        <f>68+299</f>
        <v>367</v>
      </c>
      <c r="H1195" s="2016">
        <f>G1195/F1195*100</f>
        <v>82.286995515695068</v>
      </c>
    </row>
    <row r="1196" spans="1:8" ht="15" x14ac:dyDescent="0.2">
      <c r="A1196" s="2012">
        <v>3299</v>
      </c>
      <c r="B1196" s="2013">
        <v>5011</v>
      </c>
      <c r="C1196" s="2017">
        <v>32533019</v>
      </c>
      <c r="D1196" s="2014" t="s">
        <v>206</v>
      </c>
      <c r="E1196" s="2015">
        <v>0</v>
      </c>
      <c r="F1196" s="2015">
        <f>410+2117</f>
        <v>2527</v>
      </c>
      <c r="G1196" s="2015">
        <f>386+1693</f>
        <v>2079</v>
      </c>
      <c r="H1196" s="2016">
        <f>G1196/F1196*100</f>
        <v>82.27146814404432</v>
      </c>
    </row>
    <row r="1197" spans="1:8" ht="15" x14ac:dyDescent="0.2">
      <c r="A1197" s="2012">
        <v>3299</v>
      </c>
      <c r="B1197" s="2013">
        <v>5021</v>
      </c>
      <c r="C1197" s="2017">
        <v>32133019</v>
      </c>
      <c r="D1197" s="2014" t="s">
        <v>389</v>
      </c>
      <c r="E1197" s="2015">
        <v>0</v>
      </c>
      <c r="F1197" s="2015">
        <v>20</v>
      </c>
      <c r="G1197" s="2015">
        <v>18</v>
      </c>
      <c r="H1197" s="2016">
        <f t="shared" ref="H1197:H1237" si="98">G1197/F1197*100</f>
        <v>90</v>
      </c>
    </row>
    <row r="1198" spans="1:8" ht="15" x14ac:dyDescent="0.2">
      <c r="A1198" s="2012">
        <v>3299</v>
      </c>
      <c r="B1198" s="2013">
        <v>5021</v>
      </c>
      <c r="C1198" s="2017">
        <v>32533019</v>
      </c>
      <c r="D1198" s="2014" t="s">
        <v>389</v>
      </c>
      <c r="E1198" s="2015">
        <v>0</v>
      </c>
      <c r="F1198" s="2015">
        <v>115</v>
      </c>
      <c r="G1198" s="2015">
        <v>100</v>
      </c>
      <c r="H1198" s="2016">
        <f t="shared" si="98"/>
        <v>86.956521739130437</v>
      </c>
    </row>
    <row r="1199" spans="1:8" ht="30" x14ac:dyDescent="0.2">
      <c r="A1199" s="2012">
        <v>3299</v>
      </c>
      <c r="B1199" s="2013">
        <v>5031</v>
      </c>
      <c r="C1199" s="2017">
        <v>32133019</v>
      </c>
      <c r="D1199" s="2014" t="s">
        <v>1299</v>
      </c>
      <c r="E1199" s="2015">
        <v>0</v>
      </c>
      <c r="F1199" s="2015">
        <f>18+93</f>
        <v>111</v>
      </c>
      <c r="G1199" s="2015">
        <f>17+75</f>
        <v>92</v>
      </c>
      <c r="H1199" s="2016">
        <f t="shared" si="98"/>
        <v>82.882882882882882</v>
      </c>
    </row>
    <row r="1200" spans="1:8" ht="30" x14ac:dyDescent="0.2">
      <c r="A1200" s="2012">
        <v>3299</v>
      </c>
      <c r="B1200" s="2013">
        <v>5031</v>
      </c>
      <c r="C1200" s="2017">
        <v>32533019</v>
      </c>
      <c r="D1200" s="2014" t="s">
        <v>1299</v>
      </c>
      <c r="E1200" s="2015">
        <v>0</v>
      </c>
      <c r="F1200" s="2015">
        <f>102+527</f>
        <v>629</v>
      </c>
      <c r="G1200" s="2015">
        <f>96+423</f>
        <v>519</v>
      </c>
      <c r="H1200" s="2016">
        <f t="shared" si="98"/>
        <v>82.511923688394276</v>
      </c>
    </row>
    <row r="1201" spans="1:8" ht="30" x14ac:dyDescent="0.2">
      <c r="A1201" s="2012">
        <v>3299</v>
      </c>
      <c r="B1201" s="2013">
        <v>5032</v>
      </c>
      <c r="C1201" s="2017">
        <v>32133019</v>
      </c>
      <c r="D1201" s="2014" t="s">
        <v>1177</v>
      </c>
      <c r="E1201" s="2015">
        <v>0</v>
      </c>
      <c r="F1201" s="2015">
        <f>6+34</f>
        <v>40</v>
      </c>
      <c r="G1201" s="2015">
        <f>6+27</f>
        <v>33</v>
      </c>
      <c r="H1201" s="2016">
        <f t="shared" si="98"/>
        <v>82.5</v>
      </c>
    </row>
    <row r="1202" spans="1:8" ht="30" x14ac:dyDescent="0.2">
      <c r="A1202" s="2012">
        <v>3299</v>
      </c>
      <c r="B1202" s="2013">
        <v>5032</v>
      </c>
      <c r="C1202" s="2017">
        <v>32533019</v>
      </c>
      <c r="D1202" s="2014" t="s">
        <v>1177</v>
      </c>
      <c r="E1202" s="2015">
        <v>0</v>
      </c>
      <c r="F1202" s="2015">
        <f>37+190</f>
        <v>227</v>
      </c>
      <c r="G1202" s="2015">
        <f>35+152</f>
        <v>187</v>
      </c>
      <c r="H1202" s="2016">
        <f t="shared" si="98"/>
        <v>82.378854625550659</v>
      </c>
    </row>
    <row r="1203" spans="1:8" ht="15" hidden="1" x14ac:dyDescent="0.2">
      <c r="A1203" s="2012">
        <v>3299</v>
      </c>
      <c r="B1203" s="2013">
        <v>5038</v>
      </c>
      <c r="C1203" s="2017">
        <v>32133019</v>
      </c>
      <c r="D1203" s="2014" t="s">
        <v>1802</v>
      </c>
      <c r="E1203" s="2015">
        <v>0</v>
      </c>
      <c r="F1203" s="2015"/>
      <c r="G1203" s="2015"/>
      <c r="H1203" s="2016">
        <v>0</v>
      </c>
    </row>
    <row r="1204" spans="1:8" ht="15" hidden="1" x14ac:dyDescent="0.2">
      <c r="A1204" s="2012">
        <v>3299</v>
      </c>
      <c r="B1204" s="2013">
        <v>5038</v>
      </c>
      <c r="C1204" s="2017">
        <v>32533019</v>
      </c>
      <c r="D1204" s="2014" t="s">
        <v>1802</v>
      </c>
      <c r="E1204" s="2015">
        <v>0</v>
      </c>
      <c r="F1204" s="2015"/>
      <c r="G1204" s="2015"/>
      <c r="H1204" s="2016" t="e">
        <f t="shared" si="98"/>
        <v>#DIV/0!</v>
      </c>
    </row>
    <row r="1205" spans="1:8" ht="15" x14ac:dyDescent="0.2">
      <c r="A1205" s="2012">
        <v>3299</v>
      </c>
      <c r="B1205" s="2013">
        <v>5137</v>
      </c>
      <c r="C1205" s="2017">
        <v>32133019</v>
      </c>
      <c r="D1205" s="2014" t="s">
        <v>155</v>
      </c>
      <c r="E1205" s="2015">
        <v>0</v>
      </c>
      <c r="F1205" s="2015">
        <f>3+21</f>
        <v>24</v>
      </c>
      <c r="G1205" s="2015">
        <f>2+21</f>
        <v>23</v>
      </c>
      <c r="H1205" s="2016">
        <f t="shared" si="98"/>
        <v>95.833333333333343</v>
      </c>
    </row>
    <row r="1206" spans="1:8" ht="15" x14ac:dyDescent="0.2">
      <c r="A1206" s="2012">
        <v>3299</v>
      </c>
      <c r="B1206" s="2013">
        <v>5137</v>
      </c>
      <c r="C1206" s="2017">
        <v>32533019</v>
      </c>
      <c r="D1206" s="2014" t="s">
        <v>155</v>
      </c>
      <c r="E1206" s="2015">
        <v>0</v>
      </c>
      <c r="F1206" s="2015">
        <f>17+118</f>
        <v>135</v>
      </c>
      <c r="G1206" s="2015">
        <f>15+118</f>
        <v>133</v>
      </c>
      <c r="H1206" s="2016">
        <f t="shared" si="98"/>
        <v>98.518518518518519</v>
      </c>
    </row>
    <row r="1207" spans="1:8" ht="15" x14ac:dyDescent="0.2">
      <c r="A1207" s="2012">
        <v>3299</v>
      </c>
      <c r="B1207" s="2013">
        <v>5139</v>
      </c>
      <c r="C1207" s="2017">
        <v>32133019</v>
      </c>
      <c r="D1207" s="2014" t="s">
        <v>625</v>
      </c>
      <c r="E1207" s="2015">
        <v>0</v>
      </c>
      <c r="F1207" s="2015">
        <v>8</v>
      </c>
      <c r="G1207" s="2015">
        <v>4</v>
      </c>
      <c r="H1207" s="2016">
        <f t="shared" si="98"/>
        <v>50</v>
      </c>
    </row>
    <row r="1208" spans="1:8" ht="15" x14ac:dyDescent="0.2">
      <c r="A1208" s="2012">
        <v>3299</v>
      </c>
      <c r="B1208" s="2013">
        <v>5139</v>
      </c>
      <c r="C1208" s="2017">
        <v>32533019</v>
      </c>
      <c r="D1208" s="2014" t="s">
        <v>625</v>
      </c>
      <c r="E1208" s="2015">
        <v>0</v>
      </c>
      <c r="F1208" s="2015">
        <v>45</v>
      </c>
      <c r="G1208" s="2015">
        <v>23</v>
      </c>
      <c r="H1208" s="2016">
        <f t="shared" si="98"/>
        <v>51.111111111111107</v>
      </c>
    </row>
    <row r="1209" spans="1:8" ht="15" x14ac:dyDescent="0.2">
      <c r="A1209" s="2012">
        <v>3299</v>
      </c>
      <c r="B1209" s="2013">
        <v>5162</v>
      </c>
      <c r="C1209" s="2017">
        <v>32133019</v>
      </c>
      <c r="D1209" s="2014" t="s">
        <v>864</v>
      </c>
      <c r="E1209" s="2015">
        <v>0</v>
      </c>
      <c r="F1209" s="2015">
        <v>7</v>
      </c>
      <c r="G1209" s="2015">
        <v>0</v>
      </c>
      <c r="H1209" s="2016">
        <f t="shared" si="98"/>
        <v>0</v>
      </c>
    </row>
    <row r="1210" spans="1:8" ht="15" x14ac:dyDescent="0.2">
      <c r="A1210" s="2012">
        <v>3299</v>
      </c>
      <c r="B1210" s="2013">
        <v>5162</v>
      </c>
      <c r="C1210" s="2017">
        <v>32533019</v>
      </c>
      <c r="D1210" s="2014" t="s">
        <v>864</v>
      </c>
      <c r="E1210" s="2015">
        <v>0</v>
      </c>
      <c r="F1210" s="2015">
        <v>41</v>
      </c>
      <c r="G1210" s="2015">
        <v>1</v>
      </c>
      <c r="H1210" s="2016">
        <f t="shared" si="98"/>
        <v>2.4390243902439024</v>
      </c>
    </row>
    <row r="1211" spans="1:8" ht="15.75" thickBot="1" x14ac:dyDescent="0.25">
      <c r="A1211" s="2197">
        <v>3299</v>
      </c>
      <c r="B1211" s="2030">
        <v>5163</v>
      </c>
      <c r="C1211" s="2588">
        <v>32133019</v>
      </c>
      <c r="D1211" s="2032" t="s">
        <v>892</v>
      </c>
      <c r="E1211" s="2065">
        <v>0</v>
      </c>
      <c r="F1211" s="2065">
        <v>2</v>
      </c>
      <c r="G1211" s="2065">
        <v>0</v>
      </c>
      <c r="H1211" s="2018">
        <v>0</v>
      </c>
    </row>
    <row r="1212" spans="1:8" ht="15.75" thickTop="1" x14ac:dyDescent="0.2">
      <c r="A1212" s="2012">
        <v>3299</v>
      </c>
      <c r="B1212" s="2013">
        <v>5163</v>
      </c>
      <c r="C1212" s="2017">
        <v>32533019</v>
      </c>
      <c r="D1212" s="2014" t="s">
        <v>892</v>
      </c>
      <c r="E1212" s="2015">
        <v>0</v>
      </c>
      <c r="F1212" s="2015">
        <v>11</v>
      </c>
      <c r="G1212" s="2015">
        <v>1</v>
      </c>
      <c r="H1212" s="2016">
        <f t="shared" si="98"/>
        <v>9.0909090909090917</v>
      </c>
    </row>
    <row r="1213" spans="1:8" ht="15" x14ac:dyDescent="0.2">
      <c r="A1213" s="2012">
        <v>3299</v>
      </c>
      <c r="B1213" s="2013">
        <v>5164</v>
      </c>
      <c r="C1213" s="2017">
        <v>32133019</v>
      </c>
      <c r="D1213" s="2014" t="s">
        <v>170</v>
      </c>
      <c r="E1213" s="2015">
        <v>0</v>
      </c>
      <c r="F1213" s="2015">
        <v>42</v>
      </c>
      <c r="G1213" s="2015">
        <v>40</v>
      </c>
      <c r="H1213" s="2016">
        <f t="shared" si="98"/>
        <v>95.238095238095227</v>
      </c>
    </row>
    <row r="1214" spans="1:8" ht="15" x14ac:dyDescent="0.2">
      <c r="A1214" s="2012">
        <v>3299</v>
      </c>
      <c r="B1214" s="2013">
        <v>5164</v>
      </c>
      <c r="C1214" s="2017">
        <v>32533019</v>
      </c>
      <c r="D1214" s="2014" t="s">
        <v>170</v>
      </c>
      <c r="E1214" s="2015">
        <v>0</v>
      </c>
      <c r="F1214" s="2015">
        <v>236</v>
      </c>
      <c r="G1214" s="2015">
        <v>229</v>
      </c>
      <c r="H1214" s="2016">
        <f t="shared" si="98"/>
        <v>97.033898305084747</v>
      </c>
    </row>
    <row r="1215" spans="1:8" ht="15" x14ac:dyDescent="0.2">
      <c r="A1215" s="2012">
        <v>3299</v>
      </c>
      <c r="B1215" s="2013">
        <v>5166</v>
      </c>
      <c r="C1215" s="2017">
        <v>32133019</v>
      </c>
      <c r="D1215" s="2014" t="s">
        <v>609</v>
      </c>
      <c r="E1215" s="2015">
        <v>0</v>
      </c>
      <c r="F1215" s="2015">
        <v>20</v>
      </c>
      <c r="G1215" s="2015">
        <v>11</v>
      </c>
      <c r="H1215" s="2016">
        <f t="shared" si="98"/>
        <v>55.000000000000007</v>
      </c>
    </row>
    <row r="1216" spans="1:8" ht="15" x14ac:dyDescent="0.2">
      <c r="A1216" s="2012">
        <v>3299</v>
      </c>
      <c r="B1216" s="2013">
        <v>5166</v>
      </c>
      <c r="C1216" s="2017">
        <v>32533019</v>
      </c>
      <c r="D1216" s="2014" t="s">
        <v>609</v>
      </c>
      <c r="E1216" s="2015">
        <v>0</v>
      </c>
      <c r="F1216" s="2015">
        <v>115</v>
      </c>
      <c r="G1216" s="2015">
        <v>60</v>
      </c>
      <c r="H1216" s="2016">
        <f t="shared" si="98"/>
        <v>52.173913043478258</v>
      </c>
    </row>
    <row r="1217" spans="1:8" ht="15" x14ac:dyDescent="0.2">
      <c r="A1217" s="2012">
        <v>3299</v>
      </c>
      <c r="B1217" s="2013">
        <v>5167</v>
      </c>
      <c r="C1217" s="2017">
        <v>32133019</v>
      </c>
      <c r="D1217" s="2014" t="s">
        <v>895</v>
      </c>
      <c r="E1217" s="2015">
        <v>0</v>
      </c>
      <c r="F1217" s="2015">
        <v>9</v>
      </c>
      <c r="G1217" s="2015">
        <v>0</v>
      </c>
      <c r="H1217" s="2016">
        <f t="shared" si="98"/>
        <v>0</v>
      </c>
    </row>
    <row r="1218" spans="1:8" ht="15" x14ac:dyDescent="0.2">
      <c r="A1218" s="2012">
        <v>3299</v>
      </c>
      <c r="B1218" s="2013">
        <v>5167</v>
      </c>
      <c r="C1218" s="2017">
        <v>32533019</v>
      </c>
      <c r="D1218" s="2014" t="s">
        <v>895</v>
      </c>
      <c r="E1218" s="2015">
        <v>0</v>
      </c>
      <c r="F1218" s="2015">
        <v>51</v>
      </c>
      <c r="G1218" s="2015">
        <v>0</v>
      </c>
      <c r="H1218" s="2016">
        <f t="shared" si="98"/>
        <v>0</v>
      </c>
    </row>
    <row r="1219" spans="1:8" ht="30" x14ac:dyDescent="0.2">
      <c r="A1219" s="2012">
        <v>3299</v>
      </c>
      <c r="B1219" s="2013">
        <v>5168</v>
      </c>
      <c r="C1219" s="2017">
        <v>32133019</v>
      </c>
      <c r="D1219" s="2014" t="s">
        <v>1932</v>
      </c>
      <c r="E1219" s="2015">
        <v>0</v>
      </c>
      <c r="F1219" s="2015">
        <v>96</v>
      </c>
      <c r="G1219" s="2015">
        <v>96</v>
      </c>
      <c r="H1219" s="2016">
        <v>0</v>
      </c>
    </row>
    <row r="1220" spans="1:8" ht="30" x14ac:dyDescent="0.2">
      <c r="A1220" s="2012">
        <v>3299</v>
      </c>
      <c r="B1220" s="2013">
        <v>5168</v>
      </c>
      <c r="C1220" s="2017">
        <v>32533019</v>
      </c>
      <c r="D1220" s="2014" t="s">
        <v>1932</v>
      </c>
      <c r="E1220" s="2015">
        <v>0</v>
      </c>
      <c r="F1220" s="2015">
        <f>1+545</f>
        <v>546</v>
      </c>
      <c r="G1220" s="2015">
        <v>545</v>
      </c>
      <c r="H1220" s="2016">
        <v>0</v>
      </c>
    </row>
    <row r="1221" spans="1:8" ht="15" x14ac:dyDescent="0.2">
      <c r="A1221" s="2012">
        <v>3299</v>
      </c>
      <c r="B1221" s="2013">
        <v>5169</v>
      </c>
      <c r="C1221" s="2177">
        <v>32133019</v>
      </c>
      <c r="D1221" s="2014" t="s">
        <v>852</v>
      </c>
      <c r="E1221" s="2015">
        <v>0</v>
      </c>
      <c r="F1221" s="2015">
        <v>17</v>
      </c>
      <c r="G1221" s="2015">
        <v>9</v>
      </c>
      <c r="H1221" s="2016">
        <f t="shared" si="98"/>
        <v>52.941176470588239</v>
      </c>
    </row>
    <row r="1222" spans="1:8" ht="15" x14ac:dyDescent="0.2">
      <c r="A1222" s="2012">
        <v>3299</v>
      </c>
      <c r="B1222" s="2013">
        <v>5169</v>
      </c>
      <c r="C1222" s="2177">
        <v>32533019</v>
      </c>
      <c r="D1222" s="2014" t="s">
        <v>852</v>
      </c>
      <c r="E1222" s="2015">
        <v>0</v>
      </c>
      <c r="F1222" s="2015">
        <v>98</v>
      </c>
      <c r="G1222" s="2015">
        <v>49</v>
      </c>
      <c r="H1222" s="2016">
        <f t="shared" si="98"/>
        <v>50</v>
      </c>
    </row>
    <row r="1223" spans="1:8" ht="15" hidden="1" x14ac:dyDescent="0.2">
      <c r="A1223" s="2012">
        <v>3299</v>
      </c>
      <c r="B1223" s="2013">
        <v>5172</v>
      </c>
      <c r="C1223" s="2177">
        <v>32133019</v>
      </c>
      <c r="D1223" s="2014" t="s">
        <v>897</v>
      </c>
      <c r="E1223" s="2015">
        <v>0</v>
      </c>
      <c r="F1223" s="2015"/>
      <c r="G1223" s="2015"/>
      <c r="H1223" s="2016">
        <v>0</v>
      </c>
    </row>
    <row r="1224" spans="1:8" ht="15" hidden="1" x14ac:dyDescent="0.2">
      <c r="A1224" s="2012">
        <v>3299</v>
      </c>
      <c r="B1224" s="2013">
        <v>5172</v>
      </c>
      <c r="C1224" s="2177">
        <v>32533019</v>
      </c>
      <c r="D1224" s="2014" t="s">
        <v>897</v>
      </c>
      <c r="E1224" s="2015">
        <v>0</v>
      </c>
      <c r="F1224" s="2015"/>
      <c r="G1224" s="2015"/>
      <c r="H1224" s="2016">
        <v>0</v>
      </c>
    </row>
    <row r="1225" spans="1:8" ht="15" x14ac:dyDescent="0.2">
      <c r="A1225" s="2012">
        <v>3299</v>
      </c>
      <c r="B1225" s="2013">
        <v>5173</v>
      </c>
      <c r="C1225" s="2017">
        <v>32133019</v>
      </c>
      <c r="D1225" s="2014" t="s">
        <v>1152</v>
      </c>
      <c r="E1225" s="2015">
        <v>0</v>
      </c>
      <c r="F1225" s="2015">
        <v>1</v>
      </c>
      <c r="G1225" s="2015">
        <v>1</v>
      </c>
      <c r="H1225" s="2016">
        <f t="shared" si="98"/>
        <v>100</v>
      </c>
    </row>
    <row r="1226" spans="1:8" ht="15" x14ac:dyDescent="0.2">
      <c r="A1226" s="2012">
        <v>3299</v>
      </c>
      <c r="B1226" s="2013">
        <v>5173</v>
      </c>
      <c r="C1226" s="2017">
        <v>32533019</v>
      </c>
      <c r="D1226" s="2014" t="s">
        <v>1152</v>
      </c>
      <c r="E1226" s="2015">
        <v>0</v>
      </c>
      <c r="F1226" s="2015">
        <v>9</v>
      </c>
      <c r="G1226" s="2015">
        <v>7</v>
      </c>
      <c r="H1226" s="2016">
        <f t="shared" si="98"/>
        <v>77.777777777777786</v>
      </c>
    </row>
    <row r="1227" spans="1:8" ht="15" x14ac:dyDescent="0.2">
      <c r="A1227" s="2012">
        <v>3299</v>
      </c>
      <c r="B1227" s="2013">
        <v>5175</v>
      </c>
      <c r="C1227" s="2017">
        <v>32133019</v>
      </c>
      <c r="D1227" s="2014" t="s">
        <v>669</v>
      </c>
      <c r="E1227" s="2015">
        <v>0</v>
      </c>
      <c r="F1227" s="2015">
        <v>18</v>
      </c>
      <c r="G1227" s="2015">
        <v>18</v>
      </c>
      <c r="H1227" s="2016">
        <f t="shared" si="98"/>
        <v>100</v>
      </c>
    </row>
    <row r="1228" spans="1:8" ht="15" x14ac:dyDescent="0.2">
      <c r="A1228" s="2012">
        <v>3299</v>
      </c>
      <c r="B1228" s="2013">
        <v>5175</v>
      </c>
      <c r="C1228" s="2017">
        <v>32533019</v>
      </c>
      <c r="D1228" s="2014" t="s">
        <v>669</v>
      </c>
      <c r="E1228" s="2015">
        <v>0</v>
      </c>
      <c r="F1228" s="2015">
        <v>100</v>
      </c>
      <c r="G1228" s="2015">
        <v>100</v>
      </c>
      <c r="H1228" s="2016">
        <f t="shared" si="98"/>
        <v>100</v>
      </c>
    </row>
    <row r="1229" spans="1:8" ht="15" x14ac:dyDescent="0.2">
      <c r="A1229" s="2012">
        <v>3299</v>
      </c>
      <c r="B1229" s="2013">
        <v>5901</v>
      </c>
      <c r="C1229" s="2017">
        <v>32133019</v>
      </c>
      <c r="D1229" s="2014" t="s">
        <v>602</v>
      </c>
      <c r="E1229" s="2015">
        <v>0</v>
      </c>
      <c r="F1229" s="2015">
        <f>69+112</f>
        <v>181</v>
      </c>
      <c r="G1229" s="2015">
        <v>0</v>
      </c>
      <c r="H1229" s="2016">
        <v>0</v>
      </c>
    </row>
    <row r="1230" spans="1:8" ht="15" x14ac:dyDescent="0.2">
      <c r="A1230" s="2012">
        <v>3299</v>
      </c>
      <c r="B1230" s="2013">
        <v>5901</v>
      </c>
      <c r="C1230" s="2017">
        <v>32533019</v>
      </c>
      <c r="D1230" s="2014" t="s">
        <v>602</v>
      </c>
      <c r="E1230" s="2015">
        <v>0</v>
      </c>
      <c r="F1230" s="2015">
        <f>391+631</f>
        <v>1022</v>
      </c>
      <c r="G1230" s="2015">
        <v>0</v>
      </c>
      <c r="H1230" s="2016">
        <f t="shared" si="98"/>
        <v>0</v>
      </c>
    </row>
    <row r="1231" spans="1:8" ht="15" x14ac:dyDescent="0.2">
      <c r="A1231" s="2012">
        <v>3299</v>
      </c>
      <c r="B1231" s="2013">
        <v>6111</v>
      </c>
      <c r="C1231" s="2017">
        <v>32133019</v>
      </c>
      <c r="D1231" s="2014" t="s">
        <v>897</v>
      </c>
      <c r="E1231" s="2015">
        <v>0</v>
      </c>
      <c r="F1231" s="2015">
        <v>45</v>
      </c>
      <c r="G1231" s="2015">
        <v>45</v>
      </c>
      <c r="H1231" s="2016">
        <f t="shared" si="98"/>
        <v>100</v>
      </c>
    </row>
    <row r="1232" spans="1:8" ht="15" x14ac:dyDescent="0.2">
      <c r="A1232" s="2012">
        <v>3299</v>
      </c>
      <c r="B1232" s="2013">
        <v>6111</v>
      </c>
      <c r="C1232" s="2017">
        <v>32533019</v>
      </c>
      <c r="D1232" s="2014" t="s">
        <v>897</v>
      </c>
      <c r="E1232" s="2015">
        <v>0</v>
      </c>
      <c r="F1232" s="2015">
        <v>255</v>
      </c>
      <c r="G1232" s="2015">
        <v>255</v>
      </c>
      <c r="H1232" s="2016">
        <f t="shared" si="98"/>
        <v>100</v>
      </c>
    </row>
    <row r="1233" spans="1:9" ht="15" x14ac:dyDescent="0.2">
      <c r="A1233" s="2012">
        <v>3299</v>
      </c>
      <c r="B1233" s="2013">
        <v>6901</v>
      </c>
      <c r="C1233" s="2017">
        <v>32133019</v>
      </c>
      <c r="D1233" s="2014" t="s">
        <v>428</v>
      </c>
      <c r="E1233" s="2015">
        <v>0</v>
      </c>
      <c r="F1233" s="2015">
        <v>234</v>
      </c>
      <c r="G1233" s="2015">
        <v>0</v>
      </c>
      <c r="H1233" s="2016">
        <f t="shared" si="98"/>
        <v>0</v>
      </c>
    </row>
    <row r="1234" spans="1:9" ht="15" x14ac:dyDescent="0.2">
      <c r="A1234" s="2012">
        <v>3299</v>
      </c>
      <c r="B1234" s="2013">
        <v>6901</v>
      </c>
      <c r="C1234" s="2017">
        <v>32133910</v>
      </c>
      <c r="D1234" s="2014" t="s">
        <v>428</v>
      </c>
      <c r="E1234" s="2015">
        <v>0</v>
      </c>
      <c r="F1234" s="2015">
        <v>65</v>
      </c>
      <c r="G1234" s="2015">
        <v>0</v>
      </c>
      <c r="H1234" s="2016">
        <f t="shared" si="98"/>
        <v>0</v>
      </c>
    </row>
    <row r="1235" spans="1:9" ht="15" x14ac:dyDescent="0.2">
      <c r="A1235" s="2012">
        <v>3299</v>
      </c>
      <c r="B1235" s="2013">
        <v>6901</v>
      </c>
      <c r="C1235" s="2017">
        <v>32533019</v>
      </c>
      <c r="D1235" s="2014" t="s">
        <v>428</v>
      </c>
      <c r="E1235" s="2015">
        <v>0</v>
      </c>
      <c r="F1235" s="2015">
        <v>1327</v>
      </c>
      <c r="G1235" s="2015">
        <v>0</v>
      </c>
      <c r="H1235" s="2016">
        <f t="shared" si="98"/>
        <v>0</v>
      </c>
    </row>
    <row r="1236" spans="1:9" ht="15.75" thickBot="1" x14ac:dyDescent="0.25">
      <c r="A1236" s="2012">
        <v>3299</v>
      </c>
      <c r="B1236" s="2013">
        <v>6901</v>
      </c>
      <c r="C1236" s="2017">
        <v>32533910</v>
      </c>
      <c r="D1236" s="2014" t="s">
        <v>428</v>
      </c>
      <c r="E1236" s="2015">
        <v>0</v>
      </c>
      <c r="F1236" s="2015">
        <v>370</v>
      </c>
      <c r="G1236" s="2015">
        <v>0</v>
      </c>
      <c r="H1236" s="2016">
        <f t="shared" si="98"/>
        <v>0</v>
      </c>
    </row>
    <row r="1237" spans="1:9" ht="16.5" thickTop="1" thickBot="1" x14ac:dyDescent="0.3">
      <c r="A1237" s="2751" t="s">
        <v>763</v>
      </c>
      <c r="B1237" s="2752"/>
      <c r="C1237" s="2752"/>
      <c r="D1237" s="2752"/>
      <c r="E1237" s="1818">
        <f>SUM(E1195:E1236)</f>
        <v>0</v>
      </c>
      <c r="F1237" s="1818">
        <f t="shared" ref="F1237" si="99">SUM(F1195:F1236)</f>
        <v>9245</v>
      </c>
      <c r="G1237" s="1818">
        <f>SUM(G1195:G1236)</f>
        <v>5045</v>
      </c>
      <c r="H1237" s="1822">
        <f t="shared" si="98"/>
        <v>54.570037858301788</v>
      </c>
    </row>
    <row r="1238" spans="1:9" ht="13.5" thickTop="1" x14ac:dyDescent="0.2"/>
    <row r="1239" spans="1:9" hidden="1" x14ac:dyDescent="0.2"/>
    <row r="1240" spans="1:9" hidden="1" x14ac:dyDescent="0.2"/>
    <row r="1241" spans="1:9" hidden="1" x14ac:dyDescent="0.2"/>
    <row r="1243" spans="1:9" ht="15.75" thickBot="1" x14ac:dyDescent="0.3">
      <c r="A1243" s="1979" t="s">
        <v>766</v>
      </c>
      <c r="B1243" s="1993"/>
      <c r="C1243" s="1993"/>
      <c r="D1243" s="1993"/>
      <c r="F1243" s="1994"/>
      <c r="G1243" s="1994"/>
      <c r="H1243" s="1995" t="s">
        <v>161</v>
      </c>
      <c r="I1243" s="2066"/>
    </row>
    <row r="1244" spans="1:9" ht="25.5" thickTop="1" thickBot="1" x14ac:dyDescent="0.25">
      <c r="A1244" s="1996" t="s">
        <v>162</v>
      </c>
      <c r="B1244" s="1997" t="s">
        <v>761</v>
      </c>
      <c r="C1244" s="1997" t="s">
        <v>377</v>
      </c>
      <c r="D1244" s="1998" t="s">
        <v>164</v>
      </c>
      <c r="E1244" s="1999" t="s">
        <v>632</v>
      </c>
      <c r="F1244" s="1999" t="s">
        <v>633</v>
      </c>
      <c r="G1244" s="2000" t="s">
        <v>882</v>
      </c>
      <c r="H1244" s="2001" t="s">
        <v>883</v>
      </c>
    </row>
    <row r="1245" spans="1:9" ht="14.25" thickTop="1" thickBot="1" x14ac:dyDescent="0.25">
      <c r="A1245" s="2002">
        <v>1</v>
      </c>
      <c r="B1245" s="2003">
        <v>2</v>
      </c>
      <c r="C1245" s="2003">
        <v>3</v>
      </c>
      <c r="D1245" s="2003">
        <v>5</v>
      </c>
      <c r="E1245" s="2004">
        <v>6</v>
      </c>
      <c r="F1245" s="2004">
        <v>7</v>
      </c>
      <c r="G1245" s="2005">
        <v>8</v>
      </c>
      <c r="H1245" s="2021" t="s">
        <v>762</v>
      </c>
    </row>
    <row r="1246" spans="1:9" s="1988" customFormat="1" ht="15.75" hidden="1" customHeight="1" thickTop="1" x14ac:dyDescent="0.25">
      <c r="A1246" s="2063">
        <v>6409</v>
      </c>
      <c r="B1246" s="2034">
        <v>5909</v>
      </c>
      <c r="C1246" s="2120">
        <v>0</v>
      </c>
      <c r="D1246" s="2035" t="s">
        <v>1592</v>
      </c>
      <c r="E1246" s="2010">
        <v>0</v>
      </c>
      <c r="F1246" s="2010">
        <v>0</v>
      </c>
      <c r="G1246" s="2022">
        <v>0</v>
      </c>
      <c r="H1246" s="2011">
        <v>0</v>
      </c>
    </row>
    <row r="1247" spans="1:9" s="1988" customFormat="1" ht="16.5" thickTop="1" thickBot="1" x14ac:dyDescent="0.25">
      <c r="A1247" s="2012">
        <v>6330</v>
      </c>
      <c r="B1247" s="2013">
        <v>5345</v>
      </c>
      <c r="C1247" s="2017">
        <v>0</v>
      </c>
      <c r="D1247" s="2014" t="s">
        <v>767</v>
      </c>
      <c r="E1247" s="2015">
        <v>0</v>
      </c>
      <c r="F1247" s="2015">
        <v>0</v>
      </c>
      <c r="G1247" s="2023">
        <v>72709</v>
      </c>
      <c r="H1247" s="2016">
        <v>0</v>
      </c>
    </row>
    <row r="1248" spans="1:9" ht="16.5" thickTop="1" thickBot="1" x14ac:dyDescent="0.3">
      <c r="A1248" s="2024" t="s">
        <v>763</v>
      </c>
      <c r="B1248" s="2025"/>
      <c r="C1248" s="2025"/>
      <c r="D1248" s="2026"/>
      <c r="E1248" s="2019">
        <f>SUM(E1246:E1247)</f>
        <v>0</v>
      </c>
      <c r="F1248" s="2019">
        <f>SUM(F1246:F1247)</f>
        <v>0</v>
      </c>
      <c r="G1248" s="2019">
        <f>SUM(G1246:G1247)</f>
        <v>72709</v>
      </c>
      <c r="H1248" s="2020">
        <v>0</v>
      </c>
    </row>
    <row r="1249" spans="1:12" ht="13.5" thickTop="1" x14ac:dyDescent="0.2"/>
    <row r="1252" spans="1:12" ht="16.5" x14ac:dyDescent="0.25">
      <c r="A1252" s="2040" t="s">
        <v>465</v>
      </c>
      <c r="B1252" s="2041"/>
      <c r="C1252" s="2042"/>
      <c r="D1252" s="2043"/>
      <c r="E1252" s="2044">
        <f>SUM(E1253:E1255)</f>
        <v>0</v>
      </c>
      <c r="F1252" s="2044">
        <f>F1253+F1254+F1255+F1256</f>
        <v>74989</v>
      </c>
      <c r="G1252" s="2044">
        <f>G1253+G1254+G1255+G1256</f>
        <v>141672</v>
      </c>
      <c r="H1252" s="2045">
        <v>61.717249327698809</v>
      </c>
      <c r="J1252" s="2046">
        <f>J1253+J1254+J1255</f>
        <v>0</v>
      </c>
      <c r="K1252" s="2046">
        <f>K1253+K1254+K1255</f>
        <v>74988910.150000006</v>
      </c>
      <c r="L1252" s="2046">
        <f>L1253+L1254+L1255</f>
        <v>141672154.97</v>
      </c>
    </row>
    <row r="1253" spans="1:12" ht="15" x14ac:dyDescent="0.2">
      <c r="A1253" s="2047" t="s">
        <v>263</v>
      </c>
      <c r="B1253" s="2048"/>
      <c r="C1253" s="2049"/>
      <c r="D1253" s="2050"/>
      <c r="E1253" s="2051">
        <f>E15+E27+E51+E63+E87+E99+E110+E122+E146+E158+E182+E194+E218+E230+E254+E266+E290+E302+E326+E338+E362+E374+E398+E410+E434+E446+E470+E482+E506+E518+E542+E554+E578+E590+E614+E626+E650+E662+E686+E698+E722+E734+E758+E770+E794+E806+E830+E842+E866+E878+E902+E914+E938+E950+E974+E986+E1010+E1022+E1046+E1058+E1080+E1081+E1126+E1127+E1149+E1150+E1172+E1173+E1195+E1196+E1197+E1198+E1199+E1200+E1201+E1202+E1203+E1204+E1205+E1206+E1207+E1208+E1211+E1212+E1221+E1222+E1223+E1224+E1225+E1226+E1229+E1230+E1103+E1104+E1213+E1214+E1215+E1216+E1217+E1218+E1219+E1220+E1227+E1228</f>
        <v>0</v>
      </c>
      <c r="F1253" s="2051">
        <f>F15+F27+F51+F63+F87+F99+F110+F122+F146+F158+F182+F194+F218+F230+F254+F266+F290+F302+F326+F338+F362+F374+F398+F410+F434+F446+F470+F482+F506+F518+F542+F554+F578+F590+F614+F626+F650+F662+F686+F698+F722+F734+F758+F770+F794+F806+F830+F842+F866+F878+F902+F914+F938+F950+F974+F986+F1010+F1022+F1046+F1058+F1080+F1081+F1126+F1127+F1149+F1150+F1172+F1173+F1195+F1196+F1197+F1198+F1199+F1200+F1201+F1202+F1203+F1204+F1205+F1206+F1207+F1208+F1211+F1212+F1221+F1222+F1223+F1224+F1225+F1226+F1229+F1230+F1103+F1104+F1213+F1214+F1215+F1216+F1217+F1218+F1219+F1220+F1227+F1228+F1209+F1210</f>
        <v>50131</v>
      </c>
      <c r="G1253" s="2051">
        <f t="shared" ref="G1253" si="100">G15+G27+G51+G63+G87+G99+G110+G122+G146+G158+G182+G194+G218+G230+G254+G266+G290+G302+G326+G338+G362+G374+G398+G410+G434+G446+G470+G482+G506+G518+G542+G554+G578+G590+G614+G626+G650+G662+G686+G698+G722+G734+G758+G770+G794+G806+G830+G842+G866+G878+G902+G914+G938+G950+G974+G986+G1010+G1022+G1046+G1058+G1080+G1081+G1126+G1127+G1149+G1150+G1172+G1173+G1195+G1196+G1197+G1198+G1199+G1200+G1201+G1202+G1203+G1204+G1205+G1206+G1207+G1208+G1211+G1212+G1221+G1222+G1223+G1224+G1225+G1226+G1229+G1230+G1103+G1104+G1213+G1214+G1215+G1216+G1217+G1218+G1219+G1220+G1227+G1228</f>
        <v>46419</v>
      </c>
      <c r="H1253" s="2052">
        <v>61.717249327698809</v>
      </c>
      <c r="J1253" s="2053">
        <v>0</v>
      </c>
      <c r="K1253" s="2053">
        <v>50131110.740000002</v>
      </c>
      <c r="L1253" s="2053">
        <v>46419040.32</v>
      </c>
    </row>
    <row r="1254" spans="1:12" ht="15" x14ac:dyDescent="0.2">
      <c r="A1254" s="2047" t="s">
        <v>264</v>
      </c>
      <c r="B1254" s="2054"/>
      <c r="C1254" s="2049"/>
      <c r="D1254" s="2055"/>
      <c r="E1254" s="2051">
        <f>E172+E173+E208+E209+E244+E245+E280+E281+E388+E389+E424+E425+E460+E461+E496+E497+E532+E533+E640+E641+E748+E749+E784+E785+E820+E821+E892+E893+E964+E965+E1000+E1001+E1036+E1037+E1095+E1096+E1141+E1142+E1187+E1188+E100+E101+E136+E137+E316+E317+E352+E353+E568+E569+E604+E605+E676+E677+E712+E713+E856+E857+E1072+E1073+E1231+E1232+E1233+E1234+E1235+E1236</f>
        <v>0</v>
      </c>
      <c r="F1254" s="2051">
        <f t="shared" ref="F1254:G1254" si="101">F172+F173+F208+F209+F244+F245+F280+F281+F388+F389+F424+F425+F460+F461+F496+F497+F532+F533+F640+F641+F748+F749+F784+F785+F820+F821+F892+F893+F964+F965+F1000+F1001+F1036+F1037+F1095+F1096+F1141+F1142+F1187+F1188+F100+F101+F136+F137+F316+F317+F352+F353+F568+F569+F604+F605+F676+F677+F712+F713+F856+F857+F1072+F1073+F1231+F1232+F1233+F1234+F1235+F1236</f>
        <v>24858</v>
      </c>
      <c r="G1254" s="2051">
        <f t="shared" si="101"/>
        <v>22544</v>
      </c>
      <c r="H1254" s="2052">
        <v>0</v>
      </c>
      <c r="J1254" s="2053">
        <v>0</v>
      </c>
      <c r="K1254" s="2053">
        <v>24857799.41</v>
      </c>
      <c r="L1254" s="2053">
        <v>22544161.68</v>
      </c>
    </row>
    <row r="1255" spans="1:12" ht="15" x14ac:dyDescent="0.2">
      <c r="A1255" s="2047" t="s">
        <v>466</v>
      </c>
      <c r="B1255" s="2054"/>
      <c r="C1255" s="2049"/>
      <c r="D1255" s="2055"/>
      <c r="E1255" s="2051">
        <f>E1247</f>
        <v>0</v>
      </c>
      <c r="F1255" s="2051">
        <f>F1247</f>
        <v>0</v>
      </c>
      <c r="G1255" s="2051">
        <f>G1247</f>
        <v>72709</v>
      </c>
      <c r="H1255" s="2052">
        <v>0</v>
      </c>
      <c r="J1255" s="2053">
        <v>0</v>
      </c>
      <c r="K1255" s="2053">
        <v>0</v>
      </c>
      <c r="L1255" s="2053">
        <v>72708952.969999999</v>
      </c>
    </row>
    <row r="1256" spans="1:12" ht="16.5" customHeight="1" x14ac:dyDescent="0.2">
      <c r="A1256" s="2047"/>
      <c r="B1256" s="2054"/>
      <c r="C1256" s="2049"/>
      <c r="D1256" s="2055"/>
      <c r="E1256" s="2051"/>
      <c r="F1256" s="2051"/>
      <c r="G1256" s="2051"/>
      <c r="H1256" s="2056"/>
    </row>
    <row r="1257" spans="1:12" ht="57.75" customHeight="1" thickBot="1" x14ac:dyDescent="0.4">
      <c r="A1257" s="2754" t="s">
        <v>1801</v>
      </c>
      <c r="B1257" s="2754"/>
      <c r="C1257" s="2754"/>
      <c r="D1257" s="2754"/>
      <c r="E1257" s="2057">
        <f>SUM(E1252)</f>
        <v>0</v>
      </c>
      <c r="F1257" s="2057">
        <f>SUM(F1252)</f>
        <v>74989</v>
      </c>
      <c r="G1257" s="2057">
        <f>SUM(G1252)</f>
        <v>141672</v>
      </c>
      <c r="H1257" s="2058">
        <f>G1257/F1257*100</f>
        <v>188.92370881062556</v>
      </c>
    </row>
    <row r="1258" spans="1:12" ht="13.5" thickTop="1" x14ac:dyDescent="0.2"/>
  </sheetData>
  <mergeCells count="73">
    <mergeCell ref="A102:D102"/>
    <mergeCell ref="A9:H9"/>
    <mergeCell ref="A43:D43"/>
    <mergeCell ref="A45:H45"/>
    <mergeCell ref="A79:D79"/>
    <mergeCell ref="A81:H81"/>
    <mergeCell ref="A318:D318"/>
    <mergeCell ref="A104:H104"/>
    <mergeCell ref="A138:D138"/>
    <mergeCell ref="A140:H140"/>
    <mergeCell ref="A174:D174"/>
    <mergeCell ref="A176:H176"/>
    <mergeCell ref="A210:D210"/>
    <mergeCell ref="A212:H212"/>
    <mergeCell ref="A246:D246"/>
    <mergeCell ref="A248:H248"/>
    <mergeCell ref="A282:D282"/>
    <mergeCell ref="A284:H284"/>
    <mergeCell ref="A534:D534"/>
    <mergeCell ref="A320:H320"/>
    <mergeCell ref="A354:D354"/>
    <mergeCell ref="A356:H356"/>
    <mergeCell ref="A390:D390"/>
    <mergeCell ref="A392:H392"/>
    <mergeCell ref="A426:D426"/>
    <mergeCell ref="A428:H428"/>
    <mergeCell ref="A462:D462"/>
    <mergeCell ref="A464:H464"/>
    <mergeCell ref="A498:D498"/>
    <mergeCell ref="A500:H500"/>
    <mergeCell ref="A750:D750"/>
    <mergeCell ref="A536:H536"/>
    <mergeCell ref="A570:D570"/>
    <mergeCell ref="A572:H572"/>
    <mergeCell ref="A606:D606"/>
    <mergeCell ref="A608:H608"/>
    <mergeCell ref="A642:D642"/>
    <mergeCell ref="A644:H644"/>
    <mergeCell ref="A678:D678"/>
    <mergeCell ref="A680:H680"/>
    <mergeCell ref="A714:D714"/>
    <mergeCell ref="A716:H716"/>
    <mergeCell ref="A966:D966"/>
    <mergeCell ref="A752:H752"/>
    <mergeCell ref="A786:D786"/>
    <mergeCell ref="A788:H788"/>
    <mergeCell ref="A822:D822"/>
    <mergeCell ref="A824:H824"/>
    <mergeCell ref="A858:D858"/>
    <mergeCell ref="A860:H860"/>
    <mergeCell ref="A894:D894"/>
    <mergeCell ref="A896:H896"/>
    <mergeCell ref="A930:D930"/>
    <mergeCell ref="A932:H932"/>
    <mergeCell ref="A1143:D1143"/>
    <mergeCell ref="A968:H968"/>
    <mergeCell ref="A1002:D1002"/>
    <mergeCell ref="A1004:H1004"/>
    <mergeCell ref="A1038:D1038"/>
    <mergeCell ref="A1040:H1040"/>
    <mergeCell ref="A1074:D1074"/>
    <mergeCell ref="A1076:H1076"/>
    <mergeCell ref="A1097:D1097"/>
    <mergeCell ref="A1099:H1099"/>
    <mergeCell ref="A1120:D1120"/>
    <mergeCell ref="A1122:H1122"/>
    <mergeCell ref="A1257:D1257"/>
    <mergeCell ref="A1145:H1145"/>
    <mergeCell ref="A1166:D1166"/>
    <mergeCell ref="A1168:H1168"/>
    <mergeCell ref="A1189:D1189"/>
    <mergeCell ref="A1191:H1191"/>
    <mergeCell ref="A1237:D1237"/>
  </mergeCells>
  <pageMargins left="0.70866141732283472" right="0.70866141732283472" top="0.78740157480314965" bottom="0.78740157480314965" header="0.31496062992125984" footer="0.31496062992125984"/>
  <pageSetup paperSize="9" scale="65" firstPageNumber="176" orientation="portrait" useFirstPageNumber="1" r:id="rId1"/>
  <headerFooter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rowBreaks count="6" manualBreakCount="6">
    <brk id="175" max="7" man="1"/>
    <brk id="355" max="7" man="1"/>
    <brk id="534" max="7" man="1"/>
    <brk id="715" max="7" man="1"/>
    <brk id="930" max="7" man="1"/>
    <brk id="1097" max="7" man="1"/>
  </rowBreaks>
  <colBreaks count="1" manualBreakCount="1">
    <brk id="8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2"/>
  </sheetPr>
  <dimension ref="A1:H35"/>
  <sheetViews>
    <sheetView showGridLines="0" topLeftCell="A13" workbookViewId="0">
      <selection activeCell="J25" sqref="J25"/>
    </sheetView>
  </sheetViews>
  <sheetFormatPr defaultRowHeight="12.75" x14ac:dyDescent="0.2"/>
  <cols>
    <col min="1" max="1" width="4.7109375" style="318" customWidth="1"/>
    <col min="2" max="2" width="6.7109375" style="318" customWidth="1"/>
    <col min="3" max="3" width="9" style="318" bestFit="1" customWidth="1"/>
    <col min="4" max="4" width="46.42578125" customWidth="1"/>
    <col min="5" max="5" width="13.85546875" style="327" customWidth="1"/>
    <col min="6" max="6" width="16.85546875" style="327" customWidth="1"/>
    <col min="7" max="7" width="13.85546875" style="327" customWidth="1"/>
    <col min="8" max="8" width="7" customWidth="1"/>
  </cols>
  <sheetData>
    <row r="1" spans="1:8" ht="18.75" thickBot="1" x14ac:dyDescent="0.3">
      <c r="A1" s="409" t="s">
        <v>354</v>
      </c>
      <c r="B1" s="410"/>
      <c r="C1" s="410"/>
      <c r="D1" s="410"/>
      <c r="E1" s="410"/>
      <c r="F1" s="311"/>
      <c r="G1" s="311"/>
    </row>
    <row r="2" spans="1:8" ht="18" x14ac:dyDescent="0.25">
      <c r="B2" s="311"/>
      <c r="C2" s="311"/>
      <c r="D2" s="311"/>
      <c r="E2" s="311"/>
      <c r="F2" s="311"/>
      <c r="G2" s="311"/>
      <c r="H2" s="326" t="s">
        <v>1222</v>
      </c>
    </row>
    <row r="3" spans="1:8" s="120" customFormat="1" ht="16.5" customHeight="1" x14ac:dyDescent="0.25">
      <c r="A3" s="67" t="s">
        <v>367</v>
      </c>
      <c r="B3" s="28"/>
      <c r="C3" s="143" t="s">
        <v>42</v>
      </c>
      <c r="D3" s="391"/>
      <c r="F3" s="401"/>
    </row>
    <row r="4" spans="1:8" s="120" customFormat="1" ht="12.75" customHeight="1" x14ac:dyDescent="0.25">
      <c r="A4" s="6"/>
      <c r="B4" s="28"/>
      <c r="C4" s="143" t="s">
        <v>43</v>
      </c>
      <c r="D4" s="391"/>
      <c r="F4" s="401"/>
    </row>
    <row r="5" spans="1:8" ht="18" x14ac:dyDescent="0.25">
      <c r="A5" s="353" t="s">
        <v>1221</v>
      </c>
      <c r="B5" s="311"/>
      <c r="C5" s="311"/>
      <c r="D5" s="311"/>
      <c r="E5" s="311"/>
      <c r="F5" s="311"/>
      <c r="G5" s="311"/>
      <c r="H5" s="326"/>
    </row>
    <row r="6" spans="1:8" ht="18" x14ac:dyDescent="0.25">
      <c r="A6" s="325" t="s">
        <v>353</v>
      </c>
      <c r="B6" s="311"/>
      <c r="C6" s="311"/>
      <c r="D6" s="311"/>
      <c r="E6" s="311"/>
      <c r="F6" s="311"/>
      <c r="G6" s="311"/>
      <c r="H6" s="326"/>
    </row>
    <row r="7" spans="1:8" ht="18" x14ac:dyDescent="0.25">
      <c r="A7" s="325"/>
      <c r="B7" s="311"/>
      <c r="C7" s="311"/>
      <c r="D7" s="311"/>
      <c r="E7" s="311"/>
      <c r="F7" s="311"/>
      <c r="G7" s="311"/>
      <c r="H7" s="326"/>
    </row>
    <row r="8" spans="1:8" ht="13.5" thickBot="1" x14ac:dyDescent="0.25">
      <c r="H8" s="344" t="s">
        <v>1227</v>
      </c>
    </row>
    <row r="9" spans="1:8" s="323" customFormat="1" ht="25.5" thickTop="1" thickBot="1" x14ac:dyDescent="0.25">
      <c r="A9" s="328" t="s">
        <v>162</v>
      </c>
      <c r="B9" s="329" t="s">
        <v>761</v>
      </c>
      <c r="C9" s="329" t="s">
        <v>377</v>
      </c>
      <c r="D9" s="330" t="s">
        <v>164</v>
      </c>
      <c r="E9" s="331" t="s">
        <v>632</v>
      </c>
      <c r="F9" s="331" t="s">
        <v>633</v>
      </c>
      <c r="G9" s="332" t="s">
        <v>882</v>
      </c>
      <c r="H9" s="333" t="s">
        <v>883</v>
      </c>
    </row>
    <row r="10" spans="1:8" s="355" customFormat="1" thickTop="1" thickBot="1" x14ac:dyDescent="0.25">
      <c r="A10" s="319">
        <v>1</v>
      </c>
      <c r="B10" s="320">
        <v>2</v>
      </c>
      <c r="C10" s="320">
        <v>3</v>
      </c>
      <c r="D10" s="320">
        <v>5</v>
      </c>
      <c r="E10" s="321">
        <v>6</v>
      </c>
      <c r="F10" s="321">
        <v>7</v>
      </c>
      <c r="G10" s="322">
        <v>8</v>
      </c>
      <c r="H10" s="324" t="s">
        <v>762</v>
      </c>
    </row>
    <row r="11" spans="1:8" s="311" customFormat="1" ht="15.75" thickTop="1" x14ac:dyDescent="0.25">
      <c r="A11" s="334">
        <v>3636</v>
      </c>
      <c r="B11" s="335">
        <v>5011</v>
      </c>
      <c r="C11" s="402">
        <v>6500801</v>
      </c>
      <c r="D11" s="387" t="s">
        <v>206</v>
      </c>
      <c r="E11" s="405"/>
      <c r="F11" s="405">
        <v>190</v>
      </c>
      <c r="G11" s="406">
        <v>164</v>
      </c>
      <c r="H11" s="427">
        <f>G11/F11*100</f>
        <v>86.31578947368422</v>
      </c>
    </row>
    <row r="12" spans="1:8" ht="15" x14ac:dyDescent="0.2">
      <c r="A12" s="347">
        <v>3636</v>
      </c>
      <c r="B12" s="345">
        <v>5019</v>
      </c>
      <c r="C12" s="392">
        <v>6500801</v>
      </c>
      <c r="D12" s="386" t="s">
        <v>1229</v>
      </c>
      <c r="E12" s="403"/>
      <c r="F12" s="403">
        <v>790</v>
      </c>
      <c r="G12" s="404">
        <v>749</v>
      </c>
      <c r="H12" s="407">
        <f t="shared" ref="H12:H23" si="0">G12/F12*100</f>
        <v>94.810126582278471</v>
      </c>
    </row>
    <row r="13" spans="1:8" ht="15" x14ac:dyDescent="0.2">
      <c r="A13" s="347">
        <v>3636</v>
      </c>
      <c r="B13" s="345">
        <v>5021</v>
      </c>
      <c r="C13" s="392">
        <v>6500801</v>
      </c>
      <c r="D13" s="386" t="s">
        <v>389</v>
      </c>
      <c r="E13" s="403"/>
      <c r="F13" s="403">
        <v>400</v>
      </c>
      <c r="G13" s="404">
        <v>367</v>
      </c>
      <c r="H13" s="407">
        <f t="shared" si="0"/>
        <v>91.75</v>
      </c>
    </row>
    <row r="14" spans="1:8" ht="30" x14ac:dyDescent="0.2">
      <c r="A14" s="347">
        <v>3636</v>
      </c>
      <c r="B14" s="345">
        <v>5031</v>
      </c>
      <c r="C14" s="392">
        <v>6500801</v>
      </c>
      <c r="D14" s="386" t="s">
        <v>1176</v>
      </c>
      <c r="E14" s="403"/>
      <c r="F14" s="403">
        <v>113</v>
      </c>
      <c r="G14" s="404">
        <v>43</v>
      </c>
      <c r="H14" s="407">
        <f t="shared" si="0"/>
        <v>38.053097345132741</v>
      </c>
    </row>
    <row r="15" spans="1:8" ht="30" x14ac:dyDescent="0.2">
      <c r="A15" s="347">
        <v>3636</v>
      </c>
      <c r="B15" s="345">
        <v>5032</v>
      </c>
      <c r="C15" s="392">
        <v>6500801</v>
      </c>
      <c r="D15" s="386" t="s">
        <v>1177</v>
      </c>
      <c r="E15" s="403"/>
      <c r="F15" s="403">
        <v>44</v>
      </c>
      <c r="G15" s="404">
        <v>15</v>
      </c>
      <c r="H15" s="407">
        <f t="shared" si="0"/>
        <v>34.090909090909086</v>
      </c>
    </row>
    <row r="16" spans="1:8" ht="30" x14ac:dyDescent="0.2">
      <c r="A16" s="347">
        <v>3636</v>
      </c>
      <c r="B16" s="345">
        <v>5039</v>
      </c>
      <c r="C16" s="392">
        <v>6500801</v>
      </c>
      <c r="D16" s="386" t="s">
        <v>1168</v>
      </c>
      <c r="E16" s="403"/>
      <c r="F16" s="403">
        <v>238</v>
      </c>
      <c r="G16" s="404">
        <v>0</v>
      </c>
      <c r="H16" s="407">
        <f t="shared" si="0"/>
        <v>0</v>
      </c>
    </row>
    <row r="17" spans="1:8" ht="15" x14ac:dyDescent="0.2">
      <c r="A17" s="347">
        <v>3636</v>
      </c>
      <c r="B17" s="345">
        <v>5139</v>
      </c>
      <c r="C17" s="392">
        <v>6500800</v>
      </c>
      <c r="D17" s="386" t="s">
        <v>765</v>
      </c>
      <c r="E17" s="403"/>
      <c r="F17" s="403">
        <v>30</v>
      </c>
      <c r="G17" s="404">
        <v>19</v>
      </c>
      <c r="H17" s="407">
        <f t="shared" si="0"/>
        <v>63.333333333333329</v>
      </c>
    </row>
    <row r="18" spans="1:8" ht="15" x14ac:dyDescent="0.2">
      <c r="A18" s="347">
        <v>3636</v>
      </c>
      <c r="B18" s="345">
        <v>5163</v>
      </c>
      <c r="C18" s="392">
        <v>6500800</v>
      </c>
      <c r="D18" s="386" t="s">
        <v>892</v>
      </c>
      <c r="E18" s="403"/>
      <c r="F18" s="403">
        <v>1</v>
      </c>
      <c r="G18" s="404">
        <v>1</v>
      </c>
      <c r="H18" s="407">
        <f t="shared" si="0"/>
        <v>100</v>
      </c>
    </row>
    <row r="19" spans="1:8" ht="15" x14ac:dyDescent="0.2">
      <c r="A19" s="347">
        <v>3636</v>
      </c>
      <c r="B19" s="345">
        <v>5164</v>
      </c>
      <c r="C19" s="392">
        <v>6500801</v>
      </c>
      <c r="D19" s="386" t="s">
        <v>170</v>
      </c>
      <c r="E19" s="403"/>
      <c r="F19" s="403">
        <v>25</v>
      </c>
      <c r="G19" s="404">
        <v>24</v>
      </c>
      <c r="H19" s="407">
        <f t="shared" si="0"/>
        <v>96</v>
      </c>
    </row>
    <row r="20" spans="1:8" ht="15" x14ac:dyDescent="0.2">
      <c r="A20" s="347">
        <v>3636</v>
      </c>
      <c r="B20" s="345">
        <v>5169</v>
      </c>
      <c r="C20" s="392">
        <v>6500801</v>
      </c>
      <c r="D20" s="386" t="s">
        <v>852</v>
      </c>
      <c r="E20" s="403"/>
      <c r="F20" s="403">
        <v>1403</v>
      </c>
      <c r="G20" s="404">
        <v>1170</v>
      </c>
      <c r="H20" s="407">
        <f t="shared" si="0"/>
        <v>83.392729864575912</v>
      </c>
    </row>
    <row r="21" spans="1:8" ht="15" x14ac:dyDescent="0.2">
      <c r="A21" s="347">
        <v>3636</v>
      </c>
      <c r="B21" s="345">
        <v>5169</v>
      </c>
      <c r="C21" s="392">
        <v>6500802</v>
      </c>
      <c r="D21" s="386" t="s">
        <v>852</v>
      </c>
      <c r="E21" s="403"/>
      <c r="F21" s="403">
        <v>453</v>
      </c>
      <c r="G21" s="404">
        <v>453</v>
      </c>
      <c r="H21" s="407">
        <f t="shared" si="0"/>
        <v>100</v>
      </c>
    </row>
    <row r="22" spans="1:8" ht="15" x14ac:dyDescent="0.2">
      <c r="A22" s="347">
        <v>3636</v>
      </c>
      <c r="B22" s="345">
        <v>5173</v>
      </c>
      <c r="C22" s="392">
        <v>6500800</v>
      </c>
      <c r="D22" s="386" t="s">
        <v>1152</v>
      </c>
      <c r="E22" s="403"/>
      <c r="F22" s="403">
        <v>3</v>
      </c>
      <c r="G22" s="404">
        <v>0</v>
      </c>
      <c r="H22" s="407">
        <f t="shared" si="0"/>
        <v>0</v>
      </c>
    </row>
    <row r="23" spans="1:8" ht="15" x14ac:dyDescent="0.2">
      <c r="A23" s="347">
        <v>3636</v>
      </c>
      <c r="B23" s="345">
        <v>5175</v>
      </c>
      <c r="C23" s="392">
        <v>6500800</v>
      </c>
      <c r="D23" s="386" t="s">
        <v>669</v>
      </c>
      <c r="E23" s="403"/>
      <c r="F23" s="403">
        <v>30</v>
      </c>
      <c r="G23" s="404">
        <v>22</v>
      </c>
      <c r="H23" s="407">
        <f t="shared" si="0"/>
        <v>73.333333333333329</v>
      </c>
    </row>
    <row r="24" spans="1:8" s="348" customFormat="1" ht="15.75" thickBot="1" x14ac:dyDescent="0.25">
      <c r="A24" s="347">
        <v>6330</v>
      </c>
      <c r="B24" s="345">
        <v>5345</v>
      </c>
      <c r="C24" s="345"/>
      <c r="D24" s="386" t="s">
        <v>767</v>
      </c>
      <c r="E24" s="403"/>
      <c r="F24" s="403"/>
      <c r="G24" s="404">
        <v>3602</v>
      </c>
      <c r="H24" s="408"/>
    </row>
    <row r="25" spans="1:8" s="69" customFormat="1" ht="16.5" thickTop="1" thickBot="1" x14ac:dyDescent="0.3">
      <c r="A25" s="2762" t="s">
        <v>763</v>
      </c>
      <c r="B25" s="2763"/>
      <c r="C25" s="2763"/>
      <c r="D25" s="2763"/>
      <c r="E25" s="336">
        <f>SUM(E11:E24)</f>
        <v>0</v>
      </c>
      <c r="F25" s="336">
        <f>SUM(F11:F24)</f>
        <v>3720</v>
      </c>
      <c r="G25" s="393">
        <f>SUM(G11:G24)</f>
        <v>6629</v>
      </c>
      <c r="H25" s="354">
        <f>G25/F25*100</f>
        <v>178.19892473118279</v>
      </c>
    </row>
    <row r="26" spans="1:8" s="340" customFormat="1" ht="15.75" thickTop="1" x14ac:dyDescent="0.25">
      <c r="A26" s="337" t="s">
        <v>764</v>
      </c>
      <c r="B26" s="338"/>
      <c r="C26" s="338"/>
      <c r="D26" s="339"/>
      <c r="E26" s="384"/>
      <c r="F26" s="384"/>
      <c r="G26" s="384">
        <f>SUM(G24)</f>
        <v>3602</v>
      </c>
      <c r="H26" s="373"/>
    </row>
    <row r="27" spans="1:8" s="340" customFormat="1" ht="15.75" thickBot="1" x14ac:dyDescent="0.3">
      <c r="A27" s="341" t="s">
        <v>769</v>
      </c>
      <c r="B27" s="342"/>
      <c r="C27" s="342"/>
      <c r="D27" s="343"/>
      <c r="E27" s="385">
        <f>E25-E26</f>
        <v>0</v>
      </c>
      <c r="F27" s="385">
        <f>F25-F26</f>
        <v>3720</v>
      </c>
      <c r="G27" s="385">
        <f>G25-G26</f>
        <v>3027</v>
      </c>
      <c r="H27" s="374">
        <f>G27/F27*100</f>
        <v>81.370967741935488</v>
      </c>
    </row>
    <row r="28" spans="1:8" s="340" customFormat="1" ht="15.75" thickTop="1" x14ac:dyDescent="0.25">
      <c r="A28" s="338"/>
      <c r="B28" s="338"/>
      <c r="C28" s="338"/>
      <c r="D28" s="338"/>
      <c r="E28" s="351"/>
      <c r="F28" s="351"/>
      <c r="G28" s="351"/>
      <c r="H28" s="346"/>
    </row>
    <row r="29" spans="1:8" s="398" customFormat="1" ht="16.5" x14ac:dyDescent="0.25">
      <c r="A29" s="394" t="s">
        <v>465</v>
      </c>
      <c r="B29" s="395"/>
      <c r="C29" s="396"/>
      <c r="D29" s="397"/>
      <c r="E29" s="100">
        <f>SUM(E30:E32)</f>
        <v>0</v>
      </c>
      <c r="F29" s="100">
        <f>F30+F31+F32+F33</f>
        <v>3720</v>
      </c>
      <c r="G29" s="100">
        <f>G30+G31+G32+G33</f>
        <v>6629</v>
      </c>
      <c r="H29" s="428">
        <f>G29/F29*100</f>
        <v>178.19892473118279</v>
      </c>
    </row>
    <row r="30" spans="1:8" s="66" customFormat="1" ht="15" x14ac:dyDescent="0.2">
      <c r="A30" s="260" t="s">
        <v>263</v>
      </c>
      <c r="B30" s="102"/>
      <c r="C30" s="171"/>
      <c r="D30" s="104"/>
      <c r="E30" s="262">
        <f>SUM(E11:E23)</f>
        <v>0</v>
      </c>
      <c r="F30" s="262">
        <f>SUM(F11:F23)</f>
        <v>3720</v>
      </c>
      <c r="G30" s="262">
        <f>SUM(G11:G23)</f>
        <v>3027</v>
      </c>
      <c r="H30" s="429">
        <f>G30/F30*100</f>
        <v>81.370967741935488</v>
      </c>
    </row>
    <row r="31" spans="1:8" s="66" customFormat="1" ht="15" x14ac:dyDescent="0.2">
      <c r="A31" s="260" t="s">
        <v>264</v>
      </c>
      <c r="B31" s="101"/>
      <c r="C31" s="171"/>
      <c r="D31" s="106"/>
      <c r="E31" s="262">
        <v>0</v>
      </c>
      <c r="F31" s="262">
        <v>0</v>
      </c>
      <c r="G31" s="262">
        <v>0</v>
      </c>
      <c r="H31" s="302">
        <v>0</v>
      </c>
    </row>
    <row r="32" spans="1:8" s="66" customFormat="1" ht="15" x14ac:dyDescent="0.2">
      <c r="A32" s="260" t="s">
        <v>466</v>
      </c>
      <c r="B32" s="101"/>
      <c r="C32" s="171"/>
      <c r="D32" s="106"/>
      <c r="E32" s="262">
        <f>SUM(E24)</f>
        <v>0</v>
      </c>
      <c r="F32" s="262">
        <f>SUM(F24)</f>
        <v>0</v>
      </c>
      <c r="G32" s="262">
        <f>SUM(G24)</f>
        <v>3602</v>
      </c>
      <c r="H32" s="302">
        <v>0</v>
      </c>
    </row>
    <row r="33" spans="1:8" s="66" customFormat="1" ht="15" x14ac:dyDescent="0.2">
      <c r="A33" s="260"/>
      <c r="B33" s="101"/>
      <c r="C33" s="171"/>
      <c r="D33" s="106"/>
      <c r="E33" s="262"/>
      <c r="F33" s="262"/>
      <c r="G33" s="262"/>
      <c r="H33" s="303"/>
    </row>
    <row r="34" spans="1:8" s="58" customFormat="1" ht="52.5" customHeight="1" thickBot="1" x14ac:dyDescent="0.4">
      <c r="A34" s="2657" t="s">
        <v>1220</v>
      </c>
      <c r="B34" s="2731"/>
      <c r="C34" s="2731"/>
      <c r="D34" s="2731"/>
      <c r="E34" s="44">
        <f>SUM(E29)</f>
        <v>0</v>
      </c>
      <c r="F34" s="44">
        <f>SUM(F29)</f>
        <v>3720</v>
      </c>
      <c r="G34" s="44">
        <f>SUM(G29)</f>
        <v>6629</v>
      </c>
      <c r="H34" s="369">
        <f>(G34/F34)*100</f>
        <v>178.19892473118279</v>
      </c>
    </row>
    <row r="35" spans="1:8" ht="13.5" thickTop="1" x14ac:dyDescent="0.2"/>
  </sheetData>
  <mergeCells count="2">
    <mergeCell ref="A34:D34"/>
    <mergeCell ref="A25:D25"/>
  </mergeCells>
  <phoneticPr fontId="34" type="noConversion"/>
  <pageMargins left="0.78740157480314965" right="0.78740157480314965" top="0.98425196850393704" bottom="0.98425196850393704" header="0.51181102362204722" footer="0.51181102362204722"/>
  <pageSetup paperSize="9" scale="70" firstPageNumber="136" orientation="portrait" useFirstPageNumber="1" r:id="rId1"/>
  <headerFooter alignWithMargins="0">
    <oddFooter xml:space="preserve">&amp;L&amp;"Arial,Kurzíva"Zastupitelstvo Olomouckého kraje 21.4.2008
5. - Rozpočet Olomouckého kraje 2007- závěrečný účet
Příloha č. 3:Plnění rozpočtu výdajů Olomouckého kraje k 31.12.2007
&amp;R&amp;"Arial,Kurzíva"Strana &amp;P (celkem 414)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 enableFormatConditionsCalculation="0">
    <tabColor rgb="FFCCFFFF"/>
  </sheetPr>
  <dimension ref="A1:K46"/>
  <sheetViews>
    <sheetView showGridLines="0" view="pageBreakPreview" topLeftCell="A13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643" customWidth="1"/>
    <col min="2" max="2" width="4.7109375" style="532" customWidth="1"/>
    <col min="3" max="3" width="8.5703125" style="532" customWidth="1"/>
    <col min="4" max="4" width="47.28515625" style="532" customWidth="1"/>
    <col min="5" max="7" width="13.5703125" style="493" customWidth="1"/>
    <col min="8" max="8" width="7.42578125" style="664" customWidth="1"/>
    <col min="9" max="16384" width="9.140625" style="532"/>
  </cols>
  <sheetData>
    <row r="1" spans="1:9" ht="18.75" thickBot="1" x14ac:dyDescent="0.3">
      <c r="A1" s="463" t="s">
        <v>1251</v>
      </c>
      <c r="B1" s="464"/>
      <c r="C1" s="464"/>
      <c r="D1" s="475"/>
      <c r="E1" s="492"/>
      <c r="F1" s="467" t="s">
        <v>166</v>
      </c>
      <c r="I1" s="17"/>
    </row>
    <row r="2" spans="1:9" ht="12.75" customHeight="1" x14ac:dyDescent="0.25">
      <c r="A2" s="6"/>
      <c r="B2" s="28"/>
      <c r="C2" s="28"/>
      <c r="D2" s="10"/>
      <c r="E2" s="137"/>
      <c r="F2" s="137"/>
      <c r="G2" s="16"/>
      <c r="H2" s="194"/>
      <c r="I2" s="17"/>
    </row>
    <row r="3" spans="1:9" ht="12.75" customHeight="1" x14ac:dyDescent="0.25">
      <c r="A3" s="67" t="s">
        <v>367</v>
      </c>
      <c r="B3" s="28"/>
      <c r="C3" s="502" t="s">
        <v>342</v>
      </c>
      <c r="D3" s="627"/>
      <c r="E3" s="137"/>
      <c r="F3" s="16"/>
      <c r="G3" s="17"/>
      <c r="H3" s="194"/>
    </row>
    <row r="4" spans="1:9" ht="12.75" customHeight="1" x14ac:dyDescent="0.25">
      <c r="A4" s="6"/>
      <c r="B4" s="28"/>
      <c r="C4" s="502" t="s">
        <v>343</v>
      </c>
      <c r="D4" s="667"/>
      <c r="E4" s="138"/>
      <c r="F4" s="16"/>
      <c r="G4" s="17"/>
      <c r="H4" s="194"/>
    </row>
    <row r="5" spans="1:9" ht="12.75" customHeight="1" x14ac:dyDescent="0.25">
      <c r="A5" s="6"/>
      <c r="B5" s="28"/>
      <c r="C5" s="502"/>
      <c r="D5" s="667"/>
      <c r="E5" s="138"/>
      <c r="F5" s="16"/>
      <c r="G5" s="17"/>
      <c r="H5" s="194"/>
    </row>
    <row r="6" spans="1:9" ht="18" x14ac:dyDescent="0.25">
      <c r="A6" s="33" t="s">
        <v>884</v>
      </c>
      <c r="B6" s="28"/>
      <c r="C6" s="28"/>
      <c r="D6" s="10"/>
      <c r="E6" s="137"/>
      <c r="F6" s="137"/>
      <c r="G6" s="16"/>
      <c r="H6" s="194"/>
      <c r="I6" s="17"/>
    </row>
    <row r="7" spans="1:9" ht="13.5" thickBot="1" x14ac:dyDescent="0.25">
      <c r="A7" s="629"/>
      <c r="B7" s="629"/>
      <c r="C7" s="629"/>
      <c r="D7" s="630"/>
      <c r="G7" s="940"/>
      <c r="H7" s="664" t="s">
        <v>161</v>
      </c>
    </row>
    <row r="8" spans="1:9" s="107" customFormat="1" ht="20.25" customHeight="1" thickTop="1" thickBot="1" x14ac:dyDescent="0.25">
      <c r="A8" s="631" t="s">
        <v>162</v>
      </c>
      <c r="B8" s="632" t="s">
        <v>163</v>
      </c>
      <c r="C8" s="634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635" t="s">
        <v>883</v>
      </c>
    </row>
    <row r="9" spans="1:9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636" t="s">
        <v>61</v>
      </c>
      <c r="I9" s="107"/>
    </row>
    <row r="10" spans="1:9" s="1056" customFormat="1" ht="15.75" thickTop="1" x14ac:dyDescent="0.25">
      <c r="A10" s="222">
        <v>6172</v>
      </c>
      <c r="B10" s="1060">
        <v>5163</v>
      </c>
      <c r="C10" s="1333"/>
      <c r="D10" s="1117" t="s">
        <v>892</v>
      </c>
      <c r="E10" s="1072">
        <v>32000</v>
      </c>
      <c r="F10" s="1322">
        <v>31821</v>
      </c>
      <c r="G10" s="370">
        <v>31783</v>
      </c>
      <c r="H10" s="1329">
        <f t="shared" ref="H10:H19" si="0">(G10/F10)*100</f>
        <v>99.880582005593794</v>
      </c>
    </row>
    <row r="11" spans="1:9" s="1056" customFormat="1" ht="15" x14ac:dyDescent="0.25">
      <c r="A11" s="50">
        <v>6172</v>
      </c>
      <c r="B11" s="19">
        <v>5164</v>
      </c>
      <c r="C11" s="1104"/>
      <c r="D11" s="1057" t="s">
        <v>170</v>
      </c>
      <c r="E11" s="48">
        <v>10</v>
      </c>
      <c r="F11" s="168">
        <v>20</v>
      </c>
      <c r="G11" s="315">
        <v>17</v>
      </c>
      <c r="H11" s="1062">
        <f>(G11/F11)*100</f>
        <v>85</v>
      </c>
    </row>
    <row r="12" spans="1:9" s="1056" customFormat="1" ht="15" x14ac:dyDescent="0.25">
      <c r="A12" s="50">
        <v>6172</v>
      </c>
      <c r="B12" s="19">
        <v>5166</v>
      </c>
      <c r="C12" s="1104"/>
      <c r="D12" s="1057" t="s">
        <v>609</v>
      </c>
      <c r="E12" s="48">
        <v>1750</v>
      </c>
      <c r="F12" s="446">
        <f>F13+F14</f>
        <v>1490</v>
      </c>
      <c r="G12" s="446">
        <f>G13+G14</f>
        <v>1063</v>
      </c>
      <c r="H12" s="1062">
        <f>(G12/F12)*100</f>
        <v>71.34228187919463</v>
      </c>
    </row>
    <row r="13" spans="1:9" s="1056" customFormat="1" ht="14.25" x14ac:dyDescent="0.2">
      <c r="A13" s="50"/>
      <c r="B13" s="19"/>
      <c r="C13" s="1069" t="s">
        <v>753</v>
      </c>
      <c r="D13" s="1063" t="s">
        <v>1259</v>
      </c>
      <c r="E13" s="55">
        <v>1750</v>
      </c>
      <c r="F13" s="314">
        <v>1480</v>
      </c>
      <c r="G13" s="316">
        <v>1059</v>
      </c>
      <c r="H13" s="1065">
        <f t="shared" si="0"/>
        <v>71.554054054054049</v>
      </c>
    </row>
    <row r="14" spans="1:9" s="1056" customFormat="1" ht="15" x14ac:dyDescent="0.25">
      <c r="A14" s="50"/>
      <c r="B14" s="19"/>
      <c r="C14" s="1069" t="s">
        <v>183</v>
      </c>
      <c r="D14" s="1063" t="s">
        <v>667</v>
      </c>
      <c r="E14" s="48"/>
      <c r="F14" s="314">
        <v>10</v>
      </c>
      <c r="G14" s="316">
        <v>4</v>
      </c>
      <c r="H14" s="1065">
        <f t="shared" si="0"/>
        <v>40</v>
      </c>
    </row>
    <row r="15" spans="1:9" s="1056" customFormat="1" ht="15" x14ac:dyDescent="0.25">
      <c r="A15" s="50">
        <v>6172</v>
      </c>
      <c r="B15" s="19">
        <v>5169</v>
      </c>
      <c r="C15" s="1104"/>
      <c r="D15" s="1057" t="s">
        <v>852</v>
      </c>
      <c r="E15" s="48">
        <v>400</v>
      </c>
      <c r="F15" s="446">
        <f>F16+F17</f>
        <v>309</v>
      </c>
      <c r="G15" s="446">
        <f>G16+G17</f>
        <v>19</v>
      </c>
      <c r="H15" s="1062">
        <f t="shared" si="0"/>
        <v>6.1488673139158578</v>
      </c>
    </row>
    <row r="16" spans="1:9" s="1056" customFormat="1" ht="14.25" x14ac:dyDescent="0.2">
      <c r="A16" s="50"/>
      <c r="B16" s="19"/>
      <c r="C16" s="1069" t="s">
        <v>753</v>
      </c>
      <c r="D16" s="1063" t="s">
        <v>1259</v>
      </c>
      <c r="E16" s="55">
        <v>400</v>
      </c>
      <c r="F16" s="314">
        <v>280</v>
      </c>
      <c r="G16" s="316">
        <v>4</v>
      </c>
      <c r="H16" s="1065">
        <f t="shared" si="0"/>
        <v>1.4285714285714286</v>
      </c>
    </row>
    <row r="17" spans="1:10" s="1056" customFormat="1" ht="15" x14ac:dyDescent="0.25">
      <c r="A17" s="50"/>
      <c r="B17" s="19"/>
      <c r="C17" s="1069" t="s">
        <v>183</v>
      </c>
      <c r="D17" s="1063" t="s">
        <v>667</v>
      </c>
      <c r="E17" s="48"/>
      <c r="F17" s="314">
        <v>29</v>
      </c>
      <c r="G17" s="316">
        <v>15</v>
      </c>
      <c r="H17" s="1065">
        <f t="shared" si="0"/>
        <v>51.724137931034484</v>
      </c>
    </row>
    <row r="18" spans="1:10" s="1056" customFormat="1" ht="15" x14ac:dyDescent="0.25">
      <c r="A18" s="50">
        <v>6172</v>
      </c>
      <c r="B18" s="19">
        <v>5192</v>
      </c>
      <c r="C18" s="1069"/>
      <c r="D18" s="1057" t="s">
        <v>1228</v>
      </c>
      <c r="E18" s="48">
        <v>1</v>
      </c>
      <c r="F18" s="313">
        <v>1</v>
      </c>
      <c r="G18" s="315">
        <v>0</v>
      </c>
      <c r="H18" s="1062">
        <v>0</v>
      </c>
    </row>
    <row r="19" spans="1:10" s="1056" customFormat="1" ht="15" x14ac:dyDescent="0.25">
      <c r="A19" s="50">
        <v>6172</v>
      </c>
      <c r="B19" s="19">
        <v>5362</v>
      </c>
      <c r="C19" s="1102"/>
      <c r="D19" s="1057" t="s">
        <v>752</v>
      </c>
      <c r="E19" s="48">
        <v>40</v>
      </c>
      <c r="F19" s="168">
        <v>5</v>
      </c>
      <c r="G19" s="315">
        <v>2</v>
      </c>
      <c r="H19" s="1062">
        <f t="shared" si="0"/>
        <v>40</v>
      </c>
    </row>
    <row r="20" spans="1:10" s="1056" customFormat="1" ht="15.75" thickBot="1" x14ac:dyDescent="0.3">
      <c r="A20" s="1076">
        <v>6172</v>
      </c>
      <c r="B20" s="1082">
        <v>5499</v>
      </c>
      <c r="C20" s="1106"/>
      <c r="D20" s="1105" t="s">
        <v>375</v>
      </c>
      <c r="E20" s="1083">
        <v>2</v>
      </c>
      <c r="F20" s="443">
        <v>2</v>
      </c>
      <c r="G20" s="442">
        <v>0</v>
      </c>
      <c r="H20" s="1332">
        <f>(G20/F20)*100</f>
        <v>0</v>
      </c>
    </row>
    <row r="21" spans="1:10" s="360" customFormat="1" ht="35.25" customHeight="1" thickTop="1" thickBot="1" x14ac:dyDescent="0.3">
      <c r="A21" s="637" t="s">
        <v>245</v>
      </c>
      <c r="B21" s="638"/>
      <c r="C21" s="639"/>
      <c r="D21" s="640"/>
      <c r="E21" s="641">
        <f>E10+E11+E12+E15+E18+E19+E20</f>
        <v>34203</v>
      </c>
      <c r="F21" s="641">
        <f>F10+F11+F12+F15+F19+F20+F18</f>
        <v>33648</v>
      </c>
      <c r="G21" s="641">
        <f>G10+G11+G12+G15+G19+G20+G18</f>
        <v>32884</v>
      </c>
      <c r="H21" s="642">
        <f>(G21/F21)*100</f>
        <v>97.729434141702328</v>
      </c>
    </row>
    <row r="22" spans="1:10" s="1028" customFormat="1" ht="12.75" customHeight="1" thickTop="1" x14ac:dyDescent="0.25">
      <c r="B22" s="1029"/>
      <c r="C22" s="1030"/>
      <c r="D22" s="1031"/>
      <c r="E22" s="1032"/>
      <c r="F22" s="1032"/>
      <c r="G22" s="1032"/>
      <c r="H22" s="1033"/>
    </row>
    <row r="23" spans="1:10" s="665" customFormat="1" ht="15.75" x14ac:dyDescent="0.25">
      <c r="A23" s="33"/>
      <c r="E23" s="667"/>
      <c r="F23" s="667"/>
      <c r="G23" s="667"/>
      <c r="H23" s="668"/>
    </row>
    <row r="24" spans="1:10" s="665" customFormat="1" ht="15.75" x14ac:dyDescent="0.25">
      <c r="A24" s="33"/>
      <c r="E24" s="667"/>
      <c r="F24" s="667"/>
      <c r="G24" s="667"/>
      <c r="H24" s="668"/>
    </row>
    <row r="25" spans="1:10" s="665" customFormat="1" ht="15.75" x14ac:dyDescent="0.25">
      <c r="A25" s="33"/>
      <c r="E25" s="667"/>
      <c r="F25" s="667"/>
      <c r="G25" s="667"/>
      <c r="H25" s="668"/>
    </row>
    <row r="26" spans="1:10" s="665" customFormat="1" ht="15.75" x14ac:dyDescent="0.25">
      <c r="A26" s="33"/>
      <c r="E26" s="667"/>
      <c r="F26" s="667"/>
      <c r="G26" s="667"/>
      <c r="H26" s="668"/>
    </row>
    <row r="27" spans="1:10" s="665" customFormat="1" ht="15.75" x14ac:dyDescent="0.25">
      <c r="A27" s="33" t="s">
        <v>853</v>
      </c>
      <c r="E27" s="667"/>
      <c r="F27" s="667"/>
      <c r="G27" s="667"/>
      <c r="H27" s="668"/>
    </row>
    <row r="28" spans="1:10" s="665" customFormat="1" ht="16.5" thickBot="1" x14ac:dyDescent="0.3">
      <c r="A28" s="33"/>
      <c r="E28" s="667"/>
      <c r="F28" s="667"/>
      <c r="G28" s="667"/>
      <c r="H28" s="668" t="s">
        <v>1227</v>
      </c>
    </row>
    <row r="29" spans="1:10" s="107" customFormat="1" ht="20.25" customHeight="1" thickTop="1" thickBot="1" x14ac:dyDescent="0.25">
      <c r="A29" s="631" t="s">
        <v>162</v>
      </c>
      <c r="B29" s="632" t="s">
        <v>163</v>
      </c>
      <c r="C29" s="634" t="s">
        <v>705</v>
      </c>
      <c r="D29" s="634" t="s">
        <v>164</v>
      </c>
      <c r="E29" s="634" t="s">
        <v>165</v>
      </c>
      <c r="F29" s="634" t="s">
        <v>881</v>
      </c>
      <c r="G29" s="634" t="s">
        <v>882</v>
      </c>
      <c r="H29" s="635" t="s">
        <v>883</v>
      </c>
    </row>
    <row r="30" spans="1:10" s="383" customFormat="1" ht="13.5" thickTop="1" thickBot="1" x14ac:dyDescent="0.25">
      <c r="A30" s="566">
        <v>1</v>
      </c>
      <c r="B30" s="567">
        <v>2</v>
      </c>
      <c r="C30" s="567">
        <v>3</v>
      </c>
      <c r="D30" s="567">
        <v>4</v>
      </c>
      <c r="E30" s="567">
        <v>5</v>
      </c>
      <c r="F30" s="541">
        <v>6</v>
      </c>
      <c r="G30" s="541">
        <v>7</v>
      </c>
      <c r="H30" s="636" t="s">
        <v>61</v>
      </c>
      <c r="I30" s="107"/>
    </row>
    <row r="31" spans="1:10" s="1056" customFormat="1" ht="16.5" thickTop="1" x14ac:dyDescent="0.25">
      <c r="A31" s="34">
        <v>6172</v>
      </c>
      <c r="B31" s="1088">
        <v>6130</v>
      </c>
      <c r="C31" s="1102"/>
      <c r="D31" s="1057" t="s">
        <v>856</v>
      </c>
      <c r="E31" s="48">
        <v>772</v>
      </c>
      <c r="F31" s="446">
        <f>F32+F33+F34+F35</f>
        <v>1654</v>
      </c>
      <c r="G31" s="446">
        <f>G32+G33+G34+G35</f>
        <v>1064</v>
      </c>
      <c r="H31" s="1062">
        <f t="shared" ref="H31:H36" si="1">(G31/F31)*100</f>
        <v>64.32889963724304</v>
      </c>
      <c r="J31" s="1097"/>
    </row>
    <row r="32" spans="1:10" s="1056" customFormat="1" ht="15" x14ac:dyDescent="0.2">
      <c r="A32" s="34"/>
      <c r="B32" s="1088"/>
      <c r="C32" s="1102" t="s">
        <v>753</v>
      </c>
      <c r="D32" s="1063" t="s">
        <v>668</v>
      </c>
      <c r="E32" s="55">
        <v>772</v>
      </c>
      <c r="F32" s="314">
        <v>654</v>
      </c>
      <c r="G32" s="316">
        <v>301</v>
      </c>
      <c r="H32" s="1065">
        <f t="shared" si="1"/>
        <v>46.024464831804281</v>
      </c>
      <c r="J32" s="1071"/>
    </row>
    <row r="33" spans="1:11" s="1056" customFormat="1" ht="15" x14ac:dyDescent="0.2">
      <c r="A33" s="34"/>
      <c r="B33" s="1088"/>
      <c r="C33" s="1069" t="s">
        <v>184</v>
      </c>
      <c r="D33" s="1063" t="s">
        <v>712</v>
      </c>
      <c r="E33" s="55"/>
      <c r="F33" s="314">
        <v>15</v>
      </c>
      <c r="G33" s="316">
        <v>8</v>
      </c>
      <c r="H33" s="1065">
        <f t="shared" si="1"/>
        <v>53.333333333333336</v>
      </c>
      <c r="J33" s="1071"/>
    </row>
    <row r="34" spans="1:11" s="1056" customFormat="1" ht="15" x14ac:dyDescent="0.2">
      <c r="A34" s="34"/>
      <c r="B34" s="1088"/>
      <c r="C34" s="1069" t="s">
        <v>183</v>
      </c>
      <c r="D34" s="1063" t="s">
        <v>667</v>
      </c>
      <c r="E34" s="55"/>
      <c r="F34" s="314">
        <v>804</v>
      </c>
      <c r="G34" s="316">
        <v>574</v>
      </c>
      <c r="H34" s="1065">
        <f t="shared" si="1"/>
        <v>71.393034825870643</v>
      </c>
      <c r="J34" s="1071"/>
    </row>
    <row r="35" spans="1:11" s="1056" customFormat="1" ht="15.75" thickBot="1" x14ac:dyDescent="0.25">
      <c r="A35" s="1095"/>
      <c r="B35" s="1092"/>
      <c r="C35" s="1081" t="s">
        <v>532</v>
      </c>
      <c r="D35" s="1277" t="s">
        <v>533</v>
      </c>
      <c r="E35" s="1099"/>
      <c r="F35" s="440">
        <v>181</v>
      </c>
      <c r="G35" s="441">
        <v>181</v>
      </c>
      <c r="H35" s="1331">
        <f t="shared" si="1"/>
        <v>100</v>
      </c>
      <c r="J35" s="1071"/>
    </row>
    <row r="36" spans="1:11" s="360" customFormat="1" ht="35.25" customHeight="1" thickTop="1" thickBot="1" x14ac:dyDescent="0.3">
      <c r="A36" s="637" t="s">
        <v>244</v>
      </c>
      <c r="B36" s="638"/>
      <c r="C36" s="639"/>
      <c r="D36" s="640"/>
      <c r="E36" s="641">
        <f>E31</f>
        <v>772</v>
      </c>
      <c r="F36" s="641">
        <f>F31</f>
        <v>1654</v>
      </c>
      <c r="G36" s="641">
        <f>G31</f>
        <v>1064</v>
      </c>
      <c r="H36" s="656">
        <f t="shared" si="1"/>
        <v>64.32889963724304</v>
      </c>
    </row>
    <row r="37" spans="1:11" ht="15.75" thickTop="1" x14ac:dyDescent="0.25">
      <c r="A37" s="746"/>
      <c r="B37" s="139"/>
      <c r="C37" s="139"/>
      <c r="D37" s="746"/>
      <c r="E37" s="181"/>
      <c r="F37" s="897"/>
      <c r="G37" s="181"/>
      <c r="H37" s="213"/>
    </row>
    <row r="38" spans="1:11" s="665" customFormat="1" ht="16.5" x14ac:dyDescent="0.25">
      <c r="A38" s="361" t="s">
        <v>482</v>
      </c>
      <c r="B38" s="362"/>
      <c r="C38" s="363"/>
      <c r="D38" s="363"/>
      <c r="E38" s="1034">
        <f>E39+E40+E41+E42</f>
        <v>34975</v>
      </c>
      <c r="F38" s="1034">
        <f>F39+F40+F41+F42</f>
        <v>35302</v>
      </c>
      <c r="G38" s="1034">
        <f>G39+G40+G41+G42</f>
        <v>33948</v>
      </c>
      <c r="H38" s="785">
        <f>(G38/F38)*100</f>
        <v>96.164523256472719</v>
      </c>
    </row>
    <row r="39" spans="1:11" ht="15" x14ac:dyDescent="0.2">
      <c r="A39" s="555" t="s">
        <v>263</v>
      </c>
      <c r="B39" s="585"/>
      <c r="C39" s="586"/>
      <c r="D39" s="586"/>
      <c r="E39" s="1035">
        <f>E21</f>
        <v>34203</v>
      </c>
      <c r="F39" s="1035">
        <f>F21-F41</f>
        <v>33648</v>
      </c>
      <c r="G39" s="1035">
        <f>G21-G41</f>
        <v>32884</v>
      </c>
      <c r="H39" s="786">
        <f>(G39/F39)*100</f>
        <v>97.729434141702328</v>
      </c>
    </row>
    <row r="40" spans="1:11" ht="15" x14ac:dyDescent="0.2">
      <c r="A40" s="555" t="s">
        <v>264</v>
      </c>
      <c r="B40" s="590"/>
      <c r="C40" s="586"/>
      <c r="D40" s="586"/>
      <c r="E40" s="936">
        <f>E36</f>
        <v>772</v>
      </c>
      <c r="F40" s="936">
        <f>F36-F42</f>
        <v>1473</v>
      </c>
      <c r="G40" s="936">
        <f>G36-G42</f>
        <v>883</v>
      </c>
      <c r="H40" s="786">
        <f>(G40/F40)*100</f>
        <v>59.945689069925322</v>
      </c>
    </row>
    <row r="41" spans="1:11" ht="15" x14ac:dyDescent="0.2">
      <c r="A41" s="555" t="s">
        <v>208</v>
      </c>
      <c r="B41" s="590"/>
      <c r="C41" s="586"/>
      <c r="D41" s="586"/>
      <c r="E41" s="935">
        <v>0</v>
      </c>
      <c r="F41" s="588">
        <v>0</v>
      </c>
      <c r="G41" s="588">
        <v>0</v>
      </c>
      <c r="H41" s="786">
        <v>0</v>
      </c>
    </row>
    <row r="42" spans="1:11" ht="15" x14ac:dyDescent="0.2">
      <c r="A42" s="555" t="s">
        <v>1147</v>
      </c>
      <c r="B42" s="590"/>
      <c r="C42" s="586"/>
      <c r="D42" s="586"/>
      <c r="E42" s="935">
        <v>0</v>
      </c>
      <c r="F42" s="592">
        <f>F35</f>
        <v>181</v>
      </c>
      <c r="G42" s="592">
        <f>G35</f>
        <v>181</v>
      </c>
      <c r="H42" s="786">
        <f>(G42/F42)*100</f>
        <v>100</v>
      </c>
    </row>
    <row r="43" spans="1:11" ht="15" x14ac:dyDescent="0.25">
      <c r="A43" s="746"/>
      <c r="B43" s="139"/>
      <c r="C43" s="139"/>
      <c r="D43" s="746"/>
      <c r="E43" s="181"/>
      <c r="F43" s="897"/>
      <c r="G43" s="181"/>
      <c r="H43" s="213"/>
      <c r="J43" s="493"/>
      <c r="K43" s="493"/>
    </row>
    <row r="45" spans="1:11" s="58" customFormat="1" ht="47.25" customHeight="1" thickBot="1" x14ac:dyDescent="0.4">
      <c r="A45" s="648" t="s">
        <v>1186</v>
      </c>
      <c r="B45" s="649"/>
      <c r="C45" s="650"/>
      <c r="D45" s="651"/>
      <c r="E45" s="593">
        <f>SUM(E21,E36)</f>
        <v>34975</v>
      </c>
      <c r="F45" s="593">
        <f>SUM(F21,F36)</f>
        <v>35302</v>
      </c>
      <c r="G45" s="593">
        <f>SUM(G21,G36)</f>
        <v>33948</v>
      </c>
      <c r="H45" s="745">
        <f>(G45/F45)*100</f>
        <v>96.164523256472719</v>
      </c>
    </row>
    <row r="46" spans="1:11" ht="13.5" thickTop="1" x14ac:dyDescent="0.2"/>
  </sheetData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4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U56"/>
  <sheetViews>
    <sheetView showGridLines="0" view="pageBreakPreview" topLeftCell="A10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411" customWidth="1"/>
    <col min="2" max="2" width="7" style="411" customWidth="1"/>
    <col min="3" max="3" width="9" style="411" customWidth="1"/>
    <col min="4" max="4" width="42.28515625" style="349" customWidth="1"/>
    <col min="5" max="5" width="15.140625" style="453" customWidth="1"/>
    <col min="6" max="6" width="14.85546875" style="453" customWidth="1"/>
    <col min="7" max="7" width="14" style="453" customWidth="1"/>
    <col min="8" max="8" width="9.140625" style="558" customWidth="1"/>
    <col min="9" max="9" width="12.7109375" style="349" bestFit="1" customWidth="1"/>
    <col min="10" max="16384" width="9.140625" style="349"/>
  </cols>
  <sheetData>
    <row r="1" spans="1:21" x14ac:dyDescent="0.2">
      <c r="A1" s="2764" t="s">
        <v>48</v>
      </c>
      <c r="B1" s="2765"/>
      <c r="C1" s="2765"/>
      <c r="D1" s="2765"/>
      <c r="E1" s="2765"/>
      <c r="F1" s="2765"/>
      <c r="G1" s="2765"/>
      <c r="H1" s="2766"/>
    </row>
    <row r="2" spans="1:21" ht="21.75" customHeight="1" thickBot="1" x14ac:dyDescent="0.25">
      <c r="A2" s="2767"/>
      <c r="B2" s="2767"/>
      <c r="C2" s="2767"/>
      <c r="D2" s="2767"/>
      <c r="E2" s="2767"/>
      <c r="F2" s="2767"/>
      <c r="G2" s="2767"/>
      <c r="H2" s="2750"/>
    </row>
    <row r="3" spans="1:21" ht="15.75" x14ac:dyDescent="0.25">
      <c r="G3" s="565" t="s">
        <v>1235</v>
      </c>
    </row>
    <row r="4" spans="1:21" s="532" customFormat="1" ht="12.75" customHeight="1" x14ac:dyDescent="0.25">
      <c r="A4" s="67" t="s">
        <v>367</v>
      </c>
      <c r="B4" s="28"/>
      <c r="C4" s="531" t="s">
        <v>567</v>
      </c>
      <c r="D4" s="16"/>
      <c r="E4" s="17"/>
      <c r="F4" s="16"/>
      <c r="H4" s="1455"/>
    </row>
    <row r="5" spans="1:21" s="532" customFormat="1" ht="12.75" customHeight="1" x14ac:dyDescent="0.25">
      <c r="A5" s="6"/>
      <c r="B5" s="28"/>
      <c r="C5" s="531" t="s">
        <v>568</v>
      </c>
      <c r="D5" s="16"/>
      <c r="E5" s="17"/>
      <c r="F5" s="16"/>
      <c r="H5" s="1455"/>
    </row>
    <row r="6" spans="1:21" s="532" customFormat="1" ht="12.75" customHeight="1" x14ac:dyDescent="0.25">
      <c r="A6" s="6"/>
      <c r="B6" s="28"/>
      <c r="C6" s="531"/>
      <c r="D6" s="16"/>
      <c r="E6" s="17"/>
      <c r="F6" s="16"/>
      <c r="H6" s="1455"/>
    </row>
    <row r="7" spans="1:21" s="532" customFormat="1" ht="12.75" customHeight="1" x14ac:dyDescent="0.25">
      <c r="A7" s="6"/>
      <c r="B7" s="28"/>
      <c r="C7" s="531"/>
      <c r="D7" s="16"/>
      <c r="E7" s="17"/>
      <c r="F7" s="16"/>
      <c r="H7" s="1455"/>
    </row>
    <row r="8" spans="1:21" s="532" customFormat="1" ht="12.75" customHeight="1" x14ac:dyDescent="0.25">
      <c r="A8" s="6"/>
      <c r="B8" s="28"/>
      <c r="C8" s="531"/>
      <c r="D8" s="16"/>
      <c r="E8" s="17"/>
      <c r="F8" s="16"/>
      <c r="H8" s="1455"/>
    </row>
    <row r="9" spans="1:21" s="1581" customFormat="1" ht="18" x14ac:dyDescent="0.25">
      <c r="A9" s="1659" t="s">
        <v>884</v>
      </c>
      <c r="B9" s="1658"/>
      <c r="C9" s="1658"/>
      <c r="D9" s="1701"/>
      <c r="E9" s="1655"/>
      <c r="F9" s="1655"/>
      <c r="G9" s="2395"/>
      <c r="H9" s="1653"/>
      <c r="I9" s="1654"/>
    </row>
    <row r="10" spans="1:21" s="1581" customFormat="1" ht="13.5" thickBot="1" x14ac:dyDescent="0.25">
      <c r="A10" s="1652"/>
      <c r="B10" s="1652"/>
      <c r="C10" s="1652"/>
      <c r="D10" s="1677"/>
      <c r="E10" s="1586"/>
      <c r="F10" s="1586"/>
      <c r="G10" s="1650"/>
      <c r="H10" s="1585" t="s">
        <v>161</v>
      </c>
    </row>
    <row r="11" spans="1:21" s="1644" customFormat="1" ht="20.25" customHeight="1" thickTop="1" thickBot="1" x14ac:dyDescent="0.25">
      <c r="A11" s="1649" t="s">
        <v>162</v>
      </c>
      <c r="B11" s="1648" t="s">
        <v>163</v>
      </c>
      <c r="C11" s="1676" t="s">
        <v>705</v>
      </c>
      <c r="D11" s="1676" t="s">
        <v>164</v>
      </c>
      <c r="E11" s="1676" t="s">
        <v>165</v>
      </c>
      <c r="F11" s="1676" t="s">
        <v>881</v>
      </c>
      <c r="G11" s="1676" t="s">
        <v>882</v>
      </c>
      <c r="H11" s="1645" t="s">
        <v>883</v>
      </c>
    </row>
    <row r="12" spans="1:21" s="1638" customFormat="1" ht="13.5" thickTop="1" thickBot="1" x14ac:dyDescent="0.25">
      <c r="A12" s="1643">
        <v>1</v>
      </c>
      <c r="B12" s="1642">
        <v>2</v>
      </c>
      <c r="C12" s="1642">
        <v>3</v>
      </c>
      <c r="D12" s="1642">
        <v>4</v>
      </c>
      <c r="E12" s="1642">
        <v>5</v>
      </c>
      <c r="F12" s="1641">
        <v>6</v>
      </c>
      <c r="G12" s="1641">
        <v>7</v>
      </c>
      <c r="H12" s="1640" t="s">
        <v>61</v>
      </c>
      <c r="I12" s="1639"/>
    </row>
    <row r="13" spans="1:21" s="312" customFormat="1" ht="14.25" customHeight="1" thickTop="1" thickBot="1" x14ac:dyDescent="0.3">
      <c r="A13" s="2128">
        <v>2399</v>
      </c>
      <c r="B13" s="2125">
        <v>5909</v>
      </c>
      <c r="C13" s="1140"/>
      <c r="D13" s="1136" t="s">
        <v>727</v>
      </c>
      <c r="E13" s="1133">
        <v>20000</v>
      </c>
      <c r="F13" s="1131">
        <v>31100</v>
      </c>
      <c r="G13" s="1131">
        <v>30063</v>
      </c>
      <c r="H13" s="1426">
        <v>66.010868471369633</v>
      </c>
      <c r="I13" s="1128"/>
      <c r="J13" s="1128"/>
      <c r="K13" s="1128"/>
      <c r="L13" s="1128"/>
      <c r="M13" s="1128"/>
      <c r="N13" s="1128"/>
      <c r="O13" s="1128"/>
      <c r="P13" s="1128"/>
      <c r="Q13" s="1128"/>
      <c r="R13" s="1128"/>
      <c r="S13" s="1128"/>
      <c r="T13" s="1128"/>
      <c r="U13" s="1128"/>
    </row>
    <row r="14" spans="1:21" ht="16.5" thickTop="1" thickBot="1" x14ac:dyDescent="0.3">
      <c r="A14" s="2743" t="s">
        <v>763</v>
      </c>
      <c r="B14" s="2744"/>
      <c r="C14" s="2744"/>
      <c r="D14" s="2744"/>
      <c r="E14" s="570">
        <f>E13</f>
        <v>20000</v>
      </c>
      <c r="F14" s="570">
        <f>F13</f>
        <v>31100</v>
      </c>
      <c r="G14" s="570">
        <f>G13</f>
        <v>30063</v>
      </c>
      <c r="H14" s="571">
        <f>G14/F14*100</f>
        <v>96.665594855305471</v>
      </c>
      <c r="I14" s="453"/>
    </row>
    <row r="15" spans="1:21" s="532" customFormat="1" ht="12.75" customHeight="1" thickTop="1" x14ac:dyDescent="0.25">
      <c r="A15" s="6"/>
      <c r="B15" s="28"/>
      <c r="C15" s="531"/>
      <c r="D15" s="16"/>
      <c r="E15" s="17"/>
      <c r="F15" s="16"/>
      <c r="H15" s="1455"/>
    </row>
    <row r="16" spans="1:21" s="532" customFormat="1" ht="12.75" customHeight="1" x14ac:dyDescent="0.25">
      <c r="A16" s="6"/>
      <c r="B16" s="28"/>
      <c r="C16" s="531"/>
      <c r="D16" s="16"/>
      <c r="E16" s="17"/>
      <c r="F16" s="16"/>
      <c r="H16" s="1455"/>
    </row>
    <row r="17" spans="1:21" s="532" customFormat="1" ht="12.75" customHeight="1" x14ac:dyDescent="0.25">
      <c r="A17" s="6"/>
      <c r="B17" s="28"/>
      <c r="C17" s="531"/>
      <c r="D17" s="16"/>
      <c r="E17" s="17"/>
      <c r="F17" s="16"/>
      <c r="H17" s="1455"/>
    </row>
    <row r="18" spans="1:21" s="532" customFormat="1" ht="12.75" customHeight="1" x14ac:dyDescent="0.25">
      <c r="A18" s="6"/>
      <c r="B18" s="28"/>
      <c r="C18" s="531"/>
      <c r="D18" s="16"/>
      <c r="E18" s="17"/>
      <c r="F18" s="16"/>
      <c r="H18" s="1455"/>
    </row>
    <row r="19" spans="1:21" s="532" customFormat="1" ht="12.75" customHeight="1" x14ac:dyDescent="0.25">
      <c r="A19" s="1659" t="s">
        <v>1248</v>
      </c>
      <c r="B19" s="28"/>
      <c r="C19" s="531"/>
      <c r="D19" s="16"/>
      <c r="E19" s="17"/>
      <c r="F19" s="16"/>
      <c r="H19" s="1455"/>
    </row>
    <row r="20" spans="1:21" ht="15.75" thickBot="1" x14ac:dyDescent="0.3">
      <c r="A20" s="533"/>
      <c r="H20" s="534" t="s">
        <v>161</v>
      </c>
    </row>
    <row r="21" spans="1:21" s="383" customFormat="1" ht="22.5" customHeight="1" thickTop="1" thickBot="1" x14ac:dyDescent="0.25">
      <c r="A21" s="535" t="s">
        <v>162</v>
      </c>
      <c r="B21" s="536" t="s">
        <v>761</v>
      </c>
      <c r="C21" s="536" t="s">
        <v>377</v>
      </c>
      <c r="D21" s="537" t="s">
        <v>164</v>
      </c>
      <c r="E21" s="538" t="s">
        <v>632</v>
      </c>
      <c r="F21" s="538" t="s">
        <v>633</v>
      </c>
      <c r="G21" s="539" t="s">
        <v>882</v>
      </c>
      <c r="H21" s="1456" t="s">
        <v>883</v>
      </c>
    </row>
    <row r="22" spans="1:21" s="383" customFormat="1" ht="13.5" thickTop="1" thickBot="1" x14ac:dyDescent="0.25">
      <c r="A22" s="566">
        <v>1</v>
      </c>
      <c r="B22" s="567">
        <v>2</v>
      </c>
      <c r="C22" s="567">
        <v>3</v>
      </c>
      <c r="D22" s="567">
        <v>4</v>
      </c>
      <c r="E22" s="541">
        <v>5</v>
      </c>
      <c r="F22" s="541">
        <v>6</v>
      </c>
      <c r="G22" s="542">
        <v>7</v>
      </c>
      <c r="H22" s="1457" t="s">
        <v>61</v>
      </c>
    </row>
    <row r="23" spans="1:21" s="312" customFormat="1" ht="14.25" customHeight="1" thickTop="1" x14ac:dyDescent="0.25">
      <c r="A23" s="2127">
        <v>2310</v>
      </c>
      <c r="B23" s="2124">
        <v>6341</v>
      </c>
      <c r="C23" s="1138"/>
      <c r="D23" s="1134" t="s">
        <v>248</v>
      </c>
      <c r="E23" s="2122">
        <v>0</v>
      </c>
      <c r="F23" s="1129">
        <v>4800</v>
      </c>
      <c r="G23" s="1129">
        <v>4791</v>
      </c>
      <c r="H23" s="1424">
        <v>100</v>
      </c>
      <c r="I23" s="1127"/>
      <c r="J23" s="1127"/>
      <c r="K23" s="1127"/>
      <c r="L23" s="1127"/>
      <c r="M23" s="1127"/>
      <c r="N23" s="1127"/>
      <c r="O23" s="1127"/>
      <c r="P23" s="1127"/>
      <c r="Q23" s="1127"/>
      <c r="R23" s="1127"/>
      <c r="S23" s="1127"/>
      <c r="T23" s="1127"/>
      <c r="U23" s="1127"/>
    </row>
    <row r="24" spans="1:21" s="312" customFormat="1" ht="14.25" customHeight="1" x14ac:dyDescent="0.2">
      <c r="A24" s="2128"/>
      <c r="B24" s="2125"/>
      <c r="C24" s="1139" t="s">
        <v>725</v>
      </c>
      <c r="D24" s="1135" t="s">
        <v>726</v>
      </c>
      <c r="E24" s="2121">
        <v>0</v>
      </c>
      <c r="F24" s="1130">
        <v>4800</v>
      </c>
      <c r="G24" s="1130">
        <v>4791</v>
      </c>
      <c r="H24" s="1425">
        <v>100</v>
      </c>
      <c r="I24" s="1127"/>
      <c r="J24" s="1127"/>
      <c r="K24" s="1127"/>
      <c r="L24" s="1127"/>
      <c r="M24" s="1127"/>
      <c r="N24" s="1127"/>
      <c r="O24" s="1127"/>
      <c r="P24" s="1127"/>
      <c r="Q24" s="1127"/>
      <c r="R24" s="1127"/>
      <c r="S24" s="1127"/>
      <c r="T24" s="1127"/>
      <c r="U24" s="1127"/>
    </row>
    <row r="25" spans="1:21" s="312" customFormat="1" ht="14.25" customHeight="1" x14ac:dyDescent="0.25">
      <c r="A25" s="2128">
        <v>2321</v>
      </c>
      <c r="B25" s="2125">
        <v>6341</v>
      </c>
      <c r="C25" s="1140"/>
      <c r="D25" s="1136" t="s">
        <v>248</v>
      </c>
      <c r="E25" s="2123">
        <v>0</v>
      </c>
      <c r="F25" s="1131">
        <v>20280</v>
      </c>
      <c r="G25" s="1131">
        <v>20280</v>
      </c>
      <c r="H25" s="1426">
        <v>98.332710629553517</v>
      </c>
      <c r="I25" s="1127"/>
      <c r="J25" s="1127"/>
      <c r="K25" s="1127"/>
      <c r="L25" s="1127"/>
      <c r="M25" s="1127"/>
      <c r="N25" s="1127"/>
      <c r="O25" s="1127"/>
      <c r="P25" s="1127"/>
      <c r="Q25" s="1127"/>
      <c r="R25" s="1127"/>
      <c r="S25" s="1127"/>
      <c r="T25" s="1127"/>
      <c r="U25" s="1127"/>
    </row>
    <row r="26" spans="1:21" s="312" customFormat="1" ht="14.25" customHeight="1" x14ac:dyDescent="0.2">
      <c r="A26" s="2128"/>
      <c r="B26" s="2125"/>
      <c r="C26" s="1139" t="s">
        <v>725</v>
      </c>
      <c r="D26" s="1135" t="s">
        <v>726</v>
      </c>
      <c r="E26" s="2121">
        <v>0</v>
      </c>
      <c r="F26" s="1130">
        <v>20280</v>
      </c>
      <c r="G26" s="1130">
        <v>20280</v>
      </c>
      <c r="H26" s="1425">
        <v>98.332710629553517</v>
      </c>
      <c r="I26" s="1127"/>
      <c r="J26" s="1127"/>
      <c r="K26" s="1127"/>
      <c r="L26" s="1127"/>
      <c r="M26" s="1127"/>
      <c r="N26" s="1127"/>
      <c r="O26" s="1127"/>
      <c r="P26" s="1127"/>
      <c r="Q26" s="1127"/>
      <c r="R26" s="1127"/>
      <c r="S26" s="1127"/>
      <c r="T26" s="1127"/>
      <c r="U26" s="1127"/>
    </row>
    <row r="27" spans="1:21" s="312" customFormat="1" ht="14.25" customHeight="1" x14ac:dyDescent="0.25">
      <c r="A27" s="2128">
        <v>2321</v>
      </c>
      <c r="B27" s="2125">
        <v>6349</v>
      </c>
      <c r="C27" s="1139"/>
      <c r="D27" s="2774" t="s">
        <v>978</v>
      </c>
      <c r="E27" s="2121"/>
      <c r="F27" s="1131">
        <v>2000</v>
      </c>
      <c r="G27" s="1131">
        <v>2000</v>
      </c>
      <c r="H27" s="1426">
        <v>98.332710629553517</v>
      </c>
      <c r="I27" s="1127"/>
      <c r="J27" s="1127"/>
      <c r="K27" s="1127"/>
      <c r="L27" s="1127"/>
      <c r="M27" s="1127"/>
      <c r="N27" s="1127"/>
      <c r="O27" s="1127"/>
      <c r="P27" s="1127"/>
      <c r="Q27" s="1127"/>
      <c r="R27" s="1127"/>
      <c r="S27" s="1127"/>
      <c r="T27" s="1127"/>
      <c r="U27" s="1127"/>
    </row>
    <row r="28" spans="1:21" s="312" customFormat="1" ht="14.25" customHeight="1" x14ac:dyDescent="0.2">
      <c r="A28" s="2128"/>
      <c r="B28" s="2125"/>
      <c r="C28" s="1139"/>
      <c r="D28" s="2645"/>
      <c r="E28" s="2121"/>
      <c r="F28" s="1130"/>
      <c r="G28" s="1130"/>
      <c r="H28" s="1425"/>
      <c r="I28" s="1127"/>
      <c r="J28" s="1127"/>
      <c r="K28" s="1127"/>
      <c r="L28" s="1127"/>
      <c r="M28" s="1127"/>
      <c r="N28" s="1127"/>
      <c r="O28" s="1127"/>
      <c r="P28" s="1127"/>
      <c r="Q28" s="1127"/>
      <c r="R28" s="1127"/>
      <c r="S28" s="1127"/>
      <c r="T28" s="1127"/>
      <c r="U28" s="1127"/>
    </row>
    <row r="29" spans="1:21" s="312" customFormat="1" ht="14.25" customHeight="1" x14ac:dyDescent="0.2">
      <c r="A29" s="2128"/>
      <c r="B29" s="2125"/>
      <c r="C29" s="1139" t="s">
        <v>725</v>
      </c>
      <c r="D29" s="1135" t="s">
        <v>726</v>
      </c>
      <c r="E29" s="2121"/>
      <c r="F29" s="1130">
        <v>2000</v>
      </c>
      <c r="G29" s="1130">
        <v>2000</v>
      </c>
      <c r="H29" s="1425">
        <v>98.332710629553517</v>
      </c>
      <c r="I29" s="1127"/>
      <c r="J29" s="1127"/>
      <c r="K29" s="1127"/>
      <c r="L29" s="1127"/>
      <c r="M29" s="1127"/>
      <c r="N29" s="1127"/>
      <c r="O29" s="1127"/>
      <c r="P29" s="1127"/>
      <c r="Q29" s="1127"/>
      <c r="R29" s="1127"/>
      <c r="S29" s="1127"/>
      <c r="T29" s="1127"/>
      <c r="U29" s="1127"/>
    </row>
    <row r="30" spans="1:21" s="312" customFormat="1" ht="14.25" customHeight="1" x14ac:dyDescent="0.25">
      <c r="A30" s="2128">
        <v>2399</v>
      </c>
      <c r="B30" s="2125">
        <v>6341</v>
      </c>
      <c r="C30" s="1140"/>
      <c r="D30" s="1136" t="s">
        <v>248</v>
      </c>
      <c r="E30" s="1133">
        <v>20000</v>
      </c>
      <c r="F30" s="1131">
        <v>311</v>
      </c>
      <c r="G30" s="1131">
        <v>0</v>
      </c>
      <c r="H30" s="1427">
        <v>0</v>
      </c>
      <c r="I30" s="1128"/>
      <c r="J30" s="1128"/>
      <c r="K30" s="1128"/>
      <c r="L30" s="1128"/>
      <c r="M30" s="1128"/>
      <c r="N30" s="1128"/>
      <c r="O30" s="1128"/>
      <c r="P30" s="1128"/>
      <c r="Q30" s="1128"/>
      <c r="R30" s="1128"/>
      <c r="S30" s="1128"/>
      <c r="T30" s="1128"/>
      <c r="U30" s="1128"/>
    </row>
    <row r="31" spans="1:21" s="312" customFormat="1" ht="14.25" customHeight="1" thickBot="1" x14ac:dyDescent="0.25">
      <c r="A31" s="2129"/>
      <c r="B31" s="2126"/>
      <c r="C31" s="1141" t="s">
        <v>725</v>
      </c>
      <c r="D31" s="1137" t="s">
        <v>726</v>
      </c>
      <c r="E31" s="1720">
        <v>20000</v>
      </c>
      <c r="F31" s="1132">
        <v>311</v>
      </c>
      <c r="G31" s="1132">
        <v>0</v>
      </c>
      <c r="H31" s="1428">
        <v>0</v>
      </c>
      <c r="I31" s="1128"/>
      <c r="J31" s="1128"/>
      <c r="K31" s="1128"/>
      <c r="L31" s="1128"/>
      <c r="M31" s="1128"/>
      <c r="N31" s="1128"/>
      <c r="O31" s="1128"/>
      <c r="P31" s="1128"/>
      <c r="Q31" s="1128"/>
      <c r="R31" s="1128"/>
      <c r="S31" s="1128"/>
      <c r="T31" s="1128"/>
      <c r="U31" s="1128"/>
    </row>
    <row r="32" spans="1:21" ht="16.5" thickTop="1" thickBot="1" x14ac:dyDescent="0.3">
      <c r="A32" s="2743" t="s">
        <v>763</v>
      </c>
      <c r="B32" s="2744"/>
      <c r="C32" s="2744"/>
      <c r="D32" s="2744"/>
      <c r="E32" s="570">
        <f>+E30</f>
        <v>20000</v>
      </c>
      <c r="F32" s="570">
        <f>F23+F25+F27+F30</f>
        <v>27391</v>
      </c>
      <c r="G32" s="570">
        <f>G23+G25+G27+G30</f>
        <v>27071</v>
      </c>
      <c r="H32" s="571">
        <f>G32/F32*100</f>
        <v>98.831733051002161</v>
      </c>
      <c r="I32" s="453"/>
    </row>
    <row r="33" spans="1:8" ht="15.75" thickTop="1" x14ac:dyDescent="0.25">
      <c r="A33" s="533"/>
    </row>
    <row r="34" spans="1:8" ht="15" x14ac:dyDescent="0.25">
      <c r="A34" s="533"/>
    </row>
    <row r="35" spans="1:8" s="1416" customFormat="1" ht="15.75" x14ac:dyDescent="0.25">
      <c r="A35" s="2769" t="s">
        <v>1651</v>
      </c>
      <c r="B35" s="2770"/>
      <c r="C35" s="2770"/>
      <c r="D35" s="2770"/>
      <c r="E35" s="934">
        <f>SUM(E37:E39)</f>
        <v>40000</v>
      </c>
      <c r="F35" s="934">
        <f>SUM(F37:F39)</f>
        <v>58491</v>
      </c>
      <c r="G35" s="934">
        <f>SUM(G37:G39)</f>
        <v>57134</v>
      </c>
      <c r="H35" s="1415">
        <f>G35/F35*100</f>
        <v>97.679984954950342</v>
      </c>
    </row>
    <row r="36" spans="1:8" s="1416" customFormat="1" ht="15.75" x14ac:dyDescent="0.25">
      <c r="A36" s="2770"/>
      <c r="B36" s="2770"/>
      <c r="C36" s="2770"/>
      <c r="D36" s="2770"/>
      <c r="E36" s="934"/>
      <c r="F36" s="934"/>
      <c r="G36" s="934"/>
      <c r="H36" s="1415"/>
    </row>
    <row r="37" spans="1:8" s="1420" customFormat="1" ht="15" x14ac:dyDescent="0.2">
      <c r="A37" s="555" t="s">
        <v>263</v>
      </c>
      <c r="B37" s="1417"/>
      <c r="C37" s="1417"/>
      <c r="D37" s="1417"/>
      <c r="E37" s="1418">
        <f>E14</f>
        <v>20000</v>
      </c>
      <c r="F37" s="1418">
        <f>F14</f>
        <v>31100</v>
      </c>
      <c r="G37" s="1418">
        <f>G14</f>
        <v>30063</v>
      </c>
      <c r="H37" s="1419">
        <f>G37/F37*100</f>
        <v>96.665594855305471</v>
      </c>
    </row>
    <row r="38" spans="1:8" s="1420" customFormat="1" ht="15" x14ac:dyDescent="0.2">
      <c r="A38" s="555" t="s">
        <v>264</v>
      </c>
      <c r="B38" s="1417"/>
      <c r="C38" s="1417"/>
      <c r="D38" s="1417"/>
      <c r="E38" s="1418">
        <f>E32</f>
        <v>20000</v>
      </c>
      <c r="F38" s="1418">
        <f>F32</f>
        <v>27391</v>
      </c>
      <c r="G38" s="1418">
        <f>G32</f>
        <v>27071</v>
      </c>
      <c r="H38" s="1419">
        <f>G38/F38*100</f>
        <v>98.831733051002161</v>
      </c>
    </row>
    <row r="39" spans="1:8" s="587" customFormat="1" ht="15" x14ac:dyDescent="0.2">
      <c r="A39" s="1417" t="s">
        <v>1179</v>
      </c>
      <c r="B39" s="1417"/>
      <c r="C39" s="1417"/>
      <c r="D39" s="1417"/>
      <c r="E39" s="1418">
        <v>0</v>
      </c>
      <c r="F39" s="1418">
        <v>0</v>
      </c>
      <c r="G39" s="1418">
        <v>0</v>
      </c>
      <c r="H39" s="1419">
        <v>0</v>
      </c>
    </row>
    <row r="40" spans="1:8" s="1421" customFormat="1" ht="23.25" x14ac:dyDescent="0.35">
      <c r="A40" s="2771" t="s">
        <v>1652</v>
      </c>
      <c r="B40" s="2772"/>
      <c r="C40" s="2772"/>
      <c r="D40" s="2772"/>
      <c r="E40" s="2155">
        <f>SUM(E35)</f>
        <v>40000</v>
      </c>
      <c r="F40" s="2149">
        <f>SUM(F35)</f>
        <v>58491</v>
      </c>
      <c r="G40" s="2149">
        <f>SUM(G35)</f>
        <v>57134</v>
      </c>
      <c r="H40" s="2150">
        <f>G40/F40*100</f>
        <v>97.679984954950342</v>
      </c>
    </row>
    <row r="41" spans="1:8" s="1421" customFormat="1" ht="23.25" x14ac:dyDescent="0.35">
      <c r="A41" s="2773"/>
      <c r="B41" s="2773"/>
      <c r="C41" s="2773"/>
      <c r="D41" s="2773"/>
      <c r="E41" s="2156"/>
      <c r="F41" s="2147"/>
      <c r="G41" s="2147"/>
      <c r="H41" s="2148"/>
    </row>
    <row r="42" spans="1:8" ht="13.5" customHeight="1" thickBot="1" x14ac:dyDescent="0.4">
      <c r="A42" s="2712"/>
      <c r="B42" s="2712"/>
      <c r="C42" s="2712"/>
      <c r="D42" s="2712"/>
      <c r="E42" s="978"/>
      <c r="F42" s="2153"/>
      <c r="G42" s="2153"/>
      <c r="H42" s="2154"/>
    </row>
    <row r="43" spans="1:8" ht="13.5" thickTop="1" x14ac:dyDescent="0.2">
      <c r="D43" s="561"/>
      <c r="E43" s="382"/>
      <c r="F43" s="382"/>
      <c r="G43" s="382"/>
      <c r="H43" s="1458"/>
    </row>
    <row r="44" spans="1:8" ht="14.25" x14ac:dyDescent="0.2">
      <c r="A44" s="562" t="s">
        <v>108</v>
      </c>
      <c r="B44" s="563"/>
      <c r="C44" s="563"/>
      <c r="D44" s="564"/>
      <c r="E44" s="491"/>
      <c r="F44" s="491"/>
      <c r="G44" s="491"/>
      <c r="H44" s="1459"/>
    </row>
    <row r="45" spans="1:8" ht="12.75" customHeight="1" x14ac:dyDescent="0.2">
      <c r="A45" s="2768" t="s">
        <v>1599</v>
      </c>
      <c r="B45" s="2768"/>
      <c r="C45" s="2768"/>
      <c r="D45" s="2768"/>
      <c r="E45" s="2768"/>
      <c r="F45" s="2768"/>
      <c r="G45" s="2768"/>
      <c r="H45" s="2768"/>
    </row>
    <row r="46" spans="1:8" s="500" customFormat="1" ht="12.75" customHeight="1" x14ac:dyDescent="0.2">
      <c r="A46" s="2601"/>
      <c r="B46" s="2601"/>
      <c r="C46" s="2601"/>
      <c r="D46" s="2601"/>
      <c r="E46" s="2601"/>
      <c r="F46" s="2601"/>
      <c r="G46" s="2601"/>
      <c r="H46" s="2601"/>
    </row>
    <row r="47" spans="1:8" s="500" customFormat="1" ht="19.5" customHeight="1" x14ac:dyDescent="0.2">
      <c r="A47" s="411"/>
      <c r="B47" s="411"/>
      <c r="C47" s="411"/>
      <c r="D47" s="349"/>
      <c r="E47" s="453"/>
      <c r="F47" s="453"/>
      <c r="G47" s="453"/>
      <c r="H47" s="558"/>
    </row>
    <row r="48" spans="1:8" s="500" customFormat="1" x14ac:dyDescent="0.2">
      <c r="A48" s="411"/>
      <c r="B48" s="411"/>
      <c r="C48" s="411"/>
      <c r="D48" s="349"/>
      <c r="E48" s="453"/>
      <c r="F48" s="453"/>
      <c r="G48" s="453"/>
      <c r="H48" s="558"/>
    </row>
    <row r="49" spans="1:8" s="500" customFormat="1" x14ac:dyDescent="0.2">
      <c r="A49" s="411"/>
      <c r="B49" s="411"/>
      <c r="C49" s="411"/>
      <c r="D49" s="349"/>
      <c r="E49" s="453"/>
      <c r="F49" s="453"/>
      <c r="G49" s="453"/>
      <c r="H49" s="558"/>
    </row>
    <row r="50" spans="1:8" s="500" customFormat="1" x14ac:dyDescent="0.2">
      <c r="A50" s="411"/>
      <c r="B50" s="411"/>
      <c r="C50" s="411"/>
      <c r="D50" s="349"/>
      <c r="E50" s="453"/>
      <c r="F50" s="453"/>
      <c r="G50" s="453"/>
      <c r="H50" s="558"/>
    </row>
    <row r="51" spans="1:8" s="500" customFormat="1" ht="12.75" customHeight="1" x14ac:dyDescent="0.2">
      <c r="A51" s="411"/>
      <c r="B51" s="411"/>
      <c r="C51" s="411"/>
      <c r="D51" s="349"/>
      <c r="E51" s="453"/>
      <c r="F51" s="453"/>
      <c r="G51" s="453"/>
      <c r="H51" s="558"/>
    </row>
    <row r="52" spans="1:8" s="500" customFormat="1" ht="12.75" customHeight="1" x14ac:dyDescent="0.2">
      <c r="A52" s="411"/>
      <c r="B52" s="411"/>
      <c r="C52" s="411"/>
      <c r="D52" s="349"/>
      <c r="E52" s="453"/>
      <c r="F52" s="453"/>
      <c r="G52" s="453"/>
      <c r="H52" s="558"/>
    </row>
    <row r="53" spans="1:8" ht="12.75" customHeight="1" x14ac:dyDescent="0.2"/>
    <row r="54" spans="1:8" ht="12.75" customHeight="1" x14ac:dyDescent="0.2"/>
    <row r="55" spans="1:8" ht="12.75" customHeight="1" x14ac:dyDescent="0.2"/>
    <row r="56" spans="1:8" ht="21.75" customHeight="1" x14ac:dyDescent="0.2"/>
  </sheetData>
  <mergeCells count="7">
    <mergeCell ref="A1:H2"/>
    <mergeCell ref="A32:D32"/>
    <mergeCell ref="A45:H46"/>
    <mergeCell ref="A35:D36"/>
    <mergeCell ref="A40:D42"/>
    <mergeCell ref="D27:D28"/>
    <mergeCell ref="A14:D14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184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U40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6.5703125" style="411" customWidth="1"/>
    <col min="2" max="2" width="7.42578125" style="411" customWidth="1"/>
    <col min="3" max="3" width="9" style="411" customWidth="1"/>
    <col min="4" max="4" width="42.28515625" style="349" customWidth="1"/>
    <col min="5" max="5" width="15.28515625" style="453" customWidth="1"/>
    <col min="6" max="6" width="14.85546875" style="453" customWidth="1"/>
    <col min="7" max="7" width="13.85546875" style="453" customWidth="1"/>
    <col min="8" max="8" width="7.42578125" style="349" customWidth="1"/>
    <col min="9" max="16384" width="9.140625" style="349"/>
  </cols>
  <sheetData>
    <row r="1" spans="1:21" x14ac:dyDescent="0.2">
      <c r="A1" s="2764" t="s">
        <v>49</v>
      </c>
      <c r="B1" s="2765"/>
      <c r="C1" s="2765"/>
      <c r="D1" s="2765"/>
      <c r="E1" s="2765"/>
      <c r="F1" s="2765"/>
      <c r="G1" s="2765"/>
      <c r="H1" s="2765"/>
    </row>
    <row r="2" spans="1:21" ht="12.75" customHeight="1" thickBot="1" x14ac:dyDescent="0.25">
      <c r="A2" s="2767"/>
      <c r="B2" s="2767"/>
      <c r="C2" s="2767"/>
      <c r="D2" s="2767"/>
      <c r="E2" s="2767"/>
      <c r="F2" s="2767"/>
      <c r="G2" s="2767"/>
      <c r="H2" s="2767"/>
    </row>
    <row r="3" spans="1:21" ht="18.75" customHeight="1" x14ac:dyDescent="0.25">
      <c r="A3" s="462"/>
      <c r="B3" s="462"/>
      <c r="C3" s="462"/>
      <c r="D3" s="462"/>
      <c r="E3" s="462"/>
      <c r="F3" s="462"/>
      <c r="G3" s="530" t="s">
        <v>716</v>
      </c>
    </row>
    <row r="4" spans="1:21" s="381" customFormat="1" ht="12.75" customHeight="1" x14ac:dyDescent="0.25">
      <c r="A4" s="67" t="s">
        <v>367</v>
      </c>
      <c r="B4" s="28"/>
      <c r="C4" s="28"/>
      <c r="D4" s="531" t="s">
        <v>368</v>
      </c>
      <c r="E4" s="16"/>
      <c r="F4" s="17"/>
      <c r="G4" s="16"/>
    </row>
    <row r="5" spans="1:21" s="381" customFormat="1" ht="12.75" customHeight="1" x14ac:dyDescent="0.25">
      <c r="A5" s="6"/>
      <c r="B5" s="28"/>
      <c r="C5" s="28"/>
      <c r="D5" s="531" t="s">
        <v>569</v>
      </c>
      <c r="E5" s="16"/>
      <c r="F5" s="17"/>
      <c r="G5" s="16"/>
    </row>
    <row r="6" spans="1:21" ht="15.75" thickBot="1" x14ac:dyDescent="0.3">
      <c r="A6" s="533"/>
      <c r="H6" s="534" t="s">
        <v>161</v>
      </c>
    </row>
    <row r="7" spans="1:21" s="383" customFormat="1" ht="25.5" thickTop="1" thickBot="1" x14ac:dyDescent="0.25">
      <c r="A7" s="535" t="s">
        <v>162</v>
      </c>
      <c r="B7" s="536" t="s">
        <v>761</v>
      </c>
      <c r="C7" s="536"/>
      <c r="D7" s="537" t="s">
        <v>164</v>
      </c>
      <c r="E7" s="538" t="s">
        <v>632</v>
      </c>
      <c r="F7" s="538" t="s">
        <v>633</v>
      </c>
      <c r="G7" s="539" t="s">
        <v>882</v>
      </c>
      <c r="H7" s="540" t="s">
        <v>883</v>
      </c>
    </row>
    <row r="8" spans="1:21" s="544" customFormat="1" ht="13.5" thickTop="1" thickBot="1" x14ac:dyDescent="0.25">
      <c r="A8" s="535">
        <v>1</v>
      </c>
      <c r="B8" s="536">
        <v>2</v>
      </c>
      <c r="C8" s="536">
        <v>3</v>
      </c>
      <c r="D8" s="536">
        <v>4</v>
      </c>
      <c r="E8" s="541">
        <v>5</v>
      </c>
      <c r="F8" s="541">
        <v>6</v>
      </c>
      <c r="G8" s="542">
        <v>7</v>
      </c>
      <c r="H8" s="543" t="s">
        <v>61</v>
      </c>
    </row>
    <row r="9" spans="1:21" s="439" customFormat="1" ht="16.5" customHeight="1" thickTop="1" x14ac:dyDescent="0.25">
      <c r="A9" s="2132">
        <v>6113</v>
      </c>
      <c r="B9" s="2130">
        <v>5169</v>
      </c>
      <c r="C9" s="545"/>
      <c r="D9" s="546" t="s">
        <v>852</v>
      </c>
      <c r="E9" s="370">
        <v>47</v>
      </c>
      <c r="F9" s="449">
        <v>47</v>
      </c>
      <c r="G9" s="370">
        <v>33</v>
      </c>
      <c r="H9" s="547">
        <f>(G9/F9)*100</f>
        <v>70.212765957446805</v>
      </c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</row>
    <row r="10" spans="1:21" s="439" customFormat="1" ht="16.5" customHeight="1" x14ac:dyDescent="0.25">
      <c r="A10" s="2133">
        <v>6113</v>
      </c>
      <c r="B10" s="2131">
        <v>5499</v>
      </c>
      <c r="C10" s="549"/>
      <c r="D10" s="550" t="s">
        <v>375</v>
      </c>
      <c r="E10" s="315">
        <v>42</v>
      </c>
      <c r="F10" s="313">
        <v>42</v>
      </c>
      <c r="G10" s="315">
        <v>8</v>
      </c>
      <c r="H10" s="551">
        <f>(G10/F10)*100</f>
        <v>19.047619047619047</v>
      </c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</row>
    <row r="11" spans="1:21" s="439" customFormat="1" ht="16.5" customHeight="1" x14ac:dyDescent="0.25">
      <c r="A11" s="2133">
        <v>6113</v>
      </c>
      <c r="B11" s="2131">
        <v>5901</v>
      </c>
      <c r="C11" s="549"/>
      <c r="D11" s="128" t="s">
        <v>602</v>
      </c>
      <c r="E11" s="315">
        <v>39</v>
      </c>
      <c r="F11" s="313">
        <v>39</v>
      </c>
      <c r="G11" s="315">
        <v>0</v>
      </c>
      <c r="H11" s="551">
        <v>0</v>
      </c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312"/>
      <c r="U11" s="312"/>
    </row>
    <row r="12" spans="1:21" s="439" customFormat="1" ht="16.5" customHeight="1" x14ac:dyDescent="0.25">
      <c r="A12" s="2133">
        <v>6172</v>
      </c>
      <c r="B12" s="2131">
        <v>5139</v>
      </c>
      <c r="C12" s="549"/>
      <c r="D12" s="550" t="s">
        <v>625</v>
      </c>
      <c r="E12" s="315">
        <v>0</v>
      </c>
      <c r="F12" s="313">
        <v>150</v>
      </c>
      <c r="G12" s="315">
        <v>3</v>
      </c>
      <c r="H12" s="551">
        <f t="shared" ref="H12:H20" si="0">(G12/F12)*100</f>
        <v>2</v>
      </c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</row>
    <row r="13" spans="1:21" s="439" customFormat="1" ht="16.5" customHeight="1" x14ac:dyDescent="0.25">
      <c r="A13" s="2133">
        <v>6172</v>
      </c>
      <c r="B13" s="2131">
        <v>5163</v>
      </c>
      <c r="C13" s="549"/>
      <c r="D13" s="550" t="s">
        <v>892</v>
      </c>
      <c r="E13" s="315">
        <v>9</v>
      </c>
      <c r="F13" s="313">
        <v>14</v>
      </c>
      <c r="G13" s="315">
        <v>6</v>
      </c>
      <c r="H13" s="551">
        <f t="shared" si="0"/>
        <v>42.857142857142854</v>
      </c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</row>
    <row r="14" spans="1:21" s="439" customFormat="1" ht="16.5" customHeight="1" x14ac:dyDescent="0.25">
      <c r="A14" s="2133">
        <v>6172</v>
      </c>
      <c r="B14" s="2131">
        <v>5164</v>
      </c>
      <c r="C14" s="549"/>
      <c r="D14" s="550" t="s">
        <v>170</v>
      </c>
      <c r="E14" s="315">
        <v>10</v>
      </c>
      <c r="F14" s="313">
        <v>95</v>
      </c>
      <c r="G14" s="315">
        <v>84</v>
      </c>
      <c r="H14" s="551">
        <f t="shared" si="0"/>
        <v>88.421052631578945</v>
      </c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</row>
    <row r="15" spans="1:21" s="439" customFormat="1" ht="16.5" customHeight="1" x14ac:dyDescent="0.25">
      <c r="A15" s="2133">
        <v>6172</v>
      </c>
      <c r="B15" s="2131">
        <v>5169</v>
      </c>
      <c r="C15" s="549"/>
      <c r="D15" s="550" t="s">
        <v>852</v>
      </c>
      <c r="E15" s="315">
        <f>E16+E17</f>
        <v>3514</v>
      </c>
      <c r="F15" s="315">
        <f>F16+F17</f>
        <v>4587</v>
      </c>
      <c r="G15" s="315">
        <f>G16+G17</f>
        <v>3549</v>
      </c>
      <c r="H15" s="551">
        <f t="shared" si="0"/>
        <v>77.370830608240681</v>
      </c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</row>
    <row r="16" spans="1:21" s="439" customFormat="1" ht="16.5" customHeight="1" x14ac:dyDescent="0.2">
      <c r="A16" s="2133"/>
      <c r="B16" s="2131"/>
      <c r="C16" s="1069" t="s">
        <v>753</v>
      </c>
      <c r="D16" s="1063" t="s">
        <v>1259</v>
      </c>
      <c r="E16" s="316">
        <v>3464</v>
      </c>
      <c r="F16" s="314">
        <v>4537</v>
      </c>
      <c r="G16" s="316">
        <v>3507</v>
      </c>
      <c r="H16" s="554">
        <f t="shared" si="0"/>
        <v>77.297773859378452</v>
      </c>
      <c r="I16" s="312"/>
      <c r="J16" s="312"/>
      <c r="K16" s="312"/>
      <c r="L16" s="312"/>
      <c r="M16" s="312"/>
      <c r="N16" s="312"/>
      <c r="O16" s="312"/>
      <c r="P16" s="312"/>
      <c r="Q16" s="312"/>
      <c r="R16" s="312"/>
      <c r="S16" s="312"/>
      <c r="T16" s="312"/>
      <c r="U16" s="312"/>
    </row>
    <row r="17" spans="1:21" s="555" customFormat="1" ht="16.5" customHeight="1" x14ac:dyDescent="0.2">
      <c r="A17" s="2133"/>
      <c r="B17" s="2131"/>
      <c r="C17" s="552" t="s">
        <v>171</v>
      </c>
      <c r="D17" s="553" t="s">
        <v>172</v>
      </c>
      <c r="E17" s="316">
        <v>50</v>
      </c>
      <c r="F17" s="314">
        <v>50</v>
      </c>
      <c r="G17" s="316">
        <v>42</v>
      </c>
      <c r="H17" s="554">
        <f t="shared" si="0"/>
        <v>84</v>
      </c>
      <c r="I17" s="312"/>
      <c r="J17" s="312"/>
      <c r="K17" s="312"/>
      <c r="L17" s="312"/>
      <c r="M17" s="312"/>
      <c r="N17" s="312"/>
      <c r="O17" s="312"/>
      <c r="P17" s="312"/>
      <c r="Q17" s="312"/>
      <c r="R17" s="312"/>
      <c r="S17" s="312"/>
      <c r="T17" s="312"/>
      <c r="U17" s="312"/>
    </row>
    <row r="18" spans="1:21" s="439" customFormat="1" ht="16.5" customHeight="1" x14ac:dyDescent="0.25">
      <c r="A18" s="2133">
        <v>6172</v>
      </c>
      <c r="B18" s="2131">
        <v>5175</v>
      </c>
      <c r="C18" s="549"/>
      <c r="D18" s="550" t="s">
        <v>669</v>
      </c>
      <c r="E18" s="315">
        <v>80</v>
      </c>
      <c r="F18" s="313">
        <v>350</v>
      </c>
      <c r="G18" s="315">
        <v>335</v>
      </c>
      <c r="H18" s="551">
        <f t="shared" si="0"/>
        <v>95.714285714285722</v>
      </c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</row>
    <row r="19" spans="1:21" s="312" customFormat="1" ht="16.5" customHeight="1" x14ac:dyDescent="0.25">
      <c r="A19" s="2133">
        <v>6172</v>
      </c>
      <c r="B19" s="2131">
        <v>5194</v>
      </c>
      <c r="C19" s="549"/>
      <c r="D19" s="550" t="s">
        <v>599</v>
      </c>
      <c r="E19" s="315">
        <v>0</v>
      </c>
      <c r="F19" s="313">
        <v>146</v>
      </c>
      <c r="G19" s="315">
        <v>146</v>
      </c>
      <c r="H19" s="551">
        <f t="shared" si="0"/>
        <v>100</v>
      </c>
    </row>
    <row r="20" spans="1:21" s="439" customFormat="1" ht="16.5" customHeight="1" thickBot="1" x14ac:dyDescent="0.3">
      <c r="A20" s="2143">
        <v>6172</v>
      </c>
      <c r="B20" s="2144">
        <v>5499</v>
      </c>
      <c r="C20" s="2145"/>
      <c r="D20" s="2146" t="s">
        <v>375</v>
      </c>
      <c r="E20" s="442">
        <v>2650</v>
      </c>
      <c r="F20" s="442">
        <v>2855</v>
      </c>
      <c r="G20" s="442">
        <v>2585</v>
      </c>
      <c r="H20" s="557">
        <f t="shared" si="0"/>
        <v>90.542907180385285</v>
      </c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/>
      <c r="T20" s="312"/>
      <c r="U20" s="312"/>
    </row>
    <row r="21" spans="1:21" s="340" customFormat="1" ht="16.5" thickTop="1" thickBot="1" x14ac:dyDescent="0.3">
      <c r="A21" s="2775" t="s">
        <v>763</v>
      </c>
      <c r="B21" s="2776"/>
      <c r="C21" s="2776"/>
      <c r="D21" s="2777"/>
      <c r="E21" s="460">
        <f>SUM(E9,E10,E12,E13,E14,E15,E18,E19,E20,E11)</f>
        <v>6391</v>
      </c>
      <c r="F21" s="460">
        <f>F9+F10+F11+F12+F13+F14+F15+F18+F19+F20</f>
        <v>8325</v>
      </c>
      <c r="G21" s="460">
        <f>G9+G10+G11+G12+G13+G14+G15+G18+G19+G20</f>
        <v>6749</v>
      </c>
      <c r="H21" s="437">
        <f>G21/F21*100</f>
        <v>81.069069069069073</v>
      </c>
    </row>
    <row r="22" spans="1:21" ht="13.5" thickTop="1" x14ac:dyDescent="0.2">
      <c r="H22" s="558"/>
    </row>
    <row r="23" spans="1:21" x14ac:dyDescent="0.2">
      <c r="H23" s="558"/>
    </row>
    <row r="24" spans="1:21" s="1416" customFormat="1" ht="15.75" x14ac:dyDescent="0.25">
      <c r="A24" s="1414" t="s">
        <v>1650</v>
      </c>
      <c r="B24" s="1414"/>
      <c r="C24" s="1414"/>
      <c r="D24" s="1414"/>
      <c r="E24" s="934">
        <f>SUM(E25:E27)</f>
        <v>6391</v>
      </c>
      <c r="F24" s="934">
        <f>SUM(F25:F27)</f>
        <v>8325</v>
      </c>
      <c r="G24" s="934">
        <f>SUM(G25:G27)</f>
        <v>6749</v>
      </c>
      <c r="H24" s="1415">
        <f>G24/F24*100</f>
        <v>81.069069069069073</v>
      </c>
    </row>
    <row r="25" spans="1:21" s="1420" customFormat="1" ht="15" x14ac:dyDescent="0.2">
      <c r="A25" s="555" t="s">
        <v>263</v>
      </c>
      <c r="B25" s="1417"/>
      <c r="C25" s="1417"/>
      <c r="D25" s="1417"/>
      <c r="E25" s="1418">
        <f>SUM(E21)</f>
        <v>6391</v>
      </c>
      <c r="F25" s="1418">
        <f>SUM(F21)</f>
        <v>8325</v>
      </c>
      <c r="G25" s="1418">
        <f>SUM(G21)</f>
        <v>6749</v>
      </c>
      <c r="H25" s="1419">
        <f>G25/F25*100</f>
        <v>81.069069069069073</v>
      </c>
    </row>
    <row r="26" spans="1:21" s="1420" customFormat="1" ht="15" x14ac:dyDescent="0.2">
      <c r="A26" s="555" t="s">
        <v>264</v>
      </c>
      <c r="B26" s="1417"/>
      <c r="C26" s="1417"/>
      <c r="D26" s="1417"/>
      <c r="E26" s="1418">
        <v>0</v>
      </c>
      <c r="F26" s="1418">
        <v>0</v>
      </c>
      <c r="G26" s="1418">
        <v>0</v>
      </c>
      <c r="H26" s="1419">
        <v>0</v>
      </c>
    </row>
    <row r="27" spans="1:21" s="587" customFormat="1" ht="15" x14ac:dyDescent="0.2">
      <c r="A27" s="1417" t="s">
        <v>1179</v>
      </c>
      <c r="B27" s="1417"/>
      <c r="C27" s="1417"/>
      <c r="D27" s="1417"/>
      <c r="E27" s="1418">
        <v>0</v>
      </c>
      <c r="F27" s="1418">
        <v>0</v>
      </c>
      <c r="G27" s="1418">
        <v>0</v>
      </c>
      <c r="H27" s="1419">
        <v>0</v>
      </c>
    </row>
    <row r="28" spans="1:21" s="587" customFormat="1" ht="15" x14ac:dyDescent="0.2">
      <c r="A28" s="1417"/>
      <c r="B28" s="1417"/>
      <c r="C28" s="1417"/>
      <c r="D28" s="1417"/>
      <c r="E28" s="1418"/>
      <c r="F28" s="1418"/>
      <c r="G28" s="1418"/>
      <c r="H28" s="1419"/>
    </row>
    <row r="29" spans="1:21" s="1421" customFormat="1" ht="23.25" x14ac:dyDescent="0.35">
      <c r="A29" s="2780" t="s">
        <v>1649</v>
      </c>
      <c r="B29" s="2781"/>
      <c r="C29" s="2781"/>
      <c r="D29" s="2781"/>
      <c r="E29" s="2149">
        <f>SUM(E24)</f>
        <v>6391</v>
      </c>
      <c r="F29" s="2149">
        <f>SUM(F24)</f>
        <v>8325</v>
      </c>
      <c r="G29" s="2149">
        <f>SUM(G24)</f>
        <v>6749</v>
      </c>
      <c r="H29" s="2150">
        <f>G29/F29*100</f>
        <v>81.069069069069073</v>
      </c>
    </row>
    <row r="30" spans="1:21" s="1421" customFormat="1" ht="24" thickBot="1" x14ac:dyDescent="0.4">
      <c r="A30" s="2782"/>
      <c r="B30" s="2782"/>
      <c r="C30" s="2782"/>
      <c r="D30" s="2782"/>
      <c r="E30" s="2151"/>
      <c r="F30" s="2151"/>
      <c r="G30" s="2151"/>
      <c r="H30" s="2152"/>
    </row>
    <row r="31" spans="1:21" ht="13.5" thickTop="1" x14ac:dyDescent="0.2">
      <c r="D31" s="411"/>
      <c r="E31" s="411"/>
      <c r="F31" s="349"/>
      <c r="G31" s="436"/>
      <c r="H31" s="423"/>
      <c r="I31" s="436"/>
    </row>
    <row r="32" spans="1:21" x14ac:dyDescent="0.2">
      <c r="D32" s="411"/>
      <c r="E32" s="411"/>
      <c r="F32" s="561"/>
      <c r="G32" s="382"/>
      <c r="H32" s="382"/>
      <c r="I32" s="382"/>
      <c r="J32" s="561"/>
    </row>
    <row r="33" spans="1:10" ht="14.25" x14ac:dyDescent="0.2">
      <c r="A33" s="562" t="s">
        <v>108</v>
      </c>
      <c r="B33" s="563"/>
      <c r="C33" s="563"/>
      <c r="D33" s="563"/>
      <c r="E33" s="563"/>
      <c r="F33" s="564"/>
      <c r="G33" s="491"/>
      <c r="H33" s="491"/>
      <c r="I33" s="491"/>
      <c r="J33" s="564"/>
    </row>
    <row r="34" spans="1:10" ht="15.75" customHeight="1" x14ac:dyDescent="0.2">
      <c r="A34" s="2778" t="s">
        <v>1600</v>
      </c>
      <c r="B34" s="2779"/>
      <c r="C34" s="2779"/>
      <c r="D34" s="2779"/>
      <c r="E34" s="2779"/>
      <c r="F34" s="2779"/>
      <c r="G34" s="2779"/>
      <c r="H34" s="2779"/>
      <c r="I34" s="375"/>
      <c r="J34" s="375"/>
    </row>
    <row r="35" spans="1:10" ht="12.75" customHeight="1" x14ac:dyDescent="0.2">
      <c r="A35" s="2779"/>
      <c r="B35" s="2779"/>
      <c r="C35" s="2779"/>
      <c r="D35" s="2779"/>
      <c r="E35" s="2779"/>
      <c r="F35" s="2779"/>
      <c r="G35" s="2779"/>
      <c r="H35" s="2779"/>
      <c r="I35" s="375"/>
      <c r="J35" s="375"/>
    </row>
    <row r="39" spans="1:10" x14ac:dyDescent="0.2">
      <c r="C39" s="2135"/>
    </row>
    <row r="40" spans="1:10" x14ac:dyDescent="0.2">
      <c r="C40" s="2135"/>
    </row>
  </sheetData>
  <mergeCells count="4">
    <mergeCell ref="A1:H2"/>
    <mergeCell ref="A21:D21"/>
    <mergeCell ref="A34:H35"/>
    <mergeCell ref="A29:D30"/>
  </mergeCells>
  <phoneticPr fontId="34" type="noConversion"/>
  <pageMargins left="0.98425196850393704" right="0.98425196850393704" top="0.98425196850393704" bottom="0.98425196850393704" header="0.51181102362204722" footer="0.51181102362204722"/>
  <pageSetup paperSize="9" scale="70" firstPageNumber="185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 enableFormatConditionsCalculation="0">
    <tabColor indexed="33"/>
  </sheetPr>
  <dimension ref="A1:N66"/>
  <sheetViews>
    <sheetView showGridLines="0" topLeftCell="B52" zoomScaleNormal="100" workbookViewId="0">
      <selection activeCell="D63" sqref="D62:D64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4" customWidth="1"/>
  </cols>
  <sheetData>
    <row r="1" spans="1:8" s="74" customFormat="1" ht="18.75" thickBot="1" x14ac:dyDescent="0.3">
      <c r="A1" s="77" t="s">
        <v>376</v>
      </c>
      <c r="B1" s="77"/>
      <c r="C1" s="77"/>
      <c r="D1" s="77"/>
      <c r="E1" s="79"/>
      <c r="F1" s="79" t="s">
        <v>716</v>
      </c>
      <c r="G1" s="80"/>
      <c r="H1" s="216"/>
    </row>
    <row r="3" spans="1:8" ht="14.25" x14ac:dyDescent="0.2">
      <c r="A3" s="65" t="s">
        <v>367</v>
      </c>
      <c r="B3" s="65"/>
      <c r="C3" s="65" t="s">
        <v>368</v>
      </c>
      <c r="D3" s="65"/>
    </row>
    <row r="4" spans="1:8" ht="14.25" x14ac:dyDescent="0.2">
      <c r="A4" s="65"/>
      <c r="B4" s="65"/>
      <c r="C4" s="65" t="s">
        <v>341</v>
      </c>
      <c r="D4" s="65"/>
    </row>
    <row r="6" spans="1:8" ht="15.75" x14ac:dyDescent="0.25">
      <c r="A6" s="73" t="s">
        <v>884</v>
      </c>
    </row>
    <row r="7" spans="1:8" ht="13.5" thickBot="1" x14ac:dyDescent="0.25">
      <c r="H7" s="114" t="s">
        <v>161</v>
      </c>
    </row>
    <row r="8" spans="1:8" s="24" customFormat="1" ht="20.25" customHeight="1" thickTop="1" thickBot="1" x14ac:dyDescent="0.25">
      <c r="A8" s="21" t="s">
        <v>162</v>
      </c>
      <c r="B8" s="22" t="s">
        <v>163</v>
      </c>
      <c r="C8" s="46" t="s">
        <v>705</v>
      </c>
      <c r="D8" s="46" t="s">
        <v>164</v>
      </c>
      <c r="E8" s="46" t="s">
        <v>165</v>
      </c>
      <c r="F8" s="46" t="s">
        <v>881</v>
      </c>
      <c r="G8" s="46" t="s">
        <v>882</v>
      </c>
      <c r="H8" s="204" t="s">
        <v>883</v>
      </c>
    </row>
    <row r="9" spans="1:8" s="107" customFormat="1" ht="15.75" customHeight="1" thickTop="1" x14ac:dyDescent="0.25">
      <c r="A9" s="235">
        <v>6113</v>
      </c>
      <c r="B9" s="219">
        <v>5169</v>
      </c>
      <c r="C9" s="236"/>
      <c r="D9" s="221" t="s">
        <v>852</v>
      </c>
      <c r="E9" s="227">
        <v>36</v>
      </c>
      <c r="F9" s="148">
        <f>E9+F11</f>
        <v>40</v>
      </c>
      <c r="G9" s="148">
        <v>24</v>
      </c>
      <c r="H9" s="240">
        <f>(G9/F9)*100</f>
        <v>60</v>
      </c>
    </row>
    <row r="10" spans="1:8" s="107" customFormat="1" ht="15.75" customHeight="1" x14ac:dyDescent="0.25">
      <c r="A10" s="223"/>
      <c r="B10" s="96"/>
      <c r="C10" s="175"/>
      <c r="D10" s="224" t="s">
        <v>390</v>
      </c>
      <c r="E10" s="149"/>
      <c r="F10" s="60"/>
      <c r="G10" s="60"/>
      <c r="H10" s="212"/>
    </row>
    <row r="11" spans="1:8" s="107" customFormat="1" ht="15.75" customHeight="1" x14ac:dyDescent="0.25">
      <c r="A11" s="238"/>
      <c r="B11" s="95"/>
      <c r="C11" s="176"/>
      <c r="D11" s="172" t="s">
        <v>273</v>
      </c>
      <c r="E11" s="218"/>
      <c r="F11" s="97">
        <v>4</v>
      </c>
      <c r="G11" s="126"/>
      <c r="H11" s="248"/>
    </row>
    <row r="12" spans="1:8" s="107" customFormat="1" ht="15.75" customHeight="1" x14ac:dyDescent="0.25">
      <c r="A12" s="223">
        <v>6113</v>
      </c>
      <c r="B12" s="96">
        <v>5499</v>
      </c>
      <c r="C12" s="175"/>
      <c r="D12" s="68" t="s">
        <v>375</v>
      </c>
      <c r="E12" s="149">
        <v>29</v>
      </c>
      <c r="F12" s="60">
        <f>E12+F14</f>
        <v>25</v>
      </c>
      <c r="G12" s="60">
        <v>7</v>
      </c>
      <c r="H12" s="212">
        <f>(G12/F12)*100</f>
        <v>28.000000000000004</v>
      </c>
    </row>
    <row r="13" spans="1:8" s="107" customFormat="1" ht="15.75" customHeight="1" x14ac:dyDescent="0.25">
      <c r="A13" s="223"/>
      <c r="B13" s="96"/>
      <c r="C13" s="175"/>
      <c r="D13" s="90" t="s">
        <v>894</v>
      </c>
      <c r="E13" s="149"/>
      <c r="F13" s="60"/>
      <c r="G13" s="60"/>
      <c r="H13" s="212"/>
    </row>
    <row r="14" spans="1:8" s="107" customFormat="1" ht="15.75" customHeight="1" x14ac:dyDescent="0.25">
      <c r="A14" s="238"/>
      <c r="B14" s="95"/>
      <c r="C14" s="176"/>
      <c r="D14" s="172" t="s">
        <v>773</v>
      </c>
      <c r="E14" s="218"/>
      <c r="F14" s="97">
        <v>-4</v>
      </c>
      <c r="G14" s="126"/>
      <c r="H14" s="248"/>
    </row>
    <row r="15" spans="1:8" s="107" customFormat="1" ht="15.75" customHeight="1" x14ac:dyDescent="0.25">
      <c r="A15" s="251">
        <v>6113</v>
      </c>
      <c r="B15" s="220">
        <v>5901</v>
      </c>
      <c r="C15" s="252"/>
      <c r="D15" s="109" t="s">
        <v>602</v>
      </c>
      <c r="E15" s="187">
        <v>90</v>
      </c>
      <c r="F15" s="186">
        <v>90</v>
      </c>
      <c r="G15" s="186">
        <v>0</v>
      </c>
      <c r="H15" s="257">
        <v>0</v>
      </c>
    </row>
    <row r="16" spans="1:8" s="107" customFormat="1" ht="15.75" customHeight="1" x14ac:dyDescent="0.25">
      <c r="A16" s="223">
        <v>6172</v>
      </c>
      <c r="B16" s="96">
        <v>5137</v>
      </c>
      <c r="C16" s="175"/>
      <c r="D16" s="68" t="s">
        <v>774</v>
      </c>
      <c r="E16" s="149"/>
      <c r="F16" s="60">
        <v>10</v>
      </c>
      <c r="G16" s="60">
        <v>6</v>
      </c>
      <c r="H16" s="212">
        <f>(G16/F16)*100</f>
        <v>60</v>
      </c>
    </row>
    <row r="17" spans="1:8" s="108" customFormat="1" ht="15.75" customHeight="1" x14ac:dyDescent="0.25">
      <c r="A17" s="223"/>
      <c r="B17" s="96"/>
      <c r="C17" s="175"/>
      <c r="D17" s="224" t="s">
        <v>390</v>
      </c>
      <c r="E17" s="149"/>
      <c r="F17" s="60"/>
      <c r="G17" s="60"/>
      <c r="H17" s="212"/>
    </row>
    <row r="18" spans="1:8" s="108" customFormat="1" ht="15.75" customHeight="1" x14ac:dyDescent="0.25">
      <c r="A18" s="238"/>
      <c r="B18" s="95"/>
      <c r="C18" s="176"/>
      <c r="D18" s="172" t="s">
        <v>775</v>
      </c>
      <c r="E18" s="218"/>
      <c r="F18" s="97">
        <v>10</v>
      </c>
      <c r="G18" s="126"/>
      <c r="H18" s="248"/>
    </row>
    <row r="19" spans="1:8" s="107" customFormat="1" ht="15.75" customHeight="1" x14ac:dyDescent="0.25">
      <c r="A19" s="223">
        <v>6172</v>
      </c>
      <c r="B19" s="96">
        <v>5139</v>
      </c>
      <c r="C19" s="175"/>
      <c r="D19" s="68" t="s">
        <v>625</v>
      </c>
      <c r="E19" s="149"/>
      <c r="F19" s="60">
        <v>1</v>
      </c>
      <c r="G19" s="60">
        <v>0</v>
      </c>
      <c r="H19" s="212">
        <v>0</v>
      </c>
    </row>
    <row r="20" spans="1:8" s="107" customFormat="1" ht="15.75" customHeight="1" x14ac:dyDescent="0.25">
      <c r="A20" s="223"/>
      <c r="B20" s="96"/>
      <c r="C20" s="175"/>
      <c r="D20" s="224" t="s">
        <v>390</v>
      </c>
      <c r="E20" s="149"/>
      <c r="F20" s="124"/>
      <c r="G20" s="60"/>
      <c r="H20" s="212"/>
    </row>
    <row r="21" spans="1:8" s="107" customFormat="1" ht="15.75" customHeight="1" x14ac:dyDescent="0.25">
      <c r="A21" s="238"/>
      <c r="B21" s="95"/>
      <c r="C21" s="176"/>
      <c r="D21" s="172" t="s">
        <v>912</v>
      </c>
      <c r="E21" s="218"/>
      <c r="F21" s="97">
        <v>1</v>
      </c>
      <c r="G21" s="126"/>
      <c r="H21" s="248"/>
    </row>
    <row r="22" spans="1:8" s="107" customFormat="1" ht="15.75" customHeight="1" x14ac:dyDescent="0.25">
      <c r="A22" s="251">
        <v>6172</v>
      </c>
      <c r="B22" s="220">
        <v>5163</v>
      </c>
      <c r="C22" s="252"/>
      <c r="D22" s="109" t="s">
        <v>892</v>
      </c>
      <c r="E22" s="187">
        <v>30</v>
      </c>
      <c r="F22" s="186">
        <v>30</v>
      </c>
      <c r="G22" s="186">
        <v>17</v>
      </c>
      <c r="H22" s="257">
        <f>(G22/F22)*100</f>
        <v>56.666666666666664</v>
      </c>
    </row>
    <row r="23" spans="1:8" s="107" customFormat="1" ht="15.75" customHeight="1" x14ac:dyDescent="0.25">
      <c r="A23" s="223">
        <v>6172</v>
      </c>
      <c r="B23" s="96">
        <v>5164</v>
      </c>
      <c r="C23" s="175"/>
      <c r="D23" s="68" t="s">
        <v>170</v>
      </c>
      <c r="E23" s="149">
        <v>50</v>
      </c>
      <c r="F23" s="60">
        <f>E23+F25</f>
        <v>75</v>
      </c>
      <c r="G23" s="60">
        <v>70</v>
      </c>
      <c r="H23" s="212">
        <f>(G23/F23)*100</f>
        <v>93.333333333333329</v>
      </c>
    </row>
    <row r="24" spans="1:8" s="107" customFormat="1" ht="15.75" customHeight="1" x14ac:dyDescent="0.25">
      <c r="A24" s="223"/>
      <c r="B24" s="96"/>
      <c r="C24" s="175"/>
      <c r="D24" s="224" t="s">
        <v>390</v>
      </c>
      <c r="E24" s="149"/>
      <c r="F24" s="60"/>
      <c r="G24" s="60"/>
      <c r="H24" s="212"/>
    </row>
    <row r="25" spans="1:8" s="107" customFormat="1" ht="15.75" customHeight="1" x14ac:dyDescent="0.25">
      <c r="A25" s="238"/>
      <c r="B25" s="95"/>
      <c r="C25" s="176"/>
      <c r="D25" s="172" t="s">
        <v>912</v>
      </c>
      <c r="E25" s="218"/>
      <c r="F25" s="97">
        <v>25</v>
      </c>
      <c r="G25" s="126"/>
      <c r="H25" s="248"/>
    </row>
    <row r="26" spans="1:8" s="107" customFormat="1" ht="15.75" customHeight="1" x14ac:dyDescent="0.25">
      <c r="A26" s="223">
        <v>6172</v>
      </c>
      <c r="B26" s="96">
        <v>5169</v>
      </c>
      <c r="C26" s="175"/>
      <c r="D26" s="68" t="s">
        <v>852</v>
      </c>
      <c r="E26" s="149">
        <v>2706</v>
      </c>
      <c r="F26" s="60">
        <f>E26+F28+F29+F32</f>
        <v>2967</v>
      </c>
      <c r="G26" s="60">
        <v>2738</v>
      </c>
      <c r="H26" s="212">
        <f>(G26/F26)*100</f>
        <v>92.281766093697343</v>
      </c>
    </row>
    <row r="27" spans="1:8" s="107" customFormat="1" ht="15.75" customHeight="1" x14ac:dyDescent="0.25">
      <c r="A27" s="223"/>
      <c r="B27" s="96"/>
      <c r="C27" s="175"/>
      <c r="D27" s="224" t="s">
        <v>390</v>
      </c>
      <c r="E27" s="149"/>
      <c r="F27" s="60"/>
      <c r="G27" s="60"/>
      <c r="H27" s="212"/>
    </row>
    <row r="28" spans="1:8" s="107" customFormat="1" ht="15.75" customHeight="1" x14ac:dyDescent="0.25">
      <c r="A28" s="223"/>
      <c r="B28" s="96"/>
      <c r="C28" s="175"/>
      <c r="D28" s="225" t="s">
        <v>913</v>
      </c>
      <c r="E28" s="149"/>
      <c r="F28" s="124">
        <v>523</v>
      </c>
      <c r="G28" s="60"/>
      <c r="H28" s="212"/>
    </row>
    <row r="29" spans="1:8" s="107" customFormat="1" ht="15.75" customHeight="1" x14ac:dyDescent="0.25">
      <c r="A29" s="223"/>
      <c r="B29" s="96"/>
      <c r="C29" s="175"/>
      <c r="D29" s="2783" t="s">
        <v>670</v>
      </c>
      <c r="E29" s="149"/>
      <c r="F29" s="124">
        <v>38</v>
      </c>
      <c r="G29" s="60"/>
      <c r="H29" s="212"/>
    </row>
    <row r="30" spans="1:8" s="107" customFormat="1" ht="15.75" customHeight="1" x14ac:dyDescent="0.25">
      <c r="A30" s="223"/>
      <c r="B30" s="96"/>
      <c r="C30" s="175"/>
      <c r="D30" s="2783"/>
      <c r="E30" s="149"/>
      <c r="F30" s="124"/>
      <c r="G30" s="60"/>
      <c r="H30" s="212"/>
    </row>
    <row r="31" spans="1:8" s="107" customFormat="1" ht="15.75" customHeight="1" x14ac:dyDescent="0.25">
      <c r="A31" s="223"/>
      <c r="B31" s="96"/>
      <c r="C31" s="175"/>
      <c r="D31" s="90" t="s">
        <v>894</v>
      </c>
      <c r="E31" s="149"/>
      <c r="F31" s="124"/>
      <c r="G31" s="60"/>
      <c r="H31" s="212"/>
    </row>
    <row r="32" spans="1:8" s="107" customFormat="1" ht="15.75" customHeight="1" x14ac:dyDescent="0.25">
      <c r="A32" s="238"/>
      <c r="B32" s="95"/>
      <c r="C32" s="176"/>
      <c r="D32" s="249" t="s">
        <v>258</v>
      </c>
      <c r="E32" s="218"/>
      <c r="F32" s="97">
        <v>-300</v>
      </c>
      <c r="G32" s="126"/>
      <c r="H32" s="248"/>
    </row>
    <row r="33" spans="1:8" s="107" customFormat="1" ht="15.75" customHeight="1" x14ac:dyDescent="0.25">
      <c r="A33" s="223">
        <v>6172</v>
      </c>
      <c r="B33" s="96">
        <v>5175</v>
      </c>
      <c r="C33" s="175"/>
      <c r="D33" s="256" t="s">
        <v>669</v>
      </c>
      <c r="E33" s="149"/>
      <c r="F33" s="60">
        <v>150</v>
      </c>
      <c r="G33" s="60">
        <v>136</v>
      </c>
      <c r="H33" s="212">
        <f>(G33/F33)*100</f>
        <v>90.666666666666657</v>
      </c>
    </row>
    <row r="34" spans="1:8" s="107" customFormat="1" ht="15.75" customHeight="1" x14ac:dyDescent="0.25">
      <c r="A34" s="223"/>
      <c r="B34" s="96"/>
      <c r="C34" s="175"/>
      <c r="D34" s="224" t="s">
        <v>390</v>
      </c>
      <c r="E34" s="149"/>
      <c r="F34" s="124"/>
      <c r="G34" s="60"/>
      <c r="H34" s="212"/>
    </row>
    <row r="35" spans="1:8" s="107" customFormat="1" ht="15.75" customHeight="1" x14ac:dyDescent="0.25">
      <c r="A35" s="238"/>
      <c r="B35" s="95"/>
      <c r="C35" s="176"/>
      <c r="D35" s="172" t="s">
        <v>775</v>
      </c>
      <c r="E35" s="218"/>
      <c r="F35" s="97">
        <v>150</v>
      </c>
      <c r="G35" s="126"/>
      <c r="H35" s="248"/>
    </row>
    <row r="36" spans="1:8" s="107" customFormat="1" ht="15.75" customHeight="1" x14ac:dyDescent="0.25">
      <c r="A36" s="223">
        <v>6172</v>
      </c>
      <c r="B36" s="96">
        <v>5194</v>
      </c>
      <c r="C36" s="175"/>
      <c r="D36" s="68" t="s">
        <v>599</v>
      </c>
      <c r="E36" s="149">
        <v>100</v>
      </c>
      <c r="F36" s="60">
        <f>E36+F38</f>
        <v>50</v>
      </c>
      <c r="G36" s="60">
        <v>49</v>
      </c>
      <c r="H36" s="212">
        <f>(G36/F36)*100</f>
        <v>98</v>
      </c>
    </row>
    <row r="37" spans="1:8" s="107" customFormat="1" ht="15.75" customHeight="1" x14ac:dyDescent="0.25">
      <c r="A37" s="223"/>
      <c r="B37" s="96"/>
      <c r="C37" s="175"/>
      <c r="D37" s="90" t="s">
        <v>894</v>
      </c>
      <c r="E37" s="149"/>
      <c r="F37" s="60"/>
      <c r="G37" s="60"/>
      <c r="H37" s="212"/>
    </row>
    <row r="38" spans="1:8" s="107" customFormat="1" ht="15.75" customHeight="1" x14ac:dyDescent="0.25">
      <c r="A38" s="238"/>
      <c r="B38" s="95"/>
      <c r="C38" s="176"/>
      <c r="D38" s="172" t="s">
        <v>913</v>
      </c>
      <c r="E38" s="218"/>
      <c r="F38" s="97">
        <v>-50</v>
      </c>
      <c r="G38" s="126"/>
      <c r="H38" s="248"/>
    </row>
    <row r="39" spans="1:8" s="107" customFormat="1" ht="15.75" customHeight="1" x14ac:dyDescent="0.25">
      <c r="A39" s="223">
        <v>6172</v>
      </c>
      <c r="B39" s="96">
        <v>5499</v>
      </c>
      <c r="C39" s="175"/>
      <c r="D39" s="68" t="s">
        <v>375</v>
      </c>
      <c r="E39" s="149">
        <v>1400</v>
      </c>
      <c r="F39" s="60">
        <f>E39+F41+F44+F42</f>
        <v>1798</v>
      </c>
      <c r="G39" s="60">
        <v>1803</v>
      </c>
      <c r="H39" s="212">
        <f>(G39/F39)*100</f>
        <v>100.27808676307008</v>
      </c>
    </row>
    <row r="40" spans="1:8" s="107" customFormat="1" ht="15.75" customHeight="1" x14ac:dyDescent="0.25">
      <c r="A40" s="223"/>
      <c r="B40" s="96"/>
      <c r="C40" s="175"/>
      <c r="D40" s="224" t="s">
        <v>390</v>
      </c>
      <c r="E40" s="149"/>
      <c r="F40" s="60"/>
      <c r="G40" s="60"/>
      <c r="H40" s="212"/>
    </row>
    <row r="41" spans="1:8" s="107" customFormat="1" ht="15.75" customHeight="1" x14ac:dyDescent="0.25">
      <c r="A41" s="223"/>
      <c r="B41" s="96"/>
      <c r="C41" s="175"/>
      <c r="D41" s="225" t="s">
        <v>913</v>
      </c>
      <c r="E41" s="149"/>
      <c r="F41" s="124">
        <v>214</v>
      </c>
      <c r="G41" s="60"/>
      <c r="H41" s="212"/>
    </row>
    <row r="42" spans="1:8" s="107" customFormat="1" ht="15.75" customHeight="1" x14ac:dyDescent="0.25">
      <c r="A42" s="223"/>
      <c r="B42" s="96"/>
      <c r="C42" s="175"/>
      <c r="D42" s="225" t="s">
        <v>259</v>
      </c>
      <c r="E42" s="149"/>
      <c r="F42" s="124">
        <v>300</v>
      </c>
      <c r="G42" s="60"/>
      <c r="H42" s="212"/>
    </row>
    <row r="43" spans="1:8" s="107" customFormat="1" ht="15.75" customHeight="1" x14ac:dyDescent="0.25">
      <c r="A43" s="223"/>
      <c r="B43" s="96"/>
      <c r="C43" s="175"/>
      <c r="D43" s="90" t="s">
        <v>894</v>
      </c>
      <c r="E43" s="149"/>
      <c r="F43" s="124"/>
      <c r="G43" s="60"/>
      <c r="H43" s="212"/>
    </row>
    <row r="44" spans="1:8" s="107" customFormat="1" ht="15.75" customHeight="1" thickBot="1" x14ac:dyDescent="0.3">
      <c r="A44" s="263"/>
      <c r="B44" s="250"/>
      <c r="C44" s="264"/>
      <c r="D44" s="226" t="s">
        <v>260</v>
      </c>
      <c r="E44" s="265"/>
      <c r="F44" s="184">
        <v>-116</v>
      </c>
      <c r="G44" s="266"/>
      <c r="H44" s="267"/>
    </row>
    <row r="45" spans="1:8" s="107" customFormat="1" ht="15.75" customHeight="1" thickTop="1" x14ac:dyDescent="0.25">
      <c r="A45" s="268"/>
      <c r="B45" s="268"/>
      <c r="C45" s="175"/>
      <c r="D45" s="166"/>
      <c r="E45" s="149"/>
      <c r="F45" s="123"/>
      <c r="G45" s="149"/>
      <c r="H45" s="269"/>
    </row>
    <row r="46" spans="1:8" s="107" customFormat="1" ht="15.75" customHeight="1" x14ac:dyDescent="0.25">
      <c r="A46" s="268"/>
      <c r="B46" s="268"/>
      <c r="C46" s="175"/>
      <c r="D46" s="166"/>
      <c r="E46" s="149"/>
      <c r="F46" s="123"/>
      <c r="G46" s="149"/>
      <c r="H46" s="269"/>
    </row>
    <row r="47" spans="1:8" s="107" customFormat="1" ht="15.75" customHeight="1" x14ac:dyDescent="0.25">
      <c r="A47" s="268"/>
      <c r="B47" s="268"/>
      <c r="C47" s="175"/>
      <c r="D47" s="166"/>
      <c r="E47" s="149"/>
      <c r="F47" s="123"/>
      <c r="G47" s="149"/>
      <c r="H47" s="269"/>
    </row>
    <row r="48" spans="1:8" s="107" customFormat="1" ht="15.75" customHeight="1" x14ac:dyDescent="0.25">
      <c r="A48" s="268"/>
      <c r="B48" s="268"/>
      <c r="C48" s="175"/>
      <c r="D48" s="166"/>
      <c r="E48" s="149"/>
      <c r="F48" s="123"/>
      <c r="G48" s="149"/>
      <c r="H48" s="269"/>
    </row>
    <row r="49" spans="1:8" s="107" customFormat="1" ht="15.75" customHeight="1" x14ac:dyDescent="0.25">
      <c r="A49" s="268"/>
      <c r="B49" s="268"/>
      <c r="C49" s="175"/>
      <c r="D49" s="166"/>
      <c r="E49" s="149"/>
      <c r="F49" s="123"/>
      <c r="G49" s="149"/>
      <c r="H49" s="269"/>
    </row>
    <row r="50" spans="1:8" s="107" customFormat="1" ht="15.75" customHeight="1" x14ac:dyDescent="0.25">
      <c r="A50" s="268"/>
      <c r="B50" s="268"/>
      <c r="C50" s="175"/>
      <c r="D50" s="166"/>
      <c r="E50" s="149"/>
      <c r="F50" s="123"/>
      <c r="G50" s="149"/>
      <c r="H50" s="269"/>
    </row>
    <row r="51" spans="1:8" s="107" customFormat="1" ht="15.75" customHeight="1" x14ac:dyDescent="0.25">
      <c r="A51" s="268"/>
      <c r="B51" s="268"/>
      <c r="C51" s="175"/>
      <c r="D51" s="166"/>
      <c r="E51" s="149"/>
      <c r="F51" s="123"/>
      <c r="G51" s="149"/>
      <c r="H51" s="269"/>
    </row>
    <row r="52" spans="1:8" s="107" customFormat="1" ht="15.75" customHeight="1" x14ac:dyDescent="0.25">
      <c r="A52" s="268"/>
      <c r="B52" s="268"/>
      <c r="C52" s="175"/>
      <c r="D52" s="166"/>
      <c r="E52" s="149"/>
      <c r="F52" s="123"/>
      <c r="G52" s="149"/>
      <c r="H52" s="269"/>
    </row>
    <row r="53" spans="1:8" s="107" customFormat="1" ht="15.75" customHeight="1" x14ac:dyDescent="0.25">
      <c r="A53" s="268"/>
      <c r="B53" s="268"/>
      <c r="C53" s="175"/>
      <c r="D53" s="166"/>
      <c r="E53" s="149"/>
      <c r="F53" s="123"/>
      <c r="G53" s="149"/>
      <c r="H53" s="269"/>
    </row>
    <row r="54" spans="1:8" s="107" customFormat="1" ht="15.75" customHeight="1" x14ac:dyDescent="0.25">
      <c r="A54" s="268"/>
      <c r="B54" s="268"/>
      <c r="C54" s="175"/>
      <c r="D54" s="166"/>
      <c r="E54" s="149"/>
      <c r="F54" s="123"/>
      <c r="G54" s="149"/>
      <c r="H54" s="269"/>
    </row>
    <row r="55" spans="1:8" ht="13.5" thickBot="1" x14ac:dyDescent="0.25">
      <c r="H55" s="114" t="s">
        <v>161</v>
      </c>
    </row>
    <row r="56" spans="1:8" s="24" customFormat="1" ht="20.25" customHeight="1" thickTop="1" thickBot="1" x14ac:dyDescent="0.25">
      <c r="A56" s="21" t="s">
        <v>162</v>
      </c>
      <c r="B56" s="22" t="s">
        <v>163</v>
      </c>
      <c r="C56" s="46" t="s">
        <v>705</v>
      </c>
      <c r="D56" s="46" t="s">
        <v>164</v>
      </c>
      <c r="E56" s="46" t="s">
        <v>165</v>
      </c>
      <c r="F56" s="46" t="s">
        <v>881</v>
      </c>
      <c r="G56" s="46" t="s">
        <v>882</v>
      </c>
      <c r="H56" s="204" t="s">
        <v>883</v>
      </c>
    </row>
    <row r="57" spans="1:8" s="107" customFormat="1" ht="15.75" customHeight="1" thickTop="1" x14ac:dyDescent="0.25">
      <c r="A57" s="223">
        <v>6172</v>
      </c>
      <c r="B57" s="96">
        <v>5901</v>
      </c>
      <c r="C57" s="175"/>
      <c r="D57" s="68" t="s">
        <v>602</v>
      </c>
      <c r="E57" s="149">
        <v>129</v>
      </c>
      <c r="F57" s="60">
        <f>E57+F59+F60+F63+F61</f>
        <v>125</v>
      </c>
      <c r="G57" s="60">
        <v>0</v>
      </c>
      <c r="H57" s="211">
        <v>0</v>
      </c>
    </row>
    <row r="58" spans="1:8" s="107" customFormat="1" ht="15.75" customHeight="1" x14ac:dyDescent="0.25">
      <c r="A58" s="223"/>
      <c r="B58" s="96"/>
      <c r="C58" s="175"/>
      <c r="D58" s="90" t="s">
        <v>894</v>
      </c>
      <c r="E58" s="149"/>
      <c r="F58" s="60"/>
      <c r="G58" s="60"/>
      <c r="H58" s="258"/>
    </row>
    <row r="59" spans="1:8" s="107" customFormat="1" ht="15.75" customHeight="1" x14ac:dyDescent="0.25">
      <c r="A59" s="223"/>
      <c r="B59" s="96"/>
      <c r="C59" s="175"/>
      <c r="D59" s="225" t="s">
        <v>913</v>
      </c>
      <c r="E59" s="149"/>
      <c r="F59" s="124">
        <v>-5</v>
      </c>
      <c r="G59" s="60"/>
      <c r="H59" s="258"/>
    </row>
    <row r="60" spans="1:8" s="107" customFormat="1" ht="15.75" customHeight="1" x14ac:dyDescent="0.25">
      <c r="A60" s="223"/>
      <c r="B60" s="96"/>
      <c r="C60" s="175"/>
      <c r="D60" s="225" t="s">
        <v>261</v>
      </c>
      <c r="E60" s="149"/>
      <c r="F60" s="124">
        <v>-160</v>
      </c>
      <c r="G60" s="60"/>
      <c r="H60" s="258"/>
    </row>
    <row r="61" spans="1:8" s="107" customFormat="1" ht="15.75" customHeight="1" x14ac:dyDescent="0.25">
      <c r="A61" s="223"/>
      <c r="B61" s="96"/>
      <c r="C61" s="175"/>
      <c r="D61" s="225" t="s">
        <v>207</v>
      </c>
      <c r="E61" s="149"/>
      <c r="F61" s="124">
        <v>-26</v>
      </c>
      <c r="G61" s="60"/>
      <c r="H61" s="258"/>
    </row>
    <row r="62" spans="1:8" s="107" customFormat="1" ht="15.75" customHeight="1" x14ac:dyDescent="0.25">
      <c r="A62" s="223"/>
      <c r="B62" s="96"/>
      <c r="C62" s="175"/>
      <c r="D62" s="224" t="s">
        <v>390</v>
      </c>
      <c r="E62" s="149"/>
      <c r="F62" s="124"/>
      <c r="G62" s="60"/>
      <c r="H62" s="258"/>
    </row>
    <row r="63" spans="1:8" s="107" customFormat="1" ht="15.75" customHeight="1" x14ac:dyDescent="0.25">
      <c r="A63" s="223"/>
      <c r="B63" s="96"/>
      <c r="C63" s="175"/>
      <c r="D63" s="2783" t="s">
        <v>670</v>
      </c>
      <c r="E63" s="149"/>
      <c r="F63" s="124">
        <v>187</v>
      </c>
      <c r="G63" s="60"/>
      <c r="H63" s="258"/>
    </row>
    <row r="64" spans="1:8" s="78" customFormat="1" ht="20.25" customHeight="1" x14ac:dyDescent="0.25">
      <c r="A64" s="238"/>
      <c r="B64" s="95"/>
      <c r="C64" s="176"/>
      <c r="D64" s="2784"/>
      <c r="E64" s="218"/>
      <c r="F64" s="97"/>
      <c r="G64" s="126"/>
      <c r="H64" s="259"/>
    </row>
    <row r="65" spans="1:14" s="45" customFormat="1" ht="47.25" customHeight="1" thickBot="1" x14ac:dyDescent="0.4">
      <c r="A65" s="40" t="s">
        <v>1191</v>
      </c>
      <c r="B65" s="41"/>
      <c r="C65" s="42"/>
      <c r="D65" s="43"/>
      <c r="E65" s="44">
        <f>SUM(E9,E12,E15,E22,E23,E26,E36,E39,E57)</f>
        <v>4570</v>
      </c>
      <c r="F65" s="44">
        <f>SUM(F9,F12,F15,F16,F19,F22,F23,,F26,F33,F36,F39,F57)</f>
        <v>5361</v>
      </c>
      <c r="G65" s="44">
        <f>SUM(G9,G12,G15,G16,G19,G22,G23,,G26,G33,G36,G39,G57)</f>
        <v>4850</v>
      </c>
      <c r="H65" s="301">
        <f>(G65/F65)*100</f>
        <v>90.468196232046267</v>
      </c>
      <c r="I65" s="81"/>
      <c r="J65" s="82"/>
      <c r="K65" s="82"/>
      <c r="L65" s="82"/>
      <c r="M65" s="82"/>
      <c r="N65" s="82"/>
    </row>
    <row r="66" spans="1:14" ht="13.5" thickTop="1" x14ac:dyDescent="0.2"/>
  </sheetData>
  <mergeCells count="2">
    <mergeCell ref="D29:D30"/>
    <mergeCell ref="D63:D64"/>
  </mergeCells>
  <phoneticPr fontId="34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 enableFormatConditionsCalculation="0">
    <tabColor indexed="33"/>
  </sheetPr>
  <dimension ref="A1:N40"/>
  <sheetViews>
    <sheetView showGridLines="0" topLeftCell="A34" zoomScaleNormal="100" workbookViewId="0">
      <selection activeCell="G2" sqref="G2"/>
    </sheetView>
  </sheetViews>
  <sheetFormatPr defaultRowHeight="12.75" x14ac:dyDescent="0.2"/>
  <cols>
    <col min="1" max="2" width="4.7109375" customWidth="1"/>
    <col min="3" max="3" width="6.7109375" customWidth="1"/>
    <col min="4" max="4" width="47.28515625" customWidth="1"/>
    <col min="5" max="7" width="13.5703125" style="12" customWidth="1"/>
    <col min="8" max="8" width="6.7109375" style="114" customWidth="1"/>
  </cols>
  <sheetData>
    <row r="1" spans="1:8" s="74" customFormat="1" ht="18" x14ac:dyDescent="0.25">
      <c r="A1" s="270" t="s">
        <v>266</v>
      </c>
      <c r="B1" s="271"/>
      <c r="C1" s="271"/>
      <c r="D1" s="272"/>
      <c r="E1" s="273"/>
      <c r="F1" s="274"/>
      <c r="G1" s="274"/>
      <c r="H1" s="216"/>
    </row>
    <row r="2" spans="1:8" ht="18" x14ac:dyDescent="0.25">
      <c r="A2" s="275" t="s">
        <v>658</v>
      </c>
      <c r="B2" s="276"/>
      <c r="C2" s="276"/>
      <c r="D2" s="277"/>
      <c r="E2" s="278"/>
      <c r="F2" s="278"/>
      <c r="G2" s="300" t="s">
        <v>659</v>
      </c>
    </row>
    <row r="3" spans="1:8" s="92" customFormat="1" ht="18" x14ac:dyDescent="0.25">
      <c r="A3" s="279"/>
      <c r="B3" s="280"/>
      <c r="C3" s="280"/>
      <c r="D3" s="281"/>
      <c r="E3" s="282"/>
      <c r="F3" s="282"/>
      <c r="G3" s="283"/>
      <c r="H3" s="284"/>
    </row>
    <row r="4" spans="1:8" ht="14.25" x14ac:dyDescent="0.2">
      <c r="A4" s="67" t="s">
        <v>367</v>
      </c>
      <c r="B4" s="28"/>
      <c r="C4" s="143" t="s">
        <v>332</v>
      </c>
      <c r="D4" s="14"/>
    </row>
    <row r="5" spans="1:8" ht="18" x14ac:dyDescent="0.25">
      <c r="A5" s="6"/>
      <c r="B5" s="28"/>
      <c r="C5" s="143" t="s">
        <v>622</v>
      </c>
      <c r="D5" s="135"/>
    </row>
    <row r="7" spans="1:8" ht="15.75" x14ac:dyDescent="0.25">
      <c r="A7" s="73" t="s">
        <v>884</v>
      </c>
    </row>
    <row r="8" spans="1:8" ht="13.5" thickBot="1" x14ac:dyDescent="0.25">
      <c r="H8" s="114" t="s">
        <v>161</v>
      </c>
    </row>
    <row r="9" spans="1:8" s="24" customFormat="1" ht="20.25" customHeight="1" thickTop="1" thickBot="1" x14ac:dyDescent="0.25">
      <c r="A9" s="21" t="s">
        <v>162</v>
      </c>
      <c r="B9" s="22" t="s">
        <v>163</v>
      </c>
      <c r="C9" s="46" t="s">
        <v>705</v>
      </c>
      <c r="D9" s="46" t="s">
        <v>164</v>
      </c>
      <c r="E9" s="46" t="s">
        <v>165</v>
      </c>
      <c r="F9" s="46" t="s">
        <v>881</v>
      </c>
      <c r="G9" s="46" t="s">
        <v>882</v>
      </c>
      <c r="H9" s="204" t="s">
        <v>883</v>
      </c>
    </row>
    <row r="10" spans="1:8" s="107" customFormat="1" ht="15.75" customHeight="1" thickTop="1" x14ac:dyDescent="0.25">
      <c r="A10" s="235">
        <v>2310</v>
      </c>
      <c r="B10" s="219">
        <v>6341</v>
      </c>
      <c r="C10" s="229"/>
      <c r="D10" s="221" t="s">
        <v>299</v>
      </c>
      <c r="E10" s="292"/>
      <c r="F10" s="88">
        <v>18393</v>
      </c>
      <c r="G10" s="88">
        <v>18268</v>
      </c>
      <c r="H10" s="285">
        <f>(G10/F10)*100</f>
        <v>99.320393628010663</v>
      </c>
    </row>
    <row r="11" spans="1:8" s="107" customFormat="1" ht="15.75" customHeight="1" x14ac:dyDescent="0.25">
      <c r="A11" s="286"/>
      <c r="B11" s="290"/>
      <c r="C11" s="291"/>
      <c r="D11" s="90" t="s">
        <v>390</v>
      </c>
      <c r="E11" s="293"/>
      <c r="F11" s="253"/>
      <c r="G11" s="55"/>
      <c r="H11" s="287"/>
    </row>
    <row r="12" spans="1:8" s="107" customFormat="1" ht="15.75" customHeight="1" x14ac:dyDescent="0.25">
      <c r="A12" s="295"/>
      <c r="B12" s="296"/>
      <c r="C12" s="230">
        <v>551</v>
      </c>
      <c r="D12" s="118" t="s">
        <v>660</v>
      </c>
      <c r="E12" s="297"/>
      <c r="F12" s="89">
        <v>18393</v>
      </c>
      <c r="G12" s="89"/>
      <c r="H12" s="239"/>
    </row>
    <row r="13" spans="1:8" s="107" customFormat="1" ht="15.75" customHeight="1" x14ac:dyDescent="0.25">
      <c r="A13" s="223">
        <v>2321</v>
      </c>
      <c r="B13" s="96">
        <v>6341</v>
      </c>
      <c r="C13" s="232"/>
      <c r="D13" s="68" t="s">
        <v>299</v>
      </c>
      <c r="E13" s="293"/>
      <c r="F13" s="71">
        <f>F15+F17</f>
        <v>26627</v>
      </c>
      <c r="G13" s="71">
        <v>26627</v>
      </c>
      <c r="H13" s="255">
        <f>(G13/F13)*100</f>
        <v>100</v>
      </c>
    </row>
    <row r="14" spans="1:8" s="107" customFormat="1" ht="15.75" customHeight="1" x14ac:dyDescent="0.25">
      <c r="A14" s="286"/>
      <c r="B14" s="290"/>
      <c r="C14" s="291"/>
      <c r="D14" s="90" t="s">
        <v>390</v>
      </c>
      <c r="E14" s="293"/>
      <c r="F14" s="253"/>
      <c r="G14" s="55"/>
      <c r="H14" s="287"/>
    </row>
    <row r="15" spans="1:8" s="107" customFormat="1" ht="15.75" customHeight="1" x14ac:dyDescent="0.25">
      <c r="A15" s="286"/>
      <c r="B15" s="290"/>
      <c r="C15" s="231">
        <v>551</v>
      </c>
      <c r="D15" s="117" t="s">
        <v>660</v>
      </c>
      <c r="E15" s="293"/>
      <c r="F15" s="55">
        <v>28652</v>
      </c>
      <c r="G15" s="55"/>
      <c r="H15" s="237"/>
    </row>
    <row r="16" spans="1:8" s="107" customFormat="1" ht="15.75" customHeight="1" x14ac:dyDescent="0.25">
      <c r="A16" s="286"/>
      <c r="B16" s="290"/>
      <c r="C16" s="231"/>
      <c r="D16" s="90" t="s">
        <v>894</v>
      </c>
      <c r="E16" s="293"/>
      <c r="F16" s="55"/>
      <c r="G16" s="55"/>
      <c r="H16" s="237"/>
    </row>
    <row r="17" spans="1:8" s="107" customFormat="1" ht="15.75" customHeight="1" x14ac:dyDescent="0.25">
      <c r="A17" s="295"/>
      <c r="B17" s="296"/>
      <c r="C17" s="230">
        <v>551</v>
      </c>
      <c r="D17" s="118" t="s">
        <v>661</v>
      </c>
      <c r="E17" s="297"/>
      <c r="F17" s="89">
        <v>-2025</v>
      </c>
      <c r="G17" s="89"/>
      <c r="H17" s="239"/>
    </row>
    <row r="18" spans="1:8" s="108" customFormat="1" ht="15.75" customHeight="1" x14ac:dyDescent="0.25">
      <c r="A18" s="223">
        <v>2334</v>
      </c>
      <c r="B18" s="96">
        <v>6341</v>
      </c>
      <c r="C18" s="232"/>
      <c r="D18" s="68" t="s">
        <v>299</v>
      </c>
      <c r="E18" s="293"/>
      <c r="F18" s="71">
        <v>1703</v>
      </c>
      <c r="G18" s="71">
        <v>1640</v>
      </c>
      <c r="H18" s="255">
        <f>(G18/F18)*100</f>
        <v>96.300645918966538</v>
      </c>
    </row>
    <row r="19" spans="1:8" s="108" customFormat="1" ht="15.75" customHeight="1" x14ac:dyDescent="0.25">
      <c r="A19" s="286"/>
      <c r="B19" s="290"/>
      <c r="C19" s="291"/>
      <c r="D19" s="90" t="s">
        <v>390</v>
      </c>
      <c r="E19" s="293"/>
      <c r="F19" s="55"/>
      <c r="G19" s="55"/>
      <c r="H19" s="287"/>
    </row>
    <row r="20" spans="1:8" s="107" customFormat="1" ht="15.75" customHeight="1" x14ac:dyDescent="0.25">
      <c r="A20" s="295"/>
      <c r="B20" s="296"/>
      <c r="C20" s="230">
        <v>551</v>
      </c>
      <c r="D20" s="118" t="s">
        <v>660</v>
      </c>
      <c r="E20" s="297"/>
      <c r="F20" s="89">
        <v>1703</v>
      </c>
      <c r="G20" s="89"/>
      <c r="H20" s="239"/>
    </row>
    <row r="21" spans="1:8" s="107" customFormat="1" ht="15.75" customHeight="1" x14ac:dyDescent="0.25">
      <c r="A21" s="223">
        <v>2399</v>
      </c>
      <c r="B21" s="96">
        <v>6341</v>
      </c>
      <c r="C21" s="232"/>
      <c r="D21" s="68" t="s">
        <v>299</v>
      </c>
      <c r="E21" s="149">
        <v>40000</v>
      </c>
      <c r="F21" s="60">
        <f>E21+F23+F24+F29+F25+F26+F32+F27</f>
        <v>27789</v>
      </c>
      <c r="G21" s="60">
        <v>0</v>
      </c>
      <c r="H21" s="298">
        <v>0</v>
      </c>
    </row>
    <row r="22" spans="1:8" s="107" customFormat="1" ht="15.75" customHeight="1" x14ac:dyDescent="0.25">
      <c r="A22" s="223"/>
      <c r="B22" s="96"/>
      <c r="C22" s="232"/>
      <c r="D22" s="90" t="s">
        <v>894</v>
      </c>
      <c r="E22" s="149"/>
      <c r="F22" s="60"/>
      <c r="G22" s="60"/>
      <c r="H22" s="288"/>
    </row>
    <row r="23" spans="1:8" s="107" customFormat="1" ht="15.75" customHeight="1" x14ac:dyDescent="0.25">
      <c r="A23" s="223"/>
      <c r="B23" s="96"/>
      <c r="C23" s="232"/>
      <c r="D23" s="91" t="s">
        <v>1306</v>
      </c>
      <c r="E23" s="149"/>
      <c r="F23" s="124">
        <v>-31543</v>
      </c>
      <c r="G23" s="60"/>
      <c r="H23" s="288"/>
    </row>
    <row r="24" spans="1:8" s="107" customFormat="1" ht="15.75" customHeight="1" x14ac:dyDescent="0.25">
      <c r="A24" s="223"/>
      <c r="B24" s="96"/>
      <c r="C24" s="232"/>
      <c r="D24" s="91" t="s">
        <v>1307</v>
      </c>
      <c r="E24" s="149"/>
      <c r="F24" s="124">
        <v>-102</v>
      </c>
      <c r="G24" s="60"/>
      <c r="H24" s="288"/>
    </row>
    <row r="25" spans="1:8" s="107" customFormat="1" ht="15.75" customHeight="1" x14ac:dyDescent="0.25">
      <c r="A25" s="223"/>
      <c r="B25" s="96"/>
      <c r="C25" s="232"/>
      <c r="D25" s="91" t="s">
        <v>289</v>
      </c>
      <c r="E25" s="149"/>
      <c r="F25" s="124">
        <v>-282</v>
      </c>
      <c r="G25" s="60"/>
      <c r="H25" s="288"/>
    </row>
    <row r="26" spans="1:8" s="107" customFormat="1" ht="15.75" customHeight="1" x14ac:dyDescent="0.25">
      <c r="A26" s="223"/>
      <c r="B26" s="96"/>
      <c r="C26" s="232"/>
      <c r="D26" s="91" t="s">
        <v>290</v>
      </c>
      <c r="E26" s="149"/>
      <c r="F26" s="124">
        <v>-48748</v>
      </c>
      <c r="G26" s="60"/>
      <c r="H26" s="288"/>
    </row>
    <row r="27" spans="1:8" s="107" customFormat="1" ht="15.75" customHeight="1" x14ac:dyDescent="0.25">
      <c r="A27" s="223"/>
      <c r="B27" s="96"/>
      <c r="C27" s="232"/>
      <c r="D27" s="91" t="s">
        <v>291</v>
      </c>
      <c r="E27" s="149"/>
      <c r="F27" s="124">
        <v>-41</v>
      </c>
      <c r="G27" s="60"/>
      <c r="H27" s="288"/>
    </row>
    <row r="28" spans="1:8" s="107" customFormat="1" ht="15.75" customHeight="1" x14ac:dyDescent="0.25">
      <c r="A28" s="223"/>
      <c r="B28" s="96"/>
      <c r="C28" s="232"/>
      <c r="D28" s="90" t="s">
        <v>390</v>
      </c>
      <c r="E28" s="149"/>
      <c r="F28" s="124"/>
      <c r="G28" s="60"/>
      <c r="H28" s="288"/>
    </row>
    <row r="29" spans="1:8" s="107" customFormat="1" ht="14.25" customHeight="1" x14ac:dyDescent="0.25">
      <c r="A29" s="223"/>
      <c r="B29" s="96"/>
      <c r="C29" s="175"/>
      <c r="D29" s="2636" t="s">
        <v>469</v>
      </c>
      <c r="E29" s="185"/>
      <c r="F29" s="124">
        <v>66480</v>
      </c>
      <c r="G29" s="60"/>
      <c r="H29" s="288"/>
    </row>
    <row r="30" spans="1:8" s="107" customFormat="1" ht="14.25" customHeight="1" x14ac:dyDescent="0.25">
      <c r="A30" s="223"/>
      <c r="B30" s="96"/>
      <c r="C30" s="175"/>
      <c r="D30" s="2636"/>
      <c r="E30" s="185"/>
      <c r="F30" s="124"/>
      <c r="G30" s="60"/>
      <c r="H30" s="288"/>
    </row>
    <row r="31" spans="1:8" s="107" customFormat="1" ht="14.25" customHeight="1" x14ac:dyDescent="0.25">
      <c r="A31" s="223"/>
      <c r="B31" s="96"/>
      <c r="C31" s="175"/>
      <c r="D31" s="2645"/>
      <c r="E31" s="185"/>
      <c r="F31" s="124"/>
      <c r="G31" s="60"/>
      <c r="H31" s="288"/>
    </row>
    <row r="32" spans="1:8" s="107" customFormat="1" ht="15.75" customHeight="1" x14ac:dyDescent="0.25">
      <c r="A32" s="238"/>
      <c r="B32" s="95"/>
      <c r="C32" s="176"/>
      <c r="D32" s="217" t="s">
        <v>470</v>
      </c>
      <c r="E32" s="294"/>
      <c r="F32" s="97">
        <v>2025</v>
      </c>
      <c r="G32" s="126"/>
      <c r="H32" s="289"/>
    </row>
    <row r="33" spans="1:14" s="107" customFormat="1" ht="15.75" customHeight="1" x14ac:dyDescent="0.25">
      <c r="A33" s="223">
        <v>2399</v>
      </c>
      <c r="B33" s="96">
        <v>5909</v>
      </c>
      <c r="C33" s="175"/>
      <c r="D33" s="174" t="s">
        <v>651</v>
      </c>
      <c r="E33" s="149"/>
      <c r="F33" s="60">
        <f>F35+F36+F37+F38</f>
        <v>31968</v>
      </c>
      <c r="G33" s="60">
        <v>31968</v>
      </c>
      <c r="H33" s="203">
        <f>(G33/F33)*100</f>
        <v>100</v>
      </c>
    </row>
    <row r="34" spans="1:14" s="107" customFormat="1" ht="15.75" customHeight="1" x14ac:dyDescent="0.25">
      <c r="A34" s="223"/>
      <c r="B34" s="96"/>
      <c r="C34" s="175"/>
      <c r="D34" s="90" t="s">
        <v>390</v>
      </c>
      <c r="E34" s="149"/>
      <c r="F34" s="60"/>
      <c r="G34" s="60"/>
      <c r="H34" s="288"/>
    </row>
    <row r="35" spans="1:14" s="107" customFormat="1" ht="15.75" customHeight="1" x14ac:dyDescent="0.25">
      <c r="A35" s="223"/>
      <c r="B35" s="96"/>
      <c r="C35" s="175"/>
      <c r="D35" s="91" t="s">
        <v>471</v>
      </c>
      <c r="E35" s="149"/>
      <c r="F35" s="124">
        <v>31543</v>
      </c>
      <c r="G35" s="60"/>
      <c r="H35" s="288"/>
    </row>
    <row r="36" spans="1:14" s="107" customFormat="1" ht="15.75" customHeight="1" x14ac:dyDescent="0.25">
      <c r="A36" s="223"/>
      <c r="B36" s="96"/>
      <c r="C36" s="175"/>
      <c r="D36" s="225" t="s">
        <v>734</v>
      </c>
      <c r="E36" s="149"/>
      <c r="F36" s="124">
        <v>102</v>
      </c>
      <c r="G36" s="60"/>
      <c r="H36" s="288"/>
    </row>
    <row r="37" spans="1:14" s="107" customFormat="1" ht="15.75" customHeight="1" x14ac:dyDescent="0.25">
      <c r="A37" s="223"/>
      <c r="B37" s="96"/>
      <c r="C37" s="175"/>
      <c r="D37" s="225" t="s">
        <v>735</v>
      </c>
      <c r="E37" s="149"/>
      <c r="F37" s="124">
        <v>282</v>
      </c>
      <c r="G37" s="60"/>
      <c r="H37" s="288"/>
    </row>
    <row r="38" spans="1:14" s="107" customFormat="1" ht="15.75" customHeight="1" x14ac:dyDescent="0.25">
      <c r="A38" s="238"/>
      <c r="B38" s="95"/>
      <c r="C38" s="176"/>
      <c r="D38" s="172" t="s">
        <v>349</v>
      </c>
      <c r="E38" s="218"/>
      <c r="F38" s="97">
        <v>41</v>
      </c>
      <c r="G38" s="126"/>
      <c r="H38" s="289"/>
    </row>
    <row r="39" spans="1:14" s="45" customFormat="1" ht="47.25" customHeight="1" thickBot="1" x14ac:dyDescent="0.4">
      <c r="A39" s="2785" t="s">
        <v>350</v>
      </c>
      <c r="B39" s="2786"/>
      <c r="C39" s="2786"/>
      <c r="D39" s="2786"/>
      <c r="E39" s="254">
        <f>SUM(E21)</f>
        <v>40000</v>
      </c>
      <c r="F39" s="254">
        <f>SUM(F10,F13,F18,F21,F33)</f>
        <v>106480</v>
      </c>
      <c r="G39" s="254">
        <f>SUM(G10,G13,G18,G21,G33)</f>
        <v>78503</v>
      </c>
      <c r="H39" s="299">
        <f>(G39/F39)*100</f>
        <v>73.725582268970697</v>
      </c>
      <c r="I39" s="81"/>
      <c r="J39" s="82"/>
      <c r="K39" s="82"/>
      <c r="L39" s="82"/>
      <c r="M39" s="82"/>
      <c r="N39" s="82"/>
    </row>
    <row r="40" spans="1:14" ht="13.5" thickTop="1" x14ac:dyDescent="0.2"/>
  </sheetData>
  <mergeCells count="2">
    <mergeCell ref="A39:D39"/>
    <mergeCell ref="D29:D31"/>
  </mergeCells>
  <phoneticPr fontId="34" type="noConversion"/>
  <pageMargins left="0.59055118110236227" right="0.39370078740157483" top="0.98425196850393704" bottom="0.98425196850393704" header="0.51181102362204722" footer="0.51181102362204722"/>
  <pageSetup paperSize="9" scale="85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40" sqref="E40"/>
    </sheetView>
  </sheetViews>
  <sheetFormatPr defaultRowHeight="12.75" x14ac:dyDescent="0.2"/>
  <sheetData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 enableFormatConditionsCalculation="0">
    <tabColor rgb="FFCCFFFF"/>
  </sheetPr>
  <dimension ref="A1:I24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643" customWidth="1"/>
    <col min="2" max="2" width="4.7109375" style="532" customWidth="1"/>
    <col min="3" max="3" width="4.5703125" style="532" customWidth="1"/>
    <col min="4" max="4" width="47.28515625" style="532" customWidth="1"/>
    <col min="5" max="7" width="13.5703125" style="532" customWidth="1"/>
    <col min="8" max="8" width="8.42578125" style="532" customWidth="1"/>
    <col min="9" max="16384" width="9.140625" style="532"/>
  </cols>
  <sheetData>
    <row r="1" spans="1:9" ht="18" customHeight="1" thickBot="1" x14ac:dyDescent="0.3">
      <c r="A1" s="463" t="s">
        <v>823</v>
      </c>
      <c r="B1" s="464"/>
      <c r="C1" s="464"/>
      <c r="D1" s="475"/>
      <c r="E1" s="492"/>
      <c r="F1" s="467" t="s">
        <v>167</v>
      </c>
      <c r="G1" s="493"/>
      <c r="H1" s="493"/>
      <c r="I1" s="17"/>
    </row>
    <row r="2" spans="1:9" ht="12.75" customHeight="1" x14ac:dyDescent="0.25">
      <c r="A2" s="6"/>
      <c r="B2" s="28"/>
      <c r="C2" s="28"/>
      <c r="D2" s="10"/>
      <c r="E2" s="137"/>
      <c r="F2" s="137"/>
      <c r="G2" s="16"/>
      <c r="H2" s="17"/>
      <c r="I2" s="17"/>
    </row>
    <row r="3" spans="1:9" ht="12.75" customHeight="1" x14ac:dyDescent="0.25">
      <c r="A3" s="67" t="s">
        <v>367</v>
      </c>
      <c r="B3" s="28"/>
      <c r="C3" s="502" t="s">
        <v>452</v>
      </c>
      <c r="D3" s="627"/>
      <c r="E3" s="137"/>
      <c r="F3" s="16"/>
      <c r="G3" s="17"/>
      <c r="H3" s="17"/>
    </row>
    <row r="4" spans="1:9" ht="12.75" customHeight="1" x14ac:dyDescent="0.25">
      <c r="A4" s="6"/>
      <c r="B4" s="28"/>
      <c r="C4" s="523" t="s">
        <v>2076</v>
      </c>
      <c r="D4" s="667"/>
      <c r="E4" s="138"/>
      <c r="F4" s="16"/>
      <c r="G4" s="17"/>
      <c r="H4" s="17"/>
    </row>
    <row r="5" spans="1:9" ht="12.75" customHeight="1" x14ac:dyDescent="0.25">
      <c r="A5" s="6"/>
      <c r="B5" s="28"/>
      <c r="C5" s="28"/>
      <c r="D5" s="10"/>
      <c r="E5" s="137"/>
      <c r="F5" s="137"/>
      <c r="G5" s="16"/>
      <c r="H5" s="17"/>
      <c r="I5" s="17"/>
    </row>
    <row r="6" spans="1:9" ht="18" x14ac:dyDescent="0.25">
      <c r="A6" s="33" t="s">
        <v>884</v>
      </c>
      <c r="B6" s="28"/>
      <c r="C6" s="28"/>
      <c r="D6" s="10"/>
      <c r="E6" s="137"/>
      <c r="F6" s="137"/>
      <c r="G6" s="16"/>
      <c r="H6" s="17"/>
      <c r="I6" s="17"/>
    </row>
    <row r="7" spans="1:9" ht="13.5" thickBot="1" x14ac:dyDescent="0.25">
      <c r="A7" s="629"/>
      <c r="B7" s="629"/>
      <c r="C7" s="629"/>
      <c r="D7" s="630"/>
      <c r="E7" s="493"/>
      <c r="F7" s="493"/>
      <c r="G7" s="940"/>
      <c r="H7" s="493" t="s">
        <v>161</v>
      </c>
    </row>
    <row r="8" spans="1:9" s="107" customFormat="1" ht="20.25" customHeight="1" thickTop="1" thickBot="1" x14ac:dyDescent="0.25">
      <c r="A8" s="631" t="s">
        <v>162</v>
      </c>
      <c r="B8" s="632" t="s">
        <v>163</v>
      </c>
      <c r="C8" s="634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635" t="s">
        <v>883</v>
      </c>
    </row>
    <row r="9" spans="1:9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636" t="s">
        <v>61</v>
      </c>
      <c r="I9" s="107"/>
    </row>
    <row r="10" spans="1:9" s="107" customFormat="1" ht="20.25" customHeight="1" thickTop="1" x14ac:dyDescent="0.25">
      <c r="A10" s="1012">
        <v>6172</v>
      </c>
      <c r="B10" s="1013">
        <v>5166</v>
      </c>
      <c r="C10" s="1014"/>
      <c r="D10" s="1015" t="s">
        <v>609</v>
      </c>
      <c r="E10" s="1016">
        <v>5</v>
      </c>
      <c r="F10" s="1016">
        <v>0</v>
      </c>
      <c r="G10" s="1017">
        <v>0</v>
      </c>
      <c r="H10" s="912">
        <v>0</v>
      </c>
    </row>
    <row r="11" spans="1:9" ht="15.75" thickBot="1" x14ac:dyDescent="0.3">
      <c r="A11" s="1018">
        <v>6172</v>
      </c>
      <c r="B11" s="1019">
        <v>5192</v>
      </c>
      <c r="C11" s="1020"/>
      <c r="D11" s="1021" t="s">
        <v>1228</v>
      </c>
      <c r="E11" s="1022">
        <v>70</v>
      </c>
      <c r="F11" s="1022">
        <v>70</v>
      </c>
      <c r="G11" s="1023">
        <v>46</v>
      </c>
      <c r="H11" s="1024">
        <f>(G11/F11)*100</f>
        <v>65.714285714285708</v>
      </c>
    </row>
    <row r="12" spans="1:9" s="360" customFormat="1" ht="30" customHeight="1" thickTop="1" thickBot="1" x14ac:dyDescent="0.3">
      <c r="A12" s="688" t="s">
        <v>245</v>
      </c>
      <c r="B12" s="913"/>
      <c r="C12" s="1025"/>
      <c r="D12" s="689"/>
      <c r="E12" s="691">
        <f>SUM(E11,E10)</f>
        <v>75</v>
      </c>
      <c r="F12" s="691">
        <f>SUM(F11,F10)</f>
        <v>70</v>
      </c>
      <c r="G12" s="691">
        <f>SUM(G11,G10)</f>
        <v>46</v>
      </c>
      <c r="H12" s="656">
        <f>(G12/F12)*100</f>
        <v>65.714285714285708</v>
      </c>
    </row>
    <row r="13" spans="1:9" ht="15.75" thickTop="1" x14ac:dyDescent="0.25">
      <c r="B13" s="643"/>
      <c r="C13" s="643"/>
      <c r="D13" s="644"/>
      <c r="E13" s="644"/>
      <c r="F13" s="645"/>
      <c r="G13" s="646"/>
      <c r="H13" s="647"/>
    </row>
    <row r="14" spans="1:9" ht="15" x14ac:dyDescent="0.25">
      <c r="B14" s="643"/>
      <c r="C14" s="643"/>
      <c r="D14" s="644"/>
      <c r="E14" s="644"/>
      <c r="F14" s="645"/>
      <c r="G14" s="646"/>
      <c r="H14" s="647"/>
    </row>
    <row r="15" spans="1:9" s="665" customFormat="1" ht="16.5" x14ac:dyDescent="0.25">
      <c r="A15" s="361" t="s">
        <v>487</v>
      </c>
      <c r="B15" s="362"/>
      <c r="C15" s="363"/>
      <c r="D15" s="363"/>
      <c r="E15" s="934">
        <f>E16+E17+E18+E19</f>
        <v>75</v>
      </c>
      <c r="F15" s="934">
        <f>F16+F17+F18+F19</f>
        <v>70</v>
      </c>
      <c r="G15" s="934">
        <f>G16+G17+G18+G19</f>
        <v>46</v>
      </c>
      <c r="H15" s="1026">
        <f>(G15/F15)*100</f>
        <v>65.714285714285708</v>
      </c>
    </row>
    <row r="16" spans="1:9" s="1270" customFormat="1" ht="15" x14ac:dyDescent="0.2">
      <c r="A16" s="555" t="s">
        <v>263</v>
      </c>
      <c r="B16" s="585"/>
      <c r="C16" s="586"/>
      <c r="D16" s="586"/>
      <c r="E16" s="935">
        <f t="shared" ref="E16:G17" si="0">E12</f>
        <v>75</v>
      </c>
      <c r="F16" s="935">
        <f t="shared" si="0"/>
        <v>70</v>
      </c>
      <c r="G16" s="935">
        <f t="shared" si="0"/>
        <v>46</v>
      </c>
      <c r="H16" s="1027">
        <f>(G16/F16)*100</f>
        <v>65.714285714285708</v>
      </c>
    </row>
    <row r="17" spans="1:8" s="1270" customFormat="1" ht="15" x14ac:dyDescent="0.2">
      <c r="A17" s="555" t="s">
        <v>264</v>
      </c>
      <c r="B17" s="590"/>
      <c r="C17" s="586"/>
      <c r="D17" s="586"/>
      <c r="E17" s="936">
        <f t="shared" si="0"/>
        <v>0</v>
      </c>
      <c r="F17" s="936">
        <f t="shared" si="0"/>
        <v>0</v>
      </c>
      <c r="G17" s="936">
        <f t="shared" si="0"/>
        <v>0</v>
      </c>
      <c r="H17" s="930">
        <v>0</v>
      </c>
    </row>
    <row r="18" spans="1:8" s="1270" customFormat="1" ht="15" x14ac:dyDescent="0.2">
      <c r="A18" s="555" t="s">
        <v>208</v>
      </c>
      <c r="B18" s="590"/>
      <c r="C18" s="586"/>
      <c r="D18" s="586"/>
      <c r="E18" s="935">
        <v>0</v>
      </c>
      <c r="F18" s="588">
        <v>0</v>
      </c>
      <c r="G18" s="588">
        <v>0</v>
      </c>
      <c r="H18" s="930">
        <v>0</v>
      </c>
    </row>
    <row r="19" spans="1:8" s="1270" customFormat="1" ht="15" x14ac:dyDescent="0.2">
      <c r="A19" s="555" t="s">
        <v>1147</v>
      </c>
      <c r="B19" s="590"/>
      <c r="C19" s="586"/>
      <c r="D19" s="586"/>
      <c r="E19" s="935">
        <v>0</v>
      </c>
      <c r="F19" s="592">
        <v>0</v>
      </c>
      <c r="G19" s="592">
        <v>0</v>
      </c>
      <c r="H19" s="930">
        <v>0</v>
      </c>
    </row>
    <row r="20" spans="1:8" ht="15" x14ac:dyDescent="0.2">
      <c r="A20" s="555"/>
      <c r="B20" s="590"/>
      <c r="C20" s="586"/>
      <c r="D20" s="586"/>
      <c r="E20" s="935"/>
      <c r="F20" s="592"/>
      <c r="G20" s="592"/>
      <c r="H20" s="786"/>
    </row>
    <row r="21" spans="1:8" ht="15" x14ac:dyDescent="0.2">
      <c r="A21" s="555"/>
      <c r="B21" s="590"/>
      <c r="C21" s="586"/>
      <c r="D21" s="586"/>
      <c r="E21" s="935"/>
      <c r="F21" s="592"/>
      <c r="G21" s="592"/>
      <c r="H21" s="786"/>
    </row>
    <row r="22" spans="1:8" x14ac:dyDescent="0.2">
      <c r="H22" s="664"/>
    </row>
    <row r="23" spans="1:8" s="58" customFormat="1" ht="47.25" customHeight="1" thickBot="1" x14ac:dyDescent="0.4">
      <c r="A23" s="648" t="s">
        <v>205</v>
      </c>
      <c r="B23" s="649"/>
      <c r="C23" s="650"/>
      <c r="D23" s="651"/>
      <c r="E23" s="593">
        <f>SUM(E12)</f>
        <v>75</v>
      </c>
      <c r="F23" s="593">
        <f>SUM(F12)</f>
        <v>70</v>
      </c>
      <c r="G23" s="593">
        <f>SUM(G12)</f>
        <v>46</v>
      </c>
      <c r="H23" s="2562">
        <f>(G23/F23)*100</f>
        <v>65.714285714285708</v>
      </c>
    </row>
    <row r="24" spans="1:8" ht="13.5" thickTop="1" x14ac:dyDescent="0.2"/>
  </sheetData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5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 enableFormatConditionsCalculation="0">
    <tabColor rgb="FFCCFFFF"/>
  </sheetPr>
  <dimension ref="A1:J44"/>
  <sheetViews>
    <sheetView showGridLines="0" view="pageBreakPreview" topLeftCell="A16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643" customWidth="1"/>
    <col min="2" max="2" width="4.7109375" style="532" customWidth="1"/>
    <col min="3" max="3" width="8.7109375" style="1011" customWidth="1"/>
    <col min="4" max="4" width="47.28515625" style="532" customWidth="1"/>
    <col min="5" max="5" width="12.7109375" style="493" customWidth="1"/>
    <col min="6" max="7" width="13.5703125" style="493" customWidth="1"/>
    <col min="8" max="8" width="8.85546875" style="664" customWidth="1"/>
    <col min="9" max="16384" width="9.140625" style="532"/>
  </cols>
  <sheetData>
    <row r="1" spans="1:9" ht="18.75" thickBot="1" x14ac:dyDescent="0.3">
      <c r="A1" s="463" t="s">
        <v>1035</v>
      </c>
      <c r="B1" s="464"/>
      <c r="C1" s="499"/>
      <c r="D1" s="475"/>
      <c r="E1" s="492"/>
      <c r="F1" s="467" t="s">
        <v>168</v>
      </c>
      <c r="I1" s="17"/>
    </row>
    <row r="2" spans="1:9" ht="12.75" customHeight="1" x14ac:dyDescent="0.25">
      <c r="A2" s="6"/>
      <c r="B2" s="28"/>
      <c r="C2" s="52"/>
      <c r="D2" s="10"/>
      <c r="E2" s="137"/>
      <c r="F2" s="137"/>
      <c r="G2" s="16"/>
      <c r="H2" s="194"/>
      <c r="I2" s="17"/>
    </row>
    <row r="3" spans="1:9" ht="12.75" customHeight="1" x14ac:dyDescent="0.25">
      <c r="A3" s="67" t="s">
        <v>367</v>
      </c>
      <c r="B3" s="28"/>
      <c r="C3" s="502" t="s">
        <v>429</v>
      </c>
      <c r="D3" s="627"/>
      <c r="E3" s="137"/>
      <c r="F3" s="16"/>
      <c r="G3" s="17"/>
      <c r="H3" s="194"/>
    </row>
    <row r="4" spans="1:9" ht="12.75" customHeight="1" x14ac:dyDescent="0.25">
      <c r="A4" s="6"/>
      <c r="B4" s="28"/>
      <c r="C4" s="502" t="s">
        <v>1184</v>
      </c>
      <c r="D4" s="667"/>
      <c r="E4" s="138"/>
      <c r="F4" s="16"/>
      <c r="G4" s="17"/>
      <c r="H4" s="194"/>
    </row>
    <row r="5" spans="1:9" ht="12.75" customHeight="1" x14ac:dyDescent="0.25">
      <c r="A5" s="6"/>
      <c r="B5" s="28"/>
      <c r="C5" s="52"/>
      <c r="D5" s="10"/>
      <c r="E5" s="137"/>
      <c r="F5" s="137"/>
      <c r="G5" s="16"/>
      <c r="H5" s="194"/>
      <c r="I5" s="17"/>
    </row>
    <row r="6" spans="1:9" ht="18" x14ac:dyDescent="0.25">
      <c r="A6" s="33" t="s">
        <v>884</v>
      </c>
      <c r="B6" s="28"/>
      <c r="C6" s="52"/>
      <c r="D6" s="10"/>
      <c r="E6" s="137"/>
      <c r="F6" s="137"/>
      <c r="G6" s="16"/>
      <c r="H6" s="194"/>
      <c r="I6" s="17"/>
    </row>
    <row r="7" spans="1:9" ht="13.5" thickBot="1" x14ac:dyDescent="0.25">
      <c r="A7" s="629"/>
      <c r="B7" s="629"/>
      <c r="C7" s="1009"/>
      <c r="D7" s="630"/>
      <c r="G7" s="940"/>
      <c r="H7" s="664" t="s">
        <v>161</v>
      </c>
    </row>
    <row r="8" spans="1:9" s="107" customFormat="1" ht="20.25" customHeight="1" thickTop="1" thickBot="1" x14ac:dyDescent="0.25">
      <c r="A8" s="631" t="s">
        <v>162</v>
      </c>
      <c r="B8" s="632" t="s">
        <v>163</v>
      </c>
      <c r="C8" s="634" t="s">
        <v>705</v>
      </c>
      <c r="D8" s="634" t="s">
        <v>164</v>
      </c>
      <c r="E8" s="634" t="s">
        <v>165</v>
      </c>
      <c r="F8" s="634" t="s">
        <v>881</v>
      </c>
      <c r="G8" s="634" t="s">
        <v>882</v>
      </c>
      <c r="H8" s="635" t="s">
        <v>883</v>
      </c>
    </row>
    <row r="9" spans="1:9" s="383" customFormat="1" ht="13.5" thickTop="1" thickBot="1" x14ac:dyDescent="0.25">
      <c r="A9" s="566">
        <v>1</v>
      </c>
      <c r="B9" s="567">
        <v>2</v>
      </c>
      <c r="C9" s="567">
        <v>3</v>
      </c>
      <c r="D9" s="567">
        <v>4</v>
      </c>
      <c r="E9" s="567">
        <v>5</v>
      </c>
      <c r="F9" s="541">
        <v>6</v>
      </c>
      <c r="G9" s="541">
        <v>7</v>
      </c>
      <c r="H9" s="636" t="s">
        <v>61</v>
      </c>
      <c r="I9" s="107"/>
    </row>
    <row r="10" spans="1:9" s="1056" customFormat="1" ht="15.75" thickTop="1" x14ac:dyDescent="0.25">
      <c r="A10" s="1094">
        <v>6172</v>
      </c>
      <c r="B10" s="1169">
        <v>5137</v>
      </c>
      <c r="C10" s="1066"/>
      <c r="D10" s="1117" t="s">
        <v>155</v>
      </c>
      <c r="E10" s="1072">
        <v>1600</v>
      </c>
      <c r="F10" s="1322">
        <v>824</v>
      </c>
      <c r="G10" s="370">
        <v>692</v>
      </c>
      <c r="H10" s="1109">
        <f>(G10/F10)*100</f>
        <v>83.980582524271838</v>
      </c>
    </row>
    <row r="11" spans="1:9" s="1056" customFormat="1" ht="14.25" x14ac:dyDescent="0.2">
      <c r="A11" s="34"/>
      <c r="B11" s="1088"/>
      <c r="C11" s="1069" t="s">
        <v>753</v>
      </c>
      <c r="D11" s="1063" t="s">
        <v>1259</v>
      </c>
      <c r="E11" s="55">
        <v>1600</v>
      </c>
      <c r="F11" s="314">
        <v>600</v>
      </c>
      <c r="G11" s="316">
        <v>478</v>
      </c>
      <c r="H11" s="1074">
        <f t="shared" ref="H11:H12" si="0">(G11/F11)*100</f>
        <v>79.666666666666657</v>
      </c>
    </row>
    <row r="12" spans="1:9" s="1056" customFormat="1" ht="14.25" x14ac:dyDescent="0.2">
      <c r="A12" s="34"/>
      <c r="B12" s="1088"/>
      <c r="C12" s="1625" t="s">
        <v>247</v>
      </c>
      <c r="D12" s="2159" t="s">
        <v>32</v>
      </c>
      <c r="E12" s="55"/>
      <c r="F12" s="314">
        <v>224</v>
      </c>
      <c r="G12" s="316">
        <v>214</v>
      </c>
      <c r="H12" s="1074">
        <f t="shared" si="0"/>
        <v>95.535714285714292</v>
      </c>
    </row>
    <row r="13" spans="1:9" s="1056" customFormat="1" ht="15" x14ac:dyDescent="0.25">
      <c r="A13" s="34">
        <v>6172</v>
      </c>
      <c r="B13" s="1088">
        <v>5139</v>
      </c>
      <c r="C13" s="1067"/>
      <c r="D13" s="1057" t="s">
        <v>169</v>
      </c>
      <c r="E13" s="48">
        <v>400</v>
      </c>
      <c r="F13" s="168">
        <v>300</v>
      </c>
      <c r="G13" s="315">
        <v>79</v>
      </c>
      <c r="H13" s="1073">
        <f>(G13/F13)*100</f>
        <v>26.333333333333332</v>
      </c>
    </row>
    <row r="14" spans="1:9" s="1056" customFormat="1" ht="15" x14ac:dyDescent="0.25">
      <c r="A14" s="34">
        <v>6172</v>
      </c>
      <c r="B14" s="1088">
        <v>5164</v>
      </c>
      <c r="C14" s="1067"/>
      <c r="D14" s="1057" t="s">
        <v>170</v>
      </c>
      <c r="E14" s="48">
        <v>3100</v>
      </c>
      <c r="F14" s="48">
        <v>2280</v>
      </c>
      <c r="G14" s="48">
        <v>2003</v>
      </c>
      <c r="H14" s="1073">
        <f>(G14/F14)*100</f>
        <v>87.850877192982452</v>
      </c>
    </row>
    <row r="15" spans="1:9" s="1056" customFormat="1" ht="15" x14ac:dyDescent="0.25">
      <c r="A15" s="34">
        <v>6172</v>
      </c>
      <c r="B15" s="1088">
        <v>5166</v>
      </c>
      <c r="C15" s="1067"/>
      <c r="D15" s="1057" t="s">
        <v>609</v>
      </c>
      <c r="E15" s="48">
        <v>310</v>
      </c>
      <c r="F15" s="168">
        <v>310</v>
      </c>
      <c r="G15" s="315">
        <v>46</v>
      </c>
      <c r="H15" s="1073">
        <v>0</v>
      </c>
    </row>
    <row r="16" spans="1:9" s="1056" customFormat="1" ht="15" x14ac:dyDescent="0.25">
      <c r="A16" s="34">
        <v>6172</v>
      </c>
      <c r="B16" s="1088">
        <v>5168</v>
      </c>
      <c r="C16" s="1067"/>
      <c r="D16" s="1057" t="s">
        <v>173</v>
      </c>
      <c r="E16" s="48">
        <v>460</v>
      </c>
      <c r="F16" s="168">
        <v>20893</v>
      </c>
      <c r="G16" s="315">
        <v>20813</v>
      </c>
      <c r="H16" s="1073">
        <v>0</v>
      </c>
    </row>
    <row r="17" spans="1:10" s="1056" customFormat="1" ht="15.75" x14ac:dyDescent="0.25">
      <c r="A17" s="34">
        <v>6172</v>
      </c>
      <c r="B17" s="1088">
        <v>5169</v>
      </c>
      <c r="C17" s="1067"/>
      <c r="D17" s="1057" t="s">
        <v>852</v>
      </c>
      <c r="E17" s="48">
        <v>19072</v>
      </c>
      <c r="F17" s="168">
        <v>372</v>
      </c>
      <c r="G17" s="315">
        <v>322</v>
      </c>
      <c r="H17" s="1073">
        <f>(G17/F17)*100</f>
        <v>86.55913978494624</v>
      </c>
      <c r="J17" s="1097"/>
    </row>
    <row r="18" spans="1:10" s="1056" customFormat="1" ht="15.75" x14ac:dyDescent="0.25">
      <c r="A18" s="34">
        <v>6172</v>
      </c>
      <c r="B18" s="1088">
        <v>5171</v>
      </c>
      <c r="C18" s="1067"/>
      <c r="D18" s="1057" t="s">
        <v>1231</v>
      </c>
      <c r="E18" s="48">
        <v>2563</v>
      </c>
      <c r="F18" s="168">
        <v>923</v>
      </c>
      <c r="G18" s="315">
        <v>721</v>
      </c>
      <c r="H18" s="1073">
        <f>(G18/F18)*100</f>
        <v>78.114842903575294</v>
      </c>
      <c r="J18" s="1071"/>
    </row>
    <row r="19" spans="1:10" s="1056" customFormat="1" ht="16.5" thickBot="1" x14ac:dyDescent="0.3">
      <c r="A19" s="1095">
        <v>6172</v>
      </c>
      <c r="B19" s="1092">
        <v>5172</v>
      </c>
      <c r="C19" s="1108"/>
      <c r="D19" s="1077" t="s">
        <v>174</v>
      </c>
      <c r="E19" s="1083">
        <v>508</v>
      </c>
      <c r="F19" s="443">
        <v>108</v>
      </c>
      <c r="G19" s="442">
        <v>99</v>
      </c>
      <c r="H19" s="1078">
        <f>(G19/F19)*100</f>
        <v>91.666666666666657</v>
      </c>
      <c r="J19" s="1071"/>
    </row>
    <row r="20" spans="1:10" s="360" customFormat="1" ht="35.25" customHeight="1" thickTop="1" thickBot="1" x14ac:dyDescent="0.3">
      <c r="A20" s="637" t="s">
        <v>245</v>
      </c>
      <c r="B20" s="638"/>
      <c r="C20" s="639"/>
      <c r="D20" s="640"/>
      <c r="E20" s="641">
        <f>E10+E13+E14+E15+E16+E17+E18+E19</f>
        <v>28013</v>
      </c>
      <c r="F20" s="641">
        <f>F10+F13+F14+F16+F17+F18+F19+F15</f>
        <v>26010</v>
      </c>
      <c r="G20" s="641">
        <f>G10+G13+G14+G16+G17+G18+G19+G15</f>
        <v>24775</v>
      </c>
      <c r="H20" s="642">
        <f>(G20/F20)*100</f>
        <v>95.25182622068435</v>
      </c>
    </row>
    <row r="21" spans="1:10" ht="15.75" thickTop="1" x14ac:dyDescent="0.25">
      <c r="C21" s="630"/>
      <c r="D21" s="643"/>
      <c r="E21" s="678"/>
      <c r="F21" s="773"/>
      <c r="G21" s="678"/>
      <c r="H21" s="647"/>
    </row>
    <row r="22" spans="1:10" ht="15" x14ac:dyDescent="0.25">
      <c r="C22" s="630"/>
      <c r="D22" s="643"/>
      <c r="E22" s="678"/>
      <c r="F22" s="773"/>
      <c r="G22" s="678"/>
      <c r="H22" s="647"/>
    </row>
    <row r="23" spans="1:10" ht="15" x14ac:dyDescent="0.25">
      <c r="C23" s="630"/>
      <c r="D23" s="643"/>
      <c r="E23" s="678"/>
      <c r="F23" s="773"/>
      <c r="G23" s="678"/>
      <c r="H23" s="647"/>
    </row>
    <row r="24" spans="1:10" ht="15" x14ac:dyDescent="0.25">
      <c r="C24" s="630"/>
      <c r="D24" s="643"/>
      <c r="E24" s="678"/>
      <c r="F24" s="773"/>
      <c r="G24" s="678"/>
      <c r="H24" s="647"/>
    </row>
    <row r="25" spans="1:10" ht="15" x14ac:dyDescent="0.25">
      <c r="C25" s="630"/>
      <c r="D25" s="643"/>
      <c r="E25" s="678"/>
      <c r="F25" s="773"/>
      <c r="G25" s="678"/>
      <c r="H25" s="647"/>
    </row>
    <row r="26" spans="1:10" ht="15" x14ac:dyDescent="0.25">
      <c r="C26" s="630"/>
      <c r="D26" s="643"/>
      <c r="E26" s="678"/>
      <c r="F26" s="773"/>
      <c r="G26" s="678"/>
      <c r="H26" s="647"/>
    </row>
    <row r="27" spans="1:10" ht="18" x14ac:dyDescent="0.25">
      <c r="A27" s="33" t="s">
        <v>1248</v>
      </c>
      <c r="B27" s="28"/>
      <c r="C27" s="10"/>
      <c r="D27" s="139"/>
      <c r="E27" s="137"/>
      <c r="F27" s="16"/>
      <c r="G27" s="17"/>
      <c r="H27" s="194"/>
    </row>
    <row r="28" spans="1:10" ht="13.5" thickBot="1" x14ac:dyDescent="0.25">
      <c r="A28" s="629"/>
      <c r="B28" s="629"/>
      <c r="C28" s="630"/>
      <c r="F28" s="940"/>
      <c r="H28" s="664" t="s">
        <v>161</v>
      </c>
    </row>
    <row r="29" spans="1:10" s="107" customFormat="1" ht="20.25" customHeight="1" thickTop="1" thickBot="1" x14ac:dyDescent="0.25">
      <c r="A29" s="631" t="s">
        <v>162</v>
      </c>
      <c r="B29" s="632" t="s">
        <v>163</v>
      </c>
      <c r="C29" s="634" t="s">
        <v>705</v>
      </c>
      <c r="D29" s="774" t="s">
        <v>164</v>
      </c>
      <c r="E29" s="774" t="s">
        <v>165</v>
      </c>
      <c r="F29" s="774" t="s">
        <v>881</v>
      </c>
      <c r="G29" s="774" t="s">
        <v>882</v>
      </c>
      <c r="H29" s="635" t="s">
        <v>883</v>
      </c>
    </row>
    <row r="30" spans="1:10" s="383" customFormat="1" ht="13.5" thickTop="1" thickBot="1" x14ac:dyDescent="0.25">
      <c r="A30" s="566">
        <v>1</v>
      </c>
      <c r="B30" s="567">
        <v>2</v>
      </c>
      <c r="C30" s="567">
        <v>3</v>
      </c>
      <c r="D30" s="567">
        <v>4</v>
      </c>
      <c r="E30" s="567">
        <v>5</v>
      </c>
      <c r="F30" s="541">
        <v>6</v>
      </c>
      <c r="G30" s="541">
        <v>7</v>
      </c>
      <c r="H30" s="636" t="s">
        <v>61</v>
      </c>
      <c r="I30" s="107"/>
    </row>
    <row r="31" spans="1:10" s="1056" customFormat="1" ht="16.5" thickTop="1" x14ac:dyDescent="0.25">
      <c r="A31" s="222">
        <v>6172</v>
      </c>
      <c r="B31" s="1060">
        <v>6111</v>
      </c>
      <c r="C31" s="1066"/>
      <c r="D31" s="1061" t="s">
        <v>174</v>
      </c>
      <c r="E31" s="1072"/>
      <c r="F31" s="450">
        <v>87</v>
      </c>
      <c r="G31" s="370">
        <v>87</v>
      </c>
      <c r="H31" s="1109">
        <f>(G31/F31)*100</f>
        <v>100</v>
      </c>
      <c r="J31" s="1071"/>
    </row>
    <row r="32" spans="1:10" s="1107" customFormat="1" ht="15.75" thickBot="1" x14ac:dyDescent="0.3">
      <c r="A32" s="50">
        <v>6172</v>
      </c>
      <c r="B32" s="19">
        <v>6125</v>
      </c>
      <c r="C32" s="1067"/>
      <c r="D32" s="1363" t="s">
        <v>175</v>
      </c>
      <c r="E32" s="60"/>
      <c r="F32" s="315">
        <v>1200</v>
      </c>
      <c r="G32" s="315">
        <v>0</v>
      </c>
      <c r="H32" s="1073">
        <f>(G32/F32)*100</f>
        <v>0</v>
      </c>
    </row>
    <row r="33" spans="1:8" s="360" customFormat="1" ht="35.25" customHeight="1" thickTop="1" thickBot="1" x14ac:dyDescent="0.3">
      <c r="A33" s="637" t="s">
        <v>244</v>
      </c>
      <c r="B33" s="640"/>
      <c r="C33" s="639"/>
      <c r="D33" s="640"/>
      <c r="E33" s="1010">
        <f>E31+E32</f>
        <v>0</v>
      </c>
      <c r="F33" s="641">
        <f>SUM(F31,F32)</f>
        <v>1287</v>
      </c>
      <c r="G33" s="641">
        <f>SUM(G31,G32)</f>
        <v>87</v>
      </c>
      <c r="H33" s="656">
        <f>(G33/F33)*100</f>
        <v>6.7599067599067597</v>
      </c>
    </row>
    <row r="34" spans="1:8" s="360" customFormat="1" ht="15.75" customHeight="1" thickTop="1" x14ac:dyDescent="0.25">
      <c r="A34" s="358"/>
      <c r="B34" s="359"/>
      <c r="C34" s="57"/>
      <c r="D34" s="359"/>
      <c r="E34" s="17"/>
      <c r="F34" s="17"/>
      <c r="G34" s="17"/>
      <c r="H34" s="921"/>
    </row>
    <row r="35" spans="1:8" s="360" customFormat="1" ht="15.75" customHeight="1" x14ac:dyDescent="0.25">
      <c r="A35" s="358"/>
      <c r="B35" s="359"/>
      <c r="C35" s="57"/>
      <c r="D35" s="359"/>
      <c r="E35" s="17"/>
      <c r="F35" s="17"/>
      <c r="G35" s="17"/>
      <c r="H35" s="921"/>
    </row>
    <row r="36" spans="1:8" s="665" customFormat="1" ht="16.5" x14ac:dyDescent="0.25">
      <c r="A36" s="361" t="s">
        <v>1343</v>
      </c>
      <c r="B36" s="362"/>
      <c r="C36" s="363"/>
      <c r="D36" s="363"/>
      <c r="E36" s="934">
        <f>E37+E38+E39+E40</f>
        <v>28013</v>
      </c>
      <c r="F36" s="934">
        <f>F37+F38+F39+F40</f>
        <v>27297</v>
      </c>
      <c r="G36" s="934">
        <f>G37+G38+G39+G40</f>
        <v>24862</v>
      </c>
      <c r="H36" s="785">
        <f>(G36/F36)*100</f>
        <v>91.07960581748911</v>
      </c>
    </row>
    <row r="37" spans="1:8" s="1270" customFormat="1" ht="15" x14ac:dyDescent="0.2">
      <c r="A37" s="555" t="s">
        <v>263</v>
      </c>
      <c r="B37" s="585"/>
      <c r="C37" s="586"/>
      <c r="D37" s="586"/>
      <c r="E37" s="935">
        <f>E20</f>
        <v>28013</v>
      </c>
      <c r="F37" s="935">
        <f>F20</f>
        <v>26010</v>
      </c>
      <c r="G37" s="935">
        <f>G20</f>
        <v>24775</v>
      </c>
      <c r="H37" s="930">
        <f>(G37/F37)*100</f>
        <v>95.25182622068435</v>
      </c>
    </row>
    <row r="38" spans="1:8" s="1270" customFormat="1" ht="15" x14ac:dyDescent="0.2">
      <c r="A38" s="555" t="s">
        <v>264</v>
      </c>
      <c r="B38" s="590"/>
      <c r="C38" s="586"/>
      <c r="D38" s="586"/>
      <c r="E38" s="936">
        <f>E33</f>
        <v>0</v>
      </c>
      <c r="F38" s="936">
        <f>F33</f>
        <v>1287</v>
      </c>
      <c r="G38" s="936">
        <f>G33</f>
        <v>87</v>
      </c>
      <c r="H38" s="930">
        <f>(G38/F38)*100</f>
        <v>6.7599067599067597</v>
      </c>
    </row>
    <row r="39" spans="1:8" s="1270" customFormat="1" ht="15" x14ac:dyDescent="0.2">
      <c r="A39" s="555" t="s">
        <v>208</v>
      </c>
      <c r="B39" s="590"/>
      <c r="C39" s="586"/>
      <c r="D39" s="586"/>
      <c r="E39" s="935">
        <v>0</v>
      </c>
      <c r="F39" s="588">
        <v>0</v>
      </c>
      <c r="G39" s="588">
        <v>0</v>
      </c>
      <c r="H39" s="930">
        <v>0</v>
      </c>
    </row>
    <row r="40" spans="1:8" s="1270" customFormat="1" ht="15" x14ac:dyDescent="0.2">
      <c r="A40" s="555" t="s">
        <v>1147</v>
      </c>
      <c r="B40" s="590"/>
      <c r="C40" s="586"/>
      <c r="D40" s="586"/>
      <c r="E40" s="935">
        <v>0</v>
      </c>
      <c r="F40" s="592">
        <v>0</v>
      </c>
      <c r="G40" s="592">
        <v>0</v>
      </c>
      <c r="H40" s="930">
        <v>0</v>
      </c>
    </row>
    <row r="41" spans="1:8" s="360" customFormat="1" ht="12.75" customHeight="1" x14ac:dyDescent="0.25">
      <c r="A41" s="358"/>
      <c r="B41" s="359"/>
      <c r="C41" s="57"/>
      <c r="D41" s="359"/>
      <c r="E41" s="17"/>
      <c r="F41" s="17"/>
      <c r="G41" s="17"/>
      <c r="H41" s="921"/>
    </row>
    <row r="42" spans="1:8" ht="15.75" customHeight="1" x14ac:dyDescent="0.2">
      <c r="A42" s="629"/>
      <c r="B42" s="947"/>
      <c r="H42" s="1282"/>
    </row>
    <row r="43" spans="1:8" s="58" customFormat="1" ht="47.25" customHeight="1" thickBot="1" x14ac:dyDescent="0.4">
      <c r="A43" s="2640" t="s">
        <v>398</v>
      </c>
      <c r="B43" s="2641"/>
      <c r="C43" s="2641"/>
      <c r="D43" s="2641"/>
      <c r="E43" s="593">
        <f>SUM(E33,E20)</f>
        <v>28013</v>
      </c>
      <c r="F43" s="593">
        <f>SUM(F33,F20)</f>
        <v>27297</v>
      </c>
      <c r="G43" s="593">
        <f>SUM(G33,G20)</f>
        <v>24862</v>
      </c>
      <c r="H43" s="745">
        <f>(G43/F43)*100</f>
        <v>91.07960581748911</v>
      </c>
    </row>
    <row r="44" spans="1:8" ht="13.5" thickTop="1" x14ac:dyDescent="0.2"/>
  </sheetData>
  <mergeCells count="1">
    <mergeCell ref="A43:D43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6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 enableFormatConditionsCalculation="0">
    <tabColor rgb="FFFF0000"/>
  </sheetPr>
  <dimension ref="A1:N80"/>
  <sheetViews>
    <sheetView showGridLines="0"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7109375" style="643" customWidth="1"/>
    <col min="2" max="2" width="4.7109375" style="532" customWidth="1"/>
    <col min="3" max="3" width="8.85546875" style="814" customWidth="1"/>
    <col min="4" max="4" width="47.28515625" style="532" customWidth="1"/>
    <col min="5" max="5" width="14.28515625" style="493" customWidth="1"/>
    <col min="6" max="6" width="14.42578125" style="493" customWidth="1"/>
    <col min="7" max="7" width="13.28515625" style="493" customWidth="1"/>
    <col min="8" max="8" width="9.140625" style="664"/>
    <col min="9" max="10" width="9.140625" style="493"/>
    <col min="11" max="16384" width="9.140625" style="532"/>
  </cols>
  <sheetData>
    <row r="1" spans="1:10" ht="18.75" thickBot="1" x14ac:dyDescent="0.3">
      <c r="A1" s="463" t="s">
        <v>861</v>
      </c>
      <c r="B1" s="464"/>
      <c r="C1" s="488"/>
      <c r="D1" s="475"/>
      <c r="E1" s="492"/>
      <c r="F1" s="467" t="s">
        <v>198</v>
      </c>
      <c r="I1" s="17"/>
    </row>
    <row r="2" spans="1:10" ht="12.75" customHeight="1" x14ac:dyDescent="0.25">
      <c r="A2" s="6"/>
      <c r="B2" s="28"/>
      <c r="C2" s="57"/>
      <c r="D2" s="10"/>
      <c r="E2" s="137"/>
      <c r="F2" s="137"/>
      <c r="G2" s="16"/>
      <c r="H2" s="194"/>
      <c r="I2" s="17"/>
    </row>
    <row r="3" spans="1:10" ht="12.75" customHeight="1" x14ac:dyDescent="0.25">
      <c r="A3" s="67" t="s">
        <v>367</v>
      </c>
      <c r="B3" s="28"/>
      <c r="C3" s="502" t="s">
        <v>854</v>
      </c>
      <c r="D3" s="627"/>
      <c r="E3" s="137"/>
      <c r="F3" s="16"/>
      <c r="G3" s="17"/>
      <c r="H3" s="194"/>
      <c r="I3" s="532"/>
      <c r="J3" s="532"/>
    </row>
    <row r="4" spans="1:10" ht="12.75" customHeight="1" x14ac:dyDescent="0.25">
      <c r="A4" s="6"/>
      <c r="B4" s="28"/>
      <c r="C4" s="502" t="s">
        <v>855</v>
      </c>
      <c r="D4" s="667"/>
      <c r="E4" s="138"/>
      <c r="F4" s="16"/>
      <c r="G4" s="17"/>
      <c r="H4" s="194"/>
      <c r="I4" s="532"/>
      <c r="J4" s="532"/>
    </row>
    <row r="5" spans="1:10" ht="12.75" customHeight="1" x14ac:dyDescent="0.25">
      <c r="A5" s="6"/>
      <c r="B5" s="28"/>
      <c r="C5" s="502"/>
      <c r="D5" s="667"/>
      <c r="E5" s="138"/>
      <c r="F5" s="16"/>
      <c r="G5" s="17"/>
      <c r="H5" s="194"/>
      <c r="I5" s="532"/>
      <c r="J5" s="532"/>
    </row>
    <row r="6" spans="1:10" ht="12.75" customHeight="1" x14ac:dyDescent="0.25">
      <c r="A6" s="6"/>
      <c r="B6" s="28"/>
      <c r="C6" s="502"/>
      <c r="D6" s="667"/>
      <c r="E6" s="138"/>
      <c r="F6" s="16"/>
      <c r="G6" s="17"/>
      <c r="H6" s="194"/>
      <c r="I6" s="532"/>
      <c r="J6" s="532"/>
    </row>
    <row r="7" spans="1:10" ht="12.75" customHeight="1" x14ac:dyDescent="0.25">
      <c r="A7" s="33" t="s">
        <v>884</v>
      </c>
      <c r="B7" s="28"/>
      <c r="C7" s="502"/>
      <c r="D7" s="667"/>
      <c r="E7" s="138"/>
      <c r="F7" s="16"/>
      <c r="G7" s="17"/>
      <c r="H7" s="194"/>
      <c r="I7" s="532"/>
      <c r="J7" s="532"/>
    </row>
    <row r="8" spans="1:10" ht="12.75" customHeight="1" x14ac:dyDescent="0.25">
      <c r="A8" s="33"/>
      <c r="B8" s="28"/>
      <c r="C8" s="502"/>
      <c r="D8" s="667"/>
      <c r="E8" s="138"/>
      <c r="F8" s="16"/>
      <c r="G8" s="17"/>
      <c r="H8" s="194"/>
      <c r="I8" s="532"/>
      <c r="J8" s="532"/>
    </row>
    <row r="9" spans="1:10" ht="12.75" customHeight="1" thickBot="1" x14ac:dyDescent="0.3">
      <c r="A9" s="6"/>
      <c r="B9" s="28"/>
      <c r="C9" s="57"/>
      <c r="D9" s="10"/>
      <c r="E9" s="137"/>
      <c r="F9" s="137"/>
      <c r="G9" s="16"/>
      <c r="H9" s="200" t="s">
        <v>161</v>
      </c>
      <c r="I9" s="17"/>
    </row>
    <row r="10" spans="1:10" s="990" customFormat="1" ht="20.25" customHeight="1" thickTop="1" thickBot="1" x14ac:dyDescent="0.25">
      <c r="A10" s="984" t="s">
        <v>162</v>
      </c>
      <c r="B10" s="985" t="s">
        <v>163</v>
      </c>
      <c r="C10" s="986" t="s">
        <v>705</v>
      </c>
      <c r="D10" s="986" t="s">
        <v>164</v>
      </c>
      <c r="E10" s="986" t="s">
        <v>165</v>
      </c>
      <c r="F10" s="986" t="s">
        <v>881</v>
      </c>
      <c r="G10" s="987" t="s">
        <v>882</v>
      </c>
      <c r="H10" s="988" t="s">
        <v>883</v>
      </c>
      <c r="I10" s="989"/>
      <c r="J10" s="989"/>
    </row>
    <row r="11" spans="1:10" s="383" customFormat="1" ht="13.5" thickTop="1" thickBot="1" x14ac:dyDescent="0.25">
      <c r="A11" s="566">
        <v>1</v>
      </c>
      <c r="B11" s="567">
        <v>2</v>
      </c>
      <c r="C11" s="567">
        <v>3</v>
      </c>
      <c r="D11" s="567">
        <v>4</v>
      </c>
      <c r="E11" s="567">
        <v>5</v>
      </c>
      <c r="F11" s="541">
        <v>6</v>
      </c>
      <c r="G11" s="541">
        <v>7</v>
      </c>
      <c r="H11" s="636" t="s">
        <v>61</v>
      </c>
      <c r="I11" s="107"/>
    </row>
    <row r="12" spans="1:10" s="1107" customFormat="1" ht="15.75" thickTop="1" x14ac:dyDescent="0.25">
      <c r="A12" s="1166">
        <v>3636</v>
      </c>
      <c r="B12" s="268">
        <v>5325</v>
      </c>
      <c r="C12" s="1114"/>
      <c r="D12" s="128" t="s">
        <v>534</v>
      </c>
      <c r="E12" s="60">
        <v>400</v>
      </c>
      <c r="F12" s="149">
        <v>400</v>
      </c>
      <c r="G12" s="60">
        <v>400</v>
      </c>
      <c r="H12" s="1062">
        <f>(G12/F12)*100</f>
        <v>100</v>
      </c>
    </row>
    <row r="13" spans="1:10" s="1107" customFormat="1" ht="14.25" x14ac:dyDescent="0.2">
      <c r="A13" s="1166"/>
      <c r="B13" s="268"/>
      <c r="C13" s="1084" t="s">
        <v>352</v>
      </c>
      <c r="D13" s="1098" t="s">
        <v>891</v>
      </c>
      <c r="E13" s="124">
        <v>400</v>
      </c>
      <c r="F13" s="123">
        <v>400</v>
      </c>
      <c r="G13" s="124">
        <v>400</v>
      </c>
      <c r="H13" s="1065">
        <f t="shared" ref="H13" si="0">(G13/F13)*100</f>
        <v>100</v>
      </c>
    </row>
    <row r="14" spans="1:10" s="1107" customFormat="1" ht="15" x14ac:dyDescent="0.25">
      <c r="A14" s="1166">
        <v>4324</v>
      </c>
      <c r="B14" s="268">
        <v>5901</v>
      </c>
      <c r="C14" s="1084"/>
      <c r="D14" s="1111" t="s">
        <v>602</v>
      </c>
      <c r="E14" s="124"/>
      <c r="F14" s="149">
        <v>2335</v>
      </c>
      <c r="G14" s="60">
        <v>0</v>
      </c>
      <c r="H14" s="203">
        <v>0</v>
      </c>
    </row>
    <row r="15" spans="1:10" s="1107" customFormat="1" ht="14.25" customHeight="1" x14ac:dyDescent="0.2">
      <c r="A15" s="1166"/>
      <c r="B15" s="268"/>
      <c r="C15" s="2634" t="s">
        <v>576</v>
      </c>
      <c r="D15" s="2642" t="s">
        <v>1020</v>
      </c>
      <c r="E15" s="124"/>
      <c r="F15" s="123">
        <v>2335</v>
      </c>
      <c r="G15" s="124">
        <v>0</v>
      </c>
      <c r="H15" s="1065">
        <v>0</v>
      </c>
    </row>
    <row r="16" spans="1:10" s="1107" customFormat="1" ht="14.25" x14ac:dyDescent="0.2">
      <c r="A16" s="1166"/>
      <c r="B16" s="268"/>
      <c r="C16" s="2643"/>
      <c r="D16" s="2642"/>
      <c r="E16" s="124"/>
      <c r="F16" s="123"/>
      <c r="G16" s="124"/>
      <c r="H16" s="1065"/>
    </row>
    <row r="17" spans="1:11" s="1107" customFormat="1" ht="15" x14ac:dyDescent="0.25">
      <c r="A17" s="1166">
        <v>6172</v>
      </c>
      <c r="B17" s="268">
        <v>5141</v>
      </c>
      <c r="C17" s="1114"/>
      <c r="D17" s="128" t="s">
        <v>948</v>
      </c>
      <c r="E17" s="60">
        <f>E18+E19+E20</f>
        <v>69180</v>
      </c>
      <c r="F17" s="60">
        <f>F18+F19+F20</f>
        <v>26392</v>
      </c>
      <c r="G17" s="60">
        <f>G18+G19+G20</f>
        <v>25404</v>
      </c>
      <c r="H17" s="1062">
        <f t="shared" ref="H17:H28" si="1">(G17/F17)*100</f>
        <v>96.256441345862385</v>
      </c>
    </row>
    <row r="18" spans="1:11" s="1107" customFormat="1" ht="14.25" x14ac:dyDescent="0.2">
      <c r="A18" s="1166"/>
      <c r="B18" s="268"/>
      <c r="C18" s="1114" t="s">
        <v>571</v>
      </c>
      <c r="D18" s="166" t="s">
        <v>1029</v>
      </c>
      <c r="E18" s="124">
        <v>11211</v>
      </c>
      <c r="F18" s="314">
        <v>4047</v>
      </c>
      <c r="G18" s="316">
        <v>4047</v>
      </c>
      <c r="H18" s="1065">
        <f t="shared" si="1"/>
        <v>100</v>
      </c>
    </row>
    <row r="19" spans="1:11" s="1107" customFormat="1" ht="14.25" x14ac:dyDescent="0.2">
      <c r="A19" s="1166"/>
      <c r="B19" s="268"/>
      <c r="C19" s="1114" t="s">
        <v>1030</v>
      </c>
      <c r="D19" s="166" t="s">
        <v>1031</v>
      </c>
      <c r="E19" s="124">
        <v>44938</v>
      </c>
      <c r="F19" s="314">
        <v>14505</v>
      </c>
      <c r="G19" s="316">
        <v>14505</v>
      </c>
      <c r="H19" s="1065">
        <f t="shared" si="1"/>
        <v>100</v>
      </c>
    </row>
    <row r="20" spans="1:11" s="1107" customFormat="1" ht="14.25" x14ac:dyDescent="0.2">
      <c r="A20" s="1166"/>
      <c r="B20" s="268"/>
      <c r="C20" s="1114" t="s">
        <v>1346</v>
      </c>
      <c r="D20" s="166" t="s">
        <v>1347</v>
      </c>
      <c r="E20" s="124">
        <v>13031</v>
      </c>
      <c r="F20" s="314">
        <v>7840</v>
      </c>
      <c r="G20" s="316">
        <v>6852</v>
      </c>
      <c r="H20" s="1065">
        <f t="shared" si="1"/>
        <v>87.397959183673464</v>
      </c>
    </row>
    <row r="21" spans="1:11" s="1107" customFormat="1" ht="13.5" customHeight="1" x14ac:dyDescent="0.25">
      <c r="A21" s="1166">
        <v>6172</v>
      </c>
      <c r="B21" s="268">
        <v>5142</v>
      </c>
      <c r="C21" s="1101"/>
      <c r="D21" s="128" t="s">
        <v>296</v>
      </c>
      <c r="E21" s="60">
        <v>2000</v>
      </c>
      <c r="F21" s="313">
        <v>2000</v>
      </c>
      <c r="G21" s="315">
        <v>52</v>
      </c>
      <c r="H21" s="1062">
        <f t="shared" si="1"/>
        <v>2.6</v>
      </c>
    </row>
    <row r="22" spans="1:11" s="1107" customFormat="1" ht="13.5" customHeight="1" x14ac:dyDescent="0.25">
      <c r="A22" s="1166">
        <v>6172</v>
      </c>
      <c r="B22" s="268">
        <v>5144</v>
      </c>
      <c r="C22" s="1101"/>
      <c r="D22" s="128" t="s">
        <v>1487</v>
      </c>
      <c r="E22" s="60">
        <v>305</v>
      </c>
      <c r="F22" s="313">
        <v>305</v>
      </c>
      <c r="G22" s="315">
        <v>303</v>
      </c>
      <c r="H22" s="1062">
        <f t="shared" si="1"/>
        <v>99.344262295081961</v>
      </c>
    </row>
    <row r="23" spans="1:11" s="1107" customFormat="1" ht="13.5" customHeight="1" x14ac:dyDescent="0.25">
      <c r="A23" s="1166">
        <v>6172</v>
      </c>
      <c r="B23" s="268">
        <v>5163</v>
      </c>
      <c r="C23" s="1101"/>
      <c r="D23" s="128" t="s">
        <v>892</v>
      </c>
      <c r="E23" s="60">
        <v>500</v>
      </c>
      <c r="F23" s="313">
        <v>500</v>
      </c>
      <c r="G23" s="315">
        <v>274</v>
      </c>
      <c r="H23" s="1062">
        <f t="shared" si="1"/>
        <v>54.800000000000004</v>
      </c>
    </row>
    <row r="24" spans="1:11" s="1107" customFormat="1" ht="13.5" customHeight="1" x14ac:dyDescent="0.25">
      <c r="A24" s="1166">
        <v>6172</v>
      </c>
      <c r="B24" s="268">
        <v>5164</v>
      </c>
      <c r="C24" s="1101"/>
      <c r="D24" s="128" t="s">
        <v>170</v>
      </c>
      <c r="E24" s="60">
        <v>5</v>
      </c>
      <c r="F24" s="313">
        <v>5</v>
      </c>
      <c r="G24" s="315">
        <v>5</v>
      </c>
      <c r="H24" s="1062">
        <f t="shared" si="1"/>
        <v>100</v>
      </c>
    </row>
    <row r="25" spans="1:11" s="1056" customFormat="1" ht="15" x14ac:dyDescent="0.25">
      <c r="A25" s="34">
        <v>6172</v>
      </c>
      <c r="B25" s="1088">
        <v>5166</v>
      </c>
      <c r="C25" s="1115"/>
      <c r="D25" s="1057" t="s">
        <v>609</v>
      </c>
      <c r="E25" s="48">
        <v>2000</v>
      </c>
      <c r="F25" s="168">
        <v>2000</v>
      </c>
      <c r="G25" s="315">
        <v>1439</v>
      </c>
      <c r="H25" s="1062">
        <f t="shared" si="1"/>
        <v>71.95</v>
      </c>
    </row>
    <row r="26" spans="1:11" s="1056" customFormat="1" ht="15" x14ac:dyDescent="0.25">
      <c r="A26" s="34">
        <v>6172</v>
      </c>
      <c r="B26" s="1088">
        <v>5169</v>
      </c>
      <c r="C26" s="1115"/>
      <c r="D26" s="1057" t="s">
        <v>852</v>
      </c>
      <c r="E26" s="48">
        <v>200</v>
      </c>
      <c r="F26" s="168">
        <v>200</v>
      </c>
      <c r="G26" s="315">
        <v>103</v>
      </c>
      <c r="H26" s="1062">
        <f t="shared" si="1"/>
        <v>51.5</v>
      </c>
    </row>
    <row r="27" spans="1:11" s="1056" customFormat="1" ht="15" x14ac:dyDescent="0.25">
      <c r="A27" s="34">
        <v>6172</v>
      </c>
      <c r="B27" s="1088">
        <v>5192</v>
      </c>
      <c r="C27" s="1115"/>
      <c r="D27" s="1057" t="s">
        <v>1848</v>
      </c>
      <c r="E27" s="48"/>
      <c r="F27" s="168">
        <v>388</v>
      </c>
      <c r="G27" s="315">
        <v>388</v>
      </c>
      <c r="H27" s="1062">
        <f t="shared" si="1"/>
        <v>100</v>
      </c>
    </row>
    <row r="28" spans="1:11" s="1056" customFormat="1" ht="15" x14ac:dyDescent="0.25">
      <c r="A28" s="34">
        <v>6172</v>
      </c>
      <c r="B28" s="1088">
        <v>5362</v>
      </c>
      <c r="C28" s="1115"/>
      <c r="D28" s="1057" t="s">
        <v>1461</v>
      </c>
      <c r="E28" s="48">
        <v>5000</v>
      </c>
      <c r="F28" s="168">
        <v>15449</v>
      </c>
      <c r="G28" s="315">
        <v>12794</v>
      </c>
      <c r="H28" s="1062">
        <f t="shared" si="1"/>
        <v>82.814421645413944</v>
      </c>
    </row>
    <row r="29" spans="1:11" s="1056" customFormat="1" ht="30" x14ac:dyDescent="0.25">
      <c r="A29" s="1338">
        <v>6402</v>
      </c>
      <c r="B29" s="1335">
        <v>5364</v>
      </c>
      <c r="C29" s="1115"/>
      <c r="D29" s="1111" t="s">
        <v>1032</v>
      </c>
      <c r="E29" s="48"/>
      <c r="F29" s="1336">
        <v>3827</v>
      </c>
      <c r="G29" s="447">
        <v>3827</v>
      </c>
      <c r="H29" s="1337">
        <f>(G29/F29)*100</f>
        <v>100</v>
      </c>
    </row>
    <row r="30" spans="1:11" s="1056" customFormat="1" ht="15" x14ac:dyDescent="0.25">
      <c r="A30" s="1338"/>
      <c r="B30" s="1335"/>
      <c r="C30" s="1114" t="s">
        <v>572</v>
      </c>
      <c r="D30" s="1079" t="s">
        <v>451</v>
      </c>
      <c r="E30" s="48"/>
      <c r="F30" s="314">
        <v>3827</v>
      </c>
      <c r="G30" s="316">
        <v>3827</v>
      </c>
      <c r="H30" s="1065">
        <f>(G30/F30)*100</f>
        <v>100</v>
      </c>
    </row>
    <row r="31" spans="1:11" s="1056" customFormat="1" ht="15" x14ac:dyDescent="0.25">
      <c r="A31" s="34">
        <v>6409</v>
      </c>
      <c r="B31" s="1088">
        <v>5229</v>
      </c>
      <c r="C31" s="1084"/>
      <c r="D31" s="1057" t="s">
        <v>573</v>
      </c>
      <c r="E31" s="48">
        <f>E33+E34</f>
        <v>16900</v>
      </c>
      <c r="F31" s="48">
        <f>F33+F34</f>
        <v>0</v>
      </c>
      <c r="G31" s="48">
        <f>G33+G34</f>
        <v>0</v>
      </c>
      <c r="H31" s="1062">
        <v>0</v>
      </c>
    </row>
    <row r="32" spans="1:11" s="1056" customFormat="1" ht="15" x14ac:dyDescent="0.25">
      <c r="A32" s="34"/>
      <c r="B32" s="1088"/>
      <c r="C32" s="1115"/>
      <c r="D32" s="1057" t="s">
        <v>574</v>
      </c>
      <c r="E32" s="48"/>
      <c r="F32" s="168"/>
      <c r="G32" s="315"/>
      <c r="H32" s="1062"/>
      <c r="K32" s="1110"/>
    </row>
    <row r="33" spans="1:14" s="1056" customFormat="1" ht="14.25" x14ac:dyDescent="0.2">
      <c r="A33" s="34"/>
      <c r="B33" s="1088"/>
      <c r="C33" s="1084" t="s">
        <v>249</v>
      </c>
      <c r="D33" s="1063" t="s">
        <v>318</v>
      </c>
      <c r="E33" s="55">
        <v>10000</v>
      </c>
      <c r="F33" s="314">
        <v>0</v>
      </c>
      <c r="G33" s="316">
        <v>0</v>
      </c>
      <c r="H33" s="1065">
        <v>0</v>
      </c>
      <c r="K33" s="1110"/>
    </row>
    <row r="34" spans="1:14" s="1056" customFormat="1" ht="14.25" x14ac:dyDescent="0.2">
      <c r="A34" s="34"/>
      <c r="B34" s="1088"/>
      <c r="C34" s="1084" t="s">
        <v>1202</v>
      </c>
      <c r="D34" s="1631" t="s">
        <v>1635</v>
      </c>
      <c r="E34" s="55">
        <v>6900</v>
      </c>
      <c r="F34" s="314">
        <v>0</v>
      </c>
      <c r="G34" s="316">
        <v>0</v>
      </c>
      <c r="H34" s="1065">
        <v>0</v>
      </c>
      <c r="K34" s="1110"/>
    </row>
    <row r="35" spans="1:14" s="1056" customFormat="1" ht="15" customHeight="1" x14ac:dyDescent="0.25">
      <c r="A35" s="34">
        <v>6409</v>
      </c>
      <c r="B35" s="1088">
        <v>5901</v>
      </c>
      <c r="C35" s="1115"/>
      <c r="D35" s="1111" t="s">
        <v>602</v>
      </c>
      <c r="E35" s="48">
        <f>E36</f>
        <v>40000</v>
      </c>
      <c r="F35" s="446">
        <f>F36+F37+F38</f>
        <v>313531</v>
      </c>
      <c r="G35" s="446">
        <f>G36+G37</f>
        <v>0</v>
      </c>
      <c r="H35" s="1062">
        <v>0</v>
      </c>
    </row>
    <row r="36" spans="1:14" s="1056" customFormat="1" ht="15" customHeight="1" x14ac:dyDescent="0.2">
      <c r="A36" s="34"/>
      <c r="B36" s="1088"/>
      <c r="C36" s="1069" t="s">
        <v>753</v>
      </c>
      <c r="D36" s="1063" t="s">
        <v>1259</v>
      </c>
      <c r="E36" s="55">
        <v>40000</v>
      </c>
      <c r="F36" s="314">
        <v>168924</v>
      </c>
      <c r="G36" s="316">
        <v>0</v>
      </c>
      <c r="H36" s="1065">
        <v>0</v>
      </c>
    </row>
    <row r="37" spans="1:14" s="1056" customFormat="1" ht="15" customHeight="1" x14ac:dyDescent="0.25">
      <c r="A37" s="34"/>
      <c r="B37" s="1088"/>
      <c r="C37" s="1069" t="s">
        <v>1849</v>
      </c>
      <c r="D37" s="1334" t="s">
        <v>1850</v>
      </c>
      <c r="E37" s="48"/>
      <c r="F37" s="314">
        <v>78106</v>
      </c>
      <c r="G37" s="316">
        <v>0</v>
      </c>
      <c r="H37" s="1065">
        <v>0</v>
      </c>
      <c r="J37" s="1097"/>
    </row>
    <row r="38" spans="1:14" s="1056" customFormat="1" ht="15" customHeight="1" x14ac:dyDescent="0.25">
      <c r="A38" s="34"/>
      <c r="B38" s="1088"/>
      <c r="C38" s="1114" t="s">
        <v>1030</v>
      </c>
      <c r="D38" s="166" t="s">
        <v>1031</v>
      </c>
      <c r="E38" s="48"/>
      <c r="F38" s="314">
        <v>66501</v>
      </c>
      <c r="G38" s="316">
        <v>0</v>
      </c>
      <c r="H38" s="1065">
        <v>0</v>
      </c>
      <c r="J38" s="1097"/>
    </row>
    <row r="39" spans="1:14" s="1056" customFormat="1" ht="15" customHeight="1" thickBot="1" x14ac:dyDescent="0.3">
      <c r="A39" s="34">
        <v>6409</v>
      </c>
      <c r="B39" s="1088">
        <v>5909</v>
      </c>
      <c r="C39" s="1115"/>
      <c r="D39" s="1058" t="s">
        <v>445</v>
      </c>
      <c r="E39" s="48"/>
      <c r="F39" s="168">
        <v>0</v>
      </c>
      <c r="G39" s="315">
        <v>13</v>
      </c>
      <c r="H39" s="1062">
        <v>0</v>
      </c>
      <c r="J39" s="1112" t="s">
        <v>535</v>
      </c>
      <c r="L39" s="1090">
        <f>E18+E19</f>
        <v>56149</v>
      </c>
      <c r="M39" s="1090">
        <f>F37+F18+F19</f>
        <v>96658</v>
      </c>
      <c r="N39" s="1090">
        <f>G37+G18+G19</f>
        <v>18552</v>
      </c>
    </row>
    <row r="40" spans="1:14" s="360" customFormat="1" ht="35.85" customHeight="1" thickTop="1" thickBot="1" x14ac:dyDescent="0.35">
      <c r="A40" s="991" t="s">
        <v>245</v>
      </c>
      <c r="B40" s="992"/>
      <c r="C40" s="993"/>
      <c r="D40" s="994"/>
      <c r="E40" s="641">
        <f>E12+E17+E21+E22+E23+E24+E25+E26+E31+E35+E28</f>
        <v>136490</v>
      </c>
      <c r="F40" s="641">
        <f>F12+F14+F17+F21+F22+F23+F24+F25+F26+F27+F29+F31+F35+F39+F28</f>
        <v>367332</v>
      </c>
      <c r="G40" s="641">
        <f>G12+G14+G17+G21+G22+G23+G24+G25+G26+G27+G29+G31+G35+G39+G28</f>
        <v>45002</v>
      </c>
      <c r="H40" s="642">
        <f>G40/F40*100</f>
        <v>12.251042653512354</v>
      </c>
    </row>
    <row r="41" spans="1:14" ht="13.5" thickTop="1" x14ac:dyDescent="0.2"/>
    <row r="44" spans="1:14" x14ac:dyDescent="0.2">
      <c r="A44" s="532"/>
      <c r="C44" s="532"/>
      <c r="E44" s="532"/>
      <c r="G44" s="532"/>
      <c r="I44" s="532"/>
      <c r="J44" s="532"/>
    </row>
    <row r="45" spans="1:14" s="665" customFormat="1" ht="16.5" x14ac:dyDescent="0.25">
      <c r="A45" s="361" t="s">
        <v>592</v>
      </c>
      <c r="B45" s="362"/>
      <c r="C45" s="363"/>
      <c r="D45" s="363"/>
      <c r="E45" s="934">
        <f>E46+E47+E48+E49</f>
        <v>136490</v>
      </c>
      <c r="F45" s="934">
        <f>F46+F47+F48+F49</f>
        <v>367332</v>
      </c>
      <c r="G45" s="934">
        <f>G46+G47+G48+G49</f>
        <v>45002</v>
      </c>
      <c r="H45" s="305">
        <f>G45/F45*100</f>
        <v>12.251042653512354</v>
      </c>
    </row>
    <row r="46" spans="1:14" s="1270" customFormat="1" ht="15" x14ac:dyDescent="0.2">
      <c r="A46" s="555" t="s">
        <v>263</v>
      </c>
      <c r="B46" s="585"/>
      <c r="C46" s="586"/>
      <c r="D46" s="586"/>
      <c r="E46" s="935">
        <f>E40</f>
        <v>136490</v>
      </c>
      <c r="F46" s="935">
        <f>F40-F48</f>
        <v>364997</v>
      </c>
      <c r="G46" s="935">
        <f>G40-G48</f>
        <v>45002</v>
      </c>
      <c r="H46" s="306">
        <f>G46/F46*100</f>
        <v>12.329416406162244</v>
      </c>
    </row>
    <row r="47" spans="1:14" s="1270" customFormat="1" ht="15" x14ac:dyDescent="0.2">
      <c r="A47" s="555" t="s">
        <v>264</v>
      </c>
      <c r="B47" s="590"/>
      <c r="C47" s="586"/>
      <c r="D47" s="586"/>
      <c r="E47" s="936">
        <v>0</v>
      </c>
      <c r="F47" s="936">
        <v>0</v>
      </c>
      <c r="G47" s="936">
        <v>0</v>
      </c>
      <c r="H47" s="306">
        <v>0</v>
      </c>
    </row>
    <row r="48" spans="1:14" s="1270" customFormat="1" ht="15" x14ac:dyDescent="0.2">
      <c r="A48" s="555" t="s">
        <v>208</v>
      </c>
      <c r="B48" s="590"/>
      <c r="C48" s="586"/>
      <c r="D48" s="586"/>
      <c r="E48" s="935">
        <v>0</v>
      </c>
      <c r="F48" s="588">
        <f>F15</f>
        <v>2335</v>
      </c>
      <c r="G48" s="588">
        <f>G15</f>
        <v>0</v>
      </c>
      <c r="H48" s="306">
        <f>G48/F48*100</f>
        <v>0</v>
      </c>
    </row>
    <row r="49" spans="1:10" s="1270" customFormat="1" ht="15" x14ac:dyDescent="0.2">
      <c r="A49" s="555" t="s">
        <v>1147</v>
      </c>
      <c r="B49" s="590"/>
      <c r="C49" s="586"/>
      <c r="D49" s="586"/>
      <c r="E49" s="935">
        <v>0</v>
      </c>
      <c r="F49" s="592">
        <v>0</v>
      </c>
      <c r="G49" s="592">
        <v>0</v>
      </c>
      <c r="H49" s="306">
        <v>0</v>
      </c>
    </row>
    <row r="50" spans="1:10" s="1270" customFormat="1" ht="15" x14ac:dyDescent="0.2">
      <c r="A50" s="555"/>
      <c r="B50" s="590"/>
      <c r="C50" s="586"/>
      <c r="D50" s="586"/>
      <c r="E50" s="935"/>
      <c r="F50" s="592"/>
      <c r="G50" s="592"/>
      <c r="H50" s="306"/>
    </row>
    <row r="51" spans="1:10" s="58" customFormat="1" ht="47.25" customHeight="1" thickBot="1" x14ac:dyDescent="0.4">
      <c r="A51" s="648" t="s">
        <v>1155</v>
      </c>
      <c r="B51" s="649"/>
      <c r="C51" s="650"/>
      <c r="D51" s="651"/>
      <c r="E51" s="593">
        <f>SUM(E40)</f>
        <v>136490</v>
      </c>
      <c r="F51" s="593">
        <f>SUM(F40)</f>
        <v>367332</v>
      </c>
      <c r="G51" s="593">
        <f>SUM(G40)</f>
        <v>45002</v>
      </c>
      <c r="H51" s="1008">
        <f>(G51/F51)*100</f>
        <v>12.251042653512354</v>
      </c>
    </row>
    <row r="52" spans="1:10" ht="13.5" thickTop="1" x14ac:dyDescent="0.2"/>
    <row r="64" spans="1:10" x14ac:dyDescent="0.2">
      <c r="A64" s="532"/>
      <c r="C64" s="532"/>
      <c r="E64" s="532"/>
      <c r="G64" s="532"/>
      <c r="I64" s="532"/>
      <c r="J64" s="532"/>
    </row>
    <row r="65" spans="1:10" x14ac:dyDescent="0.2">
      <c r="A65" s="532"/>
      <c r="C65" s="532"/>
      <c r="E65" s="532"/>
      <c r="G65" s="532"/>
      <c r="I65" s="532"/>
      <c r="J65" s="532"/>
    </row>
    <row r="66" spans="1:10" x14ac:dyDescent="0.2">
      <c r="A66" s="532"/>
      <c r="C66" s="532"/>
      <c r="E66" s="532"/>
      <c r="G66" s="532"/>
      <c r="I66" s="532"/>
      <c r="J66" s="532"/>
    </row>
    <row r="67" spans="1:10" x14ac:dyDescent="0.2">
      <c r="A67" s="532"/>
      <c r="C67" s="532"/>
      <c r="E67" s="532"/>
      <c r="G67" s="532"/>
      <c r="I67" s="532"/>
      <c r="J67" s="532"/>
    </row>
    <row r="68" spans="1:10" x14ac:dyDescent="0.2">
      <c r="A68" s="532"/>
      <c r="C68" s="532"/>
      <c r="E68" s="532"/>
      <c r="G68" s="532"/>
      <c r="I68" s="532"/>
      <c r="J68" s="532"/>
    </row>
    <row r="69" spans="1:10" s="58" customFormat="1" ht="47.25" customHeight="1" x14ac:dyDescent="0.35">
      <c r="A69" s="532"/>
      <c r="B69" s="532"/>
      <c r="C69" s="532"/>
      <c r="D69" s="532"/>
      <c r="E69" s="532"/>
      <c r="F69" s="493"/>
      <c r="G69" s="532"/>
      <c r="H69" s="664"/>
    </row>
    <row r="70" spans="1:10" s="644" customFormat="1" x14ac:dyDescent="0.2">
      <c r="A70" s="665"/>
      <c r="B70" s="665"/>
      <c r="C70" s="665"/>
      <c r="D70" s="665"/>
      <c r="E70" s="665"/>
      <c r="F70" s="667"/>
      <c r="G70" s="665"/>
      <c r="H70" s="668"/>
      <c r="I70" s="914"/>
      <c r="J70" s="914"/>
    </row>
    <row r="71" spans="1:10" x14ac:dyDescent="0.2">
      <c r="A71" s="532"/>
      <c r="C71" s="532"/>
      <c r="E71" s="532"/>
      <c r="G71" s="532"/>
    </row>
    <row r="72" spans="1:10" x14ac:dyDescent="0.2">
      <c r="A72" s="532"/>
      <c r="C72" s="532"/>
      <c r="E72" s="532"/>
      <c r="G72" s="532"/>
    </row>
    <row r="73" spans="1:10" x14ac:dyDescent="0.2">
      <c r="A73" s="532"/>
      <c r="C73" s="532"/>
      <c r="E73" s="532"/>
      <c r="G73" s="532"/>
    </row>
    <row r="74" spans="1:10" x14ac:dyDescent="0.2">
      <c r="A74" s="532"/>
      <c r="C74" s="532"/>
      <c r="E74" s="532"/>
      <c r="G74" s="532"/>
    </row>
    <row r="75" spans="1:10" x14ac:dyDescent="0.2">
      <c r="A75" s="532"/>
      <c r="C75" s="532"/>
      <c r="E75" s="532"/>
      <c r="G75" s="532"/>
    </row>
    <row r="76" spans="1:10" x14ac:dyDescent="0.2">
      <c r="A76" s="532"/>
      <c r="C76" s="532"/>
      <c r="E76" s="532"/>
      <c r="G76" s="532"/>
    </row>
    <row r="77" spans="1:10" x14ac:dyDescent="0.2">
      <c r="A77" s="532"/>
      <c r="C77" s="532"/>
      <c r="E77" s="532"/>
      <c r="G77" s="532"/>
    </row>
    <row r="78" spans="1:10" x14ac:dyDescent="0.2">
      <c r="A78" s="532"/>
      <c r="C78" s="532"/>
      <c r="E78" s="532"/>
      <c r="G78" s="532"/>
    </row>
    <row r="79" spans="1:10" x14ac:dyDescent="0.2">
      <c r="A79" s="532"/>
      <c r="C79" s="532"/>
      <c r="E79" s="532"/>
      <c r="G79" s="532"/>
    </row>
    <row r="80" spans="1:10" x14ac:dyDescent="0.2">
      <c r="A80" s="532"/>
      <c r="C80" s="532"/>
      <c r="E80" s="532"/>
      <c r="G80" s="532"/>
    </row>
  </sheetData>
  <mergeCells count="2">
    <mergeCell ref="D15:D16"/>
    <mergeCell ref="C15:C16"/>
  </mergeCells>
  <phoneticPr fontId="0" type="noConversion"/>
  <pageMargins left="0.98425196850393704" right="0.98425196850393704" top="0.98425196850393704" bottom="0.98425196850393704" header="0.51181102362204722" footer="0.51181102362204722"/>
  <pageSetup paperSize="9" scale="70" firstPageNumber="37" orientation="portrait" useFirstPageNumber="1" r:id="rId1"/>
  <headerFooter alignWithMargins="0">
    <oddFooter>&amp;L&amp;"Arial,Kurzíva"Zastupitelstvo Olomouckého kraje 26.6.2015
4. - Závěrečný  účet Olomouckého kraje za rok 2014
Příloha č. 3: Plnění rozpočtu výdajů Olomouckého kraje k 31.12.2014&amp;R&amp;"Arial,Kurzíva"Strana &amp;P (Celkem 484)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64</vt:i4>
      </vt:variant>
      <vt:variant>
        <vt:lpstr>Pojmenované oblasti</vt:lpstr>
      </vt:variant>
      <vt:variant>
        <vt:i4>63</vt:i4>
      </vt:variant>
    </vt:vector>
  </HeadingPairs>
  <TitlesOfParts>
    <vt:vector size="127" baseType="lpstr">
      <vt:lpstr>Rekapitulace</vt:lpstr>
      <vt:lpstr>Odbor celkem</vt:lpstr>
      <vt:lpstr>01 </vt:lpstr>
      <vt:lpstr>02</vt:lpstr>
      <vt:lpstr>03</vt:lpstr>
      <vt:lpstr>04</vt:lpstr>
      <vt:lpstr>05</vt:lpstr>
      <vt:lpstr>06</vt:lpstr>
      <vt:lpstr>07</vt:lpstr>
      <vt:lpstr>08</vt:lpstr>
      <vt:lpstr>OPOK</vt:lpstr>
      <vt:lpstr>SROP</vt:lpstr>
      <vt:lpstr>List1</vt:lpstr>
      <vt:lpstr>09</vt:lpstr>
      <vt:lpstr>10</vt:lpstr>
      <vt:lpstr>10 - PO</vt:lpstr>
      <vt:lpstr>10 - soukr.šk.</vt:lpstr>
      <vt:lpstr>11</vt:lpstr>
      <vt:lpstr>12</vt:lpstr>
      <vt:lpstr>13 </vt:lpstr>
      <vt:lpstr>14</vt:lpstr>
      <vt:lpstr>15</vt:lpstr>
      <vt:lpstr>16</vt:lpstr>
      <vt:lpstr>17</vt:lpstr>
      <vt:lpstr>17-st. akce</vt:lpstr>
      <vt:lpstr>18</vt:lpstr>
      <vt:lpstr>30</vt:lpstr>
      <vt:lpstr>32 </vt:lpstr>
      <vt:lpstr>37 </vt:lpstr>
      <vt:lpstr>38</vt:lpstr>
      <vt:lpstr>39 </vt:lpstr>
      <vt:lpstr>41 </vt:lpstr>
      <vt:lpstr>42 </vt:lpstr>
      <vt:lpstr>47 </vt:lpstr>
      <vt:lpstr>48 </vt:lpstr>
      <vt:lpstr>49 </vt:lpstr>
      <vt:lpstr>36</vt:lpstr>
      <vt:lpstr>37</vt:lpstr>
      <vt:lpstr>50</vt:lpstr>
      <vt:lpstr> 52 </vt:lpstr>
      <vt:lpstr>56</vt:lpstr>
      <vt:lpstr>57 </vt:lpstr>
      <vt:lpstr>58  </vt:lpstr>
      <vt:lpstr>59 </vt:lpstr>
      <vt:lpstr>60 </vt:lpstr>
      <vt:lpstr>61  </vt:lpstr>
      <vt:lpstr>62</vt:lpstr>
      <vt:lpstr>63</vt:lpstr>
      <vt:lpstr>64 </vt:lpstr>
      <vt:lpstr>66  </vt:lpstr>
      <vt:lpstr>67 </vt:lpstr>
      <vt:lpstr>68 </vt:lpstr>
      <vt:lpstr>69 </vt:lpstr>
      <vt:lpstr>71</vt:lpstr>
      <vt:lpstr>72</vt:lpstr>
      <vt:lpstr>73  </vt:lpstr>
      <vt:lpstr>74 </vt:lpstr>
      <vt:lpstr>75</vt:lpstr>
      <vt:lpstr>46</vt:lpstr>
      <vt:lpstr>F - 99</vt:lpstr>
      <vt:lpstr>F -199 </vt:lpstr>
      <vt:lpstr>199</vt:lpstr>
      <vt:lpstr>99</vt:lpstr>
      <vt:lpstr>List2</vt:lpstr>
      <vt:lpstr>'74 '!Názvy_tisku</vt:lpstr>
      <vt:lpstr>'75'!Názvy_tisku</vt:lpstr>
      <vt:lpstr>' 52 '!Oblast_tisku</vt:lpstr>
      <vt:lpstr>'01 '!Oblast_tisku</vt:lpstr>
      <vt:lpstr>'02'!Oblast_tisku</vt:lpstr>
      <vt:lpstr>'03'!Oblast_tisku</vt:lpstr>
      <vt:lpstr>'04'!Oblast_tisku</vt:lpstr>
      <vt:lpstr>'05'!Oblast_tisku</vt:lpstr>
      <vt:lpstr>'06'!Oblast_tisku</vt:lpstr>
      <vt:lpstr>'07'!Oblast_tisku</vt:lpstr>
      <vt:lpstr>'08'!Oblast_tisku</vt:lpstr>
      <vt:lpstr>'09'!Oblast_tisku</vt:lpstr>
      <vt:lpstr>'10'!Oblast_tisku</vt:lpstr>
      <vt:lpstr>'10 - PO'!Oblast_tisku</vt:lpstr>
      <vt:lpstr>'10 - soukr.šk.'!Oblast_tisku</vt:lpstr>
      <vt:lpstr>'11'!Oblast_tisku</vt:lpstr>
      <vt:lpstr>'12'!Oblast_tisku</vt:lpstr>
      <vt:lpstr>'13 '!Oblast_tisku</vt:lpstr>
      <vt:lpstr>'14'!Oblast_tisku</vt:lpstr>
      <vt:lpstr>'15'!Oblast_tisku</vt:lpstr>
      <vt:lpstr>'16'!Oblast_tisku</vt:lpstr>
      <vt:lpstr>'17'!Oblast_tisku</vt:lpstr>
      <vt:lpstr>'17-st. akce'!Oblast_tisku</vt:lpstr>
      <vt:lpstr>'18'!Oblast_tisku</vt:lpstr>
      <vt:lpstr>'199'!Oblast_tisku</vt:lpstr>
      <vt:lpstr>'30'!Oblast_tisku</vt:lpstr>
      <vt:lpstr>'32 '!Oblast_tisku</vt:lpstr>
      <vt:lpstr>'36'!Oblast_tisku</vt:lpstr>
      <vt:lpstr>'37'!Oblast_tisku</vt:lpstr>
      <vt:lpstr>'37 '!Oblast_tisku</vt:lpstr>
      <vt:lpstr>'38'!Oblast_tisku</vt:lpstr>
      <vt:lpstr>'39 '!Oblast_tisku</vt:lpstr>
      <vt:lpstr>'41 '!Oblast_tisku</vt:lpstr>
      <vt:lpstr>'42 '!Oblast_tisku</vt:lpstr>
      <vt:lpstr>'47 '!Oblast_tisku</vt:lpstr>
      <vt:lpstr>'48 '!Oblast_tisku</vt:lpstr>
      <vt:lpstr>'49 '!Oblast_tisku</vt:lpstr>
      <vt:lpstr>'50'!Oblast_tisku</vt:lpstr>
      <vt:lpstr>'56'!Oblast_tisku</vt:lpstr>
      <vt:lpstr>'57 '!Oblast_tisku</vt:lpstr>
      <vt:lpstr>'58  '!Oblast_tisku</vt:lpstr>
      <vt:lpstr>'59 '!Oblast_tisku</vt:lpstr>
      <vt:lpstr>'60 '!Oblast_tisku</vt:lpstr>
      <vt:lpstr>'61  '!Oblast_tisku</vt:lpstr>
      <vt:lpstr>'62'!Oblast_tisku</vt:lpstr>
      <vt:lpstr>'63'!Oblast_tisku</vt:lpstr>
      <vt:lpstr>'64 '!Oblast_tisku</vt:lpstr>
      <vt:lpstr>'66  '!Oblast_tisku</vt:lpstr>
      <vt:lpstr>'67 '!Oblast_tisku</vt:lpstr>
      <vt:lpstr>'68 '!Oblast_tisku</vt:lpstr>
      <vt:lpstr>'69 '!Oblast_tisku</vt:lpstr>
      <vt:lpstr>'71'!Oblast_tisku</vt:lpstr>
      <vt:lpstr>'72'!Oblast_tisku</vt:lpstr>
      <vt:lpstr>'73  '!Oblast_tisku</vt:lpstr>
      <vt:lpstr>'74 '!Oblast_tisku</vt:lpstr>
      <vt:lpstr>'75'!Oblast_tisku</vt:lpstr>
      <vt:lpstr>'99'!Oblast_tisku</vt:lpstr>
      <vt:lpstr>'F - 99'!Oblast_tisku</vt:lpstr>
      <vt:lpstr>'F -199 '!Oblast_tisku</vt:lpstr>
      <vt:lpstr>'Odbor celkem'!Oblast_tisku</vt:lpstr>
      <vt:lpstr>OPOK!Oblast_tisku</vt:lpstr>
      <vt:lpstr>Rekapitulace!Oblast_tisku</vt:lpstr>
      <vt:lpstr>SROP!Oblast_tisku</vt:lpstr>
    </vt:vector>
  </TitlesOfParts>
  <Company>Krajský úřad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Petra Vítková</dc:creator>
  <cp:lastModifiedBy>Balabuch Petr</cp:lastModifiedBy>
  <cp:lastPrinted>2015-06-08T09:23:14Z</cp:lastPrinted>
  <dcterms:created xsi:type="dcterms:W3CDTF">2003-03-17T17:09:55Z</dcterms:created>
  <dcterms:modified xsi:type="dcterms:W3CDTF">2015-06-08T09:23:23Z</dcterms:modified>
</cp:coreProperties>
</file>