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46. splátka\ZOK - 26.4.2021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úvěru'!$B$1:$BU$97</definedName>
  </definedNames>
  <calcPr calcId="162913"/>
</workbook>
</file>

<file path=xl/calcChain.xml><?xml version="1.0" encoding="utf-8"?>
<calcChain xmlns="http://schemas.openxmlformats.org/spreadsheetml/2006/main">
  <c r="BU94" i="6" l="1"/>
  <c r="BT8" i="6" l="1"/>
  <c r="BT89" i="6"/>
  <c r="BT88" i="6"/>
  <c r="BT76" i="6"/>
  <c r="BT83" i="6" l="1"/>
  <c r="BT85" i="6" l="1"/>
  <c r="BT96" i="6" l="1"/>
  <c r="BT92" i="6" l="1"/>
  <c r="BT93" i="6"/>
  <c r="BT27" i="6"/>
  <c r="BT72" i="6"/>
  <c r="BT84" i="6" l="1"/>
  <c r="BT82" i="6"/>
  <c r="BU95" i="6" l="1"/>
  <c r="BT23" i="6" l="1"/>
  <c r="BT5" i="6"/>
  <c r="H94" i="6" l="1"/>
  <c r="G93" i="6"/>
  <c r="G81" i="6"/>
  <c r="G82" i="6"/>
  <c r="G83" i="6"/>
  <c r="G84" i="6"/>
  <c r="G85" i="6"/>
  <c r="G86" i="6"/>
  <c r="G87" i="6"/>
  <c r="G88" i="6"/>
  <c r="G89" i="6"/>
  <c r="G90" i="6"/>
  <c r="G91" i="6"/>
  <c r="G92" i="6"/>
  <c r="G80" i="6"/>
  <c r="G76" i="6"/>
  <c r="G65" i="6"/>
  <c r="G66" i="6"/>
  <c r="G67" i="6"/>
  <c r="G68" i="6"/>
  <c r="G69" i="6"/>
  <c r="G70" i="6"/>
  <c r="G71" i="6"/>
  <c r="G72" i="6"/>
  <c r="G73" i="6"/>
  <c r="G74" i="6"/>
  <c r="G75" i="6"/>
  <c r="G64" i="6"/>
  <c r="G63" i="6"/>
  <c r="G6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42" i="6"/>
  <c r="G40" i="6"/>
  <c r="G37" i="6"/>
  <c r="G38" i="6"/>
  <c r="G39" i="6"/>
  <c r="G36" i="6"/>
  <c r="G35" i="6"/>
  <c r="G34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5" i="6"/>
  <c r="G4" i="6"/>
  <c r="I90" i="6" l="1"/>
  <c r="I94" i="6" l="1"/>
  <c r="BT94" i="6" l="1"/>
  <c r="J26" i="6" l="1"/>
  <c r="J88" i="6" l="1"/>
  <c r="J93" i="6"/>
  <c r="F96" i="6" l="1"/>
  <c r="J27" i="6" l="1"/>
  <c r="J92" i="6"/>
  <c r="BU92" i="6"/>
  <c r="F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AI94" i="6"/>
  <c r="AJ94" i="6"/>
  <c r="AK94" i="6"/>
  <c r="AL94" i="6"/>
  <c r="AM94" i="6"/>
  <c r="AN94" i="6"/>
  <c r="AO94" i="6"/>
  <c r="AP94" i="6"/>
  <c r="AQ94" i="6"/>
  <c r="AR94" i="6"/>
  <c r="AS94" i="6"/>
  <c r="AT94" i="6"/>
  <c r="AU94" i="6"/>
  <c r="AV94" i="6"/>
  <c r="AW94" i="6"/>
  <c r="AX94" i="6"/>
  <c r="AY94" i="6"/>
  <c r="AZ94" i="6"/>
  <c r="BA94" i="6"/>
  <c r="BB94" i="6"/>
  <c r="BC94" i="6"/>
  <c r="BD94" i="6"/>
  <c r="BE94" i="6"/>
  <c r="BF94" i="6"/>
  <c r="BG94" i="6"/>
  <c r="BH94" i="6"/>
  <c r="BI94" i="6"/>
  <c r="BJ94" i="6"/>
  <c r="BK94" i="6"/>
  <c r="BL94" i="6"/>
  <c r="BM94" i="6"/>
  <c r="BN94" i="6"/>
  <c r="BO94" i="6"/>
  <c r="BP94" i="6"/>
  <c r="BQ94" i="6"/>
  <c r="BR94" i="6"/>
  <c r="BS94" i="6"/>
  <c r="BU93" i="6" l="1"/>
  <c r="J94" i="6"/>
  <c r="G96" i="6" l="1"/>
  <c r="G99" i="6"/>
  <c r="G94" i="6"/>
  <c r="K88" i="6" l="1"/>
  <c r="K85" i="6"/>
  <c r="K83" i="6"/>
  <c r="K82" i="6"/>
  <c r="K90" i="6"/>
  <c r="K91" i="6" l="1"/>
  <c r="K27" i="6" l="1"/>
  <c r="K26" i="6"/>
  <c r="M96" i="6" l="1"/>
  <c r="L96" i="6"/>
  <c r="BU91" i="6"/>
  <c r="BV96" i="6" l="1"/>
  <c r="BV94" i="6"/>
  <c r="BU89" i="6"/>
  <c r="BU90" i="6"/>
  <c r="BO96" i="6"/>
  <c r="BP96" i="6"/>
  <c r="BQ96" i="6"/>
  <c r="BR96" i="6"/>
  <c r="BS96" i="6"/>
  <c r="BF96" i="6"/>
  <c r="BG96" i="6"/>
  <c r="BH96" i="6"/>
  <c r="BI96" i="6"/>
  <c r="BJ96" i="6"/>
  <c r="BK96" i="6"/>
  <c r="BL96" i="6"/>
  <c r="BM96" i="6"/>
  <c r="BN96" i="6"/>
  <c r="AX96" i="6"/>
  <c r="AY96" i="6"/>
  <c r="AZ96" i="6"/>
  <c r="BA96" i="6"/>
  <c r="BB96" i="6"/>
  <c r="BC96" i="6"/>
  <c r="BD96" i="6"/>
  <c r="BE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AH96" i="6"/>
  <c r="AI96" i="6"/>
  <c r="AJ96" i="6"/>
  <c r="AK96" i="6"/>
  <c r="AL96" i="6"/>
  <c r="AM96" i="6"/>
  <c r="AN96" i="6"/>
  <c r="AO96" i="6"/>
  <c r="AP96" i="6"/>
  <c r="AQ96" i="6"/>
  <c r="AR96" i="6"/>
  <c r="AS96" i="6"/>
  <c r="AT96" i="6"/>
  <c r="AU96" i="6"/>
  <c r="AV96" i="6"/>
  <c r="AW96" i="6"/>
  <c r="M88" i="6" l="1"/>
  <c r="M27" i="6" l="1"/>
  <c r="M26" i="6" l="1"/>
  <c r="G95" i="6" l="1"/>
  <c r="M85" i="6" l="1"/>
  <c r="N27" i="6" l="1"/>
  <c r="N77" i="6" l="1"/>
  <c r="O88" i="6" l="1"/>
  <c r="BT15" i="6" l="1"/>
  <c r="BT24" i="6"/>
  <c r="P88" i="6" l="1"/>
  <c r="P72" i="6" l="1"/>
  <c r="P77" i="6" l="1"/>
  <c r="P76" i="6"/>
  <c r="P27" i="6" l="1"/>
  <c r="Q85" i="6" l="1"/>
  <c r="BU87" i="6" l="1"/>
  <c r="BU88" i="6" l="1"/>
  <c r="BT73" i="6" l="1"/>
  <c r="BT70" i="6" l="1"/>
  <c r="U76" i="6" l="1"/>
  <c r="U77" i="6"/>
  <c r="U78" i="6"/>
  <c r="U79" i="6"/>
  <c r="BU86" i="6" l="1"/>
  <c r="BU40" i="6" l="1"/>
  <c r="V76" i="6" l="1"/>
  <c r="V77" i="6"/>
  <c r="V78" i="6"/>
  <c r="V79" i="6"/>
  <c r="BU85" i="6" l="1"/>
  <c r="V8" i="6" l="1"/>
  <c r="BU84" i="6" l="1"/>
  <c r="BU4" i="6"/>
  <c r="W79" i="6" l="1"/>
  <c r="W78" i="6"/>
  <c r="BT20" i="6" l="1"/>
  <c r="BT66" i="6"/>
  <c r="BT28" i="6"/>
  <c r="BT65" i="6"/>
  <c r="X72" i="6" l="1"/>
  <c r="X77" i="6" l="1"/>
  <c r="X76" i="6"/>
  <c r="X79" i="6"/>
  <c r="X78" i="6"/>
  <c r="BT53" i="6" l="1"/>
  <c r="BT17" i="6"/>
  <c r="BT16" i="6"/>
  <c r="BT14" i="6"/>
  <c r="BT13" i="6"/>
  <c r="BT9" i="6"/>
  <c r="Y74" i="6" l="1"/>
  <c r="Y73" i="6"/>
  <c r="BT32" i="6" l="1"/>
  <c r="BT10" i="6"/>
  <c r="BT42" i="6"/>
  <c r="BT39" i="6"/>
  <c r="BT71" i="6"/>
  <c r="Z23" i="6" l="1"/>
  <c r="Z72" i="6"/>
  <c r="Z79" i="6" l="1"/>
  <c r="Z78" i="6"/>
  <c r="BT29" i="6" l="1"/>
  <c r="AA66" i="6" l="1"/>
  <c r="AA65" i="6"/>
  <c r="AA72" i="6" l="1"/>
  <c r="AB28" i="6" l="1"/>
  <c r="AB77" i="6" l="1"/>
  <c r="AB76" i="6"/>
  <c r="AC79" i="6" l="1"/>
  <c r="AC78" i="6"/>
  <c r="BU83" i="6" l="1"/>
  <c r="AC72" i="6" l="1"/>
  <c r="AC75" i="6" l="1"/>
  <c r="F83" i="6" l="1"/>
  <c r="AC77" i="6" l="1"/>
  <c r="AC76" i="6"/>
  <c r="AC28" i="6" l="1"/>
  <c r="BU82" i="6" l="1"/>
  <c r="BT21" i="6" l="1"/>
  <c r="AE32" i="6" l="1"/>
  <c r="AE80" i="6" l="1"/>
  <c r="AE72" i="6" l="1"/>
  <c r="AE10" i="6" l="1"/>
  <c r="AE66" i="6" l="1"/>
  <c r="AE65" i="6"/>
  <c r="BU81" i="6"/>
  <c r="AF29" i="6" l="1"/>
  <c r="BU80" i="6" l="1"/>
  <c r="BU75" i="6"/>
  <c r="BU76" i="6" l="1"/>
  <c r="AF32" i="6"/>
  <c r="AF20" i="6"/>
  <c r="AF10" i="6" l="1"/>
  <c r="AF74" i="6" l="1"/>
  <c r="AF73" i="6"/>
  <c r="BU74" i="6" l="1"/>
  <c r="AF72" i="6"/>
  <c r="AF65" i="6"/>
  <c r="BT25" i="6" l="1"/>
  <c r="AG69" i="6" l="1"/>
  <c r="AG32" i="6" l="1"/>
  <c r="AH72" i="6" l="1"/>
  <c r="BT33" i="6" l="1"/>
  <c r="AH32" i="6" l="1"/>
  <c r="BT18" i="6" l="1"/>
  <c r="AI61" i="6" l="1"/>
  <c r="BU73" i="6" l="1"/>
  <c r="BT45" i="6" l="1"/>
  <c r="BT36" i="6"/>
  <c r="BT34" i="6"/>
  <c r="BT38" i="6"/>
  <c r="BT52" i="6"/>
  <c r="BT64" i="6"/>
  <c r="AJ72" i="6" l="1"/>
  <c r="AJ20" i="6" l="1"/>
  <c r="AJ32" i="6"/>
  <c r="AJ10" i="6"/>
  <c r="BU72" i="6"/>
  <c r="BU71" i="6"/>
  <c r="BU70" i="6" l="1"/>
  <c r="AK20" i="6" l="1"/>
  <c r="BT50" i="6" l="1"/>
  <c r="BT59" i="6"/>
  <c r="AL10" i="6" l="1"/>
  <c r="AL61" i="6" l="1"/>
  <c r="AR33" i="6" l="1"/>
  <c r="AR32" i="6"/>
  <c r="AR8" i="6"/>
  <c r="BU69" i="6" l="1"/>
  <c r="BT58" i="6" l="1"/>
  <c r="AO61" i="6" l="1"/>
  <c r="AP10" i="6" l="1"/>
  <c r="AQ63" i="6" l="1"/>
  <c r="BT11" i="6" l="1"/>
  <c r="AR61" i="6" l="1"/>
  <c r="AR44" i="6"/>
  <c r="AZ41" i="6" l="1"/>
  <c r="AZ40" i="6"/>
  <c r="BT40" i="6" l="1"/>
  <c r="AS52" i="6" l="1"/>
  <c r="AS8" i="6" l="1"/>
  <c r="AS63" i="6" l="1"/>
  <c r="AS33" i="6"/>
  <c r="AS15" i="6" l="1"/>
  <c r="AS10" i="6" l="1"/>
  <c r="AS5" i="6"/>
  <c r="AS44" i="6"/>
  <c r="BT7" i="6" l="1"/>
  <c r="AU33" i="6" l="1"/>
  <c r="AT44" i="6" l="1"/>
  <c r="AT32" i="6" l="1"/>
  <c r="AU21" i="6" l="1"/>
  <c r="AU45" i="6" l="1"/>
  <c r="AU11" i="6" l="1"/>
  <c r="BU68" i="6" l="1"/>
  <c r="AU63" i="6" l="1"/>
  <c r="AU13" i="6"/>
  <c r="AU24" i="6" l="1"/>
  <c r="AU32" i="6"/>
  <c r="AU44" i="6" l="1"/>
  <c r="AU54" i="6"/>
  <c r="AU8" i="6" l="1"/>
  <c r="AU10" i="6"/>
  <c r="BU67" i="6"/>
  <c r="AU52" i="6"/>
  <c r="BA41" i="6" l="1"/>
  <c r="BA40" i="6"/>
  <c r="AV40" i="6" l="1"/>
  <c r="BG34" i="6" l="1"/>
  <c r="AV41" i="6" l="1"/>
  <c r="BU65" i="6" l="1"/>
  <c r="BU66" i="6"/>
  <c r="BT6" i="6" l="1"/>
  <c r="AW21" i="6" l="1"/>
  <c r="AW33" i="6" l="1"/>
  <c r="AW56" i="6" l="1"/>
  <c r="AW32" i="6" l="1"/>
  <c r="AW10" i="6" l="1"/>
  <c r="AW54" i="6"/>
  <c r="BU64" i="6"/>
  <c r="AW13" i="6"/>
  <c r="AW63" i="6" l="1"/>
  <c r="BU63" i="6" l="1"/>
  <c r="AW5" i="6" l="1"/>
  <c r="AW51" i="6"/>
  <c r="AX44" i="6" l="1"/>
  <c r="AX58" i="6" l="1"/>
  <c r="AX11" i="6" l="1"/>
  <c r="AX51" i="6" l="1"/>
  <c r="AX38" i="6"/>
  <c r="AX41" i="6" l="1"/>
  <c r="AX25" i="6" l="1"/>
  <c r="AX36" i="6"/>
  <c r="AX48" i="6" l="1"/>
  <c r="F55" i="6" l="1"/>
  <c r="AX52" i="6" l="1"/>
  <c r="AX21" i="6"/>
  <c r="AX54" i="6"/>
  <c r="AX10" i="6"/>
  <c r="AY37" i="6" l="1"/>
  <c r="AY62" i="6" l="1"/>
  <c r="BU62" i="6" s="1"/>
  <c r="AY50" i="6" l="1"/>
  <c r="AY58" i="6"/>
  <c r="BU61" i="6"/>
  <c r="AY32" i="6"/>
  <c r="AY13" i="6"/>
  <c r="AY8" i="6"/>
  <c r="AY5" i="6"/>
  <c r="AY47" i="6"/>
  <c r="AZ43" i="6" l="1"/>
  <c r="BU60" i="6"/>
  <c r="AZ22" i="6"/>
  <c r="BU59" i="6"/>
  <c r="AZ58" i="6"/>
  <c r="BU58" i="6" s="1"/>
  <c r="BU57" i="6"/>
  <c r="BU56" i="6" l="1"/>
  <c r="BA38" i="6" l="1"/>
  <c r="BA13" i="6"/>
  <c r="BA9" i="6"/>
  <c r="BA10" i="6" l="1"/>
  <c r="BA32" i="6"/>
  <c r="BA52" i="6" l="1"/>
  <c r="BE40" i="6"/>
  <c r="BC40" i="6"/>
  <c r="BB33" i="6" l="1"/>
  <c r="BU55" i="6" l="1"/>
  <c r="BB38" i="6" l="1"/>
  <c r="BU54" i="6" l="1"/>
  <c r="BB16" i="6"/>
  <c r="BU53" i="6" l="1"/>
  <c r="BB52" i="6"/>
  <c r="BU52" i="6" l="1"/>
  <c r="BU51" i="6"/>
  <c r="BC14" i="6" l="1"/>
  <c r="BC10" i="6" l="1"/>
  <c r="BC5" i="6" l="1"/>
  <c r="BC9" i="6" l="1"/>
  <c r="BC50" i="6" l="1"/>
  <c r="BU48" i="6"/>
  <c r="BU49" i="6"/>
  <c r="BU50" i="6" l="1"/>
  <c r="BC8" i="6"/>
  <c r="BU47" i="6" l="1"/>
  <c r="BC25" i="6"/>
  <c r="BC16" i="6"/>
  <c r="BC44" i="6" l="1"/>
  <c r="BU46" i="6" l="1"/>
  <c r="BU45" i="6" l="1"/>
  <c r="BD10" i="6" l="1"/>
  <c r="BD9" i="6" l="1"/>
  <c r="BD44" i="6"/>
  <c r="BU44" i="6" s="1"/>
  <c r="BE16" i="6" l="1"/>
  <c r="BE11" i="6"/>
  <c r="BU43" i="6" l="1"/>
  <c r="BU42" i="6"/>
  <c r="BE33" i="6" l="1"/>
  <c r="BU39" i="6" l="1"/>
  <c r="BU38" i="6"/>
  <c r="BF30" i="6" l="1"/>
  <c r="BU36" i="6" l="1"/>
  <c r="BU37" i="6"/>
  <c r="BF11" i="6" l="1"/>
  <c r="BF10" i="6"/>
  <c r="BF5" i="6"/>
  <c r="BU35" i="6"/>
  <c r="BU34" i="6" l="1"/>
  <c r="BG31" i="6" l="1"/>
  <c r="BG33" i="6"/>
  <c r="BG5" i="6"/>
  <c r="BG25" i="6"/>
  <c r="BG9" i="6"/>
  <c r="BG10" i="6"/>
  <c r="BU33" i="6" l="1"/>
  <c r="BU26" i="6"/>
  <c r="BU27" i="6"/>
  <c r="BU29" i="6"/>
  <c r="BU30" i="6"/>
  <c r="BU31" i="6"/>
  <c r="BU32" i="6"/>
  <c r="BH10" i="6" l="1"/>
  <c r="BH9" i="6" l="1"/>
  <c r="BH5" i="6"/>
  <c r="BH24" i="6"/>
  <c r="BU25" i="6"/>
  <c r="BH23" i="6"/>
  <c r="BU23" i="6" s="1"/>
  <c r="BH8" i="6"/>
  <c r="BU20" i="6"/>
  <c r="BU21" i="6"/>
  <c r="BU22" i="6"/>
  <c r="BU24" i="6" l="1"/>
  <c r="BU19" i="6"/>
  <c r="BT4" i="6" l="1"/>
  <c r="BJ11" i="6" l="1"/>
  <c r="BU15" i="6"/>
  <c r="BU16" i="6"/>
  <c r="BU18" i="6"/>
  <c r="BU17" i="6"/>
  <c r="BU13" i="6" l="1"/>
  <c r="BU14" i="6"/>
  <c r="BU12" i="6" l="1"/>
  <c r="BU9" i="6"/>
  <c r="BU7" i="6"/>
  <c r="BL11" i="6"/>
  <c r="BU11" i="6" l="1"/>
  <c r="BO6" i="6"/>
  <c r="BR6" i="6"/>
  <c r="BR8" i="6"/>
  <c r="BS6" i="6"/>
  <c r="BS5" i="6"/>
  <c r="BU6" i="6" l="1"/>
  <c r="BU8" i="6"/>
  <c r="BU96" i="6" s="1"/>
  <c r="BS10" i="6"/>
  <c r="BU10" i="6" l="1"/>
  <c r="BU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  <c r="BU28" i="6" l="1"/>
  <c r="BU97" i="6" s="1"/>
</calcChain>
</file>

<file path=xl/comments1.xml><?xml version="1.0" encoding="utf-8"?>
<comments xmlns="http://schemas.openxmlformats.org/spreadsheetml/2006/main">
  <authors>
    <author>Foret Oldřich</author>
  </authors>
  <commentList>
    <comment ref="BS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BR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8" authorId="0" shapeId="0">
      <text>
        <r>
          <rPr>
            <sz val="9"/>
            <color indexed="81"/>
            <rFont val="Tahoma"/>
            <family val="2"/>
            <charset val="238"/>
          </rPr>
          <t xml:space="preserve">2 484 Kč z rezervy
</t>
        </r>
      </text>
    </comment>
    <comment ref="BR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S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32" authorId="0" shapeId="0">
      <text>
        <r>
          <rPr>
            <b/>
            <sz val="9"/>
            <color indexed="81"/>
            <rFont val="Tahoma"/>
            <family val="2"/>
            <charset val="238"/>
          </rPr>
          <t>vykryto z rezervy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33" authorId="0" shapeId="0">
      <text>
        <r>
          <rPr>
            <sz val="9"/>
            <color indexed="81"/>
            <rFont val="Tahoma"/>
            <family val="2"/>
            <charset val="238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  <comment ref="BT76" authorId="0" shapeId="0">
      <text>
        <r>
          <rPr>
            <sz val="9"/>
            <color indexed="81"/>
            <rFont val="Tahoma"/>
            <family val="2"/>
            <charset val="238"/>
          </rPr>
          <t>Splátka z dotace projektu ORG 100040:
1) 9 414 969,14 Kč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T82" authorId="0" shapeId="0">
      <text>
        <r>
          <rPr>
            <b/>
            <sz val="9"/>
            <color indexed="81"/>
            <rFont val="Tahoma"/>
            <family val="2"/>
            <charset val="238"/>
          </rPr>
          <t>Mimořádná splátka ve výši 112 187 663,20 z načerpaného navíc
Mimořádná splátka ve výši 44 234 811,14 z rezervy OK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  <charset val="238"/>
          </rPr>
          <t>Projekt vedený v EUR
Dotace pro OK:
196 098,84 EUR = 5 098 569,84 Kč (kurz dle rozhodnutí 26,00 CZK/EUR)
3 333 680,36 = 85 842 269,27 Kč (přepočteno kurzem OK pro rok 2019 - 25,75 CZK/EUR)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T83" authorId="0" shapeId="0">
      <text>
        <r>
          <rPr>
            <b/>
            <sz val="9"/>
            <color indexed="81"/>
            <rFont val="Tahoma"/>
            <family val="2"/>
            <charset val="238"/>
          </rPr>
          <t>Mimořádná splátka ve výši 
1) 11 195 413,56 Kč z rezervy OK
2) 7 242 075,16 Kč z projektu 100919
3) 23 256,04 Kč z projektu 101113
4) 439 281,54 Kč z projektu 101446
5) 436 866,26 Kč z projektu 101283
6) 117 243,90 Kč z projektu 101251
Splátka z dotace projektu ORG 100040:
1) 23 869 265,24 Kč</t>
        </r>
      </text>
    </comment>
    <comment ref="BT84" authorId="0" shapeId="0">
      <text>
        <r>
          <rPr>
            <b/>
            <sz val="9"/>
            <color indexed="81"/>
            <rFont val="Tahoma"/>
            <family val="2"/>
            <charset val="238"/>
          </rPr>
          <t>Mimořádná splátka ve výši 77 249 775,30 Kč z rezervy 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T88" authorId="0" shapeId="0">
      <text>
        <r>
          <rPr>
            <sz val="9"/>
            <color indexed="81"/>
            <rFont val="Tahoma"/>
            <family val="2"/>
            <charset val="238"/>
          </rPr>
          <t xml:space="preserve">Splátka z dotace projektu ORG 100040:
1) 965 148,03 Kč
Splátka z dotace projektu ORG 100914:
1) 502 468,09 Kč
</t>
        </r>
      </text>
    </comment>
    <comment ref="BT89" authorId="0" shapeId="0">
      <text>
        <r>
          <rPr>
            <sz val="9"/>
            <color indexed="81"/>
            <rFont val="Tahoma"/>
            <family val="2"/>
            <charset val="238"/>
          </rPr>
          <t>Splátka z dotace projektu ORG 100914:
1) 1 798 888,04 Kč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T90" authorId="0" shapeId="0">
      <text>
        <r>
          <rPr>
            <sz val="9"/>
            <color indexed="81"/>
            <rFont val="Tahoma"/>
            <family val="2"/>
            <charset val="238"/>
          </rPr>
          <t>Splátka z dotace projektu ORG 100914:
1) 6 618 275,88 Kč</t>
        </r>
      </text>
    </comment>
  </commentList>
</comments>
</file>

<file path=xl/sharedStrings.xml><?xml version="1.0" encoding="utf-8"?>
<sst xmlns="http://schemas.openxmlformats.org/spreadsheetml/2006/main" count="292" uniqueCount="204">
  <si>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</si>
  <si>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</si>
  <si>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</si>
  <si>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</si>
  <si>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</si>
  <si>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</si>
  <si>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</si>
  <si>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</si>
  <si>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</si>
  <si>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</si>
  <si>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</si>
  <si>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</si>
  <si>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</si>
  <si>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</si>
  <si>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</si>
  <si>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</si>
  <si>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</si>
  <si>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</si>
  <si>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</si>
  <si>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</si>
  <si>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</si>
  <si>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</si>
  <si>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</si>
  <si>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</si>
  <si>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</si>
  <si>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</si>
  <si>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</si>
  <si>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</si>
  <si>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</si>
  <si>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</si>
  <si>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</si>
  <si>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</si>
  <si>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</si>
  <si>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</si>
  <si>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</si>
  <si>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</si>
  <si>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</si>
  <si>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</si>
  <si>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</si>
  <si>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</si>
  <si>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</si>
  <si>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</si>
  <si>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</si>
  <si>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</si>
  <si>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</si>
  <si>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</si>
  <si>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</si>
  <si>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</si>
  <si>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</si>
  <si>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</si>
  <si>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</si>
  <si>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</si>
  <si>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</si>
  <si>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</si>
  <si>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</si>
  <si>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</si>
  <si>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</si>
  <si>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</si>
  <si>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</si>
  <si>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</si>
  <si>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</si>
  <si>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</si>
  <si>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</si>
  <si>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</si>
  <si>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</si>
  <si>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</si>
  <si>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</si>
  <si>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</si>
  <si>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</si>
  <si>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</si>
  <si>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</si>
  <si>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</si>
  <si>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</si>
  <si>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</si>
  <si>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</si>
  <si>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</si>
  <si>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</si>
  <si>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</si>
  <si>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</si>
  <si>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</si>
  <si>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</si>
  <si>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</si>
  <si>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</si>
  <si>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</si>
  <si>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</si>
  <si>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</si>
  <si>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</si>
  <si>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</si>
  <si>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</si>
  <si>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</si>
  <si>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</si>
  <si>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</si>
  <si>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</si>
  <si>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</si>
  <si>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</si>
  <si>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</si>
  <si>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</si>
  <si>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</si>
  <si>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</si>
  <si>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</si>
  <si>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</si>
  <si>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</si>
  <si>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</si>
  <si>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</si>
  <si>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</si>
  <si>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</si>
  <si>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</si>
  <si>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</si>
  <si>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</si>
  <si>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</si>
  <si>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</si>
  <si>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</si>
  <si>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</si>
  <si>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</si>
  <si>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</si>
  <si>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</si>
  <si>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</si>
  <si>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</si>
  <si>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</si>
  <si>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</si>
  <si>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</si>
  <si>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</si>
  <si>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</si>
  <si>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</si>
  <si>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</si>
  <si>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</si>
  <si>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</si>
  <si>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</si>
  <si>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</si>
  <si>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</si>
  <si>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</si>
  <si>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</si>
  <si>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</si>
  <si>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</si>
  <si>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</si>
  <si>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</si>
  <si>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</si>
  <si>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</si>
  <si>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</si>
  <si>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</si>
  <si>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</si>
  <si>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</si>
  <si>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</si>
  <si>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</si>
  <si>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</si>
  <si>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</si>
  <si>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</si>
  <si>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</si>
  <si>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</si>
  <si>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</si>
  <si>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</si>
  <si>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</si>
  <si>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</si>
  <si>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</si>
  <si>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</si>
  <si>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</si>
  <si>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</si>
  <si>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</si>
  <si>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</si>
  <si>
    <t>37. dílčí čerpání revolvingu KB (17.06.2019)  UR/67/55/2019</t>
  </si>
  <si>
    <t>38. dílčí čerpání revolvingu KB (24.06.2019)  UR/68/3/2019</t>
  </si>
  <si>
    <t>5.1b. Realizace energeticky úsporných opatření - Střední škola a Základní škola Lipník nad Bečvou - přístavby školy + oprava fasády přední části budovy - b) vzduchotechnika</t>
  </si>
  <si>
    <t>Základní umělecká škola Iši Krejčího Olomouc, Na Vozovce 32 - Výměna oken a zateplení pláště budovy na detašovaném pracovišti Jílová 43a - a)</t>
  </si>
  <si>
    <t>39. dílčí čerpání revolvingu KB (15.07.2019)  UR/69/61/2019</t>
  </si>
  <si>
    <t>40. dílčí čerpání revolvingu KB (12.08.2019)  UR/70/64/2019</t>
  </si>
  <si>
    <t>Základní umělecká škola Iši Krejčího Olomouc, Na Vozovce 32 - Výměna oken a zateplení pláště budovy na detašovaném pracovišti Jílová 43a - b)</t>
  </si>
  <si>
    <t>5.1b. Realizace energeticky úsporných opatření - Střední škola gastronomie a služeb, Přerov - budova tělocvičny - b) vzduchotechnika</t>
  </si>
  <si>
    <t>41. dílčí čerpání revolvingu KB (02.09.2019) UR/71/77/2019</t>
  </si>
  <si>
    <t>II/366 Prostějov - přeložka silnice</t>
  </si>
  <si>
    <t>42. dílčí čerpání revolvingu KB (16.09.2019) UR/72/58/2019</t>
  </si>
  <si>
    <t>Přeshraniční dostupnost Hanušovice - Stronie Ślaskie</t>
  </si>
  <si>
    <t>43. dílčí čerpání revolvingu KB (7.10.2019)     UR/74/43/2019</t>
  </si>
  <si>
    <t>II/444 Šternberk - průtah</t>
  </si>
  <si>
    <t>44. dílčí čerpání revolvingu KB (21.10.2019) UR/75/54/2019</t>
  </si>
  <si>
    <t>45. dílčí čerpání revolvingu KB (11.11.2019) UR/76/53/2019</t>
  </si>
  <si>
    <t>46. dílčí čerpání revolvingu KB (25.11.2019) UR/77/97/2019</t>
  </si>
  <si>
    <t>47. dílčí čerpání revolvingu KB (9.12.2019) UR/78/74/2019</t>
  </si>
  <si>
    <t>48. dílčí čerpání revolvingu KB (16.12.2019) UR/79/15/2019</t>
  </si>
  <si>
    <t>SŠ, ZŠ a MŠ Prostějov, Komenského 10 - Bezbariérové užívání objektu ZŠ</t>
  </si>
  <si>
    <t>50. dílčí čerpání revolvingu KB (9.3.2020) UR/84/40/2020</t>
  </si>
  <si>
    <t>Specifické informační systémy Krajského úřadu Olomouckého kraje</t>
  </si>
  <si>
    <t>51. dílčí čerpání revolvingu KB (23.3.2020) UR/88/82/2020</t>
  </si>
  <si>
    <t>49. dílčí čerpání revolvingu KB (27.1.2020) UR/81/57/2020</t>
  </si>
  <si>
    <t>52. dílčí čerpání revolvingu KB (6.4.2020) UR/89/46/2020</t>
  </si>
  <si>
    <t>Pořízení strojního vybavení a zajištění bezbariérovosti na OU a PrŠ Lipová-lázně</t>
  </si>
  <si>
    <t>ZŠ Šternberk, Olomoucká 76 - Green Class</t>
  </si>
  <si>
    <t>53. dílčí čerpání revolvingu KB (20.4.2020)  UR/91/13/2020</t>
  </si>
  <si>
    <t>54. dílčí čerpání revolvingu KB (4.5.2020) UR/92/49/2020</t>
  </si>
  <si>
    <t>55. dílčí čerpání revolvingu KB (18.5.2020) UR/93/36/2020</t>
  </si>
  <si>
    <t>56. dílčí čerpání revolvingu KB (1.6.2020) UR/94/78/2020</t>
  </si>
  <si>
    <t>SMN a.s. - o.z. Nemocnice Šternberk - REÚO - Domov sester</t>
  </si>
  <si>
    <t>57. dílčí čerpání revolvingu KB (15.6.2020) UR/96/79/2020</t>
  </si>
  <si>
    <t>58. dílčí čerpání revolvingu KB (22.6.2020) UR/97/8/2020</t>
  </si>
  <si>
    <t>Časový nesoulad mezi příjmy a výdaji Olomouckého kraje</t>
  </si>
  <si>
    <t xml:space="preserve">Hospodaření se srážkovými vodami v intravilánu příspěvkových organizací Olomouckého kraje </t>
  </si>
  <si>
    <t>60. dílčí čerpání revolvingu KB (27.7.2020)  UR/98/100/2020</t>
  </si>
  <si>
    <t>59. dílčí čerpání revolvingu KB (27.7.2020) UR/98/100/2020</t>
  </si>
  <si>
    <t>II/449 MÚK Unčovice - Litovel, úsek B</t>
  </si>
  <si>
    <t>5.1b.Realizace energeticky úsporných opatření - Střední škola technická Přerov, Kouřílkova 8 - Tělocvična - b) vzduchotechnika</t>
  </si>
  <si>
    <t>5.1a.Realizace energeticky úsporných opatření - Střední škola technická Přerov, Kouřílkova 8 - Tělocvična</t>
  </si>
  <si>
    <t>61. dílčí čerpání revolvingu KB (31.8.2020)  UR/99/96/2020</t>
  </si>
  <si>
    <t>62. dílčí čerpání revolvingu KB (14.9.2020) UR/100/87/2020</t>
  </si>
  <si>
    <t>63. dílčí čerpání revolvingu KB (21.9.2020) UR/101/13/2020</t>
  </si>
  <si>
    <t>64. dílčí čerpání revolvingu KB (12.10.2020) UR/103/44/2020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</si>
</sst>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358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wrapText="1"/>
    </xf>
    <xf numFmtId="4" fontId="5" fillId="0" borderId="32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 wrapText="1"/>
    </xf>
    <xf numFmtId="4" fontId="0" fillId="0" borderId="0" xfId="0" applyNumberFormat="1"/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0" fillId="0" borderId="35" xfId="0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vertical="center" wrapText="1"/>
    </xf>
    <xf numFmtId="4" fontId="5" fillId="0" borderId="51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2" borderId="35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0" fontId="0" fillId="2" borderId="35" xfId="0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19" fillId="0" borderId="0" xfId="0" applyNumberFormat="1" applyFont="1"/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4" fillId="0" borderId="30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20" fillId="0" borderId="0" xfId="0" applyNumberFormat="1" applyFont="1"/>
    <xf numFmtId="4" fontId="5" fillId="0" borderId="38" xfId="0" applyNumberFormat="1" applyFont="1" applyFill="1" applyBorder="1" applyAlignment="1">
      <alignment horizontal="right" vertical="center"/>
    </xf>
    <xf numFmtId="4" fontId="4" fillId="0" borderId="58" xfId="0" applyNumberFormat="1" applyFont="1" applyFill="1" applyBorder="1" applyAlignment="1">
      <alignment horizontal="right" vertical="center"/>
    </xf>
    <xf numFmtId="4" fontId="4" fillId="0" borderId="59" xfId="0" applyNumberFormat="1" applyFont="1" applyFill="1" applyBorder="1" applyAlignment="1">
      <alignment horizontal="right" vertical="center"/>
    </xf>
    <xf numFmtId="4" fontId="5" fillId="0" borderId="58" xfId="0" applyNumberFormat="1" applyFont="1" applyFill="1" applyBorder="1" applyAlignment="1">
      <alignment horizontal="right" vertical="center"/>
    </xf>
    <xf numFmtId="4" fontId="22" fillId="6" borderId="52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20" fillId="0" borderId="0" xfId="0" applyFont="1"/>
    <xf numFmtId="0" fontId="19" fillId="0" borderId="0" xfId="0" applyFont="1"/>
    <xf numFmtId="4" fontId="5" fillId="0" borderId="38" xfId="0" applyNumberFormat="1" applyFont="1" applyFill="1" applyBorder="1" applyAlignment="1">
      <alignment horizontal="right" vertical="center"/>
    </xf>
    <xf numFmtId="4" fontId="5" fillId="0" borderId="60" xfId="0" applyNumberFormat="1" applyFont="1" applyFill="1" applyBorder="1" applyAlignment="1">
      <alignment horizontal="right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 wrapText="1"/>
    </xf>
    <xf numFmtId="4" fontId="5" fillId="0" borderId="62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4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 wrapText="1"/>
    </xf>
    <xf numFmtId="4" fontId="5" fillId="2" borderId="45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63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19" fillId="0" borderId="0" xfId="0" applyNumberFormat="1" applyFont="1" applyFill="1"/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4" fillId="0" borderId="64" xfId="0" applyFont="1" applyFill="1" applyBorder="1" applyAlignment="1">
      <alignment vertical="top" wrapText="1"/>
    </xf>
    <xf numFmtId="0" fontId="4" fillId="0" borderId="65" xfId="0" applyFont="1" applyFill="1" applyBorder="1" applyAlignment="1">
      <alignment vertical="top" wrapText="1"/>
    </xf>
    <xf numFmtId="4" fontId="4" fillId="0" borderId="65" xfId="0" applyNumberFormat="1" applyFont="1" applyFill="1" applyBorder="1" applyAlignment="1">
      <alignment horizontal="right" vertical="center"/>
    </xf>
    <xf numFmtId="4" fontId="4" fillId="0" borderId="66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22" fillId="6" borderId="53" xfId="0" applyFont="1" applyFill="1" applyBorder="1" applyAlignment="1">
      <alignment horizontal="right" vertical="top"/>
    </xf>
    <xf numFmtId="0" fontId="22" fillId="6" borderId="54" xfId="0" applyFont="1" applyFill="1" applyBorder="1" applyAlignment="1">
      <alignment horizontal="right" vertical="top"/>
    </xf>
    <xf numFmtId="0" fontId="5" fillId="0" borderId="38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left" vertical="center"/>
    </xf>
    <xf numFmtId="0" fontId="21" fillId="0" borderId="55" xfId="0" applyFont="1" applyFill="1" applyBorder="1" applyAlignment="1">
      <alignment horizontal="left" vertical="top" wrapText="1"/>
    </xf>
    <xf numFmtId="0" fontId="21" fillId="0" borderId="56" xfId="0" applyFont="1" applyFill="1" applyBorder="1" applyAlignment="1">
      <alignment horizontal="left" vertical="top" wrapText="1"/>
    </xf>
    <xf numFmtId="0" fontId="21" fillId="0" borderId="57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4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right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W101"/>
  <sheetViews>
    <sheetView tabSelected="1" zoomScaleNormal="100" zoomScaleSheetLayoutView="100" workbookViewId="0">
      <selection activeCell="B2" sqref="B2:B3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47.42578125" customWidth="1"/>
    <col min="5" max="5" width="63.7109375" customWidth="1"/>
    <col min="6" max="6" width="17.7109375" customWidth="1"/>
    <col min="7" max="7" width="17.140625" customWidth="1"/>
    <col min="8" max="32" width="17.140625" hidden="1" customWidth="1"/>
    <col min="33" max="66" width="16.28515625" hidden="1" customWidth="1"/>
    <col min="67" max="67" width="17.140625" hidden="1" customWidth="1"/>
    <col min="68" max="68" width="17.85546875" hidden="1" customWidth="1"/>
    <col min="69" max="69" width="19.42578125" hidden="1" customWidth="1"/>
    <col min="70" max="70" width="17.42578125" hidden="1" customWidth="1"/>
    <col min="71" max="71" width="18.5703125" hidden="1" customWidth="1"/>
    <col min="72" max="72" width="17.42578125" customWidth="1"/>
    <col min="73" max="73" width="19.7109375" customWidth="1"/>
    <col min="74" max="75" width="18.85546875" customWidth="1"/>
  </cols>
  <sheetData>
    <row r="1" spans="2:75" ht="18.75" customHeight="1" thickBot="1" x14ac:dyDescent="0.35">
      <c r="B1" s="328" t="s">
        <v>38</v>
      </c>
      <c r="C1" s="328"/>
      <c r="D1" s="328"/>
      <c r="E1" s="328"/>
      <c r="F1" s="328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1" t="s">
        <v>30</v>
      </c>
    </row>
    <row r="2" spans="2:75" ht="15.75" customHeight="1" thickTop="1" x14ac:dyDescent="0.25">
      <c r="B2" s="329" t="s">
        <v>5</v>
      </c>
      <c r="C2" s="308" t="s">
        <v>0</v>
      </c>
      <c r="D2" s="333" t="s">
        <v>112</v>
      </c>
      <c r="E2" s="308" t="s">
        <v>1</v>
      </c>
      <c r="F2" s="331" t="s">
        <v>36</v>
      </c>
      <c r="G2" s="306" t="s">
        <v>28</v>
      </c>
      <c r="H2" s="306" t="s">
        <v>203</v>
      </c>
      <c r="I2" s="306" t="s">
        <v>202</v>
      </c>
      <c r="J2" s="306" t="s">
        <v>201</v>
      </c>
      <c r="K2" s="306" t="s">
        <v>200</v>
      </c>
      <c r="L2" s="306" t="s">
        <v>195</v>
      </c>
      <c r="M2" s="306" t="s">
        <v>196</v>
      </c>
      <c r="N2" s="306" t="s">
        <v>192</v>
      </c>
      <c r="O2" s="306" t="s">
        <v>191</v>
      </c>
      <c r="P2" s="306" t="s">
        <v>189</v>
      </c>
      <c r="Q2" s="306" t="s">
        <v>188</v>
      </c>
      <c r="R2" s="306" t="s">
        <v>187</v>
      </c>
      <c r="S2" s="306" t="s">
        <v>186</v>
      </c>
      <c r="T2" s="306" t="s">
        <v>183</v>
      </c>
      <c r="U2" s="306" t="s">
        <v>181</v>
      </c>
      <c r="V2" s="306" t="s">
        <v>179</v>
      </c>
      <c r="W2" s="306" t="s">
        <v>182</v>
      </c>
      <c r="X2" s="306" t="s">
        <v>177</v>
      </c>
      <c r="Y2" s="306" t="s">
        <v>176</v>
      </c>
      <c r="Z2" s="306" t="s">
        <v>175</v>
      </c>
      <c r="AA2" s="306" t="s">
        <v>174</v>
      </c>
      <c r="AB2" s="306" t="s">
        <v>173</v>
      </c>
      <c r="AC2" s="306" t="s">
        <v>171</v>
      </c>
      <c r="AD2" s="306" t="s">
        <v>169</v>
      </c>
      <c r="AE2" s="306" t="s">
        <v>167</v>
      </c>
      <c r="AF2" s="306" t="s">
        <v>164</v>
      </c>
      <c r="AG2" s="306" t="s">
        <v>163</v>
      </c>
      <c r="AH2" s="306" t="s">
        <v>160</v>
      </c>
      <c r="AI2" s="306" t="s">
        <v>159</v>
      </c>
      <c r="AJ2" s="306" t="s">
        <v>155</v>
      </c>
      <c r="AK2" s="306" t="s">
        <v>153</v>
      </c>
      <c r="AL2" s="306" t="s">
        <v>151</v>
      </c>
      <c r="AM2" s="306" t="s">
        <v>150</v>
      </c>
      <c r="AN2" s="306" t="s">
        <v>148</v>
      </c>
      <c r="AO2" s="306" t="s">
        <v>147</v>
      </c>
      <c r="AP2" s="306" t="s">
        <v>146</v>
      </c>
      <c r="AQ2" s="306" t="s">
        <v>145</v>
      </c>
      <c r="AR2" s="306" t="s">
        <v>144</v>
      </c>
      <c r="AS2" s="306" t="s">
        <v>143</v>
      </c>
      <c r="AT2" s="306" t="s">
        <v>142</v>
      </c>
      <c r="AU2" s="306" t="s">
        <v>141</v>
      </c>
      <c r="AV2" s="306" t="s">
        <v>136</v>
      </c>
      <c r="AW2" s="306" t="s">
        <v>133</v>
      </c>
      <c r="AX2" s="306" t="s">
        <v>140</v>
      </c>
      <c r="AY2" s="306" t="s">
        <v>130</v>
      </c>
      <c r="AZ2" s="306" t="s">
        <v>109</v>
      </c>
      <c r="BA2" s="306" t="s">
        <v>103</v>
      </c>
      <c r="BB2" s="306" t="s">
        <v>102</v>
      </c>
      <c r="BC2" s="306" t="s">
        <v>98</v>
      </c>
      <c r="BD2" s="306" t="s">
        <v>90</v>
      </c>
      <c r="BE2" s="306" t="s">
        <v>85</v>
      </c>
      <c r="BF2" s="306" t="s">
        <v>79</v>
      </c>
      <c r="BG2" s="306" t="s">
        <v>78</v>
      </c>
      <c r="BH2" s="306" t="s">
        <v>71</v>
      </c>
      <c r="BI2" s="306" t="s">
        <v>58</v>
      </c>
      <c r="BJ2" s="306" t="s">
        <v>56</v>
      </c>
      <c r="BK2" s="306" t="s">
        <v>55</v>
      </c>
      <c r="BL2" s="306" t="s">
        <v>47</v>
      </c>
      <c r="BM2" s="306" t="s">
        <v>41</v>
      </c>
      <c r="BN2" s="306" t="s">
        <v>57</v>
      </c>
      <c r="BO2" s="306" t="s">
        <v>42</v>
      </c>
      <c r="BP2" s="306" t="s">
        <v>43</v>
      </c>
      <c r="BQ2" s="306" t="s">
        <v>44</v>
      </c>
      <c r="BR2" s="306" t="s">
        <v>45</v>
      </c>
      <c r="BS2" s="306" t="s">
        <v>46</v>
      </c>
      <c r="BT2" s="306" t="s">
        <v>50</v>
      </c>
      <c r="BU2" s="337" t="s">
        <v>27</v>
      </c>
    </row>
    <row r="3" spans="2:75" ht="45.75" customHeight="1" thickBot="1" x14ac:dyDescent="0.3">
      <c r="B3" s="330"/>
      <c r="C3" s="309"/>
      <c r="D3" s="334"/>
      <c r="E3" s="309"/>
      <c r="F3" s="332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307"/>
      <c r="AZ3" s="307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7"/>
      <c r="BP3" s="307"/>
      <c r="BQ3" s="307"/>
      <c r="BR3" s="307"/>
      <c r="BS3" s="307"/>
      <c r="BT3" s="307"/>
      <c r="BU3" s="338"/>
    </row>
    <row r="4" spans="2:75" ht="16.5" thickTop="1" x14ac:dyDescent="0.25">
      <c r="B4" s="55">
        <v>50</v>
      </c>
      <c r="C4" s="56">
        <v>100915</v>
      </c>
      <c r="D4" s="88" t="s">
        <v>113</v>
      </c>
      <c r="E4" s="57" t="s">
        <v>31</v>
      </c>
      <c r="F4" s="58">
        <v>100827566.23</v>
      </c>
      <c r="G4" s="58">
        <f>SUM(H4:BS4)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>
        <v>50732493</v>
      </c>
      <c r="BR4" s="58"/>
      <c r="BS4" s="58">
        <v>33823000</v>
      </c>
      <c r="BT4" s="58">
        <f>35722939.54+48832553.46</f>
        <v>84555493</v>
      </c>
      <c r="BU4" s="59">
        <f>G4-BT4</f>
        <v>0</v>
      </c>
    </row>
    <row r="5" spans="2:75" ht="15" customHeight="1" x14ac:dyDescent="0.25">
      <c r="B5" s="60">
        <v>52</v>
      </c>
      <c r="C5" s="61">
        <v>101080</v>
      </c>
      <c r="D5" s="89" t="s">
        <v>113</v>
      </c>
      <c r="E5" s="62" t="s">
        <v>29</v>
      </c>
      <c r="F5" s="63">
        <v>43111962.899999999</v>
      </c>
      <c r="G5" s="63">
        <f>SUM(H5:BS5)</f>
        <v>42753474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>
        <v>972839.7</v>
      </c>
      <c r="AJ5" s="63"/>
      <c r="AK5" s="63"/>
      <c r="AL5" s="63">
        <v>567489.6</v>
      </c>
      <c r="AM5" s="63">
        <v>1702469.7</v>
      </c>
      <c r="AN5" s="63">
        <v>7770828.5999999996</v>
      </c>
      <c r="AO5" s="63">
        <v>6447632.4000000004</v>
      </c>
      <c r="AP5" s="63"/>
      <c r="AQ5" s="63"/>
      <c r="AR5" s="63">
        <v>2502369.9</v>
      </c>
      <c r="AS5" s="63">
        <f>4737.6+1289053.8</f>
        <v>1293791.4000000001</v>
      </c>
      <c r="AT5" s="63"/>
      <c r="AU5" s="63">
        <v>2913213.6</v>
      </c>
      <c r="AV5" s="63">
        <v>4737.6000000000004</v>
      </c>
      <c r="AW5" s="63">
        <f>1379180.7</f>
        <v>1379180.7</v>
      </c>
      <c r="AX5" s="63">
        <v>4737.6000000000004</v>
      </c>
      <c r="AY5" s="63">
        <f>452513.7+1498386.6+4737.6-1800</f>
        <v>1953837.9000000001</v>
      </c>
      <c r="AZ5" s="63"/>
      <c r="BA5" s="63">
        <v>572472</v>
      </c>
      <c r="BB5" s="63">
        <v>4737.6000000000004</v>
      </c>
      <c r="BC5" s="63">
        <f>4737.6+1599051.6+928194.3</f>
        <v>2531983.5</v>
      </c>
      <c r="BD5" s="63"/>
      <c r="BE5" s="63">
        <v>2691313.2</v>
      </c>
      <c r="BF5" s="63">
        <f>548022.6+827964.9</f>
        <v>1375987.5</v>
      </c>
      <c r="BG5" s="63">
        <f>112455+4737.6</f>
        <v>117192.6</v>
      </c>
      <c r="BH5" s="63">
        <f>4737.6+548435.7</f>
        <v>553173.29999999993</v>
      </c>
      <c r="BI5" s="63">
        <v>3202485.6</v>
      </c>
      <c r="BJ5" s="63"/>
      <c r="BK5" s="63"/>
      <c r="BL5" s="63"/>
      <c r="BM5" s="63"/>
      <c r="BN5" s="63"/>
      <c r="BO5" s="63"/>
      <c r="BP5" s="63"/>
      <c r="BQ5" s="63"/>
      <c r="BR5" s="63"/>
      <c r="BS5" s="63">
        <f>15037000-7315000-431000-3100000</f>
        <v>4191000</v>
      </c>
      <c r="BT5" s="63">
        <f>4552634.85+5719945.5+16014832.07+10728745.31+5728423.26+8893.01</f>
        <v>42753474</v>
      </c>
      <c r="BU5" s="64">
        <f>G5-BT5</f>
        <v>0</v>
      </c>
      <c r="BW5" s="84"/>
    </row>
    <row r="6" spans="2:75" ht="15.75" x14ac:dyDescent="0.25">
      <c r="B6" s="60">
        <v>12</v>
      </c>
      <c r="C6" s="61">
        <v>1600</v>
      </c>
      <c r="D6" s="89" t="s">
        <v>114</v>
      </c>
      <c r="E6" s="62" t="s">
        <v>32</v>
      </c>
      <c r="F6" s="63">
        <v>164072363.22</v>
      </c>
      <c r="G6" s="63">
        <f t="shared" ref="G6:G33" si="0">SUM(H6:BS6)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148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>
        <v>11479091.68</v>
      </c>
      <c r="BF6" s="63">
        <v>3572543.77</v>
      </c>
      <c r="BG6" s="63"/>
      <c r="BH6" s="63"/>
      <c r="BI6" s="63">
        <v>483066.76</v>
      </c>
      <c r="BJ6" s="63"/>
      <c r="BK6" s="63"/>
      <c r="BL6" s="63">
        <v>13541731.43</v>
      </c>
      <c r="BM6" s="63"/>
      <c r="BN6" s="63">
        <v>12413444.029999999</v>
      </c>
      <c r="BO6" s="63">
        <f>27436365.11-6090000-3100000</f>
        <v>18246365.109999999</v>
      </c>
      <c r="BP6" s="63">
        <v>15658817.550000001</v>
      </c>
      <c r="BQ6" s="63">
        <v>8315262.8799999999</v>
      </c>
      <c r="BR6" s="63">
        <f>3729948.93+6090000</f>
        <v>9819948.9299999997</v>
      </c>
      <c r="BS6" s="63">
        <f>3100000</f>
        <v>3100000</v>
      </c>
      <c r="BT6" s="63">
        <f>81578636.71+15051635.43</f>
        <v>96630272.139999986</v>
      </c>
      <c r="BU6" s="64">
        <f>G6-BT6</f>
        <v>0</v>
      </c>
    </row>
    <row r="7" spans="2:75" ht="15.75" x14ac:dyDescent="0.25">
      <c r="B7" s="60">
        <v>12</v>
      </c>
      <c r="C7" s="61">
        <v>1600</v>
      </c>
      <c r="D7" s="89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148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>
        <v>4049994.74</v>
      </c>
      <c r="BF7" s="63">
        <v>4356</v>
      </c>
      <c r="BG7" s="63"/>
      <c r="BH7" s="63"/>
      <c r="BI7" s="63"/>
      <c r="BJ7" s="63"/>
      <c r="BK7" s="63"/>
      <c r="BL7" s="63"/>
      <c r="BM7" s="63">
        <v>3237175.44</v>
      </c>
      <c r="BN7" s="63">
        <v>6991149.0999999996</v>
      </c>
      <c r="BO7" s="63">
        <v>4356</v>
      </c>
      <c r="BP7" s="63">
        <v>3816000.31</v>
      </c>
      <c r="BQ7" s="63">
        <v>806397.55</v>
      </c>
      <c r="BR7" s="63">
        <v>217541.61</v>
      </c>
      <c r="BS7" s="63"/>
      <c r="BT7" s="63">
        <f>19030302.01+96668.74</f>
        <v>19126970.75</v>
      </c>
      <c r="BU7" s="64">
        <f t="shared" ref="BU7:BU14" si="1">G7-BT7</f>
        <v>0</v>
      </c>
    </row>
    <row r="8" spans="2:75" ht="31.5" x14ac:dyDescent="0.25">
      <c r="B8" s="60">
        <v>52</v>
      </c>
      <c r="C8" s="61">
        <v>100768</v>
      </c>
      <c r="D8" s="89" t="s">
        <v>113</v>
      </c>
      <c r="E8" s="62" t="s">
        <v>34</v>
      </c>
      <c r="F8" s="63">
        <v>56075578.880000003</v>
      </c>
      <c r="G8" s="63">
        <f t="shared" si="0"/>
        <v>55974779.290000021</v>
      </c>
      <c r="H8" s="63"/>
      <c r="I8" s="63"/>
      <c r="J8" s="63"/>
      <c r="K8" s="63"/>
      <c r="L8" s="63"/>
      <c r="M8" s="63">
        <v>3700000</v>
      </c>
      <c r="N8" s="63">
        <v>4203010.1399999997</v>
      </c>
      <c r="O8" s="63"/>
      <c r="P8" s="63">
        <v>3621824.02</v>
      </c>
      <c r="Q8" s="63"/>
      <c r="R8" s="63"/>
      <c r="S8" s="63">
        <v>1280366.76</v>
      </c>
      <c r="T8" s="63"/>
      <c r="U8" s="63">
        <v>1743631.34</v>
      </c>
      <c r="V8" s="63">
        <f>509303.25+29959.01</f>
        <v>539262.26</v>
      </c>
      <c r="W8" s="63">
        <v>399205.28</v>
      </c>
      <c r="X8" s="63">
        <v>2076872.85</v>
      </c>
      <c r="Y8" s="63"/>
      <c r="Z8" s="63">
        <v>1468919.55</v>
      </c>
      <c r="AA8" s="63"/>
      <c r="AB8" s="63">
        <v>5324978.53</v>
      </c>
      <c r="AC8" s="63">
        <v>4701644.87</v>
      </c>
      <c r="AD8" s="63"/>
      <c r="AE8" s="63">
        <v>2926141.16</v>
      </c>
      <c r="AF8" s="63">
        <v>1750830.79</v>
      </c>
      <c r="AG8" s="63"/>
      <c r="AH8" s="63">
        <v>1411373.56</v>
      </c>
      <c r="AI8" s="63"/>
      <c r="AJ8" s="63">
        <v>3258862.03</v>
      </c>
      <c r="AK8" s="63"/>
      <c r="AL8" s="63">
        <v>289937.09000000003</v>
      </c>
      <c r="AM8" s="63"/>
      <c r="AN8" s="63">
        <v>76251.210000000006</v>
      </c>
      <c r="AO8" s="63"/>
      <c r="AP8" s="63"/>
      <c r="AQ8" s="63"/>
      <c r="AR8" s="63">
        <f>507947.98+1656+2484</f>
        <v>512087.98</v>
      </c>
      <c r="AS8" s="63">
        <f>2070+1063610.67</f>
        <v>1065680.67</v>
      </c>
      <c r="AT8" s="63"/>
      <c r="AU8" s="63">
        <f>1656+966679.23</f>
        <v>968335.23</v>
      </c>
      <c r="AV8" s="63"/>
      <c r="AW8" s="63">
        <v>1107780.25</v>
      </c>
      <c r="AX8" s="63"/>
      <c r="AY8" s="63">
        <f>2015046.92+3726</f>
        <v>2018772.92</v>
      </c>
      <c r="AZ8" s="63"/>
      <c r="BA8" s="63"/>
      <c r="BB8" s="63">
        <v>2194943.2000000002</v>
      </c>
      <c r="BC8" s="63">
        <f>2898+2584201.21</f>
        <v>2587099.21</v>
      </c>
      <c r="BD8" s="63"/>
      <c r="BE8" s="63">
        <v>1717251.88</v>
      </c>
      <c r="BF8" s="63">
        <v>6012</v>
      </c>
      <c r="BG8" s="63">
        <v>1911435.95</v>
      </c>
      <c r="BH8" s="63">
        <f>1822719.58+107218.8-53669.82</f>
        <v>1876268.56</v>
      </c>
      <c r="BI8" s="63"/>
      <c r="BJ8" s="63"/>
      <c r="BK8" s="63"/>
      <c r="BL8" s="63"/>
      <c r="BM8" s="63"/>
      <c r="BN8" s="63"/>
      <c r="BO8" s="63"/>
      <c r="BP8" s="63"/>
      <c r="BQ8" s="63"/>
      <c r="BR8" s="63">
        <f>7326000-6090000</f>
        <v>1236000</v>
      </c>
      <c r="BS8" s="63"/>
      <c r="BT8" s="63">
        <f>11457582.3+6658190.76+16492676.36+5737316.27+15629013.6</f>
        <v>55974779.289999999</v>
      </c>
      <c r="BU8" s="64">
        <f t="shared" si="1"/>
        <v>0</v>
      </c>
      <c r="BV8" s="84"/>
    </row>
    <row r="9" spans="2:75" s="93" customFormat="1" ht="22.5" customHeight="1" x14ac:dyDescent="0.25">
      <c r="B9" s="60">
        <v>52</v>
      </c>
      <c r="C9" s="61">
        <v>101011</v>
      </c>
      <c r="D9" s="89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>
        <v>1470150</v>
      </c>
      <c r="AJ9" s="63"/>
      <c r="AK9" s="63">
        <v>1470150</v>
      </c>
      <c r="AL9" s="63"/>
      <c r="AM9" s="63"/>
      <c r="AN9" s="63"/>
      <c r="AO9" s="63">
        <v>877571.1</v>
      </c>
      <c r="AP9" s="63"/>
      <c r="AQ9" s="63"/>
      <c r="AR9" s="63">
        <v>87120</v>
      </c>
      <c r="AS9" s="63"/>
      <c r="AT9" s="63"/>
      <c r="AU9" s="63">
        <v>2920189.5</v>
      </c>
      <c r="AV9" s="63"/>
      <c r="AW9" s="63"/>
      <c r="AX9" s="63">
        <v>19602</v>
      </c>
      <c r="AY9" s="63">
        <v>3430.35</v>
      </c>
      <c r="AZ9" s="63"/>
      <c r="BA9" s="63">
        <f>64251+3920.4+8253856.25+455873.15</f>
        <v>8777900.8000000007</v>
      </c>
      <c r="BB9" s="63">
        <v>37570.5</v>
      </c>
      <c r="BC9" s="63">
        <f>19057.5+21562.2+277140.63+17480024.21</f>
        <v>17797784.539999999</v>
      </c>
      <c r="BD9" s="63">
        <f>19057.5+2327600.29+14532950.21</f>
        <v>16879608</v>
      </c>
      <c r="BE9" s="63">
        <v>7350.75</v>
      </c>
      <c r="BF9" s="63">
        <v>8820.9</v>
      </c>
      <c r="BG9" s="63">
        <f>19057.5+11037194.45</f>
        <v>11056251.949999999</v>
      </c>
      <c r="BH9" s="63">
        <f>4465625.29-155311.38</f>
        <v>4310313.91</v>
      </c>
      <c r="BI9" s="63"/>
      <c r="BJ9" s="63"/>
      <c r="BK9" s="63">
        <v>4410.46</v>
      </c>
      <c r="BL9" s="63"/>
      <c r="BM9" s="63"/>
      <c r="BN9" s="63">
        <v>11162291.48</v>
      </c>
      <c r="BO9" s="63"/>
      <c r="BP9" s="63"/>
      <c r="BQ9" s="63"/>
      <c r="BR9" s="63">
        <v>26120100</v>
      </c>
      <c r="BS9" s="63"/>
      <c r="BT9" s="63">
        <f>37054247.85+58394383.68+52304.59+3399094.99+3817871.1+292714.03</f>
        <v>103010616.23999999</v>
      </c>
      <c r="BU9" s="64">
        <f t="shared" si="1"/>
        <v>0</v>
      </c>
    </row>
    <row r="10" spans="2:75" ht="22.5" customHeight="1" x14ac:dyDescent="0.25">
      <c r="B10" s="60">
        <v>50</v>
      </c>
      <c r="C10" s="61">
        <v>100913</v>
      </c>
      <c r="D10" s="89" t="s">
        <v>113</v>
      </c>
      <c r="E10" s="62" t="s">
        <v>37</v>
      </c>
      <c r="F10" s="63">
        <v>186867763.41</v>
      </c>
      <c r="G10" s="63">
        <f t="shared" si="0"/>
        <v>183184715.50999999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>
        <f>38115+1425110.05+78408+4936395.21</f>
        <v>6478028.2599999998</v>
      </c>
      <c r="AF10" s="63">
        <f>2018340.08+38115</f>
        <v>2056455.08</v>
      </c>
      <c r="AG10" s="63">
        <v>43560</v>
      </c>
      <c r="AH10" s="63">
        <v>1286696.8400000001</v>
      </c>
      <c r="AI10" s="63"/>
      <c r="AJ10" s="63">
        <f>4408110.89+43560</f>
        <v>4451670.8899999997</v>
      </c>
      <c r="AK10" s="63"/>
      <c r="AL10" s="63">
        <f>54450+1133744.72</f>
        <v>1188194.72</v>
      </c>
      <c r="AM10" s="63"/>
      <c r="AN10" s="63">
        <v>43560</v>
      </c>
      <c r="AO10" s="63"/>
      <c r="AP10" s="63">
        <f>8561899.75+30492</f>
        <v>8592391.75</v>
      </c>
      <c r="AQ10" s="63"/>
      <c r="AR10" s="63"/>
      <c r="AS10" s="63">
        <f>54450+9583.2</f>
        <v>64033.2</v>
      </c>
      <c r="AT10" s="63"/>
      <c r="AU10" s="63">
        <f>9583.2+76948.74</f>
        <v>86531.94</v>
      </c>
      <c r="AV10" s="63"/>
      <c r="AW10" s="63">
        <f>9583.2+90495.9+578002.21+3650994.62</f>
        <v>4329075.93</v>
      </c>
      <c r="AX10" s="63">
        <f>9583.2+98010+9249431.23</f>
        <v>9357024.4299999997</v>
      </c>
      <c r="AY10" s="63"/>
      <c r="AZ10" s="63"/>
      <c r="BA10" s="63">
        <f>98010+9583.2</f>
        <v>107593.2</v>
      </c>
      <c r="BB10" s="63">
        <v>15743425.52</v>
      </c>
      <c r="BC10" s="63">
        <f>30511556.7+9583.2+98010</f>
        <v>30619149.899999999</v>
      </c>
      <c r="BD10" s="63">
        <f>98010+9583.2</f>
        <v>107593.2</v>
      </c>
      <c r="BE10" s="63">
        <v>24281840.899999999</v>
      </c>
      <c r="BF10" s="63">
        <f>9583.2+114345</f>
        <v>123928.2</v>
      </c>
      <c r="BG10" s="63">
        <f>38136570.76</f>
        <v>38136570.759999998</v>
      </c>
      <c r="BH10" s="63">
        <f>30293637.38+1781978.67+9583.2-3743808.46</f>
        <v>28341390.789999995</v>
      </c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>
        <f>7315000+431000</f>
        <v>7746000</v>
      </c>
      <c r="BT10" s="63">
        <f>74347889.73+70745257.71+37904623.27+186944.8</f>
        <v>183184715.51000002</v>
      </c>
      <c r="BU10" s="64">
        <f t="shared" si="1"/>
        <v>0</v>
      </c>
    </row>
    <row r="11" spans="2:75" ht="31.5" x14ac:dyDescent="0.25">
      <c r="B11" s="60">
        <v>52</v>
      </c>
      <c r="C11" s="61">
        <v>100876</v>
      </c>
      <c r="D11" s="89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148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>
        <f>1329721.2-315947</f>
        <v>1013774.2</v>
      </c>
      <c r="AV11" s="63"/>
      <c r="AW11" s="63">
        <v>1473884.4</v>
      </c>
      <c r="AX11" s="63">
        <f>1734724+7744</f>
        <v>1742468</v>
      </c>
      <c r="AY11" s="63">
        <v>7744</v>
      </c>
      <c r="AZ11" s="63"/>
      <c r="BA11" s="63">
        <v>2289465.2000000002</v>
      </c>
      <c r="BB11" s="63">
        <v>7744</v>
      </c>
      <c r="BC11" s="63">
        <v>7744</v>
      </c>
      <c r="BD11" s="63"/>
      <c r="BE11" s="63">
        <f>7744+2944941.6</f>
        <v>2952685.6</v>
      </c>
      <c r="BF11" s="63">
        <f>1001767.6</f>
        <v>1001767.6</v>
      </c>
      <c r="BG11" s="63">
        <v>7744</v>
      </c>
      <c r="BH11" s="63"/>
      <c r="BI11" s="63">
        <v>7744</v>
      </c>
      <c r="BJ11" s="63">
        <f>827852.4+7744</f>
        <v>835596.4</v>
      </c>
      <c r="BK11" s="63"/>
      <c r="BL11" s="63">
        <f>7744+2359128</f>
        <v>2366872</v>
      </c>
      <c r="BM11" s="63">
        <v>7744</v>
      </c>
      <c r="BN11" s="63"/>
      <c r="BO11" s="63"/>
      <c r="BP11" s="63"/>
      <c r="BQ11" s="63"/>
      <c r="BR11" s="63"/>
      <c r="BS11" s="63"/>
      <c r="BT11" s="63">
        <f>7478737.2+6244240.2</f>
        <v>13722977.4</v>
      </c>
      <c r="BU11" s="64">
        <f t="shared" si="1"/>
        <v>0</v>
      </c>
    </row>
    <row r="12" spans="2:75" ht="63" x14ac:dyDescent="0.25">
      <c r="B12" s="65">
        <v>19</v>
      </c>
      <c r="C12" s="66">
        <v>1160</v>
      </c>
      <c r="D12" s="87" t="s">
        <v>115</v>
      </c>
      <c r="E12" s="67" t="s">
        <v>73</v>
      </c>
      <c r="F12" s="68">
        <v>3033505.38</v>
      </c>
      <c r="G12" s="63">
        <f t="shared" si="0"/>
        <v>963699.3</v>
      </c>
      <c r="H12" s="291"/>
      <c r="I12" s="287"/>
      <c r="J12" s="282"/>
      <c r="K12" s="254"/>
      <c r="L12" s="241"/>
      <c r="M12" s="239"/>
      <c r="N12" s="238"/>
      <c r="O12" s="230"/>
      <c r="P12" s="228"/>
      <c r="Q12" s="226"/>
      <c r="R12" s="223"/>
      <c r="S12" s="217"/>
      <c r="T12" s="214"/>
      <c r="U12" s="213"/>
      <c r="V12" s="203"/>
      <c r="W12" s="201"/>
      <c r="X12" s="199"/>
      <c r="Y12" s="197"/>
      <c r="Z12" s="195"/>
      <c r="AA12" s="191"/>
      <c r="AB12" s="189"/>
      <c r="AC12" s="182"/>
      <c r="AD12" s="173"/>
      <c r="AE12" s="171"/>
      <c r="AF12" s="157"/>
      <c r="AG12" s="154"/>
      <c r="AH12" s="149"/>
      <c r="AI12" s="146"/>
      <c r="AJ12" s="138"/>
      <c r="AK12" s="125"/>
      <c r="AL12" s="124"/>
      <c r="AM12" s="118"/>
      <c r="AN12" s="116"/>
      <c r="AO12" s="115"/>
      <c r="AP12" s="114"/>
      <c r="AQ12" s="113"/>
      <c r="AR12" s="111"/>
      <c r="AS12" s="110"/>
      <c r="AT12" s="107"/>
      <c r="AU12" s="106"/>
      <c r="AV12" s="97"/>
      <c r="AW12" s="96"/>
      <c r="AX12" s="95"/>
      <c r="AY12" s="86"/>
      <c r="AZ12" s="85"/>
      <c r="BA12" s="68"/>
      <c r="BB12" s="68"/>
      <c r="BC12" s="68"/>
      <c r="BD12" s="68"/>
      <c r="BE12" s="68"/>
      <c r="BF12" s="68"/>
      <c r="BG12" s="68">
        <v>457598.7</v>
      </c>
      <c r="BH12" s="68"/>
      <c r="BI12" s="68"/>
      <c r="BJ12" s="68"/>
      <c r="BK12" s="68"/>
      <c r="BL12" s="68">
        <v>506100.6</v>
      </c>
      <c r="BM12" s="68"/>
      <c r="BN12" s="68"/>
      <c r="BO12" s="68"/>
      <c r="BP12" s="68"/>
      <c r="BQ12" s="68"/>
      <c r="BR12" s="68"/>
      <c r="BS12" s="68"/>
      <c r="BT12" s="68">
        <v>963699.3</v>
      </c>
      <c r="BU12" s="69">
        <f t="shared" si="1"/>
        <v>0</v>
      </c>
    </row>
    <row r="13" spans="2:75" ht="31.5" x14ac:dyDescent="0.25">
      <c r="B13" s="60">
        <v>52</v>
      </c>
      <c r="C13" s="61">
        <v>101131</v>
      </c>
      <c r="D13" s="89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291"/>
      <c r="I13" s="287"/>
      <c r="J13" s="282"/>
      <c r="K13" s="254"/>
      <c r="L13" s="241"/>
      <c r="M13" s="239"/>
      <c r="N13" s="238"/>
      <c r="O13" s="230"/>
      <c r="P13" s="228"/>
      <c r="Q13" s="226"/>
      <c r="R13" s="223"/>
      <c r="S13" s="217"/>
      <c r="T13" s="214"/>
      <c r="U13" s="213"/>
      <c r="V13" s="203"/>
      <c r="W13" s="201"/>
      <c r="X13" s="199"/>
      <c r="Y13" s="197"/>
      <c r="Z13" s="195"/>
      <c r="AA13" s="191"/>
      <c r="AB13" s="189"/>
      <c r="AC13" s="182"/>
      <c r="AD13" s="173"/>
      <c r="AE13" s="171"/>
      <c r="AF13" s="157"/>
      <c r="AG13" s="154"/>
      <c r="AH13" s="149"/>
      <c r="AI13" s="146"/>
      <c r="AJ13" s="138"/>
      <c r="AK13" s="125"/>
      <c r="AL13" s="124"/>
      <c r="AM13" s="118"/>
      <c r="AN13" s="116"/>
      <c r="AO13" s="115"/>
      <c r="AP13" s="114"/>
      <c r="AQ13" s="113"/>
      <c r="AR13" s="111"/>
      <c r="AS13" s="110"/>
      <c r="AT13" s="108"/>
      <c r="AU13" s="106">
        <f>28800+1311015.47</f>
        <v>1339815.47</v>
      </c>
      <c r="AV13" s="97"/>
      <c r="AW13" s="96">
        <f>203530.93+19781.95</f>
        <v>223312.88</v>
      </c>
      <c r="AX13" s="95">
        <v>377099.51</v>
      </c>
      <c r="AY13" s="86">
        <f>18770+960081.76</f>
        <v>978851.76</v>
      </c>
      <c r="AZ13" s="85"/>
      <c r="BA13" s="68">
        <f>1818431.56+28800</f>
        <v>1847231.56</v>
      </c>
      <c r="BB13" s="68"/>
      <c r="BC13" s="68">
        <v>1534698.28</v>
      </c>
      <c r="BD13" s="68">
        <v>226408.02</v>
      </c>
      <c r="BE13" s="68"/>
      <c r="BF13" s="68"/>
      <c r="BG13" s="68"/>
      <c r="BH13" s="68"/>
      <c r="BI13" s="68"/>
      <c r="BJ13" s="68"/>
      <c r="BK13" s="63">
        <v>11762.53</v>
      </c>
      <c r="BL13" s="63"/>
      <c r="BM13" s="63"/>
      <c r="BN13" s="63"/>
      <c r="BO13" s="63"/>
      <c r="BP13" s="63"/>
      <c r="BQ13" s="63"/>
      <c r="BR13" s="63"/>
      <c r="BS13" s="63"/>
      <c r="BT13" s="63">
        <f>1638374.03+4894893.26+5912.72</f>
        <v>6539180.0099999998</v>
      </c>
      <c r="BU13" s="69">
        <f t="shared" si="1"/>
        <v>0</v>
      </c>
    </row>
    <row r="14" spans="2:75" ht="31.5" customHeight="1" x14ac:dyDescent="0.25">
      <c r="B14" s="65">
        <v>52</v>
      </c>
      <c r="C14" s="66">
        <v>101256</v>
      </c>
      <c r="D14" s="89" t="s">
        <v>113</v>
      </c>
      <c r="E14" s="67" t="s">
        <v>49</v>
      </c>
      <c r="F14" s="68">
        <v>655578</v>
      </c>
      <c r="G14" s="63">
        <f t="shared" si="0"/>
        <v>655578</v>
      </c>
      <c r="H14" s="291"/>
      <c r="I14" s="287"/>
      <c r="J14" s="282"/>
      <c r="K14" s="254"/>
      <c r="L14" s="241"/>
      <c r="M14" s="239"/>
      <c r="N14" s="238"/>
      <c r="O14" s="230"/>
      <c r="P14" s="228"/>
      <c r="Q14" s="226"/>
      <c r="R14" s="223"/>
      <c r="S14" s="217"/>
      <c r="T14" s="214"/>
      <c r="U14" s="213"/>
      <c r="V14" s="203"/>
      <c r="W14" s="201"/>
      <c r="X14" s="199"/>
      <c r="Y14" s="197"/>
      <c r="Z14" s="195"/>
      <c r="AA14" s="191"/>
      <c r="AB14" s="189"/>
      <c r="AC14" s="182"/>
      <c r="AD14" s="173"/>
      <c r="AE14" s="171"/>
      <c r="AF14" s="157"/>
      <c r="AG14" s="154"/>
      <c r="AH14" s="149"/>
      <c r="AI14" s="146"/>
      <c r="AJ14" s="138"/>
      <c r="AK14" s="125"/>
      <c r="AL14" s="124"/>
      <c r="AM14" s="118"/>
      <c r="AN14" s="116"/>
      <c r="AO14" s="115"/>
      <c r="AP14" s="114"/>
      <c r="AQ14" s="113"/>
      <c r="AR14" s="111"/>
      <c r="AS14" s="110"/>
      <c r="AT14" s="108"/>
      <c r="AU14" s="106"/>
      <c r="AV14" s="97"/>
      <c r="AW14" s="96"/>
      <c r="AX14" s="95"/>
      <c r="AY14" s="86"/>
      <c r="AZ14" s="85"/>
      <c r="BA14" s="68"/>
      <c r="BB14" s="68"/>
      <c r="BC14" s="68">
        <f>1036620.14-382246.14</f>
        <v>654374</v>
      </c>
      <c r="BD14" s="68"/>
      <c r="BE14" s="68"/>
      <c r="BF14" s="68"/>
      <c r="BG14" s="68"/>
      <c r="BH14" s="68"/>
      <c r="BI14" s="68"/>
      <c r="BJ14" s="68"/>
      <c r="BK14" s="68">
        <v>1204</v>
      </c>
      <c r="BL14" s="68"/>
      <c r="BM14" s="68"/>
      <c r="BN14" s="68"/>
      <c r="BO14" s="68"/>
      <c r="BP14" s="68"/>
      <c r="BQ14" s="68"/>
      <c r="BR14" s="68"/>
      <c r="BS14" s="68"/>
      <c r="BT14" s="68">
        <f>603311.32+52266.68</f>
        <v>655578</v>
      </c>
      <c r="BU14" s="69">
        <f t="shared" si="1"/>
        <v>0</v>
      </c>
    </row>
    <row r="15" spans="2:75" ht="15.75" x14ac:dyDescent="0.25">
      <c r="B15" s="65">
        <v>52</v>
      </c>
      <c r="C15" s="66">
        <v>101019</v>
      </c>
      <c r="D15" s="89" t="s">
        <v>113</v>
      </c>
      <c r="E15" s="67" t="s">
        <v>51</v>
      </c>
      <c r="F15" s="68">
        <v>4174276</v>
      </c>
      <c r="G15" s="63">
        <f t="shared" si="0"/>
        <v>5360000.28</v>
      </c>
      <c r="H15" s="291"/>
      <c r="I15" s="287"/>
      <c r="J15" s="282"/>
      <c r="K15" s="254"/>
      <c r="L15" s="241"/>
      <c r="M15" s="239"/>
      <c r="N15" s="238"/>
      <c r="O15" s="230"/>
      <c r="P15" s="228"/>
      <c r="Q15" s="226"/>
      <c r="R15" s="223"/>
      <c r="S15" s="217"/>
      <c r="T15" s="214"/>
      <c r="U15" s="213"/>
      <c r="V15" s="203"/>
      <c r="W15" s="201"/>
      <c r="X15" s="199"/>
      <c r="Y15" s="197"/>
      <c r="Z15" s="195"/>
      <c r="AA15" s="191"/>
      <c r="AB15" s="189"/>
      <c r="AC15" s="182"/>
      <c r="AD15" s="173"/>
      <c r="AE15" s="171"/>
      <c r="AF15" s="157"/>
      <c r="AG15" s="154"/>
      <c r="AH15" s="149"/>
      <c r="AI15" s="146"/>
      <c r="AJ15" s="138"/>
      <c r="AK15" s="125"/>
      <c r="AL15" s="124">
        <v>2042946.74</v>
      </c>
      <c r="AM15" s="118">
        <v>12100</v>
      </c>
      <c r="AN15" s="116">
        <v>1602054.33</v>
      </c>
      <c r="AO15" s="115">
        <v>6050</v>
      </c>
      <c r="AP15" s="114"/>
      <c r="AQ15" s="113"/>
      <c r="AR15" s="111">
        <v>9680</v>
      </c>
      <c r="AS15" s="110">
        <f>1635139.21+15730</f>
        <v>1650869.21</v>
      </c>
      <c r="AT15" s="108"/>
      <c r="AU15" s="106"/>
      <c r="AV15" s="97"/>
      <c r="AW15" s="96"/>
      <c r="AX15" s="95"/>
      <c r="AY15" s="86"/>
      <c r="AZ15" s="85">
        <v>21780</v>
      </c>
      <c r="BA15" s="68"/>
      <c r="BB15" s="68"/>
      <c r="BC15" s="68"/>
      <c r="BD15" s="68"/>
      <c r="BE15" s="68"/>
      <c r="BF15" s="68"/>
      <c r="BG15" s="68"/>
      <c r="BH15" s="68"/>
      <c r="BI15" s="68"/>
      <c r="BJ15" s="68">
        <v>14520</v>
      </c>
      <c r="BK15" s="68"/>
      <c r="BL15" s="68"/>
      <c r="BM15" s="68"/>
      <c r="BN15" s="68"/>
      <c r="BO15" s="68"/>
      <c r="BP15" s="68"/>
      <c r="BQ15" s="68"/>
      <c r="BR15" s="68"/>
      <c r="BS15" s="68"/>
      <c r="BT15" s="68">
        <f>1185724.28+1821781.7+2352494.29+0.01</f>
        <v>5360000.2799999993</v>
      </c>
      <c r="BU15" s="69">
        <f>G15-BT15</f>
        <v>0</v>
      </c>
      <c r="BW15" s="84"/>
    </row>
    <row r="16" spans="2:75" ht="31.5" x14ac:dyDescent="0.25">
      <c r="B16" s="60">
        <v>52</v>
      </c>
      <c r="C16" s="61">
        <v>101141</v>
      </c>
      <c r="D16" s="89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148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>
        <v>1281249.6499999999</v>
      </c>
      <c r="AZ16" s="63"/>
      <c r="BA16" s="63"/>
      <c r="BB16" s="63">
        <f>3840+1728282.44</f>
        <v>1732122.44</v>
      </c>
      <c r="BC16" s="63">
        <f>3840+1685476.96+168136.57</f>
        <v>1857453.53</v>
      </c>
      <c r="BD16" s="63"/>
      <c r="BE16" s="63">
        <f>5760+800650.35</f>
        <v>806410.35</v>
      </c>
      <c r="BF16" s="63">
        <v>17424</v>
      </c>
      <c r="BG16" s="63"/>
      <c r="BH16" s="63"/>
      <c r="BI16" s="63"/>
      <c r="BJ16" s="63">
        <v>11616</v>
      </c>
      <c r="BK16" s="63"/>
      <c r="BL16" s="63"/>
      <c r="BM16" s="63"/>
      <c r="BN16" s="63"/>
      <c r="BO16" s="63"/>
      <c r="BP16" s="63"/>
      <c r="BQ16" s="63"/>
      <c r="BR16" s="63"/>
      <c r="BS16" s="63"/>
      <c r="BT16" s="63">
        <f>2232246.52+2475571.08+967772.3+30686.07</f>
        <v>5706275.9699999997</v>
      </c>
      <c r="BU16" s="69">
        <f t="shared" ref="BU16:BU18" si="2">G16-BT16</f>
        <v>0</v>
      </c>
    </row>
    <row r="17" spans="2:75" ht="31.5" x14ac:dyDescent="0.25">
      <c r="B17" s="60">
        <v>52</v>
      </c>
      <c r="C17" s="61">
        <v>101257</v>
      </c>
      <c r="D17" s="89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148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>
        <v>225034.82</v>
      </c>
      <c r="AX17" s="63">
        <v>426146.03</v>
      </c>
      <c r="AY17" s="63"/>
      <c r="AZ17" s="63"/>
      <c r="BA17" s="63"/>
      <c r="BB17" s="63"/>
      <c r="BC17" s="63">
        <v>4625.6000000000004</v>
      </c>
      <c r="BD17" s="63"/>
      <c r="BE17" s="63"/>
      <c r="BF17" s="63"/>
      <c r="BG17" s="63"/>
      <c r="BH17" s="63"/>
      <c r="BI17" s="63"/>
      <c r="BJ17" s="63">
        <v>3084.2</v>
      </c>
      <c r="BK17" s="63"/>
      <c r="BL17" s="63"/>
      <c r="BM17" s="63"/>
      <c r="BN17" s="63"/>
      <c r="BO17" s="63"/>
      <c r="BP17" s="63"/>
      <c r="BQ17" s="63"/>
      <c r="BR17" s="63"/>
      <c r="BS17" s="63"/>
      <c r="BT17" s="63">
        <f>506844.8+152045.85</f>
        <v>658890.65</v>
      </c>
      <c r="BU17" s="69">
        <f t="shared" si="2"/>
        <v>0</v>
      </c>
    </row>
    <row r="18" spans="2:75" ht="31.5" x14ac:dyDescent="0.25">
      <c r="B18" s="60">
        <v>52</v>
      </c>
      <c r="C18" s="61">
        <v>101088</v>
      </c>
      <c r="D18" s="89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148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>
        <v>361383.69</v>
      </c>
      <c r="AX18" s="63">
        <v>1021703.67</v>
      </c>
      <c r="AY18" s="63"/>
      <c r="AZ18" s="63"/>
      <c r="BA18" s="63">
        <v>471491.5</v>
      </c>
      <c r="BB18" s="63"/>
      <c r="BC18" s="63">
        <v>14780.8</v>
      </c>
      <c r="BD18" s="63"/>
      <c r="BE18" s="63"/>
      <c r="BF18" s="63"/>
      <c r="BG18" s="63"/>
      <c r="BH18" s="63"/>
      <c r="BI18" s="63"/>
      <c r="BJ18" s="63">
        <v>9853.6</v>
      </c>
      <c r="BK18" s="63"/>
      <c r="BL18" s="63"/>
      <c r="BM18" s="63"/>
      <c r="BN18" s="63"/>
      <c r="BO18" s="63"/>
      <c r="BP18" s="63"/>
      <c r="BQ18" s="63"/>
      <c r="BR18" s="63"/>
      <c r="BS18" s="63"/>
      <c r="BT18" s="63">
        <f>1296960.25+237519.36+344733.65</f>
        <v>1879213.2599999998</v>
      </c>
      <c r="BU18" s="69">
        <f t="shared" si="2"/>
        <v>0</v>
      </c>
    </row>
    <row r="19" spans="2:75" ht="31.5" x14ac:dyDescent="0.25">
      <c r="B19" s="65">
        <v>19</v>
      </c>
      <c r="C19" s="66">
        <v>1128</v>
      </c>
      <c r="D19" s="87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291"/>
      <c r="I19" s="287"/>
      <c r="J19" s="282"/>
      <c r="K19" s="254"/>
      <c r="L19" s="241"/>
      <c r="M19" s="239"/>
      <c r="N19" s="238"/>
      <c r="O19" s="230"/>
      <c r="P19" s="228"/>
      <c r="Q19" s="226"/>
      <c r="R19" s="223"/>
      <c r="S19" s="217"/>
      <c r="T19" s="214"/>
      <c r="U19" s="213"/>
      <c r="V19" s="203"/>
      <c r="W19" s="201"/>
      <c r="X19" s="199"/>
      <c r="Y19" s="197"/>
      <c r="Z19" s="195"/>
      <c r="AA19" s="191"/>
      <c r="AB19" s="189"/>
      <c r="AC19" s="182"/>
      <c r="AD19" s="173"/>
      <c r="AE19" s="171"/>
      <c r="AF19" s="157"/>
      <c r="AG19" s="154"/>
      <c r="AH19" s="149"/>
      <c r="AI19" s="146"/>
      <c r="AJ19" s="138"/>
      <c r="AK19" s="125"/>
      <c r="AL19" s="124"/>
      <c r="AM19" s="118"/>
      <c r="AN19" s="116"/>
      <c r="AO19" s="115"/>
      <c r="AP19" s="114"/>
      <c r="AQ19" s="113"/>
      <c r="AR19" s="111"/>
      <c r="AS19" s="110"/>
      <c r="AT19" s="108"/>
      <c r="AU19" s="106"/>
      <c r="AV19" s="97">
        <v>1080287.99</v>
      </c>
      <c r="AW19" s="96"/>
      <c r="AX19" s="95">
        <v>84257.02</v>
      </c>
      <c r="AY19" s="86"/>
      <c r="AZ19" s="85">
        <v>1045800</v>
      </c>
      <c r="BA19" s="68"/>
      <c r="BB19" s="68"/>
      <c r="BC19" s="68"/>
      <c r="BD19" s="68"/>
      <c r="BE19" s="68"/>
      <c r="BF19" s="68"/>
      <c r="BG19" s="68"/>
      <c r="BH19" s="68"/>
      <c r="BI19" s="68"/>
      <c r="BJ19" s="68">
        <v>19602</v>
      </c>
      <c r="BK19" s="68"/>
      <c r="BL19" s="68"/>
      <c r="BM19" s="68"/>
      <c r="BN19" s="68"/>
      <c r="BO19" s="68"/>
      <c r="BP19" s="68"/>
      <c r="BQ19" s="68"/>
      <c r="BR19" s="68"/>
      <c r="BS19" s="68"/>
      <c r="BT19" s="68">
        <v>2229947.0099999998</v>
      </c>
      <c r="BU19" s="69">
        <f>G19-BT19</f>
        <v>0</v>
      </c>
    </row>
    <row r="20" spans="2:75" ht="31.5" x14ac:dyDescent="0.25">
      <c r="B20" s="60">
        <v>52</v>
      </c>
      <c r="C20" s="61">
        <v>101022</v>
      </c>
      <c r="D20" s="89" t="s">
        <v>113</v>
      </c>
      <c r="E20" s="62" t="s">
        <v>59</v>
      </c>
      <c r="F20" s="63">
        <v>8717805.1999999993</v>
      </c>
      <c r="G20" s="63">
        <f t="shared" si="0"/>
        <v>8568143.2799999993</v>
      </c>
      <c r="H20" s="291"/>
      <c r="I20" s="287"/>
      <c r="J20" s="282"/>
      <c r="K20" s="254"/>
      <c r="L20" s="241"/>
      <c r="M20" s="239"/>
      <c r="N20" s="238"/>
      <c r="O20" s="230"/>
      <c r="P20" s="228"/>
      <c r="Q20" s="226"/>
      <c r="R20" s="223"/>
      <c r="S20" s="217"/>
      <c r="T20" s="214"/>
      <c r="U20" s="213"/>
      <c r="V20" s="203"/>
      <c r="W20" s="201"/>
      <c r="X20" s="199"/>
      <c r="Y20" s="197"/>
      <c r="Z20" s="195">
        <v>18418.349999999999</v>
      </c>
      <c r="AA20" s="193">
        <v>8531.33</v>
      </c>
      <c r="AB20" s="189"/>
      <c r="AC20" s="182">
        <v>15100.8</v>
      </c>
      <c r="AD20" s="173"/>
      <c r="AE20" s="171">
        <v>15100.8</v>
      </c>
      <c r="AF20" s="157">
        <f>13068+888961.83</f>
        <v>902029.83</v>
      </c>
      <c r="AG20" s="154">
        <v>13068</v>
      </c>
      <c r="AH20" s="152">
        <v>669349.32999999996</v>
      </c>
      <c r="AI20" s="146"/>
      <c r="AJ20" s="138">
        <f>1816850.63+13068</f>
        <v>1829918.63</v>
      </c>
      <c r="AK20" s="125">
        <f>13068+4067489.05</f>
        <v>4080557.05</v>
      </c>
      <c r="AL20" s="124"/>
      <c r="AM20" s="118"/>
      <c r="AN20" s="116"/>
      <c r="AO20" s="115"/>
      <c r="AP20" s="114"/>
      <c r="AQ20" s="113"/>
      <c r="AR20" s="111"/>
      <c r="AS20" s="110"/>
      <c r="AT20" s="108"/>
      <c r="AU20" s="106">
        <v>990490.73</v>
      </c>
      <c r="AV20" s="97"/>
      <c r="AW20" s="96"/>
      <c r="AX20" s="95"/>
      <c r="AY20" s="86"/>
      <c r="AZ20" s="85"/>
      <c r="BA20" s="68"/>
      <c r="BB20" s="68"/>
      <c r="BC20" s="68"/>
      <c r="BD20" s="68">
        <v>15347.06</v>
      </c>
      <c r="BE20" s="68"/>
      <c r="BF20" s="68"/>
      <c r="BG20" s="68"/>
      <c r="BH20" s="63">
        <v>10231.370000000001</v>
      </c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>
        <f>1164763.07+6587126.96+816253.25</f>
        <v>8568143.2800000012</v>
      </c>
      <c r="BU20" s="69">
        <f t="shared" ref="BU20:BU33" si="3">G20-BT20</f>
        <v>0</v>
      </c>
    </row>
    <row r="21" spans="2:75" ht="31.5" x14ac:dyDescent="0.25">
      <c r="B21" s="65">
        <v>52</v>
      </c>
      <c r="C21" s="66">
        <v>101253</v>
      </c>
      <c r="D21" s="89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291"/>
      <c r="I21" s="287"/>
      <c r="J21" s="282"/>
      <c r="K21" s="254"/>
      <c r="L21" s="241"/>
      <c r="M21" s="239"/>
      <c r="N21" s="238"/>
      <c r="O21" s="230"/>
      <c r="P21" s="228"/>
      <c r="Q21" s="226"/>
      <c r="R21" s="223"/>
      <c r="S21" s="217"/>
      <c r="T21" s="214"/>
      <c r="U21" s="213"/>
      <c r="V21" s="203"/>
      <c r="W21" s="201"/>
      <c r="X21" s="199"/>
      <c r="Y21" s="197"/>
      <c r="Z21" s="194"/>
      <c r="AA21" s="191"/>
      <c r="AB21" s="189"/>
      <c r="AC21" s="182"/>
      <c r="AD21" s="173"/>
      <c r="AE21" s="171"/>
      <c r="AF21" s="157"/>
      <c r="AG21" s="154"/>
      <c r="AH21" s="152"/>
      <c r="AI21" s="146"/>
      <c r="AJ21" s="133"/>
      <c r="AK21" s="125"/>
      <c r="AL21" s="124"/>
      <c r="AM21" s="118"/>
      <c r="AN21" s="116"/>
      <c r="AO21" s="115"/>
      <c r="AP21" s="114"/>
      <c r="AQ21" s="113"/>
      <c r="AR21" s="111"/>
      <c r="AS21" s="110"/>
      <c r="AT21" s="108"/>
      <c r="AU21" s="106">
        <f>26784.85+1733358.77</f>
        <v>1760143.62</v>
      </c>
      <c r="AV21" s="97"/>
      <c r="AW21" s="96">
        <f>26784.85+904220.78</f>
        <v>931005.63</v>
      </c>
      <c r="AX21" s="95">
        <f>2005726.49+33481.06</f>
        <v>2039207.55</v>
      </c>
      <c r="AY21" s="86">
        <v>47869.05</v>
      </c>
      <c r="AZ21" s="85"/>
      <c r="BA21" s="68"/>
      <c r="BB21" s="68"/>
      <c r="BC21" s="68"/>
      <c r="BD21" s="68">
        <v>7651.46</v>
      </c>
      <c r="BE21" s="68"/>
      <c r="BF21" s="68"/>
      <c r="BG21" s="68"/>
      <c r="BH21" s="68">
        <v>5100.97</v>
      </c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>
        <f>361806.95+136416.55+4292754.78</f>
        <v>4790978.28</v>
      </c>
      <c r="BU21" s="69">
        <f t="shared" si="3"/>
        <v>0</v>
      </c>
    </row>
    <row r="22" spans="2:75" ht="31.5" x14ac:dyDescent="0.25">
      <c r="B22" s="60">
        <v>19</v>
      </c>
      <c r="C22" s="61">
        <v>1216</v>
      </c>
      <c r="D22" s="92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>
        <v>34135.199999999997</v>
      </c>
      <c r="AY22" s="63"/>
      <c r="AZ22" s="63">
        <f>196510.5+1722767.4</f>
        <v>1919277.9</v>
      </c>
      <c r="BA22" s="63"/>
      <c r="BB22" s="63"/>
      <c r="BC22" s="63"/>
      <c r="BD22" s="63"/>
      <c r="BE22" s="63"/>
      <c r="BF22" s="63"/>
      <c r="BG22" s="63"/>
      <c r="BH22" s="63">
        <v>10890</v>
      </c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>
        <v>1964303.1</v>
      </c>
      <c r="BU22" s="64">
        <f t="shared" si="3"/>
        <v>0</v>
      </c>
    </row>
    <row r="23" spans="2:75" ht="15.75" x14ac:dyDescent="0.25">
      <c r="B23" s="65">
        <v>59</v>
      </c>
      <c r="C23" s="66">
        <v>101135</v>
      </c>
      <c r="D23" s="89" t="s">
        <v>113</v>
      </c>
      <c r="E23" s="67" t="s">
        <v>62</v>
      </c>
      <c r="F23" s="68">
        <v>25154862.300000001</v>
      </c>
      <c r="G23" s="63">
        <f t="shared" si="0"/>
        <v>24953397.300000001</v>
      </c>
      <c r="H23" s="291"/>
      <c r="I23" s="287"/>
      <c r="J23" s="282"/>
      <c r="K23" s="254"/>
      <c r="L23" s="241"/>
      <c r="M23" s="239"/>
      <c r="N23" s="238"/>
      <c r="O23" s="230"/>
      <c r="P23" s="228"/>
      <c r="Q23" s="226"/>
      <c r="R23" s="223"/>
      <c r="S23" s="217"/>
      <c r="T23" s="214"/>
      <c r="U23" s="213"/>
      <c r="V23" s="203"/>
      <c r="W23" s="201"/>
      <c r="X23" s="199"/>
      <c r="Y23" s="197"/>
      <c r="Z23" s="195">
        <f>7804415.49+5490730.48+490050+1295947.04</f>
        <v>15081143.010000002</v>
      </c>
      <c r="AA23" s="191"/>
      <c r="AB23" s="189">
        <v>8020954.29</v>
      </c>
      <c r="AC23" s="182"/>
      <c r="AD23" s="173"/>
      <c r="AE23" s="171"/>
      <c r="AF23" s="157">
        <v>15790.5</v>
      </c>
      <c r="AG23" s="154"/>
      <c r="AH23" s="152"/>
      <c r="AI23" s="146"/>
      <c r="AJ23" s="133"/>
      <c r="AK23" s="125"/>
      <c r="AL23" s="124"/>
      <c r="AM23" s="118">
        <v>93109.5</v>
      </c>
      <c r="AN23" s="116"/>
      <c r="AO23" s="115"/>
      <c r="AP23" s="114"/>
      <c r="AQ23" s="113"/>
      <c r="AR23" s="111"/>
      <c r="AS23" s="110"/>
      <c r="AT23" s="108"/>
      <c r="AU23" s="106"/>
      <c r="AV23" s="97"/>
      <c r="AW23" s="96"/>
      <c r="AX23" s="95"/>
      <c r="AY23" s="86"/>
      <c r="AZ23" s="85"/>
      <c r="BA23" s="68"/>
      <c r="BB23" s="68"/>
      <c r="BC23" s="68"/>
      <c r="BD23" s="68"/>
      <c r="BE23" s="68"/>
      <c r="BF23" s="68"/>
      <c r="BG23" s="68"/>
      <c r="BH23" s="68">
        <f>96800+1645600</f>
        <v>1742400</v>
      </c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>
        <f>1742400+18690222.69+4116101.11+404673.5</f>
        <v>24953397.300000001</v>
      </c>
      <c r="BU23" s="69">
        <f t="shared" si="3"/>
        <v>0</v>
      </c>
    </row>
    <row r="24" spans="2:75" ht="15.75" x14ac:dyDescent="0.25">
      <c r="B24" s="60">
        <v>52</v>
      </c>
      <c r="C24" s="61">
        <v>101139</v>
      </c>
      <c r="D24" s="89" t="s">
        <v>113</v>
      </c>
      <c r="E24" s="62" t="s">
        <v>63</v>
      </c>
      <c r="F24" s="63">
        <v>9166485.5999999996</v>
      </c>
      <c r="G24" s="63">
        <f t="shared" si="0"/>
        <v>8755559.3300000001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>
        <v>758158.56</v>
      </c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>
        <v>655374.74</v>
      </c>
      <c r="AL24" s="63"/>
      <c r="AM24" s="63"/>
      <c r="AN24" s="63">
        <v>473987.58</v>
      </c>
      <c r="AO24" s="63">
        <v>1350327.26</v>
      </c>
      <c r="AP24" s="63"/>
      <c r="AQ24" s="63"/>
      <c r="AR24" s="63">
        <v>602805.02</v>
      </c>
      <c r="AS24" s="63">
        <v>359915.87</v>
      </c>
      <c r="AT24" s="63"/>
      <c r="AU24" s="63">
        <f>1084855.23-6343.1</f>
        <v>1078512.1299999999</v>
      </c>
      <c r="AV24" s="63"/>
      <c r="AW24" s="63">
        <v>910338.45</v>
      </c>
      <c r="AX24" s="63">
        <v>293046.09999999998</v>
      </c>
      <c r="AY24" s="63"/>
      <c r="AZ24" s="63"/>
      <c r="BA24" s="63"/>
      <c r="BB24" s="63"/>
      <c r="BC24" s="63"/>
      <c r="BD24" s="63">
        <v>701231.24</v>
      </c>
      <c r="BE24" s="63">
        <v>1091457.3899999999</v>
      </c>
      <c r="BF24" s="63">
        <v>5092.2</v>
      </c>
      <c r="BG24" s="63">
        <v>427798.52</v>
      </c>
      <c r="BH24" s="63">
        <f>44874.59+2639.68</f>
        <v>47514.27</v>
      </c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>
        <f>1753633.07+6216052.12+785874.14</f>
        <v>8755559.3300000001</v>
      </c>
      <c r="BU24" s="64">
        <f t="shared" si="3"/>
        <v>0</v>
      </c>
    </row>
    <row r="25" spans="2:75" ht="31.5" x14ac:dyDescent="0.25">
      <c r="B25" s="65">
        <v>52</v>
      </c>
      <c r="C25" s="66">
        <v>101152</v>
      </c>
      <c r="D25" s="89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291"/>
      <c r="I25" s="287"/>
      <c r="J25" s="282"/>
      <c r="K25" s="254"/>
      <c r="L25" s="241"/>
      <c r="M25" s="239"/>
      <c r="N25" s="238"/>
      <c r="O25" s="230"/>
      <c r="P25" s="228"/>
      <c r="Q25" s="226"/>
      <c r="R25" s="223"/>
      <c r="S25" s="217"/>
      <c r="T25" s="214"/>
      <c r="U25" s="213"/>
      <c r="V25" s="203"/>
      <c r="W25" s="201"/>
      <c r="X25" s="199"/>
      <c r="Y25" s="197"/>
      <c r="Z25" s="194"/>
      <c r="AA25" s="191"/>
      <c r="AB25" s="189"/>
      <c r="AC25" s="182"/>
      <c r="AD25" s="173"/>
      <c r="AE25" s="171"/>
      <c r="AF25" s="157"/>
      <c r="AG25" s="154"/>
      <c r="AH25" s="152"/>
      <c r="AI25" s="146"/>
      <c r="AJ25" s="133"/>
      <c r="AK25" s="125"/>
      <c r="AL25" s="124"/>
      <c r="AM25" s="118"/>
      <c r="AN25" s="116"/>
      <c r="AO25" s="115"/>
      <c r="AP25" s="114"/>
      <c r="AQ25" s="113"/>
      <c r="AR25" s="111"/>
      <c r="AS25" s="110">
        <v>4459468.4800000004</v>
      </c>
      <c r="AT25" s="108"/>
      <c r="AU25" s="106">
        <v>3721675.46</v>
      </c>
      <c r="AV25" s="97">
        <v>20691</v>
      </c>
      <c r="AW25" s="96">
        <v>3549313.4</v>
      </c>
      <c r="AX25" s="95">
        <f>20691+20691</f>
        <v>41382</v>
      </c>
      <c r="AY25" s="86">
        <v>1851669.16</v>
      </c>
      <c r="AZ25" s="85"/>
      <c r="BA25" s="68">
        <v>20691</v>
      </c>
      <c r="BB25" s="68">
        <v>940322.64</v>
      </c>
      <c r="BC25" s="68">
        <f>20691+1446397.62</f>
        <v>1467088.62</v>
      </c>
      <c r="BD25" s="68">
        <v>20691</v>
      </c>
      <c r="BE25" s="68">
        <v>1089444.99</v>
      </c>
      <c r="BF25" s="68">
        <v>4602.6000000000004</v>
      </c>
      <c r="BG25" s="68">
        <f>31581+2740306.31</f>
        <v>2771887.31</v>
      </c>
      <c r="BH25" s="68">
        <v>567591.9</v>
      </c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>
        <f>6882320.06+13644199.5</f>
        <v>20526519.559999999</v>
      </c>
      <c r="BU25" s="69">
        <f t="shared" si="3"/>
        <v>0</v>
      </c>
    </row>
    <row r="26" spans="2:75" ht="31.5" x14ac:dyDescent="0.25">
      <c r="B26" s="65">
        <v>52</v>
      </c>
      <c r="C26" s="66">
        <v>101251</v>
      </c>
      <c r="D26" s="89" t="s">
        <v>113</v>
      </c>
      <c r="E26" s="67" t="s">
        <v>65</v>
      </c>
      <c r="F26" s="68">
        <v>8148556.5</v>
      </c>
      <c r="G26" s="63">
        <f t="shared" si="0"/>
        <v>7960729.3300000001</v>
      </c>
      <c r="H26" s="291"/>
      <c r="I26" s="287"/>
      <c r="J26" s="282">
        <f>11081.18+3580024.22</f>
        <v>3591105.4000000004</v>
      </c>
      <c r="K26" s="263">
        <f>1485790.94+11081.18</f>
        <v>1496872.1199999999</v>
      </c>
      <c r="L26" s="241"/>
      <c r="M26" s="239">
        <f>2833977.43+11081.18</f>
        <v>2845058.6100000003</v>
      </c>
      <c r="N26" s="238">
        <v>6332.1</v>
      </c>
      <c r="O26" s="230"/>
      <c r="P26" s="228">
        <v>6332.1</v>
      </c>
      <c r="Q26" s="226"/>
      <c r="R26" s="223"/>
      <c r="S26" s="217"/>
      <c r="T26" s="214"/>
      <c r="U26" s="213"/>
      <c r="V26" s="203"/>
      <c r="W26" s="201"/>
      <c r="X26" s="199"/>
      <c r="Y26" s="197"/>
      <c r="Z26" s="194"/>
      <c r="AA26" s="191"/>
      <c r="AB26" s="189"/>
      <c r="AC26" s="182"/>
      <c r="AD26" s="173"/>
      <c r="AE26" s="171"/>
      <c r="AF26" s="157"/>
      <c r="AG26" s="154"/>
      <c r="AH26" s="152"/>
      <c r="AI26" s="146"/>
      <c r="AJ26" s="133"/>
      <c r="AK26" s="125"/>
      <c r="AL26" s="124"/>
      <c r="AM26" s="118"/>
      <c r="AN26" s="116"/>
      <c r="AO26" s="115"/>
      <c r="AP26" s="114"/>
      <c r="AQ26" s="113"/>
      <c r="AR26" s="111"/>
      <c r="AS26" s="110"/>
      <c r="AT26" s="108"/>
      <c r="AU26" s="106"/>
      <c r="AV26" s="97"/>
      <c r="AW26" s="96"/>
      <c r="AX26" s="95"/>
      <c r="AY26" s="86"/>
      <c r="AZ26" s="85"/>
      <c r="BA26" s="68">
        <v>8349.6</v>
      </c>
      <c r="BB26" s="68"/>
      <c r="BC26" s="68"/>
      <c r="BD26" s="68"/>
      <c r="BE26" s="68"/>
      <c r="BF26" s="68"/>
      <c r="BG26" s="68"/>
      <c r="BH26" s="68">
        <v>6679.4</v>
      </c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>
        <v>7960729.3300000001</v>
      </c>
      <c r="BU26" s="69">
        <f t="shared" si="3"/>
        <v>0</v>
      </c>
    </row>
    <row r="27" spans="2:75" ht="31.5" x14ac:dyDescent="0.25">
      <c r="B27" s="65">
        <v>52</v>
      </c>
      <c r="C27" s="66">
        <v>101113</v>
      </c>
      <c r="D27" s="89" t="s">
        <v>113</v>
      </c>
      <c r="E27" s="67" t="s">
        <v>66</v>
      </c>
      <c r="F27" s="68">
        <v>7222500.7999999998</v>
      </c>
      <c r="G27" s="63">
        <f t="shared" si="0"/>
        <v>7081527.7599999998</v>
      </c>
      <c r="H27" s="291"/>
      <c r="I27" s="287"/>
      <c r="J27" s="282">
        <f>10959.01</f>
        <v>10959.01</v>
      </c>
      <c r="K27" s="263">
        <f>1871430.39+10959.01</f>
        <v>1882389.4</v>
      </c>
      <c r="L27" s="241"/>
      <c r="M27" s="239">
        <f>1530372.81+10959.01</f>
        <v>1541331.82</v>
      </c>
      <c r="N27" s="238">
        <f>10959.01+1061930.75</f>
        <v>1072889.76</v>
      </c>
      <c r="O27" s="230"/>
      <c r="P27" s="228">
        <f>10959.01+2545450.76</f>
        <v>2556409.7699999996</v>
      </c>
      <c r="Q27" s="226"/>
      <c r="R27" s="223"/>
      <c r="S27" s="217"/>
      <c r="T27" s="214"/>
      <c r="U27" s="213"/>
      <c r="V27" s="203"/>
      <c r="W27" s="201"/>
      <c r="X27" s="199"/>
      <c r="Y27" s="197"/>
      <c r="Z27" s="194"/>
      <c r="AA27" s="191"/>
      <c r="AB27" s="189"/>
      <c r="AC27" s="182"/>
      <c r="AD27" s="173"/>
      <c r="AE27" s="171"/>
      <c r="AF27" s="157"/>
      <c r="AG27" s="154"/>
      <c r="AH27" s="152"/>
      <c r="AI27" s="146"/>
      <c r="AJ27" s="133"/>
      <c r="AK27" s="125"/>
      <c r="AL27" s="124"/>
      <c r="AM27" s="118"/>
      <c r="AN27" s="116"/>
      <c r="AO27" s="115"/>
      <c r="AP27" s="114"/>
      <c r="AQ27" s="113"/>
      <c r="AR27" s="111"/>
      <c r="AS27" s="110"/>
      <c r="AT27" s="108"/>
      <c r="AU27" s="106"/>
      <c r="AV27" s="97"/>
      <c r="AW27" s="96"/>
      <c r="AX27" s="95"/>
      <c r="AY27" s="86"/>
      <c r="AZ27" s="85"/>
      <c r="BA27" s="68">
        <v>9748.7999999999993</v>
      </c>
      <c r="BB27" s="68"/>
      <c r="BC27" s="68"/>
      <c r="BD27" s="68"/>
      <c r="BE27" s="68"/>
      <c r="BF27" s="68"/>
      <c r="BG27" s="68"/>
      <c r="BH27" s="68">
        <v>7799.2</v>
      </c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>
        <f>5253302.19+1828225.57</f>
        <v>7081527.7600000007</v>
      </c>
      <c r="BU27" s="69">
        <f t="shared" si="3"/>
        <v>0</v>
      </c>
    </row>
    <row r="28" spans="2:75" ht="31.5" x14ac:dyDescent="0.25">
      <c r="B28" s="159">
        <v>52</v>
      </c>
      <c r="C28" s="66">
        <v>101255</v>
      </c>
      <c r="D28" s="162" t="s">
        <v>113</v>
      </c>
      <c r="E28" s="67" t="s">
        <v>67</v>
      </c>
      <c r="F28" s="160">
        <v>8159082.4000000004</v>
      </c>
      <c r="G28" s="63">
        <f t="shared" si="0"/>
        <v>7982417.8200000003</v>
      </c>
      <c r="H28" s="291"/>
      <c r="I28" s="287"/>
      <c r="J28" s="282"/>
      <c r="K28" s="254"/>
      <c r="L28" s="241"/>
      <c r="M28" s="239"/>
      <c r="N28" s="238"/>
      <c r="O28" s="230"/>
      <c r="P28" s="228"/>
      <c r="Q28" s="226"/>
      <c r="R28" s="223"/>
      <c r="S28" s="217"/>
      <c r="T28" s="214"/>
      <c r="U28" s="213"/>
      <c r="V28" s="203"/>
      <c r="W28" s="201"/>
      <c r="X28" s="199"/>
      <c r="Y28" s="197"/>
      <c r="Z28" s="194"/>
      <c r="AA28" s="191"/>
      <c r="AB28" s="189">
        <f>7243.17+31954.26</f>
        <v>39197.43</v>
      </c>
      <c r="AC28" s="182">
        <f>2263681.85+30623.99</f>
        <v>2294305.8400000003</v>
      </c>
      <c r="AD28" s="173"/>
      <c r="AE28" s="171">
        <v>3699408.56</v>
      </c>
      <c r="AF28" s="160">
        <v>1934202.59</v>
      </c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>
        <v>8502.2000000000007</v>
      </c>
      <c r="BB28" s="160"/>
      <c r="BC28" s="160"/>
      <c r="BD28" s="160"/>
      <c r="BE28" s="160"/>
      <c r="BF28" s="160"/>
      <c r="BG28" s="160"/>
      <c r="BH28" s="160">
        <v>6801.2</v>
      </c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>
        <f>5720791.65+2261626.17</f>
        <v>7982417.8200000003</v>
      </c>
      <c r="BU28" s="161">
        <f t="shared" si="3"/>
        <v>0</v>
      </c>
      <c r="BW28" s="84"/>
    </row>
    <row r="29" spans="2:75" ht="31.5" x14ac:dyDescent="0.25">
      <c r="B29" s="60">
        <v>52</v>
      </c>
      <c r="C29" s="61">
        <v>101130</v>
      </c>
      <c r="D29" s="89" t="s">
        <v>113</v>
      </c>
      <c r="E29" s="62" t="s">
        <v>68</v>
      </c>
      <c r="F29" s="63">
        <v>9140694.5</v>
      </c>
      <c r="G29" s="63">
        <f t="shared" si="0"/>
        <v>8898565.540000001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>
        <v>10390.09</v>
      </c>
      <c r="AC29" s="63">
        <v>950.19</v>
      </c>
      <c r="AD29" s="63"/>
      <c r="AE29" s="63">
        <v>2575258.1800000002</v>
      </c>
      <c r="AF29" s="63">
        <f>22824.47+3138344.28+12731.1+22824.47</f>
        <v>3196724.3200000003</v>
      </c>
      <c r="AG29" s="63">
        <v>22824.47</v>
      </c>
      <c r="AH29" s="63">
        <v>3050540.05</v>
      </c>
      <c r="AI29" s="63"/>
      <c r="AJ29" s="63"/>
      <c r="AK29" s="63">
        <v>20139.240000000002</v>
      </c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>
        <v>12077</v>
      </c>
      <c r="BB29" s="63"/>
      <c r="BC29" s="63"/>
      <c r="BD29" s="63"/>
      <c r="BE29" s="63"/>
      <c r="BF29" s="63"/>
      <c r="BG29" s="63"/>
      <c r="BH29" s="63">
        <v>9662</v>
      </c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>
        <f>3208044.42+5690521.12</f>
        <v>8898565.5399999991</v>
      </c>
      <c r="BU29" s="64">
        <f t="shared" si="3"/>
        <v>0</v>
      </c>
    </row>
    <row r="30" spans="2:75" ht="15.75" x14ac:dyDescent="0.25">
      <c r="B30" s="159">
        <v>12</v>
      </c>
      <c r="C30" s="66">
        <v>1600</v>
      </c>
      <c r="D30" s="162" t="s">
        <v>114</v>
      </c>
      <c r="E30" s="67" t="s">
        <v>69</v>
      </c>
      <c r="F30" s="160">
        <v>148836202.09999999</v>
      </c>
      <c r="G30" s="63">
        <f t="shared" si="0"/>
        <v>35403642.129999995</v>
      </c>
      <c r="H30" s="291"/>
      <c r="I30" s="287"/>
      <c r="J30" s="282"/>
      <c r="K30" s="254"/>
      <c r="L30" s="241"/>
      <c r="M30" s="239"/>
      <c r="N30" s="238"/>
      <c r="O30" s="230"/>
      <c r="P30" s="228"/>
      <c r="Q30" s="226"/>
      <c r="R30" s="223"/>
      <c r="S30" s="217"/>
      <c r="T30" s="214"/>
      <c r="U30" s="213"/>
      <c r="V30" s="203"/>
      <c r="W30" s="201"/>
      <c r="X30" s="199"/>
      <c r="Y30" s="197"/>
      <c r="Z30" s="194"/>
      <c r="AA30" s="191"/>
      <c r="AB30" s="189"/>
      <c r="AC30" s="182"/>
      <c r="AD30" s="173"/>
      <c r="AE30" s="171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>
        <f>44745.3+17404837.93+9855.9</f>
        <v>17459439.129999999</v>
      </c>
      <c r="BG30" s="160"/>
      <c r="BH30" s="160">
        <v>17944203</v>
      </c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>
        <v>35403642.130000003</v>
      </c>
      <c r="BU30" s="161">
        <f t="shared" si="3"/>
        <v>0</v>
      </c>
    </row>
    <row r="31" spans="2:75" ht="31.5" x14ac:dyDescent="0.25">
      <c r="B31" s="159">
        <v>19</v>
      </c>
      <c r="C31" s="66">
        <v>1204</v>
      </c>
      <c r="D31" s="158" t="s">
        <v>118</v>
      </c>
      <c r="E31" s="67" t="s">
        <v>89</v>
      </c>
      <c r="F31" s="160">
        <v>1814555.22</v>
      </c>
      <c r="G31" s="63">
        <f t="shared" si="0"/>
        <v>1726955.35</v>
      </c>
      <c r="H31" s="291"/>
      <c r="I31" s="287"/>
      <c r="J31" s="282"/>
      <c r="K31" s="254"/>
      <c r="L31" s="241"/>
      <c r="M31" s="239"/>
      <c r="N31" s="238"/>
      <c r="O31" s="230"/>
      <c r="P31" s="228"/>
      <c r="Q31" s="226"/>
      <c r="R31" s="223"/>
      <c r="S31" s="217"/>
      <c r="T31" s="214"/>
      <c r="U31" s="213"/>
      <c r="V31" s="203"/>
      <c r="W31" s="201"/>
      <c r="X31" s="199"/>
      <c r="Y31" s="197"/>
      <c r="Z31" s="194"/>
      <c r="AA31" s="191"/>
      <c r="AB31" s="189"/>
      <c r="AC31" s="182"/>
      <c r="AD31" s="173"/>
      <c r="AE31" s="171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>
        <v>4793.2299999999996</v>
      </c>
      <c r="BE31" s="160"/>
      <c r="BF31" s="160"/>
      <c r="BG31" s="160">
        <f>1502273.87</f>
        <v>1502273.87</v>
      </c>
      <c r="BH31" s="160">
        <v>219888.25</v>
      </c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>
        <v>1726955.35</v>
      </c>
      <c r="BU31" s="161">
        <f t="shared" si="3"/>
        <v>0</v>
      </c>
    </row>
    <row r="32" spans="2:75" ht="15.75" x14ac:dyDescent="0.25">
      <c r="B32" s="159">
        <v>50</v>
      </c>
      <c r="C32" s="66">
        <v>100920</v>
      </c>
      <c r="D32" s="162" t="s">
        <v>113</v>
      </c>
      <c r="E32" s="67" t="s">
        <v>70</v>
      </c>
      <c r="F32" s="160">
        <v>80176109.400000006</v>
      </c>
      <c r="G32" s="63">
        <f t="shared" si="0"/>
        <v>77407352.390000001</v>
      </c>
      <c r="H32" s="291"/>
      <c r="I32" s="287"/>
      <c r="J32" s="282"/>
      <c r="K32" s="254"/>
      <c r="L32" s="241"/>
      <c r="M32" s="239"/>
      <c r="N32" s="238"/>
      <c r="O32" s="230"/>
      <c r="P32" s="228"/>
      <c r="Q32" s="226"/>
      <c r="R32" s="223"/>
      <c r="S32" s="217"/>
      <c r="T32" s="214"/>
      <c r="U32" s="213"/>
      <c r="V32" s="203"/>
      <c r="W32" s="201"/>
      <c r="X32" s="199"/>
      <c r="Y32" s="197"/>
      <c r="Z32" s="194"/>
      <c r="AA32" s="191"/>
      <c r="AB32" s="189"/>
      <c r="AC32" s="182">
        <v>4791.6000000000004</v>
      </c>
      <c r="AD32" s="173">
        <v>29228.83</v>
      </c>
      <c r="AE32" s="171">
        <f>39029.76+4083.75+547377.69</f>
        <v>590491.19999999995</v>
      </c>
      <c r="AF32" s="160">
        <f>39029.76+9583.2+8535033.89</f>
        <v>8583646.8500000015</v>
      </c>
      <c r="AG32" s="160">
        <f>2188605.92+39029.76</f>
        <v>2227635.6799999997</v>
      </c>
      <c r="AH32" s="160">
        <f>11979+3671639.43</f>
        <v>3683618.43</v>
      </c>
      <c r="AI32" s="160"/>
      <c r="AJ32" s="160">
        <f>3671639.43+39029.76+9583.2</f>
        <v>3720252.39</v>
      </c>
      <c r="AK32" s="160"/>
      <c r="AL32" s="160">
        <v>1560775.22</v>
      </c>
      <c r="AM32" s="160"/>
      <c r="AN32" s="160"/>
      <c r="AO32" s="160"/>
      <c r="AP32" s="160"/>
      <c r="AQ32" s="160">
        <v>2395.8000000000002</v>
      </c>
      <c r="AR32" s="160">
        <f>17075.52+4791.6</f>
        <v>21867.120000000003</v>
      </c>
      <c r="AS32" s="160">
        <v>4413171.76</v>
      </c>
      <c r="AT32" s="160">
        <f>9583.2+39029.76</f>
        <v>48612.960000000006</v>
      </c>
      <c r="AU32" s="160">
        <f>39029.76+9515077.89+11979+306128.15</f>
        <v>9872214.8000000007</v>
      </c>
      <c r="AV32" s="160"/>
      <c r="AW32" s="160">
        <f>39029.76+9583.2+5077846.77</f>
        <v>5126459.7299999995</v>
      </c>
      <c r="AX32" s="160"/>
      <c r="AY32" s="160">
        <f>39029.76+9583.2+27782426.64</f>
        <v>27831039.600000001</v>
      </c>
      <c r="AZ32" s="160"/>
      <c r="BA32" s="160">
        <f>9531720.82+21954.24+11325.6+39029.76</f>
        <v>9604030.4199999999</v>
      </c>
      <c r="BB32" s="160"/>
      <c r="BC32" s="160"/>
      <c r="BD32" s="160"/>
      <c r="BE32" s="160">
        <v>52272</v>
      </c>
      <c r="BF32" s="160"/>
      <c r="BG32" s="160"/>
      <c r="BH32" s="160">
        <v>34848</v>
      </c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>
        <f>37511649.75+19462855.04+20422307.66+10539.94</f>
        <v>77407352.390000001</v>
      </c>
      <c r="BU32" s="161">
        <f t="shared" si="3"/>
        <v>0</v>
      </c>
    </row>
    <row r="33" spans="2:75" ht="63" x14ac:dyDescent="0.25">
      <c r="B33" s="262">
        <v>59</v>
      </c>
      <c r="C33" s="66">
        <v>101157</v>
      </c>
      <c r="D33" s="265" t="s">
        <v>113</v>
      </c>
      <c r="E33" s="67" t="s">
        <v>74</v>
      </c>
      <c r="F33" s="263">
        <v>16521356.92</v>
      </c>
      <c r="G33" s="63">
        <f t="shared" si="0"/>
        <v>17330548.359999999</v>
      </c>
      <c r="H33" s="291"/>
      <c r="I33" s="287"/>
      <c r="J33" s="282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  <c r="AD33" s="263"/>
      <c r="AE33" s="263"/>
      <c r="AF33" s="263"/>
      <c r="AG33" s="263"/>
      <c r="AH33" s="149"/>
      <c r="AI33" s="263"/>
      <c r="AJ33" s="263"/>
      <c r="AK33" s="263"/>
      <c r="AL33" s="263"/>
      <c r="AM33" s="263"/>
      <c r="AN33" s="263"/>
      <c r="AO33" s="263"/>
      <c r="AP33" s="263"/>
      <c r="AQ33" s="263"/>
      <c r="AR33" s="263">
        <f>485694+341319.82+227345.08-24351.12</f>
        <v>1030007.7800000001</v>
      </c>
      <c r="AS33" s="263">
        <f>1131498+616472.01</f>
        <v>1747970.01</v>
      </c>
      <c r="AT33" s="263"/>
      <c r="AU33" s="263">
        <f>965426.4+25110+3201.66+72407.6+3243331.99+871116.15</f>
        <v>5180593.8000000007</v>
      </c>
      <c r="AV33" s="263">
        <v>1076306.6200000001</v>
      </c>
      <c r="AW33" s="263">
        <f>3243331.99+871116.15+72407.61</f>
        <v>4186855.75</v>
      </c>
      <c r="AX33" s="263"/>
      <c r="AY33" s="263">
        <v>2088989.1</v>
      </c>
      <c r="AZ33" s="263"/>
      <c r="BA33" s="263"/>
      <c r="BB33" s="263">
        <f>245922.85+14466.05+1269112.05+74653.65+19582.6+1151.9</f>
        <v>1624889.0999999999</v>
      </c>
      <c r="BC33" s="263"/>
      <c r="BD33" s="263"/>
      <c r="BE33" s="263">
        <f>256535.95+15090.35</f>
        <v>271626.3</v>
      </c>
      <c r="BF33" s="263"/>
      <c r="BG33" s="263">
        <f>116459.35+6850.55</f>
        <v>123309.90000000001</v>
      </c>
      <c r="BH33" s="263"/>
      <c r="BI33" s="263"/>
      <c r="BJ33" s="263"/>
      <c r="BK33" s="263"/>
      <c r="BL33" s="263"/>
      <c r="BM33" s="263"/>
      <c r="BN33" s="263"/>
      <c r="BO33" s="263"/>
      <c r="BP33" s="263"/>
      <c r="BQ33" s="263"/>
      <c r="BR33" s="263"/>
      <c r="BS33" s="263"/>
      <c r="BT33" s="263">
        <f>1770503.08+2049230.16+70426.37+13440388.75</f>
        <v>17330548.359999999</v>
      </c>
      <c r="BU33" s="270">
        <f t="shared" si="3"/>
        <v>0</v>
      </c>
    </row>
    <row r="34" spans="2:75" ht="32.25" thickBot="1" x14ac:dyDescent="0.3">
      <c r="B34" s="70">
        <v>19</v>
      </c>
      <c r="C34" s="71">
        <v>1208</v>
      </c>
      <c r="D34" s="164" t="s">
        <v>119</v>
      </c>
      <c r="E34" s="72" t="s">
        <v>72</v>
      </c>
      <c r="F34" s="73">
        <v>2790000</v>
      </c>
      <c r="G34" s="73">
        <f>SUM(H34:BS34)</f>
        <v>1797719.73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150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>
        <v>1482639.27</v>
      </c>
      <c r="BF34" s="73"/>
      <c r="BG34" s="73">
        <f>364580.96-49500.5</f>
        <v>315080.46000000002</v>
      </c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>
        <f>1725721.8+71997.93</f>
        <v>1797719.73</v>
      </c>
      <c r="BU34" s="74">
        <f>G34-BT34</f>
        <v>0</v>
      </c>
    </row>
    <row r="35" spans="2:75" ht="16.5" thickTop="1" x14ac:dyDescent="0.25">
      <c r="B35" s="272">
        <v>12</v>
      </c>
      <c r="C35" s="273">
        <v>1600</v>
      </c>
      <c r="D35" s="269" t="s">
        <v>114</v>
      </c>
      <c r="E35" s="274" t="s">
        <v>75</v>
      </c>
      <c r="F35" s="268">
        <v>32403507.600000001</v>
      </c>
      <c r="G35" s="268">
        <f>SUM(H35:BS35)</f>
        <v>1776558.39</v>
      </c>
      <c r="H35" s="292"/>
      <c r="I35" s="288"/>
      <c r="J35" s="283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  <c r="AE35" s="268"/>
      <c r="AF35" s="268"/>
      <c r="AG35" s="268"/>
      <c r="AH35" s="275"/>
      <c r="AI35" s="268"/>
      <c r="AJ35" s="268"/>
      <c r="AK35" s="268"/>
      <c r="AL35" s="268"/>
      <c r="AM35" s="268"/>
      <c r="AN35" s="268"/>
      <c r="AO35" s="268"/>
      <c r="AP35" s="268"/>
      <c r="AQ35" s="268"/>
      <c r="AR35" s="268"/>
      <c r="AS35" s="268"/>
      <c r="AT35" s="268"/>
      <c r="AU35" s="268"/>
      <c r="AV35" s="268"/>
      <c r="AW35" s="268"/>
      <c r="AX35" s="268"/>
      <c r="AY35" s="268"/>
      <c r="AZ35" s="268"/>
      <c r="BA35" s="268"/>
      <c r="BB35" s="268"/>
      <c r="BC35" s="268"/>
      <c r="BD35" s="268"/>
      <c r="BE35" s="268">
        <v>14033.92</v>
      </c>
      <c r="BF35" s="268">
        <v>1762524.47</v>
      </c>
      <c r="BG35" s="268"/>
      <c r="BH35" s="268"/>
      <c r="BI35" s="268"/>
      <c r="BJ35" s="268"/>
      <c r="BK35" s="268"/>
      <c r="BL35" s="268"/>
      <c r="BM35" s="268"/>
      <c r="BN35" s="268"/>
      <c r="BO35" s="268"/>
      <c r="BP35" s="268"/>
      <c r="BQ35" s="268"/>
      <c r="BR35" s="268"/>
      <c r="BS35" s="268"/>
      <c r="BT35" s="268">
        <v>1776558.39</v>
      </c>
      <c r="BU35" s="276">
        <f>G35-BT35</f>
        <v>0</v>
      </c>
    </row>
    <row r="36" spans="2:75" ht="31.5" x14ac:dyDescent="0.25">
      <c r="B36" s="60">
        <v>19</v>
      </c>
      <c r="C36" s="61">
        <v>1106</v>
      </c>
      <c r="D36" s="92" t="s">
        <v>120</v>
      </c>
      <c r="E36" s="62" t="s">
        <v>76</v>
      </c>
      <c r="F36" s="63">
        <v>4107684.97</v>
      </c>
      <c r="G36" s="63">
        <f>SUM(H36:BS36)</f>
        <v>3407826.0700000003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148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>
        <v>682986.07</v>
      </c>
      <c r="AU36" s="63"/>
      <c r="AV36" s="63">
        <v>794014.2</v>
      </c>
      <c r="AW36" s="63">
        <v>491514.3</v>
      </c>
      <c r="AX36" s="63">
        <f>483652.8</f>
        <v>483652.8</v>
      </c>
      <c r="AY36" s="63">
        <v>133947</v>
      </c>
      <c r="AZ36" s="63">
        <v>10890</v>
      </c>
      <c r="BA36" s="63"/>
      <c r="BB36" s="63">
        <v>412731</v>
      </c>
      <c r="BC36" s="63">
        <v>387200.7</v>
      </c>
      <c r="BD36" s="63"/>
      <c r="BE36" s="63"/>
      <c r="BF36" s="63">
        <v>10890</v>
      </c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>
        <f>3333892.44+73933.63</f>
        <v>3407826.07</v>
      </c>
      <c r="BU36" s="64">
        <f t="shared" ref="BU36:BU46" si="4">G36-BT36</f>
        <v>0</v>
      </c>
    </row>
    <row r="37" spans="2:75" ht="47.25" x14ac:dyDescent="0.25">
      <c r="B37" s="65">
        <v>19</v>
      </c>
      <c r="C37" s="66">
        <v>1205</v>
      </c>
      <c r="D37" s="87" t="s">
        <v>121</v>
      </c>
      <c r="E37" s="67" t="s">
        <v>77</v>
      </c>
      <c r="F37" s="68">
        <v>3356943.54</v>
      </c>
      <c r="G37" s="63">
        <f t="shared" ref="G37:G39" si="5">SUM(H37:BS37)</f>
        <v>2396953.7999999998</v>
      </c>
      <c r="H37" s="291"/>
      <c r="I37" s="287"/>
      <c r="J37" s="282"/>
      <c r="K37" s="254"/>
      <c r="L37" s="241"/>
      <c r="M37" s="239"/>
      <c r="N37" s="238"/>
      <c r="O37" s="230"/>
      <c r="P37" s="228"/>
      <c r="Q37" s="226"/>
      <c r="R37" s="223"/>
      <c r="S37" s="217"/>
      <c r="T37" s="214"/>
      <c r="U37" s="213"/>
      <c r="V37" s="203"/>
      <c r="W37" s="201"/>
      <c r="X37" s="199"/>
      <c r="Y37" s="197"/>
      <c r="Z37" s="194"/>
      <c r="AA37" s="191"/>
      <c r="AB37" s="189"/>
      <c r="AC37" s="182"/>
      <c r="AD37" s="173"/>
      <c r="AE37" s="171"/>
      <c r="AF37" s="157"/>
      <c r="AG37" s="154"/>
      <c r="AH37" s="149"/>
      <c r="AI37" s="146"/>
      <c r="AJ37" s="133"/>
      <c r="AK37" s="125"/>
      <c r="AL37" s="124"/>
      <c r="AM37" s="118"/>
      <c r="AN37" s="116"/>
      <c r="AO37" s="115"/>
      <c r="AP37" s="114"/>
      <c r="AQ37" s="113"/>
      <c r="AR37" s="111"/>
      <c r="AS37" s="110"/>
      <c r="AT37" s="108">
        <v>49549.5</v>
      </c>
      <c r="AU37" s="106"/>
      <c r="AV37" s="97">
        <v>43549.2</v>
      </c>
      <c r="AW37" s="96">
        <v>69794.100000000006</v>
      </c>
      <c r="AX37" s="95"/>
      <c r="AY37" s="86">
        <f>194441.4+1486485</f>
        <v>1680926.4</v>
      </c>
      <c r="AZ37" s="85">
        <v>114300</v>
      </c>
      <c r="BA37" s="68"/>
      <c r="BB37" s="68">
        <v>27225</v>
      </c>
      <c r="BC37" s="68"/>
      <c r="BD37" s="68"/>
      <c r="BE37" s="68"/>
      <c r="BF37" s="68">
        <v>411609.59999999998</v>
      </c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>
        <v>2396953.7999999998</v>
      </c>
      <c r="BU37" s="69">
        <f t="shared" si="4"/>
        <v>0</v>
      </c>
    </row>
    <row r="38" spans="2:75" ht="31.5" x14ac:dyDescent="0.25">
      <c r="B38" s="65">
        <v>59</v>
      </c>
      <c r="C38" s="66">
        <v>101156</v>
      </c>
      <c r="D38" s="89" t="s">
        <v>113</v>
      </c>
      <c r="E38" s="67" t="s">
        <v>80</v>
      </c>
      <c r="F38" s="68">
        <v>12895764.300000001</v>
      </c>
      <c r="G38" s="63">
        <f t="shared" si="5"/>
        <v>12058471.300000001</v>
      </c>
      <c r="H38" s="291"/>
      <c r="I38" s="287"/>
      <c r="J38" s="282"/>
      <c r="K38" s="254"/>
      <c r="L38" s="241"/>
      <c r="M38" s="239"/>
      <c r="N38" s="238"/>
      <c r="O38" s="230"/>
      <c r="P38" s="228"/>
      <c r="Q38" s="226"/>
      <c r="R38" s="223"/>
      <c r="S38" s="217"/>
      <c r="T38" s="214"/>
      <c r="U38" s="213"/>
      <c r="V38" s="203"/>
      <c r="W38" s="201"/>
      <c r="X38" s="199"/>
      <c r="Y38" s="197"/>
      <c r="Z38" s="194"/>
      <c r="AA38" s="191"/>
      <c r="AB38" s="189"/>
      <c r="AC38" s="182"/>
      <c r="AD38" s="173"/>
      <c r="AE38" s="171"/>
      <c r="AF38" s="157"/>
      <c r="AG38" s="154"/>
      <c r="AH38" s="149"/>
      <c r="AI38" s="146"/>
      <c r="AJ38" s="133"/>
      <c r="AK38" s="125"/>
      <c r="AL38" s="124"/>
      <c r="AM38" s="118"/>
      <c r="AN38" s="116"/>
      <c r="AO38" s="115"/>
      <c r="AP38" s="114"/>
      <c r="AQ38" s="113"/>
      <c r="AR38" s="111"/>
      <c r="AS38" s="110">
        <v>19071.66</v>
      </c>
      <c r="AT38" s="108">
        <v>3967247.7</v>
      </c>
      <c r="AU38" s="106"/>
      <c r="AV38" s="97">
        <v>1467177.03</v>
      </c>
      <c r="AW38" s="96">
        <v>1753330.04</v>
      </c>
      <c r="AX38" s="95">
        <f>62204.4+22500+1542820.07+407873.7</f>
        <v>2035398.17</v>
      </c>
      <c r="AY38" s="86">
        <v>20364.3</v>
      </c>
      <c r="AZ38" s="85"/>
      <c r="BA38" s="68">
        <f>112679.2+1915546.4+4385+74545</f>
        <v>2107155.5999999996</v>
      </c>
      <c r="BB38" s="68">
        <f>1197.9+20364.3</f>
        <v>21562.2</v>
      </c>
      <c r="BC38" s="68"/>
      <c r="BD38" s="68">
        <v>283959</v>
      </c>
      <c r="BE38" s="68">
        <v>383205.6</v>
      </c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>
        <f>2574752.58+9109869.51+373849.21</f>
        <v>12058471.300000001</v>
      </c>
      <c r="BU38" s="69">
        <f t="shared" si="4"/>
        <v>0</v>
      </c>
      <c r="BW38" s="94"/>
    </row>
    <row r="39" spans="2:75" ht="31.5" x14ac:dyDescent="0.25">
      <c r="B39" s="65">
        <v>19</v>
      </c>
      <c r="C39" s="66">
        <v>1142</v>
      </c>
      <c r="D39" s="87" t="s">
        <v>122</v>
      </c>
      <c r="E39" s="67" t="s">
        <v>81</v>
      </c>
      <c r="F39" s="68">
        <v>4365000</v>
      </c>
      <c r="G39" s="63">
        <f t="shared" si="5"/>
        <v>4228551.8999999994</v>
      </c>
      <c r="H39" s="291"/>
      <c r="I39" s="287"/>
      <c r="J39" s="282"/>
      <c r="K39" s="254"/>
      <c r="L39" s="241"/>
      <c r="M39" s="239"/>
      <c r="N39" s="238"/>
      <c r="O39" s="230"/>
      <c r="P39" s="228"/>
      <c r="Q39" s="226"/>
      <c r="R39" s="223"/>
      <c r="S39" s="217"/>
      <c r="T39" s="214"/>
      <c r="U39" s="213"/>
      <c r="V39" s="203"/>
      <c r="W39" s="201"/>
      <c r="X39" s="199"/>
      <c r="Y39" s="197"/>
      <c r="Z39" s="194"/>
      <c r="AA39" s="191"/>
      <c r="AB39" s="189"/>
      <c r="AC39" s="182"/>
      <c r="AD39" s="173"/>
      <c r="AE39" s="171"/>
      <c r="AF39" s="157"/>
      <c r="AG39" s="154"/>
      <c r="AH39" s="149"/>
      <c r="AI39" s="146"/>
      <c r="AJ39" s="133"/>
      <c r="AK39" s="125"/>
      <c r="AL39" s="124"/>
      <c r="AM39" s="118"/>
      <c r="AN39" s="116"/>
      <c r="AO39" s="115"/>
      <c r="AP39" s="114"/>
      <c r="AQ39" s="113"/>
      <c r="AR39" s="111"/>
      <c r="AS39" s="110"/>
      <c r="AT39" s="108"/>
      <c r="AU39" s="106"/>
      <c r="AV39" s="97">
        <v>3424460.4</v>
      </c>
      <c r="AW39" s="96"/>
      <c r="AX39" s="95"/>
      <c r="AY39" s="86"/>
      <c r="AZ39" s="85">
        <v>432432.9</v>
      </c>
      <c r="BA39" s="68"/>
      <c r="BB39" s="68"/>
      <c r="BC39" s="68"/>
      <c r="BD39" s="68"/>
      <c r="BE39" s="68">
        <v>371658.6</v>
      </c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>
        <f>4057328.79+171223.11</f>
        <v>4228551.9000000004</v>
      </c>
      <c r="BU39" s="69">
        <f t="shared" si="4"/>
        <v>0</v>
      </c>
    </row>
    <row r="40" spans="2:75" ht="24.95" customHeight="1" x14ac:dyDescent="0.25">
      <c r="B40" s="314">
        <v>52</v>
      </c>
      <c r="C40" s="66">
        <v>101050</v>
      </c>
      <c r="D40" s="319" t="s">
        <v>113</v>
      </c>
      <c r="E40" s="312" t="s">
        <v>82</v>
      </c>
      <c r="F40" s="316">
        <v>6250335.1500000004</v>
      </c>
      <c r="G40" s="316">
        <f>SUM(H40:BS41)</f>
        <v>6146069.1999999993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148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>
        <f>380530.4+2976+8228</f>
        <v>391734.4</v>
      </c>
      <c r="AW40" s="63">
        <v>525921.6</v>
      </c>
      <c r="AX40" s="63">
        <v>93748.4</v>
      </c>
      <c r="AY40" s="63">
        <v>2980</v>
      </c>
      <c r="AZ40" s="63">
        <f>15488-4719</f>
        <v>10769</v>
      </c>
      <c r="BA40" s="68">
        <f>3280+1017982.4+444381.6-444381.6</f>
        <v>1021262.4</v>
      </c>
      <c r="BB40" s="68"/>
      <c r="BC40" s="68">
        <f>1235620+7200</f>
        <v>1242820</v>
      </c>
      <c r="BD40" s="68"/>
      <c r="BE40" s="68">
        <f>544272.4+7200</f>
        <v>551472.4</v>
      </c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316">
        <f>1870814.4+4275254.8</f>
        <v>6146069.1999999993</v>
      </c>
      <c r="BU40" s="335">
        <f>G40-BT40-BT41</f>
        <v>0</v>
      </c>
      <c r="BW40" s="84"/>
    </row>
    <row r="41" spans="2:75" ht="24.95" customHeight="1" x14ac:dyDescent="0.25">
      <c r="B41" s="315"/>
      <c r="C41" s="83">
        <v>100700</v>
      </c>
      <c r="D41" s="324"/>
      <c r="E41" s="313"/>
      <c r="F41" s="317"/>
      <c r="G41" s="317"/>
      <c r="H41" s="109"/>
      <c r="I41" s="109"/>
      <c r="J41" s="109"/>
      <c r="K41" s="117"/>
      <c r="L41" s="117"/>
      <c r="M41" s="117"/>
      <c r="N41" s="109"/>
      <c r="O41" s="109"/>
      <c r="P41" s="109"/>
      <c r="Q41" s="117"/>
      <c r="R41" s="117"/>
      <c r="S41" s="109"/>
      <c r="T41" s="109"/>
      <c r="U41" s="109"/>
      <c r="V41" s="117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51"/>
      <c r="AI41" s="109"/>
      <c r="AJ41" s="109"/>
      <c r="AK41" s="109"/>
      <c r="AL41" s="109"/>
      <c r="AM41" s="117"/>
      <c r="AN41" s="117"/>
      <c r="AO41" s="109"/>
      <c r="AP41" s="109"/>
      <c r="AQ41" s="109"/>
      <c r="AR41" s="109"/>
      <c r="AS41" s="109"/>
      <c r="AT41" s="109"/>
      <c r="AU41" s="63"/>
      <c r="AV41" s="63">
        <f>670314.8+5176+8228</f>
        <v>683718.8</v>
      </c>
      <c r="AW41" s="63">
        <v>967986.8</v>
      </c>
      <c r="AX41" s="63">
        <f>187044.8+6160</f>
        <v>193204.8</v>
      </c>
      <c r="AY41" s="86">
        <v>2480</v>
      </c>
      <c r="AZ41" s="85">
        <f>6050+4719</f>
        <v>10769</v>
      </c>
      <c r="BA41" s="82">
        <f>2820+444381.6</f>
        <v>447201.6</v>
      </c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323"/>
      <c r="BU41" s="339"/>
    </row>
    <row r="42" spans="2:75" ht="31.5" x14ac:dyDescent="0.25">
      <c r="B42" s="65">
        <v>19</v>
      </c>
      <c r="C42" s="66">
        <v>1136</v>
      </c>
      <c r="D42" s="87" t="s">
        <v>123</v>
      </c>
      <c r="E42" s="67" t="s">
        <v>83</v>
      </c>
      <c r="F42" s="68">
        <v>3135292.13</v>
      </c>
      <c r="G42" s="63">
        <f>SUM(H42:BS42)</f>
        <v>2681999.2799999998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148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108"/>
      <c r="AU42" s="106"/>
      <c r="AV42" s="97"/>
      <c r="AW42" s="96"/>
      <c r="AX42" s="95">
        <v>2123550</v>
      </c>
      <c r="AY42" s="86"/>
      <c r="AZ42" s="85">
        <v>485370</v>
      </c>
      <c r="BA42" s="68"/>
      <c r="BB42" s="68"/>
      <c r="BC42" s="68"/>
      <c r="BD42" s="68">
        <v>10890</v>
      </c>
      <c r="BE42" s="68">
        <v>62189.279999999999</v>
      </c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>
        <f>2575821.78+106177.5</f>
        <v>2681999.2799999998</v>
      </c>
      <c r="BU42" s="69">
        <f t="shared" si="4"/>
        <v>0</v>
      </c>
    </row>
    <row r="43" spans="2:75" ht="31.5" x14ac:dyDescent="0.25">
      <c r="B43" s="65">
        <v>19</v>
      </c>
      <c r="C43" s="66">
        <v>1108</v>
      </c>
      <c r="D43" s="87" t="s">
        <v>124</v>
      </c>
      <c r="E43" s="67" t="s">
        <v>84</v>
      </c>
      <c r="F43" s="68">
        <v>4005925.58</v>
      </c>
      <c r="G43" s="63">
        <f t="shared" ref="G43:G61" si="6">SUM(H43:BS43)</f>
        <v>3045540.66</v>
      </c>
      <c r="H43" s="291"/>
      <c r="I43" s="287"/>
      <c r="J43" s="282"/>
      <c r="K43" s="254"/>
      <c r="L43" s="241"/>
      <c r="M43" s="239"/>
      <c r="N43" s="238"/>
      <c r="O43" s="230"/>
      <c r="P43" s="228"/>
      <c r="Q43" s="226"/>
      <c r="R43" s="223"/>
      <c r="S43" s="217"/>
      <c r="T43" s="214"/>
      <c r="U43" s="213"/>
      <c r="V43" s="203"/>
      <c r="W43" s="201"/>
      <c r="X43" s="199"/>
      <c r="Y43" s="197"/>
      <c r="Z43" s="194"/>
      <c r="AA43" s="191"/>
      <c r="AB43" s="189"/>
      <c r="AC43" s="182"/>
      <c r="AD43" s="173"/>
      <c r="AE43" s="171"/>
      <c r="AF43" s="157"/>
      <c r="AG43" s="154"/>
      <c r="AH43" s="149"/>
      <c r="AI43" s="146"/>
      <c r="AJ43" s="133"/>
      <c r="AK43" s="125"/>
      <c r="AL43" s="124"/>
      <c r="AM43" s="118"/>
      <c r="AN43" s="116"/>
      <c r="AO43" s="115"/>
      <c r="AP43" s="114"/>
      <c r="AQ43" s="113"/>
      <c r="AR43" s="111"/>
      <c r="AS43" s="110"/>
      <c r="AT43" s="108"/>
      <c r="AU43" s="106">
        <v>818658.81</v>
      </c>
      <c r="AV43" s="97">
        <v>173035.57</v>
      </c>
      <c r="AW43" s="96">
        <v>255302.91</v>
      </c>
      <c r="AX43" s="95">
        <v>69804.899999999994</v>
      </c>
      <c r="AY43" s="86">
        <v>1050090.3</v>
      </c>
      <c r="AZ43" s="85">
        <f>569533.01+10890</f>
        <v>580423.01</v>
      </c>
      <c r="BA43" s="68"/>
      <c r="BB43" s="68"/>
      <c r="BC43" s="68">
        <v>87335.16</v>
      </c>
      <c r="BD43" s="68"/>
      <c r="BE43" s="68">
        <v>10890</v>
      </c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>
        <v>3045540.66</v>
      </c>
      <c r="BU43" s="69">
        <f t="shared" si="4"/>
        <v>0</v>
      </c>
    </row>
    <row r="44" spans="2:75" ht="31.5" x14ac:dyDescent="0.25">
      <c r="B44" s="65">
        <v>59</v>
      </c>
      <c r="C44" s="66">
        <v>101154</v>
      </c>
      <c r="D44" s="89" t="s">
        <v>113</v>
      </c>
      <c r="E44" s="67" t="s">
        <v>86</v>
      </c>
      <c r="F44" s="68">
        <v>10434308.4</v>
      </c>
      <c r="G44" s="63">
        <f t="shared" si="6"/>
        <v>7024123.5</v>
      </c>
      <c r="H44" s="291"/>
      <c r="I44" s="287"/>
      <c r="J44" s="282"/>
      <c r="K44" s="254"/>
      <c r="L44" s="241"/>
      <c r="M44" s="239"/>
      <c r="N44" s="238"/>
      <c r="O44" s="230"/>
      <c r="P44" s="228"/>
      <c r="Q44" s="226"/>
      <c r="R44" s="223"/>
      <c r="S44" s="217"/>
      <c r="T44" s="214"/>
      <c r="U44" s="213"/>
      <c r="V44" s="203"/>
      <c r="W44" s="201"/>
      <c r="X44" s="199"/>
      <c r="Y44" s="197"/>
      <c r="Z44" s="194"/>
      <c r="AA44" s="191"/>
      <c r="AB44" s="189"/>
      <c r="AC44" s="182"/>
      <c r="AD44" s="173"/>
      <c r="AE44" s="171"/>
      <c r="AF44" s="157"/>
      <c r="AG44" s="154"/>
      <c r="AH44" s="149"/>
      <c r="AI44" s="146"/>
      <c r="AJ44" s="133"/>
      <c r="AK44" s="125"/>
      <c r="AL44" s="124"/>
      <c r="AM44" s="118"/>
      <c r="AN44" s="116"/>
      <c r="AO44" s="115"/>
      <c r="AP44" s="114"/>
      <c r="AQ44" s="113"/>
      <c r="AR44" s="112">
        <f>15246+3615371.1+352969.2+873337.57+22185.9+27116.1+3822.3+120922.2</f>
        <v>5030970.37</v>
      </c>
      <c r="AS44" s="110">
        <f>265924.8+12109.5</f>
        <v>278034.3</v>
      </c>
      <c r="AT44" s="108">
        <f>371186.1+148104</f>
        <v>519290.1</v>
      </c>
      <c r="AU44" s="106">
        <f>126147.6-871.2</f>
        <v>125276.40000000001</v>
      </c>
      <c r="AV44" s="97"/>
      <c r="AW44" s="96"/>
      <c r="AX44" s="95">
        <f>669724.11+399085.82</f>
        <v>1068809.93</v>
      </c>
      <c r="AY44" s="86"/>
      <c r="AZ44" s="85"/>
      <c r="BA44" s="68"/>
      <c r="BB44" s="68"/>
      <c r="BC44" s="68">
        <f>822.8+48.4</f>
        <v>871.19999999999993</v>
      </c>
      <c r="BD44" s="68">
        <f>822.8+48.4</f>
        <v>871.19999999999993</v>
      </c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>
        <v>7024123.5</v>
      </c>
      <c r="BU44" s="69">
        <f t="shared" si="4"/>
        <v>0</v>
      </c>
    </row>
    <row r="45" spans="2:75" ht="31.5" x14ac:dyDescent="0.25">
      <c r="B45" s="65">
        <v>19</v>
      </c>
      <c r="C45" s="66">
        <v>1112</v>
      </c>
      <c r="D45" s="87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291"/>
      <c r="I45" s="287"/>
      <c r="J45" s="282"/>
      <c r="K45" s="254"/>
      <c r="L45" s="241"/>
      <c r="M45" s="239"/>
      <c r="N45" s="238"/>
      <c r="O45" s="230"/>
      <c r="P45" s="228"/>
      <c r="Q45" s="226"/>
      <c r="R45" s="223"/>
      <c r="S45" s="217"/>
      <c r="T45" s="214"/>
      <c r="U45" s="213"/>
      <c r="V45" s="203"/>
      <c r="W45" s="201"/>
      <c r="X45" s="199"/>
      <c r="Y45" s="197"/>
      <c r="Z45" s="194"/>
      <c r="AA45" s="191"/>
      <c r="AB45" s="189"/>
      <c r="AC45" s="182"/>
      <c r="AD45" s="173"/>
      <c r="AE45" s="171"/>
      <c r="AF45" s="157"/>
      <c r="AG45" s="154"/>
      <c r="AH45" s="149"/>
      <c r="AI45" s="146"/>
      <c r="AJ45" s="133"/>
      <c r="AK45" s="125"/>
      <c r="AL45" s="124"/>
      <c r="AM45" s="118"/>
      <c r="AN45" s="116"/>
      <c r="AO45" s="115"/>
      <c r="AP45" s="114"/>
      <c r="AQ45" s="113"/>
      <c r="AR45" s="111"/>
      <c r="AS45" s="110"/>
      <c r="AT45" s="108"/>
      <c r="AU45" s="106">
        <f>289965.6-4356</f>
        <v>285609.59999999998</v>
      </c>
      <c r="AV45" s="97">
        <v>20745.45</v>
      </c>
      <c r="AW45" s="96">
        <v>438104.7</v>
      </c>
      <c r="AX45" s="95"/>
      <c r="AY45" s="86"/>
      <c r="AZ45" s="85">
        <v>635540.4</v>
      </c>
      <c r="BA45" s="68"/>
      <c r="BB45" s="68">
        <v>686693.7</v>
      </c>
      <c r="BC45" s="68"/>
      <c r="BD45" s="68">
        <v>21780</v>
      </c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>
        <f>2030103.45+58370.4</f>
        <v>2088473.8499999999</v>
      </c>
      <c r="BU45" s="69">
        <f t="shared" si="4"/>
        <v>0</v>
      </c>
    </row>
    <row r="46" spans="2:75" ht="31.5" x14ac:dyDescent="0.25">
      <c r="B46" s="65">
        <v>19</v>
      </c>
      <c r="C46" s="66">
        <v>1208</v>
      </c>
      <c r="D46" s="87" t="s">
        <v>119</v>
      </c>
      <c r="E46" s="67" t="s">
        <v>88</v>
      </c>
      <c r="F46" s="68">
        <v>2784542.4</v>
      </c>
      <c r="G46" s="63">
        <f t="shared" si="6"/>
        <v>2695117.1</v>
      </c>
      <c r="H46" s="291"/>
      <c r="I46" s="287"/>
      <c r="J46" s="282"/>
      <c r="K46" s="254"/>
      <c r="L46" s="241"/>
      <c r="M46" s="239"/>
      <c r="N46" s="238"/>
      <c r="O46" s="230"/>
      <c r="P46" s="228"/>
      <c r="Q46" s="226"/>
      <c r="R46" s="223"/>
      <c r="S46" s="217"/>
      <c r="T46" s="214"/>
      <c r="U46" s="213"/>
      <c r="V46" s="203"/>
      <c r="W46" s="201"/>
      <c r="X46" s="199"/>
      <c r="Y46" s="197"/>
      <c r="Z46" s="194"/>
      <c r="AA46" s="191"/>
      <c r="AB46" s="189"/>
      <c r="AC46" s="182"/>
      <c r="AD46" s="173"/>
      <c r="AE46" s="171"/>
      <c r="AF46" s="157"/>
      <c r="AG46" s="154"/>
      <c r="AH46" s="149"/>
      <c r="AI46" s="146"/>
      <c r="AJ46" s="133"/>
      <c r="AK46" s="125"/>
      <c r="AL46" s="124"/>
      <c r="AM46" s="118"/>
      <c r="AN46" s="116"/>
      <c r="AO46" s="115"/>
      <c r="AP46" s="114"/>
      <c r="AQ46" s="113"/>
      <c r="AR46" s="111"/>
      <c r="AS46" s="110"/>
      <c r="AT46" s="108"/>
      <c r="AU46" s="106"/>
      <c r="AV46" s="97"/>
      <c r="AW46" s="96"/>
      <c r="AX46" s="95"/>
      <c r="AY46" s="86"/>
      <c r="AZ46" s="85"/>
      <c r="BA46" s="68"/>
      <c r="BB46" s="68"/>
      <c r="BC46" s="68">
        <v>1007216.1</v>
      </c>
      <c r="BD46" s="68">
        <v>1638400.5</v>
      </c>
      <c r="BE46" s="68"/>
      <c r="BF46" s="68"/>
      <c r="BG46" s="68">
        <v>49500.5</v>
      </c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>
        <v>2695117.1</v>
      </c>
      <c r="BU46" s="69">
        <f t="shared" si="4"/>
        <v>0</v>
      </c>
    </row>
    <row r="47" spans="2:75" ht="31.5" x14ac:dyDescent="0.25">
      <c r="B47" s="65">
        <v>52</v>
      </c>
      <c r="C47" s="66">
        <v>101144</v>
      </c>
      <c r="D47" s="89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291"/>
      <c r="I47" s="287"/>
      <c r="J47" s="282"/>
      <c r="K47" s="254"/>
      <c r="L47" s="241"/>
      <c r="M47" s="239"/>
      <c r="N47" s="238"/>
      <c r="O47" s="230"/>
      <c r="P47" s="228"/>
      <c r="Q47" s="226"/>
      <c r="R47" s="223"/>
      <c r="S47" s="217"/>
      <c r="T47" s="214"/>
      <c r="U47" s="213"/>
      <c r="V47" s="203"/>
      <c r="W47" s="201"/>
      <c r="X47" s="199"/>
      <c r="Y47" s="197"/>
      <c r="Z47" s="194"/>
      <c r="AA47" s="191"/>
      <c r="AB47" s="189"/>
      <c r="AC47" s="182"/>
      <c r="AD47" s="173"/>
      <c r="AE47" s="171"/>
      <c r="AF47" s="157"/>
      <c r="AG47" s="154"/>
      <c r="AH47" s="149"/>
      <c r="AI47" s="146"/>
      <c r="AJ47" s="133"/>
      <c r="AK47" s="125"/>
      <c r="AL47" s="124"/>
      <c r="AM47" s="118"/>
      <c r="AN47" s="116"/>
      <c r="AO47" s="115"/>
      <c r="AP47" s="114"/>
      <c r="AQ47" s="113"/>
      <c r="AR47" s="111"/>
      <c r="AS47" s="110">
        <v>1266686.74</v>
      </c>
      <c r="AT47" s="108"/>
      <c r="AU47" s="106"/>
      <c r="AV47" s="97">
        <v>4601678.4000000004</v>
      </c>
      <c r="AW47" s="96"/>
      <c r="AX47" s="95">
        <v>35338.5</v>
      </c>
      <c r="AY47" s="86">
        <f>1256303.94+73900.23</f>
        <v>1330204.17</v>
      </c>
      <c r="AZ47" s="85"/>
      <c r="BA47" s="68"/>
      <c r="BB47" s="68">
        <v>290705.71999999997</v>
      </c>
      <c r="BC47" s="68">
        <v>217003.5</v>
      </c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>
        <v>7741617.0300000003</v>
      </c>
      <c r="BU47" s="69">
        <f t="shared" ref="BU47:BU55" si="7">G47-BT47</f>
        <v>0</v>
      </c>
    </row>
    <row r="48" spans="2:75" ht="47.25" x14ac:dyDescent="0.25">
      <c r="B48" s="65">
        <v>19</v>
      </c>
      <c r="C48" s="66">
        <v>1133</v>
      </c>
      <c r="D48" s="87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291"/>
      <c r="I48" s="287"/>
      <c r="J48" s="282"/>
      <c r="K48" s="254"/>
      <c r="L48" s="241"/>
      <c r="M48" s="239"/>
      <c r="N48" s="238"/>
      <c r="O48" s="230"/>
      <c r="P48" s="228"/>
      <c r="Q48" s="226"/>
      <c r="R48" s="223"/>
      <c r="S48" s="217"/>
      <c r="T48" s="214"/>
      <c r="U48" s="213"/>
      <c r="V48" s="203"/>
      <c r="W48" s="201"/>
      <c r="X48" s="199"/>
      <c r="Y48" s="197"/>
      <c r="Z48" s="194"/>
      <c r="AA48" s="191"/>
      <c r="AB48" s="189"/>
      <c r="AC48" s="182"/>
      <c r="AD48" s="173"/>
      <c r="AE48" s="171"/>
      <c r="AF48" s="157"/>
      <c r="AG48" s="154"/>
      <c r="AH48" s="149"/>
      <c r="AI48" s="146"/>
      <c r="AJ48" s="133"/>
      <c r="AK48" s="125"/>
      <c r="AL48" s="124"/>
      <c r="AM48" s="118"/>
      <c r="AN48" s="116"/>
      <c r="AO48" s="115"/>
      <c r="AP48" s="114"/>
      <c r="AQ48" s="113"/>
      <c r="AR48" s="111"/>
      <c r="AS48" s="110"/>
      <c r="AT48" s="108"/>
      <c r="AU48" s="106">
        <v>25895.32</v>
      </c>
      <c r="AV48" s="97"/>
      <c r="AW48" s="96"/>
      <c r="AX48" s="95">
        <f>506123.95+428085.9</f>
        <v>934209.85000000009</v>
      </c>
      <c r="AY48" s="86"/>
      <c r="AZ48" s="85"/>
      <c r="BA48" s="68"/>
      <c r="BB48" s="68"/>
      <c r="BC48" s="68">
        <v>930922.2</v>
      </c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>
        <v>1891027.37</v>
      </c>
      <c r="BU48" s="69">
        <f t="shared" si="7"/>
        <v>0</v>
      </c>
    </row>
    <row r="49" spans="2:75" ht="31.5" x14ac:dyDescent="0.25">
      <c r="B49" s="79">
        <v>19</v>
      </c>
      <c r="C49" s="66">
        <v>1700</v>
      </c>
      <c r="D49" s="91" t="s">
        <v>127</v>
      </c>
      <c r="E49" s="67" t="s">
        <v>93</v>
      </c>
      <c r="F49" s="80">
        <v>4497134.4000000004</v>
      </c>
      <c r="G49" s="63">
        <f t="shared" si="6"/>
        <v>2060475.1</v>
      </c>
      <c r="H49" s="291"/>
      <c r="I49" s="287"/>
      <c r="J49" s="282"/>
      <c r="K49" s="254"/>
      <c r="L49" s="241"/>
      <c r="M49" s="239"/>
      <c r="N49" s="238"/>
      <c r="O49" s="230"/>
      <c r="P49" s="228"/>
      <c r="Q49" s="226"/>
      <c r="R49" s="223"/>
      <c r="S49" s="217"/>
      <c r="T49" s="214"/>
      <c r="U49" s="213"/>
      <c r="V49" s="203"/>
      <c r="W49" s="201"/>
      <c r="X49" s="199"/>
      <c r="Y49" s="197"/>
      <c r="Z49" s="194"/>
      <c r="AA49" s="191"/>
      <c r="AB49" s="189"/>
      <c r="AC49" s="182"/>
      <c r="AD49" s="173"/>
      <c r="AE49" s="171"/>
      <c r="AF49" s="157"/>
      <c r="AG49" s="154"/>
      <c r="AH49" s="149"/>
      <c r="AI49" s="146"/>
      <c r="AJ49" s="133"/>
      <c r="AK49" s="125"/>
      <c r="AL49" s="124"/>
      <c r="AM49" s="118"/>
      <c r="AN49" s="116"/>
      <c r="AO49" s="115"/>
      <c r="AP49" s="114"/>
      <c r="AQ49" s="113"/>
      <c r="AR49" s="111"/>
      <c r="AS49" s="110">
        <v>1574296.54</v>
      </c>
      <c r="AT49" s="108"/>
      <c r="AU49" s="106"/>
      <c r="AV49" s="97"/>
      <c r="AW49" s="96"/>
      <c r="AX49" s="95"/>
      <c r="AY49" s="86"/>
      <c r="AZ49" s="85"/>
      <c r="BA49" s="80"/>
      <c r="BB49" s="80"/>
      <c r="BC49" s="80">
        <v>486178.56</v>
      </c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>
        <v>2060475.1</v>
      </c>
      <c r="BU49" s="81">
        <f t="shared" si="7"/>
        <v>0</v>
      </c>
    </row>
    <row r="50" spans="2:75" ht="15.75" x14ac:dyDescent="0.25">
      <c r="B50" s="60">
        <v>59</v>
      </c>
      <c r="C50" s="61">
        <v>101160</v>
      </c>
      <c r="D50" s="89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148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>
        <v>203564.54</v>
      </c>
      <c r="AW50" s="63">
        <v>576872.26</v>
      </c>
      <c r="AX50" s="63">
        <v>285214.5</v>
      </c>
      <c r="AY50" s="63">
        <f>315810+181982.7+197087.4+1437480+696905.55+4170559.5+380061+266805+2989305+209632.5+976500+364815+306009</f>
        <v>12492952.65</v>
      </c>
      <c r="AZ50" s="63"/>
      <c r="BA50" s="63"/>
      <c r="BB50" s="63"/>
      <c r="BC50" s="63">
        <f>90145+1532465+174240+2962080</f>
        <v>4758930</v>
      </c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>
        <f>17251882.65+1065651.3</f>
        <v>18317533.949999999</v>
      </c>
      <c r="BU50" s="64">
        <f t="shared" si="7"/>
        <v>0</v>
      </c>
    </row>
    <row r="51" spans="2:75" ht="31.5" x14ac:dyDescent="0.25">
      <c r="B51" s="159">
        <v>52</v>
      </c>
      <c r="C51" s="66">
        <v>101155</v>
      </c>
      <c r="D51" s="162" t="s">
        <v>113</v>
      </c>
      <c r="E51" s="67" t="s">
        <v>101</v>
      </c>
      <c r="F51" s="160">
        <v>6148995.4800000004</v>
      </c>
      <c r="G51" s="63">
        <f t="shared" si="6"/>
        <v>6001336.6299999999</v>
      </c>
      <c r="H51" s="291"/>
      <c r="I51" s="287"/>
      <c r="J51" s="282"/>
      <c r="K51" s="254"/>
      <c r="L51" s="241"/>
      <c r="M51" s="239"/>
      <c r="N51" s="238"/>
      <c r="O51" s="230"/>
      <c r="P51" s="228"/>
      <c r="Q51" s="226"/>
      <c r="R51" s="223"/>
      <c r="S51" s="217"/>
      <c r="T51" s="214"/>
      <c r="U51" s="213"/>
      <c r="V51" s="203"/>
      <c r="W51" s="201"/>
      <c r="X51" s="199"/>
      <c r="Y51" s="197"/>
      <c r="Z51" s="194"/>
      <c r="AA51" s="191"/>
      <c r="AB51" s="189"/>
      <c r="AC51" s="182"/>
      <c r="AD51" s="173"/>
      <c r="AE51" s="171"/>
      <c r="AF51" s="160"/>
      <c r="AG51" s="160"/>
      <c r="AH51" s="149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>
        <v>1260000</v>
      </c>
      <c r="AT51" s="160">
        <v>688161.6</v>
      </c>
      <c r="AU51" s="160">
        <v>1144310.97</v>
      </c>
      <c r="AV51" s="160"/>
      <c r="AW51" s="160">
        <f>921842.26</f>
        <v>921842.26</v>
      </c>
      <c r="AX51" s="160">
        <f>80803.8+261904.5+173151</f>
        <v>515859.3</v>
      </c>
      <c r="AY51" s="160"/>
      <c r="AZ51" s="160"/>
      <c r="BA51" s="160">
        <v>1249387.2</v>
      </c>
      <c r="BB51" s="160">
        <v>221775.3</v>
      </c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>
        <v>6001336.6299999999</v>
      </c>
      <c r="BU51" s="161">
        <f t="shared" si="7"/>
        <v>0</v>
      </c>
    </row>
    <row r="52" spans="2:75" ht="31.5" x14ac:dyDescent="0.25">
      <c r="B52" s="60">
        <v>59</v>
      </c>
      <c r="C52" s="61">
        <v>101124</v>
      </c>
      <c r="D52" s="89" t="s">
        <v>113</v>
      </c>
      <c r="E52" s="62" t="s">
        <v>95</v>
      </c>
      <c r="F52" s="63">
        <v>23936400</v>
      </c>
      <c r="G52" s="63">
        <f t="shared" si="6"/>
        <v>23743457.199999999</v>
      </c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148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>
        <f>4232923.2+1611720+168492.11+1656545.42</f>
        <v>7669680.7300000004</v>
      </c>
      <c r="AT52" s="63"/>
      <c r="AU52" s="63">
        <f>4195787.26-2710953.78</f>
        <v>1484833.48</v>
      </c>
      <c r="AV52" s="63">
        <v>2710953.78</v>
      </c>
      <c r="AW52" s="63">
        <v>2710953.78</v>
      </c>
      <c r="AX52" s="63">
        <f>5085951.46+299173.62+60783.63+3575.5+116483.7+6851.98</f>
        <v>5572819.8900000006</v>
      </c>
      <c r="AY52" s="63"/>
      <c r="AZ52" s="63"/>
      <c r="BA52" s="63">
        <f>2895199.96+170305.88</f>
        <v>3065505.84</v>
      </c>
      <c r="BB52" s="63">
        <f>499337+29372.7</f>
        <v>528709.69999999995</v>
      </c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>
        <f>3594215.56+20149241.64</f>
        <v>23743457.199999999</v>
      </c>
      <c r="BU52" s="64">
        <f t="shared" si="7"/>
        <v>0</v>
      </c>
    </row>
    <row r="53" spans="2:75" ht="31.5" x14ac:dyDescent="0.25">
      <c r="B53" s="60">
        <v>52</v>
      </c>
      <c r="C53" s="61">
        <v>101018</v>
      </c>
      <c r="D53" s="89" t="s">
        <v>113</v>
      </c>
      <c r="E53" s="62" t="s">
        <v>96</v>
      </c>
      <c r="F53" s="63">
        <v>2069560</v>
      </c>
      <c r="G53" s="63">
        <f t="shared" si="6"/>
        <v>2069559.95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148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>
        <v>17545.14</v>
      </c>
      <c r="AV53" s="63">
        <v>12100</v>
      </c>
      <c r="AW53" s="63">
        <v>1125645.06</v>
      </c>
      <c r="AX53" s="63">
        <v>12100</v>
      </c>
      <c r="AY53" s="63">
        <v>12100</v>
      </c>
      <c r="AZ53" s="63"/>
      <c r="BA53" s="63">
        <v>877969.75</v>
      </c>
      <c r="BB53" s="63">
        <v>12100</v>
      </c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>
        <f>943914.89+1105924.62+19720.44</f>
        <v>2069559.9500000002</v>
      </c>
      <c r="BU53" s="64">
        <f t="shared" si="7"/>
        <v>0</v>
      </c>
      <c r="BW53" s="84"/>
    </row>
    <row r="54" spans="2:75" ht="47.25" x14ac:dyDescent="0.25">
      <c r="B54" s="159">
        <v>52</v>
      </c>
      <c r="C54" s="66">
        <v>101151</v>
      </c>
      <c r="D54" s="162" t="s">
        <v>113</v>
      </c>
      <c r="E54" s="67" t="s">
        <v>100</v>
      </c>
      <c r="F54" s="160">
        <v>8811260.8399999999</v>
      </c>
      <c r="G54" s="63">
        <f t="shared" si="6"/>
        <v>4229684.08</v>
      </c>
      <c r="H54" s="291"/>
      <c r="I54" s="287"/>
      <c r="J54" s="282"/>
      <c r="K54" s="254"/>
      <c r="L54" s="241"/>
      <c r="M54" s="239"/>
      <c r="N54" s="238"/>
      <c r="O54" s="230"/>
      <c r="P54" s="228"/>
      <c r="Q54" s="226"/>
      <c r="R54" s="223"/>
      <c r="S54" s="217"/>
      <c r="T54" s="214"/>
      <c r="U54" s="213"/>
      <c r="V54" s="203"/>
      <c r="W54" s="201"/>
      <c r="X54" s="199"/>
      <c r="Y54" s="197"/>
      <c r="Z54" s="194"/>
      <c r="AA54" s="191"/>
      <c r="AB54" s="189"/>
      <c r="AC54" s="182"/>
      <c r="AD54" s="173"/>
      <c r="AE54" s="171"/>
      <c r="AF54" s="160"/>
      <c r="AG54" s="160"/>
      <c r="AH54" s="149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>
        <v>43200</v>
      </c>
      <c r="AT54" s="160"/>
      <c r="AU54" s="160">
        <f>10890+1352258.13</f>
        <v>1363148.13</v>
      </c>
      <c r="AV54" s="160"/>
      <c r="AW54" s="160">
        <f>21251.84+1073449.08</f>
        <v>1094700.9200000002</v>
      </c>
      <c r="AX54" s="160">
        <f>817442.6+26565.07</f>
        <v>844007.66999999993</v>
      </c>
      <c r="AY54" s="160"/>
      <c r="AZ54" s="160">
        <v>863375.53</v>
      </c>
      <c r="BA54" s="160"/>
      <c r="BB54" s="160">
        <v>21251.83</v>
      </c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  <c r="BS54" s="160"/>
      <c r="BT54" s="160">
        <v>4229684.08</v>
      </c>
      <c r="BU54" s="161">
        <f t="shared" si="7"/>
        <v>0</v>
      </c>
    </row>
    <row r="55" spans="2:75" ht="15.75" x14ac:dyDescent="0.25">
      <c r="B55" s="159">
        <v>50</v>
      </c>
      <c r="C55" s="66">
        <v>100931</v>
      </c>
      <c r="D55" s="162" t="s">
        <v>113</v>
      </c>
      <c r="E55" s="67" t="s">
        <v>97</v>
      </c>
      <c r="F55" s="160">
        <f>1794250.17+(25.495*1129713.15)</f>
        <v>30596286.929250002</v>
      </c>
      <c r="G55" s="63">
        <f t="shared" si="6"/>
        <v>30596286.93</v>
      </c>
      <c r="H55" s="291"/>
      <c r="I55" s="287"/>
      <c r="J55" s="282"/>
      <c r="K55" s="254"/>
      <c r="L55" s="241"/>
      <c r="M55" s="239"/>
      <c r="N55" s="238"/>
      <c r="O55" s="230"/>
      <c r="P55" s="228"/>
      <c r="Q55" s="226"/>
      <c r="R55" s="223"/>
      <c r="S55" s="217"/>
      <c r="T55" s="214"/>
      <c r="U55" s="213"/>
      <c r="V55" s="203"/>
      <c r="W55" s="201"/>
      <c r="X55" s="199"/>
      <c r="Y55" s="197"/>
      <c r="Z55" s="194"/>
      <c r="AA55" s="191"/>
      <c r="AB55" s="189"/>
      <c r="AC55" s="182"/>
      <c r="AD55" s="173"/>
      <c r="AE55" s="171"/>
      <c r="AF55" s="160"/>
      <c r="AG55" s="160"/>
      <c r="AH55" s="149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>
        <v>16287677.470000001</v>
      </c>
      <c r="AY55" s="160">
        <v>3854869.33</v>
      </c>
      <c r="AZ55" s="160"/>
      <c r="BA55" s="160"/>
      <c r="BB55" s="160">
        <v>10453740.130000001</v>
      </c>
      <c r="BC55" s="160"/>
      <c r="BD55" s="160"/>
      <c r="BE55" s="160"/>
      <c r="BF55" s="160"/>
      <c r="BG55" s="160"/>
      <c r="BH55" s="160"/>
      <c r="BI55" s="160"/>
      <c r="BJ55" s="160"/>
      <c r="BK55" s="160"/>
      <c r="BL55" s="160"/>
      <c r="BM55" s="160"/>
      <c r="BN55" s="160"/>
      <c r="BO55" s="160"/>
      <c r="BP55" s="160"/>
      <c r="BQ55" s="160"/>
      <c r="BR55" s="160"/>
      <c r="BS55" s="160"/>
      <c r="BT55" s="160">
        <v>30596286.93</v>
      </c>
      <c r="BU55" s="161">
        <f t="shared" si="7"/>
        <v>0</v>
      </c>
    </row>
    <row r="56" spans="2:75" ht="31.5" x14ac:dyDescent="0.25">
      <c r="B56" s="159">
        <v>52</v>
      </c>
      <c r="C56" s="66">
        <v>101133</v>
      </c>
      <c r="D56" s="162" t="s">
        <v>113</v>
      </c>
      <c r="E56" s="67" t="s">
        <v>99</v>
      </c>
      <c r="F56" s="160">
        <v>23562987.300000001</v>
      </c>
      <c r="G56" s="63">
        <f t="shared" si="6"/>
        <v>23239650.780000001</v>
      </c>
      <c r="H56" s="291"/>
      <c r="I56" s="287"/>
      <c r="J56" s="282"/>
      <c r="K56" s="254"/>
      <c r="L56" s="241"/>
      <c r="M56" s="239"/>
      <c r="N56" s="238"/>
      <c r="O56" s="230"/>
      <c r="P56" s="228"/>
      <c r="Q56" s="226"/>
      <c r="R56" s="223"/>
      <c r="S56" s="217"/>
      <c r="T56" s="214"/>
      <c r="U56" s="213"/>
      <c r="V56" s="203"/>
      <c r="W56" s="201"/>
      <c r="X56" s="199"/>
      <c r="Y56" s="197"/>
      <c r="Z56" s="194"/>
      <c r="AA56" s="191"/>
      <c r="AB56" s="189"/>
      <c r="AC56" s="182"/>
      <c r="AD56" s="173"/>
      <c r="AE56" s="171"/>
      <c r="AF56" s="160"/>
      <c r="AG56" s="160"/>
      <c r="AH56" s="149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>
        <v>2477315.7599999998</v>
      </c>
      <c r="AW56" s="160">
        <f>978424.93+9152922.73</f>
        <v>10131347.66</v>
      </c>
      <c r="AX56" s="160"/>
      <c r="AY56" s="160">
        <v>9405532.6400000006</v>
      </c>
      <c r="AZ56" s="160"/>
      <c r="BA56" s="160">
        <v>1225454.72</v>
      </c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0"/>
      <c r="BR56" s="160"/>
      <c r="BS56" s="160"/>
      <c r="BT56" s="160">
        <v>23239650.780000001</v>
      </c>
      <c r="BU56" s="161">
        <f t="shared" ref="BU56:BU62" si="8">G56-BT56</f>
        <v>0</v>
      </c>
    </row>
    <row r="57" spans="2:75" ht="31.5" x14ac:dyDescent="0.25">
      <c r="B57" s="159">
        <v>52</v>
      </c>
      <c r="C57" s="66">
        <v>101123</v>
      </c>
      <c r="D57" s="162" t="s">
        <v>113</v>
      </c>
      <c r="E57" s="67" t="s">
        <v>107</v>
      </c>
      <c r="F57" s="160">
        <v>27427807.800000001</v>
      </c>
      <c r="G57" s="63">
        <f t="shared" si="6"/>
        <v>26548295.399999999</v>
      </c>
      <c r="H57" s="291"/>
      <c r="I57" s="287"/>
      <c r="J57" s="282"/>
      <c r="K57" s="254"/>
      <c r="L57" s="241"/>
      <c r="M57" s="239"/>
      <c r="N57" s="238"/>
      <c r="O57" s="230"/>
      <c r="P57" s="228"/>
      <c r="Q57" s="226"/>
      <c r="R57" s="223"/>
      <c r="S57" s="217"/>
      <c r="T57" s="214"/>
      <c r="U57" s="213"/>
      <c r="V57" s="203"/>
      <c r="W57" s="201"/>
      <c r="X57" s="199"/>
      <c r="Y57" s="197"/>
      <c r="Z57" s="194"/>
      <c r="AA57" s="191"/>
      <c r="AB57" s="189"/>
      <c r="AC57" s="182"/>
      <c r="AD57" s="173"/>
      <c r="AE57" s="171"/>
      <c r="AF57" s="160"/>
      <c r="AG57" s="160"/>
      <c r="AH57" s="149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>
        <v>26548295.399999999</v>
      </c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/>
      <c r="BS57" s="160"/>
      <c r="BT57" s="160">
        <v>26548295.399999999</v>
      </c>
      <c r="BU57" s="161">
        <f t="shared" si="8"/>
        <v>0</v>
      </c>
    </row>
    <row r="58" spans="2:75" ht="31.5" x14ac:dyDescent="0.25">
      <c r="B58" s="159">
        <v>59</v>
      </c>
      <c r="C58" s="66">
        <v>101159</v>
      </c>
      <c r="D58" s="162" t="s">
        <v>113</v>
      </c>
      <c r="E58" s="67" t="s">
        <v>108</v>
      </c>
      <c r="F58" s="160">
        <v>7011841.5</v>
      </c>
      <c r="G58" s="63">
        <f t="shared" si="6"/>
        <v>5232409.37</v>
      </c>
      <c r="H58" s="291"/>
      <c r="I58" s="287"/>
      <c r="J58" s="282"/>
      <c r="K58" s="254"/>
      <c r="L58" s="241"/>
      <c r="M58" s="239"/>
      <c r="N58" s="238"/>
      <c r="O58" s="230"/>
      <c r="P58" s="228"/>
      <c r="Q58" s="226"/>
      <c r="R58" s="223"/>
      <c r="S58" s="217"/>
      <c r="T58" s="214"/>
      <c r="U58" s="213"/>
      <c r="V58" s="203"/>
      <c r="W58" s="201"/>
      <c r="X58" s="199"/>
      <c r="Y58" s="197"/>
      <c r="Z58" s="194"/>
      <c r="AA58" s="191"/>
      <c r="AB58" s="189"/>
      <c r="AC58" s="182"/>
      <c r="AD58" s="173"/>
      <c r="AE58" s="171"/>
      <c r="AF58" s="160"/>
      <c r="AG58" s="160"/>
      <c r="AH58" s="149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>
        <f>3725784.9+433613.66</f>
        <v>4159398.56</v>
      </c>
      <c r="AY58" s="160">
        <f>121423.5+897059.01</f>
        <v>1018482.51</v>
      </c>
      <c r="AZ58" s="160">
        <f>3029.35+51498.95</f>
        <v>54528.299999999996</v>
      </c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60"/>
      <c r="BR58" s="160"/>
      <c r="BS58" s="160"/>
      <c r="BT58" s="160">
        <f>951587.31+134128.26+4146693.8</f>
        <v>5232409.37</v>
      </c>
      <c r="BU58" s="161">
        <f t="shared" si="8"/>
        <v>0</v>
      </c>
    </row>
    <row r="59" spans="2:75" ht="31.5" x14ac:dyDescent="0.25">
      <c r="B59" s="60">
        <v>19</v>
      </c>
      <c r="C59" s="61">
        <v>1206</v>
      </c>
      <c r="D59" s="92" t="s">
        <v>128</v>
      </c>
      <c r="E59" s="62" t="s">
        <v>104</v>
      </c>
      <c r="F59" s="63">
        <v>4009489.18</v>
      </c>
      <c r="G59" s="63">
        <f t="shared" si="6"/>
        <v>2905578.8099999996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148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>
        <v>504807.3</v>
      </c>
      <c r="AT59" s="63"/>
      <c r="AU59" s="63"/>
      <c r="AV59" s="63"/>
      <c r="AW59" s="63">
        <v>41382</v>
      </c>
      <c r="AX59" s="63">
        <v>2318007.5099999998</v>
      </c>
      <c r="AY59" s="63"/>
      <c r="AZ59" s="63">
        <v>41382</v>
      </c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>
        <f>2564326.5+341252.31</f>
        <v>2905578.81</v>
      </c>
      <c r="BU59" s="64">
        <f t="shared" si="8"/>
        <v>0</v>
      </c>
    </row>
    <row r="60" spans="2:75" ht="63" x14ac:dyDescent="0.25">
      <c r="B60" s="262">
        <v>19</v>
      </c>
      <c r="C60" s="66">
        <v>1127</v>
      </c>
      <c r="D60" s="261" t="s">
        <v>129</v>
      </c>
      <c r="E60" s="67" t="s">
        <v>106</v>
      </c>
      <c r="F60" s="263">
        <v>6813999</v>
      </c>
      <c r="G60" s="63">
        <f t="shared" si="6"/>
        <v>6292531.4000000004</v>
      </c>
      <c r="H60" s="291"/>
      <c r="I60" s="287"/>
      <c r="J60" s="282"/>
      <c r="K60" s="263"/>
      <c r="L60" s="263"/>
      <c r="M60" s="263"/>
      <c r="N60" s="263"/>
      <c r="O60" s="263"/>
      <c r="P60" s="263"/>
      <c r="Q60" s="263"/>
      <c r="R60" s="263"/>
      <c r="S60" s="263"/>
      <c r="T60" s="263"/>
      <c r="U60" s="263"/>
      <c r="V60" s="263"/>
      <c r="W60" s="263"/>
      <c r="X60" s="263"/>
      <c r="Y60" s="263"/>
      <c r="Z60" s="263"/>
      <c r="AA60" s="263"/>
      <c r="AB60" s="263"/>
      <c r="AC60" s="263"/>
      <c r="AD60" s="263"/>
      <c r="AE60" s="263"/>
      <c r="AF60" s="263"/>
      <c r="AG60" s="263"/>
      <c r="AH60" s="149"/>
      <c r="AI60" s="263"/>
      <c r="AJ60" s="263"/>
      <c r="AK60" s="263"/>
      <c r="AL60" s="263"/>
      <c r="AM60" s="263"/>
      <c r="AN60" s="263"/>
      <c r="AO60" s="263"/>
      <c r="AP60" s="263"/>
      <c r="AQ60" s="263"/>
      <c r="AR60" s="263"/>
      <c r="AS60" s="263"/>
      <c r="AT60" s="263">
        <v>3071578.5</v>
      </c>
      <c r="AU60" s="263"/>
      <c r="AV60" s="263"/>
      <c r="AW60" s="263"/>
      <c r="AX60" s="263">
        <v>1719788</v>
      </c>
      <c r="AY60" s="263"/>
      <c r="AZ60" s="263">
        <v>1501164.9</v>
      </c>
      <c r="BA60" s="263"/>
      <c r="BB60" s="263"/>
      <c r="BC60" s="263"/>
      <c r="BD60" s="263"/>
      <c r="BE60" s="263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>
        <v>6292531.4000000004</v>
      </c>
      <c r="BU60" s="270">
        <f t="shared" si="8"/>
        <v>0</v>
      </c>
    </row>
    <row r="61" spans="2:75" ht="31.5" x14ac:dyDescent="0.25">
      <c r="B61" s="60">
        <v>52</v>
      </c>
      <c r="C61" s="61">
        <v>101140</v>
      </c>
      <c r="D61" s="89" t="s">
        <v>113</v>
      </c>
      <c r="E61" s="62" t="s">
        <v>110</v>
      </c>
      <c r="F61" s="63">
        <v>3674386.5</v>
      </c>
      <c r="G61" s="63">
        <f t="shared" si="6"/>
        <v>3115016.85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148"/>
      <c r="AI61" s="63">
        <f>1512+101813.79</f>
        <v>103325.79</v>
      </c>
      <c r="AJ61" s="63"/>
      <c r="AK61" s="63">
        <v>2268</v>
      </c>
      <c r="AL61" s="63">
        <f>2268+528701.04</f>
        <v>530969.04</v>
      </c>
      <c r="AM61" s="63">
        <v>309309.42</v>
      </c>
      <c r="AN61" s="63"/>
      <c r="AO61" s="63">
        <f>1014417.6+2268</f>
        <v>1016685.6</v>
      </c>
      <c r="AP61" s="63">
        <v>2268</v>
      </c>
      <c r="AQ61" s="63"/>
      <c r="AR61" s="63">
        <f>1115499+2268</f>
        <v>1117767</v>
      </c>
      <c r="AS61" s="63">
        <v>9324</v>
      </c>
      <c r="AT61" s="63"/>
      <c r="AU61" s="63"/>
      <c r="AV61" s="63"/>
      <c r="AW61" s="63"/>
      <c r="AX61" s="63"/>
      <c r="AY61" s="63">
        <v>23100</v>
      </c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>
        <v>3115016.85</v>
      </c>
      <c r="BU61" s="64">
        <f t="shared" si="8"/>
        <v>0</v>
      </c>
    </row>
    <row r="62" spans="2:75" ht="16.5" thickBot="1" x14ac:dyDescent="0.3">
      <c r="B62" s="70">
        <v>59</v>
      </c>
      <c r="C62" s="71">
        <v>101166</v>
      </c>
      <c r="D62" s="90" t="s">
        <v>113</v>
      </c>
      <c r="E62" s="72" t="s">
        <v>111</v>
      </c>
      <c r="F62" s="73">
        <v>4708034.0999999996</v>
      </c>
      <c r="G62" s="73">
        <f>SUM(H62:BS62)</f>
        <v>4262722.2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150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>
        <f>555390+3707332.2</f>
        <v>4262722.2</v>
      </c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>
        <v>4262722.2</v>
      </c>
      <c r="BU62" s="74">
        <f t="shared" si="8"/>
        <v>0</v>
      </c>
    </row>
    <row r="63" spans="2:75" ht="32.25" thickTop="1" x14ac:dyDescent="0.25">
      <c r="B63" s="264">
        <v>59</v>
      </c>
      <c r="C63" s="75">
        <v>101258</v>
      </c>
      <c r="D63" s="266" t="s">
        <v>113</v>
      </c>
      <c r="E63" s="76" t="s">
        <v>131</v>
      </c>
      <c r="F63" s="267">
        <v>6289074</v>
      </c>
      <c r="G63" s="268">
        <f>SUM(H63:BS63)</f>
        <v>6053436.120000001</v>
      </c>
      <c r="H63" s="293"/>
      <c r="I63" s="289"/>
      <c r="J63" s="284"/>
      <c r="K63" s="267"/>
      <c r="L63" s="267"/>
      <c r="M63" s="267"/>
      <c r="N63" s="267"/>
      <c r="O63" s="267"/>
      <c r="P63" s="267"/>
      <c r="Q63" s="267"/>
      <c r="R63" s="267"/>
      <c r="S63" s="267"/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163"/>
      <c r="AI63" s="267"/>
      <c r="AJ63" s="267"/>
      <c r="AK63" s="267"/>
      <c r="AL63" s="267"/>
      <c r="AM63" s="267"/>
      <c r="AN63" s="267"/>
      <c r="AO63" s="267"/>
      <c r="AP63" s="267"/>
      <c r="AQ63" s="267">
        <f>283857.3+233146.8+365313.53+420192.51</f>
        <v>1302510.1400000001</v>
      </c>
      <c r="AR63" s="267"/>
      <c r="AS63" s="267">
        <f>44226+44787.6+1413291.11+130510.05</f>
        <v>1632814.7600000002</v>
      </c>
      <c r="AT63" s="267">
        <v>1171868.3999999999</v>
      </c>
      <c r="AU63" s="267">
        <f>1259933.54+74052+139936.5+153298.8</f>
        <v>1627220.84</v>
      </c>
      <c r="AV63" s="267"/>
      <c r="AW63" s="267">
        <f>267227.13+51794.85</f>
        <v>319021.98</v>
      </c>
      <c r="AX63" s="267"/>
      <c r="AY63" s="267"/>
      <c r="AZ63" s="267"/>
      <c r="BA63" s="267"/>
      <c r="BB63" s="267"/>
      <c r="BC63" s="267"/>
      <c r="BD63" s="267"/>
      <c r="BE63" s="267"/>
      <c r="BF63" s="267"/>
      <c r="BG63" s="267"/>
      <c r="BH63" s="267"/>
      <c r="BI63" s="267"/>
      <c r="BJ63" s="267"/>
      <c r="BK63" s="267"/>
      <c r="BL63" s="267"/>
      <c r="BM63" s="267"/>
      <c r="BN63" s="267"/>
      <c r="BO63" s="267"/>
      <c r="BP63" s="267"/>
      <c r="BQ63" s="267"/>
      <c r="BR63" s="267"/>
      <c r="BS63" s="267"/>
      <c r="BT63" s="267">
        <v>6053436.1200000001</v>
      </c>
      <c r="BU63" s="271">
        <f>G63-BT63</f>
        <v>0</v>
      </c>
    </row>
    <row r="64" spans="2:75" ht="31.5" x14ac:dyDescent="0.25">
      <c r="B64" s="60">
        <v>52</v>
      </c>
      <c r="C64" s="61">
        <v>101252</v>
      </c>
      <c r="D64" s="89" t="s">
        <v>113</v>
      </c>
      <c r="E64" s="62" t="s">
        <v>132</v>
      </c>
      <c r="F64" s="63">
        <v>1974726.6</v>
      </c>
      <c r="G64" s="63">
        <f>SUM(H64:BS64)</f>
        <v>1810574.5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148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>
        <v>1810574.5</v>
      </c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>
        <f>1810574.3+0.2</f>
        <v>1810574.5</v>
      </c>
      <c r="BU64" s="64">
        <f>G64-BT64</f>
        <v>0</v>
      </c>
    </row>
    <row r="65" spans="2:73" ht="47.25" x14ac:dyDescent="0.25">
      <c r="B65" s="60">
        <v>52</v>
      </c>
      <c r="C65" s="61">
        <v>101217</v>
      </c>
      <c r="D65" s="89" t="s">
        <v>113</v>
      </c>
      <c r="E65" s="62" t="s">
        <v>135</v>
      </c>
      <c r="F65" s="63">
        <v>2503081.2000000002</v>
      </c>
      <c r="G65" s="63">
        <f t="shared" ref="G65:G75" si="9">SUM(H65:BS65)</f>
        <v>2411442.54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>
        <f>12903.4+5610.52</f>
        <v>18513.919999999998</v>
      </c>
      <c r="AB65" s="63">
        <v>5610.52</v>
      </c>
      <c r="AC65" s="63">
        <v>5610.52</v>
      </c>
      <c r="AD65" s="63">
        <v>5610.52</v>
      </c>
      <c r="AE65" s="63">
        <f>123043.99+11770.8</f>
        <v>134814.79</v>
      </c>
      <c r="AF65" s="63">
        <f>5610.52+2216284.41</f>
        <v>2221894.9300000002</v>
      </c>
      <c r="AG65" s="63"/>
      <c r="AH65" s="148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>
        <v>19387.34</v>
      </c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>
        <f>2392928.62+18513.92</f>
        <v>2411442.54</v>
      </c>
      <c r="BU65" s="64">
        <f t="shared" ref="BU65:BU76" si="10">G65-BT65</f>
        <v>0</v>
      </c>
    </row>
    <row r="66" spans="2:73" ht="47.25" x14ac:dyDescent="0.25">
      <c r="B66" s="100">
        <v>52</v>
      </c>
      <c r="C66" s="66">
        <v>101317</v>
      </c>
      <c r="D66" s="101" t="s">
        <v>113</v>
      </c>
      <c r="E66" s="67" t="s">
        <v>134</v>
      </c>
      <c r="F66" s="99">
        <v>2854682.6</v>
      </c>
      <c r="G66" s="63">
        <f t="shared" si="9"/>
        <v>2714078.9499999997</v>
      </c>
      <c r="H66" s="291"/>
      <c r="I66" s="287"/>
      <c r="J66" s="282"/>
      <c r="K66" s="254"/>
      <c r="L66" s="241"/>
      <c r="M66" s="239"/>
      <c r="N66" s="238"/>
      <c r="O66" s="230"/>
      <c r="P66" s="228"/>
      <c r="Q66" s="226"/>
      <c r="R66" s="223"/>
      <c r="S66" s="217"/>
      <c r="T66" s="214"/>
      <c r="U66" s="213"/>
      <c r="V66" s="203"/>
      <c r="W66" s="201"/>
      <c r="X66" s="199"/>
      <c r="Y66" s="197"/>
      <c r="Z66" s="194"/>
      <c r="AA66" s="193">
        <f>1696504.83+4201.05+3225.39</f>
        <v>1703931.27</v>
      </c>
      <c r="AB66" s="189">
        <v>3225.39</v>
      </c>
      <c r="AC66" s="182">
        <v>3225.39</v>
      </c>
      <c r="AD66" s="173">
        <v>3225.39</v>
      </c>
      <c r="AE66" s="171">
        <f>979337.57+5251.4</f>
        <v>984588.97</v>
      </c>
      <c r="AF66" s="157">
        <v>3225.39</v>
      </c>
      <c r="AG66" s="154"/>
      <c r="AH66" s="149"/>
      <c r="AI66" s="146"/>
      <c r="AJ66" s="133"/>
      <c r="AK66" s="125"/>
      <c r="AL66" s="123"/>
      <c r="AM66" s="118"/>
      <c r="AN66" s="116"/>
      <c r="AO66" s="115"/>
      <c r="AP66" s="114"/>
      <c r="AQ66" s="113"/>
      <c r="AR66" s="111"/>
      <c r="AS66" s="110"/>
      <c r="AT66" s="108"/>
      <c r="AU66" s="106"/>
      <c r="AV66" s="99">
        <v>12657.15</v>
      </c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>
        <f>1010147.68+1703931.27</f>
        <v>2714078.95</v>
      </c>
      <c r="BU66" s="98">
        <f t="shared" si="10"/>
        <v>0</v>
      </c>
    </row>
    <row r="67" spans="2:73" ht="15.75" x14ac:dyDescent="0.25">
      <c r="B67" s="102">
        <v>59</v>
      </c>
      <c r="C67" s="66">
        <v>101240</v>
      </c>
      <c r="D67" s="104" t="s">
        <v>113</v>
      </c>
      <c r="E67" s="67" t="s">
        <v>137</v>
      </c>
      <c r="F67" s="103">
        <v>2250000</v>
      </c>
      <c r="G67" s="63">
        <f t="shared" si="9"/>
        <v>2176911</v>
      </c>
      <c r="H67" s="291"/>
      <c r="I67" s="287"/>
      <c r="J67" s="282"/>
      <c r="K67" s="254"/>
      <c r="L67" s="241"/>
      <c r="M67" s="239"/>
      <c r="N67" s="238"/>
      <c r="O67" s="230"/>
      <c r="P67" s="228"/>
      <c r="Q67" s="226"/>
      <c r="R67" s="223"/>
      <c r="S67" s="217"/>
      <c r="T67" s="214"/>
      <c r="U67" s="213"/>
      <c r="V67" s="203"/>
      <c r="W67" s="201"/>
      <c r="X67" s="199"/>
      <c r="Y67" s="197"/>
      <c r="Z67" s="194"/>
      <c r="AA67" s="193"/>
      <c r="AB67" s="189"/>
      <c r="AC67" s="182"/>
      <c r="AD67" s="173"/>
      <c r="AE67" s="171"/>
      <c r="AF67" s="157"/>
      <c r="AG67" s="154"/>
      <c r="AH67" s="149"/>
      <c r="AI67" s="146"/>
      <c r="AJ67" s="133"/>
      <c r="AK67" s="125"/>
      <c r="AL67" s="123"/>
      <c r="AM67" s="118"/>
      <c r="AN67" s="116"/>
      <c r="AO67" s="115"/>
      <c r="AP67" s="114"/>
      <c r="AQ67" s="113"/>
      <c r="AR67" s="111"/>
      <c r="AS67" s="110"/>
      <c r="AT67" s="108"/>
      <c r="AU67" s="106">
        <v>2176911</v>
      </c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>
        <v>2176911</v>
      </c>
      <c r="BU67" s="98">
        <f t="shared" si="10"/>
        <v>0</v>
      </c>
    </row>
    <row r="68" spans="2:73" ht="31.5" x14ac:dyDescent="0.25">
      <c r="B68" s="119">
        <v>19</v>
      </c>
      <c r="C68" s="66">
        <v>1104</v>
      </c>
      <c r="D68" s="122" t="s">
        <v>138</v>
      </c>
      <c r="E68" s="67" t="s">
        <v>139</v>
      </c>
      <c r="F68" s="120">
        <v>2842597.8</v>
      </c>
      <c r="G68" s="63">
        <f t="shared" si="9"/>
        <v>2335150.96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148"/>
      <c r="AI68" s="63"/>
      <c r="AJ68" s="63"/>
      <c r="AK68" s="63"/>
      <c r="AL68" s="63"/>
      <c r="AM68" s="118"/>
      <c r="AN68" s="116"/>
      <c r="AO68" s="115"/>
      <c r="AP68" s="114"/>
      <c r="AQ68" s="113"/>
      <c r="AR68" s="111"/>
      <c r="AS68" s="110"/>
      <c r="AT68" s="108"/>
      <c r="AU68" s="120">
        <v>2335150.96</v>
      </c>
      <c r="AV68" s="120"/>
      <c r="AW68" s="120"/>
      <c r="AX68" s="120"/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BL68" s="120"/>
      <c r="BM68" s="120"/>
      <c r="BN68" s="120"/>
      <c r="BO68" s="120"/>
      <c r="BP68" s="120"/>
      <c r="BQ68" s="120"/>
      <c r="BR68" s="120"/>
      <c r="BS68" s="120"/>
      <c r="BT68" s="120">
        <v>2335150.96</v>
      </c>
      <c r="BU68" s="105">
        <f t="shared" si="10"/>
        <v>0</v>
      </c>
    </row>
    <row r="69" spans="2:73" ht="31.5" x14ac:dyDescent="0.25">
      <c r="B69" s="128">
        <v>59</v>
      </c>
      <c r="C69" s="129">
        <v>101234</v>
      </c>
      <c r="D69" s="130" t="s">
        <v>113</v>
      </c>
      <c r="E69" s="131" t="s">
        <v>149</v>
      </c>
      <c r="F69" s="132">
        <v>5288099.4000000004</v>
      </c>
      <c r="G69" s="63">
        <f t="shared" si="9"/>
        <v>5233649.1199999992</v>
      </c>
      <c r="H69" s="291"/>
      <c r="I69" s="287"/>
      <c r="J69" s="282"/>
      <c r="K69" s="254"/>
      <c r="L69" s="241"/>
      <c r="M69" s="239"/>
      <c r="N69" s="238"/>
      <c r="O69" s="230"/>
      <c r="P69" s="228"/>
      <c r="Q69" s="226"/>
      <c r="R69" s="223"/>
      <c r="S69" s="217"/>
      <c r="T69" s="214"/>
      <c r="U69" s="213"/>
      <c r="V69" s="203"/>
      <c r="W69" s="201"/>
      <c r="X69" s="199"/>
      <c r="Y69" s="197"/>
      <c r="Z69" s="194"/>
      <c r="AA69" s="193"/>
      <c r="AB69" s="189"/>
      <c r="AC69" s="182"/>
      <c r="AD69" s="173"/>
      <c r="AE69" s="171"/>
      <c r="AF69" s="157"/>
      <c r="AG69" s="154">
        <f>1797939+1135444.76</f>
        <v>2933383.76</v>
      </c>
      <c r="AH69" s="149"/>
      <c r="AI69" s="146"/>
      <c r="AJ69" s="133"/>
      <c r="AK69" s="125"/>
      <c r="AL69" s="127"/>
      <c r="AM69" s="132">
        <v>2300265.36</v>
      </c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/>
      <c r="BR69" s="132"/>
      <c r="BS69" s="132"/>
      <c r="BT69" s="132">
        <v>5233649.12</v>
      </c>
      <c r="BU69" s="121">
        <f t="shared" si="10"/>
        <v>0</v>
      </c>
    </row>
    <row r="70" spans="2:73" ht="31.5" x14ac:dyDescent="0.25">
      <c r="B70" s="134">
        <v>52</v>
      </c>
      <c r="C70" s="66">
        <v>101120</v>
      </c>
      <c r="D70" s="137" t="s">
        <v>113</v>
      </c>
      <c r="E70" s="67" t="s">
        <v>152</v>
      </c>
      <c r="F70" s="135">
        <v>4643348.5</v>
      </c>
      <c r="G70" s="63">
        <f t="shared" si="9"/>
        <v>4403185.8499999996</v>
      </c>
      <c r="H70" s="291"/>
      <c r="I70" s="287"/>
      <c r="J70" s="282"/>
      <c r="K70" s="254"/>
      <c r="L70" s="241"/>
      <c r="M70" s="239"/>
      <c r="N70" s="238"/>
      <c r="O70" s="230"/>
      <c r="P70" s="228"/>
      <c r="Q70" s="226"/>
      <c r="R70" s="223"/>
      <c r="S70" s="217"/>
      <c r="T70" s="214"/>
      <c r="U70" s="213"/>
      <c r="V70" s="203"/>
      <c r="W70" s="201"/>
      <c r="X70" s="199"/>
      <c r="Y70" s="198">
        <v>621635.9</v>
      </c>
      <c r="Z70" s="194"/>
      <c r="AA70" s="193">
        <v>1433011.4</v>
      </c>
      <c r="AB70" s="189"/>
      <c r="AC70" s="182">
        <v>223299.79</v>
      </c>
      <c r="AD70" s="173">
        <v>10890</v>
      </c>
      <c r="AE70" s="171"/>
      <c r="AF70" s="157">
        <v>1464519.3</v>
      </c>
      <c r="AG70" s="154">
        <v>384514.52</v>
      </c>
      <c r="AH70" s="149"/>
      <c r="AI70" s="146">
        <v>19239</v>
      </c>
      <c r="AJ70" s="138">
        <v>227199.94</v>
      </c>
      <c r="AK70" s="135">
        <v>18876</v>
      </c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>
        <f>900299.45+1687819.07+1815067.33</f>
        <v>4403185.8499999996</v>
      </c>
      <c r="BU70" s="126">
        <f t="shared" si="10"/>
        <v>0</v>
      </c>
    </row>
    <row r="71" spans="2:73" ht="31.5" x14ac:dyDescent="0.25">
      <c r="B71" s="134">
        <v>52</v>
      </c>
      <c r="C71" s="66">
        <v>101225</v>
      </c>
      <c r="D71" s="137" t="s">
        <v>113</v>
      </c>
      <c r="E71" s="67" t="s">
        <v>157</v>
      </c>
      <c r="F71" s="135">
        <v>4236570.5</v>
      </c>
      <c r="G71" s="63">
        <f t="shared" si="9"/>
        <v>4064303.0700000003</v>
      </c>
      <c r="H71" s="291"/>
      <c r="I71" s="287"/>
      <c r="J71" s="282"/>
      <c r="K71" s="254"/>
      <c r="L71" s="241"/>
      <c r="M71" s="239"/>
      <c r="N71" s="238"/>
      <c r="O71" s="230"/>
      <c r="P71" s="228"/>
      <c r="Q71" s="226"/>
      <c r="R71" s="223"/>
      <c r="S71" s="217"/>
      <c r="T71" s="214"/>
      <c r="U71" s="213"/>
      <c r="V71" s="203"/>
      <c r="W71" s="201"/>
      <c r="X71" s="199"/>
      <c r="Y71" s="198"/>
      <c r="Z71" s="194"/>
      <c r="AA71" s="193"/>
      <c r="AB71" s="189">
        <v>40930.879999999997</v>
      </c>
      <c r="AC71" s="182">
        <v>17196.63</v>
      </c>
      <c r="AD71" s="173"/>
      <c r="AE71" s="171"/>
      <c r="AF71" s="157">
        <v>1933666.78</v>
      </c>
      <c r="AG71" s="154"/>
      <c r="AH71" s="149"/>
      <c r="AI71" s="146">
        <v>1301509.56</v>
      </c>
      <c r="AJ71" s="138">
        <v>770999.22</v>
      </c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  <c r="BS71" s="135"/>
      <c r="BT71" s="135">
        <f>2179923.09+1884379.98</f>
        <v>4064303.07</v>
      </c>
      <c r="BU71" s="136">
        <f t="shared" si="10"/>
        <v>0</v>
      </c>
    </row>
    <row r="72" spans="2:73" ht="15.75" x14ac:dyDescent="0.25">
      <c r="B72" s="142">
        <v>50</v>
      </c>
      <c r="C72" s="66">
        <v>100919</v>
      </c>
      <c r="D72" s="139" t="s">
        <v>113</v>
      </c>
      <c r="E72" s="67" t="s">
        <v>154</v>
      </c>
      <c r="F72" s="141">
        <v>196323970.13999999</v>
      </c>
      <c r="G72" s="63">
        <f t="shared" si="9"/>
        <v>187374214.99000001</v>
      </c>
      <c r="H72" s="291"/>
      <c r="I72" s="287"/>
      <c r="J72" s="282"/>
      <c r="K72" s="254"/>
      <c r="L72" s="241"/>
      <c r="M72" s="239"/>
      <c r="N72" s="238"/>
      <c r="O72" s="230"/>
      <c r="P72" s="228">
        <f>7309538.21+3519270.41+228562.77</f>
        <v>11057371.390000001</v>
      </c>
      <c r="Q72" s="226"/>
      <c r="R72" s="223"/>
      <c r="S72" s="217"/>
      <c r="T72" s="214"/>
      <c r="U72" s="213"/>
      <c r="V72" s="203">
        <v>3360098.23</v>
      </c>
      <c r="W72" s="201"/>
      <c r="X72" s="199">
        <f>15333.12+176418+73507.5</f>
        <v>265258.62</v>
      </c>
      <c r="Y72" s="198">
        <v>14929221.720000001</v>
      </c>
      <c r="Z72" s="195">
        <f>60840+15333.12</f>
        <v>76173.119999999995</v>
      </c>
      <c r="AA72" s="193">
        <f>17249.76+73507.5+35498182.79</f>
        <v>35588940.049999997</v>
      </c>
      <c r="AB72" s="189"/>
      <c r="AC72" s="182">
        <f>73507.5+15942.96+39975189.29+17249.76</f>
        <v>40081889.509999998</v>
      </c>
      <c r="AD72" s="173"/>
      <c r="AE72" s="171">
        <f>73507.5+17249.76+26315683.85</f>
        <v>26406441.110000003</v>
      </c>
      <c r="AF72" s="157">
        <f>73507.5+15333.12+20771344.04</f>
        <v>20860184.66</v>
      </c>
      <c r="AG72" s="154">
        <v>20355811.93</v>
      </c>
      <c r="AH72" s="152">
        <f>17249.76+73507.5</f>
        <v>90757.26</v>
      </c>
      <c r="AI72" s="146"/>
      <c r="AJ72" s="141">
        <f>19471.32+73507.5+14209088.57</f>
        <v>14302067.390000001</v>
      </c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>
        <f>89556815.06+97817399.93</f>
        <v>187374214.99000001</v>
      </c>
      <c r="BU72" s="136">
        <f t="shared" si="10"/>
        <v>0</v>
      </c>
    </row>
    <row r="73" spans="2:73" ht="47.25" x14ac:dyDescent="0.25">
      <c r="B73" s="145">
        <v>52</v>
      </c>
      <c r="C73" s="66">
        <v>101218</v>
      </c>
      <c r="D73" s="143" t="s">
        <v>113</v>
      </c>
      <c r="E73" s="67" t="s">
        <v>158</v>
      </c>
      <c r="F73" s="144">
        <v>4381622.5</v>
      </c>
      <c r="G73" s="63">
        <f t="shared" si="9"/>
        <v>4193113</v>
      </c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>
        <v>662278.19999999995</v>
      </c>
      <c r="Y73" s="63">
        <f>60965.87+1152.63</f>
        <v>62118.5</v>
      </c>
      <c r="Z73" s="63">
        <v>20747.45</v>
      </c>
      <c r="AA73" s="193">
        <v>943936.2</v>
      </c>
      <c r="AB73" s="189"/>
      <c r="AC73" s="182"/>
      <c r="AD73" s="173">
        <v>768338.42</v>
      </c>
      <c r="AE73" s="171"/>
      <c r="AF73" s="157">
        <f>15272.56+382021.68</f>
        <v>397294.24</v>
      </c>
      <c r="AG73" s="153"/>
      <c r="AH73" s="147"/>
      <c r="AI73" s="146">
        <v>1338399.99</v>
      </c>
      <c r="AJ73" s="144"/>
      <c r="AK73" s="144"/>
      <c r="AL73" s="144"/>
      <c r="AM73" s="144"/>
      <c r="AN73" s="144"/>
      <c r="AO73" s="144"/>
      <c r="AP73" s="144"/>
      <c r="AQ73" s="144"/>
      <c r="AR73" s="144"/>
      <c r="AS73" s="144"/>
      <c r="AT73" s="144"/>
      <c r="AU73" s="144"/>
      <c r="AV73" s="144"/>
      <c r="AW73" s="144"/>
      <c r="AX73" s="144"/>
      <c r="AY73" s="144"/>
      <c r="AZ73" s="144"/>
      <c r="BA73" s="144"/>
      <c r="BB73" s="144"/>
      <c r="BC73" s="144"/>
      <c r="BD73" s="144"/>
      <c r="BE73" s="144"/>
      <c r="BF73" s="144"/>
      <c r="BG73" s="144"/>
      <c r="BH73" s="144"/>
      <c r="BI73" s="144"/>
      <c r="BJ73" s="144"/>
      <c r="BK73" s="144"/>
      <c r="BL73" s="144"/>
      <c r="BM73" s="144"/>
      <c r="BN73" s="144"/>
      <c r="BO73" s="144"/>
      <c r="BP73" s="144"/>
      <c r="BQ73" s="144"/>
      <c r="BR73" s="144"/>
      <c r="BS73" s="144"/>
      <c r="BT73" s="144">
        <f>169227.93+2431974.98+929631.89+662278.2</f>
        <v>4193113</v>
      </c>
      <c r="BU73" s="140">
        <f t="shared" si="10"/>
        <v>0</v>
      </c>
    </row>
    <row r="74" spans="2:73" ht="47.25" x14ac:dyDescent="0.25">
      <c r="B74" s="128">
        <v>52</v>
      </c>
      <c r="C74" s="129">
        <v>101318</v>
      </c>
      <c r="D74" s="130" t="s">
        <v>113</v>
      </c>
      <c r="E74" s="131" t="s">
        <v>161</v>
      </c>
      <c r="F74" s="132">
        <v>1052156.7</v>
      </c>
      <c r="G74" s="63">
        <f t="shared" si="9"/>
        <v>1009580.9299999999</v>
      </c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>
        <f>13207.78+249.71</f>
        <v>13457.49</v>
      </c>
      <c r="Z74" s="63">
        <v>4494.7700000000004</v>
      </c>
      <c r="AA74" s="192"/>
      <c r="AB74" s="190"/>
      <c r="AC74" s="183"/>
      <c r="AD74" s="174"/>
      <c r="AE74" s="172"/>
      <c r="AF74" s="132">
        <f>3308.47+988320.2</f>
        <v>991628.66999999993</v>
      </c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  <c r="BR74" s="132"/>
      <c r="BS74" s="132"/>
      <c r="BT74" s="132">
        <v>1009580.93</v>
      </c>
      <c r="BU74" s="155">
        <f t="shared" si="10"/>
        <v>0</v>
      </c>
    </row>
    <row r="75" spans="2:73" ht="47.25" x14ac:dyDescent="0.25">
      <c r="B75" s="159">
        <v>52</v>
      </c>
      <c r="C75" s="66">
        <v>101056</v>
      </c>
      <c r="D75" s="162" t="s">
        <v>113</v>
      </c>
      <c r="E75" s="67" t="s">
        <v>162</v>
      </c>
      <c r="F75" s="160">
        <v>2728850</v>
      </c>
      <c r="G75" s="63">
        <f t="shared" si="9"/>
        <v>2588166.9299999997</v>
      </c>
      <c r="H75" s="291"/>
      <c r="I75" s="287"/>
      <c r="J75" s="282"/>
      <c r="K75" s="254"/>
      <c r="L75" s="241"/>
      <c r="M75" s="239"/>
      <c r="N75" s="238"/>
      <c r="O75" s="230"/>
      <c r="P75" s="228"/>
      <c r="Q75" s="226"/>
      <c r="R75" s="223"/>
      <c r="S75" s="217"/>
      <c r="T75" s="214"/>
      <c r="U75" s="213"/>
      <c r="V75" s="203"/>
      <c r="W75" s="201"/>
      <c r="X75" s="199"/>
      <c r="Y75" s="198"/>
      <c r="Z75" s="195"/>
      <c r="AA75" s="191"/>
      <c r="AB75" s="189"/>
      <c r="AC75" s="182">
        <f>1108002.94+23726.11+6709.45+7053.88</f>
        <v>1145492.3799999999</v>
      </c>
      <c r="AD75" s="173"/>
      <c r="AE75" s="171">
        <v>794637.15</v>
      </c>
      <c r="AF75" s="160">
        <v>648037.4</v>
      </c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0"/>
      <c r="BQ75" s="160"/>
      <c r="BR75" s="160"/>
      <c r="BS75" s="160"/>
      <c r="BT75" s="160">
        <v>2588166.9300000002</v>
      </c>
      <c r="BU75" s="161">
        <f>G75-BT75</f>
        <v>0</v>
      </c>
    </row>
    <row r="76" spans="2:73" ht="15.75" x14ac:dyDescent="0.25">
      <c r="B76" s="314">
        <v>52</v>
      </c>
      <c r="C76" s="66">
        <v>101178</v>
      </c>
      <c r="D76" s="319" t="s">
        <v>113</v>
      </c>
      <c r="E76" s="312" t="s">
        <v>156</v>
      </c>
      <c r="F76" s="316">
        <v>60720487.200000003</v>
      </c>
      <c r="G76" s="316">
        <f>SUM(H76:BS79)</f>
        <v>22024332.54000001</v>
      </c>
      <c r="H76" s="63"/>
      <c r="I76" s="63"/>
      <c r="J76" s="63"/>
      <c r="K76" s="63">
        <v>231675.19</v>
      </c>
      <c r="L76" s="63"/>
      <c r="M76" s="63"/>
      <c r="N76" s="63">
        <v>84092.99</v>
      </c>
      <c r="O76" s="63"/>
      <c r="P76" s="63">
        <f>14157+328290.97</f>
        <v>342447.97</v>
      </c>
      <c r="Q76" s="63"/>
      <c r="R76" s="63">
        <v>9256.5</v>
      </c>
      <c r="S76" s="63"/>
      <c r="T76" s="63"/>
      <c r="U76" s="63">
        <f>14157+701836.7</f>
        <v>715993.7</v>
      </c>
      <c r="V76" s="63">
        <f>14157+372755.8</f>
        <v>386912.8</v>
      </c>
      <c r="W76" s="63">
        <v>14206</v>
      </c>
      <c r="X76" s="63">
        <f>465937.95+39762.01+14206</f>
        <v>519905.96</v>
      </c>
      <c r="Y76" s="63">
        <v>634338.31000000006</v>
      </c>
      <c r="Z76" s="63">
        <v>14206</v>
      </c>
      <c r="AA76" s="63"/>
      <c r="AB76" s="63">
        <f>261418.64+11740.5</f>
        <v>273159.14</v>
      </c>
      <c r="AC76" s="63">
        <f>258305.55+11740.5</f>
        <v>270046.05</v>
      </c>
      <c r="AD76" s="63"/>
      <c r="AE76" s="63">
        <v>54854.77</v>
      </c>
      <c r="AF76" s="160">
        <v>176097.7</v>
      </c>
      <c r="AG76" s="160"/>
      <c r="AH76" s="160"/>
      <c r="AI76" s="156">
        <v>4275</v>
      </c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  <c r="BP76" s="160"/>
      <c r="BQ76" s="160"/>
      <c r="BR76" s="160"/>
      <c r="BS76" s="160"/>
      <c r="BT76" s="316">
        <f>12609363.4+9414969.14</f>
        <v>22024332.539999999</v>
      </c>
      <c r="BU76" s="335">
        <f t="shared" si="10"/>
        <v>0</v>
      </c>
    </row>
    <row r="77" spans="2:73" ht="15.75" x14ac:dyDescent="0.25">
      <c r="B77" s="318"/>
      <c r="C77" s="61">
        <v>101338</v>
      </c>
      <c r="D77" s="320"/>
      <c r="E77" s="321"/>
      <c r="F77" s="322"/>
      <c r="G77" s="322"/>
      <c r="H77" s="63"/>
      <c r="I77" s="63"/>
      <c r="J77" s="63"/>
      <c r="K77" s="63"/>
      <c r="L77" s="63"/>
      <c r="M77" s="63"/>
      <c r="N77" s="63">
        <f>412134.05+14157</f>
        <v>426291.05</v>
      </c>
      <c r="O77" s="63"/>
      <c r="P77" s="63">
        <f>14157+890180.16</f>
        <v>904337.16</v>
      </c>
      <c r="Q77" s="63"/>
      <c r="R77" s="63">
        <v>9256.5</v>
      </c>
      <c r="S77" s="63"/>
      <c r="T77" s="63"/>
      <c r="U77" s="63">
        <f>14157+582519.15</f>
        <v>596676.15</v>
      </c>
      <c r="V77" s="63">
        <f>14157+1055744.75</f>
        <v>1069901.75</v>
      </c>
      <c r="W77" s="63">
        <v>14206</v>
      </c>
      <c r="X77" s="63">
        <f>268549.74+31070.7+14206</f>
        <v>313826.44</v>
      </c>
      <c r="Y77" s="63">
        <v>1492846.48</v>
      </c>
      <c r="Z77" s="63">
        <v>14206</v>
      </c>
      <c r="AA77" s="63"/>
      <c r="AB77" s="63">
        <f>169890.96+11740.5</f>
        <v>181631.46</v>
      </c>
      <c r="AC77" s="63">
        <f>21336.04+11740.5</f>
        <v>33076.54</v>
      </c>
      <c r="AD77" s="63"/>
      <c r="AE77" s="63">
        <v>158745.67000000001</v>
      </c>
      <c r="AF77" s="63">
        <v>417284.3</v>
      </c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322"/>
      <c r="BU77" s="336"/>
    </row>
    <row r="78" spans="2:73" ht="15.75" x14ac:dyDescent="0.25">
      <c r="B78" s="318"/>
      <c r="C78" s="61">
        <v>101339</v>
      </c>
      <c r="D78" s="320"/>
      <c r="E78" s="321"/>
      <c r="F78" s="322"/>
      <c r="G78" s="322"/>
      <c r="H78" s="63"/>
      <c r="I78" s="63"/>
      <c r="J78" s="63"/>
      <c r="K78" s="63"/>
      <c r="L78" s="63"/>
      <c r="M78" s="63">
        <v>641954.24</v>
      </c>
      <c r="N78" s="63">
        <v>582904.4</v>
      </c>
      <c r="O78" s="63"/>
      <c r="P78" s="63">
        <v>11948.98</v>
      </c>
      <c r="Q78" s="63"/>
      <c r="R78" s="63">
        <v>14157</v>
      </c>
      <c r="S78" s="63">
        <v>316138.90000000002</v>
      </c>
      <c r="T78" s="63"/>
      <c r="U78" s="63">
        <f>14157+423990.28</f>
        <v>438147.28</v>
      </c>
      <c r="V78" s="63">
        <f>14157+655825.86</f>
        <v>669982.86</v>
      </c>
      <c r="W78" s="63">
        <f>14206+252823.93</f>
        <v>267029.93</v>
      </c>
      <c r="X78" s="63">
        <f>429985.96+14206</f>
        <v>444191.96</v>
      </c>
      <c r="Y78" s="63"/>
      <c r="Z78" s="63">
        <f>1228558.87+14206</f>
        <v>1242764.8700000001</v>
      </c>
      <c r="AA78" s="63"/>
      <c r="AB78" s="63">
        <v>11740.5</v>
      </c>
      <c r="AC78" s="63">
        <f>843501.45+11740.5+602097.44</f>
        <v>1457339.39</v>
      </c>
      <c r="AD78" s="63"/>
      <c r="AE78" s="63">
        <v>306816.17</v>
      </c>
      <c r="AF78" s="63">
        <v>454294.7</v>
      </c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322"/>
      <c r="BU78" s="336"/>
    </row>
    <row r="79" spans="2:73" ht="15.75" x14ac:dyDescent="0.25">
      <c r="B79" s="318"/>
      <c r="C79" s="66">
        <v>101340</v>
      </c>
      <c r="D79" s="320"/>
      <c r="E79" s="321"/>
      <c r="F79" s="322"/>
      <c r="G79" s="322"/>
      <c r="H79" s="63"/>
      <c r="I79" s="63"/>
      <c r="J79" s="63"/>
      <c r="K79" s="63"/>
      <c r="L79" s="63"/>
      <c r="M79" s="63"/>
      <c r="N79" s="63">
        <v>361022.38</v>
      </c>
      <c r="O79" s="63"/>
      <c r="P79" s="63">
        <v>11948.98</v>
      </c>
      <c r="Q79" s="63"/>
      <c r="R79" s="63">
        <v>14157</v>
      </c>
      <c r="S79" s="63">
        <v>801173.66</v>
      </c>
      <c r="T79" s="63"/>
      <c r="U79" s="63">
        <f>14157+251974.65</f>
        <v>266131.65000000002</v>
      </c>
      <c r="V79" s="63">
        <f>14157+494303.05</f>
        <v>508460.05</v>
      </c>
      <c r="W79" s="63">
        <f>14206+713567.78</f>
        <v>727773.78</v>
      </c>
      <c r="X79" s="63">
        <f>420660.77+14206</f>
        <v>434866.77</v>
      </c>
      <c r="Y79" s="63"/>
      <c r="Z79" s="63">
        <f>523927.78+14206</f>
        <v>538133.78</v>
      </c>
      <c r="AA79" s="63"/>
      <c r="AB79" s="63">
        <v>11740.5</v>
      </c>
      <c r="AC79" s="63">
        <f>565684.62+11740.5+741083.14</f>
        <v>1318508.26</v>
      </c>
      <c r="AD79" s="63"/>
      <c r="AE79" s="63">
        <v>680648.55</v>
      </c>
      <c r="AF79" s="165">
        <v>126602.42</v>
      </c>
      <c r="AG79" s="165"/>
      <c r="AH79" s="165"/>
      <c r="AI79" s="165"/>
      <c r="AJ79" s="165"/>
      <c r="AK79" s="165"/>
      <c r="AL79" s="165"/>
      <c r="AM79" s="165"/>
      <c r="AN79" s="165"/>
      <c r="AO79" s="165"/>
      <c r="AP79" s="165"/>
      <c r="AQ79" s="165"/>
      <c r="AR79" s="165"/>
      <c r="AS79" s="165"/>
      <c r="AT79" s="165"/>
      <c r="AU79" s="165"/>
      <c r="AV79" s="165"/>
      <c r="AW79" s="165"/>
      <c r="AX79" s="165"/>
      <c r="AY79" s="165"/>
      <c r="AZ79" s="165"/>
      <c r="BA79" s="165"/>
      <c r="BB79" s="165"/>
      <c r="BC79" s="165"/>
      <c r="BD79" s="165"/>
      <c r="BE79" s="165"/>
      <c r="BF79" s="165"/>
      <c r="BG79" s="165"/>
      <c r="BH79" s="165"/>
      <c r="BI79" s="165"/>
      <c r="BJ79" s="165"/>
      <c r="BK79" s="165"/>
      <c r="BL79" s="165"/>
      <c r="BM79" s="165"/>
      <c r="BN79" s="165"/>
      <c r="BO79" s="165"/>
      <c r="BP79" s="165"/>
      <c r="BQ79" s="165"/>
      <c r="BR79" s="165"/>
      <c r="BS79" s="165"/>
      <c r="BT79" s="323"/>
      <c r="BU79" s="336"/>
    </row>
    <row r="80" spans="2:73" ht="47.25" x14ac:dyDescent="0.25">
      <c r="B80" s="170">
        <v>52</v>
      </c>
      <c r="C80" s="66">
        <v>101319</v>
      </c>
      <c r="D80" s="166" t="s">
        <v>113</v>
      </c>
      <c r="E80" s="169" t="s">
        <v>166</v>
      </c>
      <c r="F80" s="168">
        <v>945361.98</v>
      </c>
      <c r="G80" s="168">
        <f>SUM(H80:BS80)</f>
        <v>926003.23</v>
      </c>
      <c r="H80" s="291"/>
      <c r="I80" s="287"/>
      <c r="J80" s="282"/>
      <c r="K80" s="263"/>
      <c r="L80" s="241"/>
      <c r="M80" s="246"/>
      <c r="N80" s="238"/>
      <c r="O80" s="230"/>
      <c r="P80" s="228"/>
      <c r="Q80" s="226"/>
      <c r="R80" s="224"/>
      <c r="S80" s="221"/>
      <c r="T80" s="214"/>
      <c r="U80" s="213"/>
      <c r="V80" s="203"/>
      <c r="W80" s="202"/>
      <c r="X80" s="199"/>
      <c r="Y80" s="197"/>
      <c r="Z80" s="194"/>
      <c r="AA80" s="191"/>
      <c r="AB80" s="189">
        <v>7376.77</v>
      </c>
      <c r="AC80" s="182">
        <v>2506.56</v>
      </c>
      <c r="AD80" s="173"/>
      <c r="AE80" s="171">
        <f>911552.6</f>
        <v>911552.6</v>
      </c>
      <c r="AF80" s="168">
        <v>4567.3</v>
      </c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68"/>
      <c r="AT80" s="168"/>
      <c r="AU80" s="168"/>
      <c r="AV80" s="168"/>
      <c r="AW80" s="168"/>
      <c r="AX80" s="168"/>
      <c r="AY80" s="168"/>
      <c r="AZ80" s="168"/>
      <c r="BA80" s="168"/>
      <c r="BB80" s="168"/>
      <c r="BC80" s="168"/>
      <c r="BD80" s="168"/>
      <c r="BE80" s="168"/>
      <c r="BF80" s="168"/>
      <c r="BG80" s="168"/>
      <c r="BH80" s="168"/>
      <c r="BI80" s="168"/>
      <c r="BJ80" s="168"/>
      <c r="BK80" s="168"/>
      <c r="BL80" s="168"/>
      <c r="BM80" s="168"/>
      <c r="BN80" s="168"/>
      <c r="BO80" s="168"/>
      <c r="BP80" s="168"/>
      <c r="BQ80" s="168"/>
      <c r="BR80" s="168"/>
      <c r="BS80" s="168"/>
      <c r="BT80" s="200">
        <v>926003.23</v>
      </c>
      <c r="BU80" s="167">
        <f t="shared" ref="BU80:BU88" si="11">G80-BT80</f>
        <v>0</v>
      </c>
    </row>
    <row r="81" spans="2:75" ht="47.25" x14ac:dyDescent="0.25">
      <c r="B81" s="179">
        <v>52</v>
      </c>
      <c r="C81" s="66">
        <v>101254</v>
      </c>
      <c r="D81" s="175" t="s">
        <v>113</v>
      </c>
      <c r="E81" s="178" t="s">
        <v>165</v>
      </c>
      <c r="F81" s="177">
        <v>1248879.8</v>
      </c>
      <c r="G81" s="291">
        <f t="shared" ref="G81:G92" si="12">SUM(H81:BS81)</f>
        <v>1166296.97</v>
      </c>
      <c r="H81" s="291"/>
      <c r="I81" s="287"/>
      <c r="J81" s="282"/>
      <c r="K81" s="263"/>
      <c r="L81" s="241"/>
      <c r="M81" s="246"/>
      <c r="N81" s="238"/>
      <c r="O81" s="230"/>
      <c r="P81" s="228"/>
      <c r="Q81" s="226"/>
      <c r="R81" s="224"/>
      <c r="S81" s="221"/>
      <c r="T81" s="214"/>
      <c r="U81" s="213"/>
      <c r="V81" s="203"/>
      <c r="W81" s="202"/>
      <c r="X81" s="199"/>
      <c r="Y81" s="63"/>
      <c r="Z81" s="63"/>
      <c r="AA81" s="63"/>
      <c r="AB81" s="189">
        <v>79464.97</v>
      </c>
      <c r="AC81" s="182">
        <v>1012486.29</v>
      </c>
      <c r="AD81" s="177"/>
      <c r="AE81" s="177">
        <v>74345.710000000006</v>
      </c>
      <c r="AF81" s="177"/>
      <c r="AG81" s="177"/>
      <c r="AH81" s="177"/>
      <c r="AI81" s="177"/>
      <c r="AJ81" s="177"/>
      <c r="AK81" s="177"/>
      <c r="AL81" s="177"/>
      <c r="AM81" s="177"/>
      <c r="AN81" s="177"/>
      <c r="AO81" s="177"/>
      <c r="AP81" s="177"/>
      <c r="AQ81" s="177"/>
      <c r="AR81" s="177"/>
      <c r="AS81" s="177"/>
      <c r="AT81" s="177"/>
      <c r="AU81" s="177"/>
      <c r="AV81" s="177"/>
      <c r="AW81" s="177"/>
      <c r="AX81" s="177"/>
      <c r="AY81" s="177"/>
      <c r="AZ81" s="177"/>
      <c r="BA81" s="177"/>
      <c r="BB81" s="177"/>
      <c r="BC81" s="177"/>
      <c r="BD81" s="177"/>
      <c r="BE81" s="177"/>
      <c r="BF81" s="177"/>
      <c r="BG81" s="177"/>
      <c r="BH81" s="177"/>
      <c r="BI81" s="177"/>
      <c r="BJ81" s="177"/>
      <c r="BK81" s="177"/>
      <c r="BL81" s="177"/>
      <c r="BM81" s="177"/>
      <c r="BN81" s="177"/>
      <c r="BO81" s="177"/>
      <c r="BP81" s="177"/>
      <c r="BQ81" s="177"/>
      <c r="BR81" s="177"/>
      <c r="BS81" s="177"/>
      <c r="BT81" s="200">
        <v>1166296.97</v>
      </c>
      <c r="BU81" s="176">
        <f t="shared" si="11"/>
        <v>0</v>
      </c>
    </row>
    <row r="82" spans="2:75" ht="15.75" x14ac:dyDescent="0.25">
      <c r="B82" s="128">
        <v>50</v>
      </c>
      <c r="C82" s="129">
        <v>100040</v>
      </c>
      <c r="D82" s="130" t="s">
        <v>113</v>
      </c>
      <c r="E82" s="181" t="s">
        <v>168</v>
      </c>
      <c r="F82" s="132">
        <v>269182904.94</v>
      </c>
      <c r="G82" s="291">
        <f t="shared" si="12"/>
        <v>269182904.93999994</v>
      </c>
      <c r="H82" s="291">
        <v>156422474.34</v>
      </c>
      <c r="I82" s="287">
        <v>26269320.539999999</v>
      </c>
      <c r="J82" s="282"/>
      <c r="K82" s="263">
        <f>10405391.73+16700947.1</f>
        <v>27106338.829999998</v>
      </c>
      <c r="L82" s="241"/>
      <c r="M82" s="246"/>
      <c r="N82" s="238">
        <v>10606483.57</v>
      </c>
      <c r="O82" s="230"/>
      <c r="P82" s="228">
        <v>19130830.870000001</v>
      </c>
      <c r="Q82" s="226"/>
      <c r="R82" s="224">
        <v>3616247.38</v>
      </c>
      <c r="S82" s="221"/>
      <c r="T82" s="214"/>
      <c r="U82" s="213">
        <v>159246.35</v>
      </c>
      <c r="V82" s="203"/>
      <c r="W82" s="202">
        <v>4296196.47</v>
      </c>
      <c r="X82" s="199">
        <v>12451315.720000001</v>
      </c>
      <c r="Y82" s="63"/>
      <c r="Z82" s="196">
        <v>1423942.49</v>
      </c>
      <c r="AA82" s="192"/>
      <c r="AB82" s="132">
        <v>3617934.14</v>
      </c>
      <c r="AC82" s="132"/>
      <c r="AD82" s="132">
        <v>4082574.24</v>
      </c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200">
        <f>7700508.37+51684262.85+53375659.38+112187663.2+44234811.14</f>
        <v>269182904.94</v>
      </c>
      <c r="BU82" s="180">
        <f t="shared" si="11"/>
        <v>0</v>
      </c>
      <c r="BV82" s="84"/>
    </row>
    <row r="83" spans="2:75" ht="15.75" x14ac:dyDescent="0.25">
      <c r="B83" s="188">
        <v>50</v>
      </c>
      <c r="C83" s="66">
        <v>100930</v>
      </c>
      <c r="D83" s="184" t="s">
        <v>113</v>
      </c>
      <c r="E83" s="187" t="s">
        <v>170</v>
      </c>
      <c r="F83" s="186">
        <f>5098569.84+(25.75*3333680.36)</f>
        <v>90940839.109999999</v>
      </c>
      <c r="G83" s="291">
        <f t="shared" si="12"/>
        <v>82995769.670000002</v>
      </c>
      <c r="H83" s="291"/>
      <c r="I83" s="287">
        <v>12019700.029999999</v>
      </c>
      <c r="J83" s="282"/>
      <c r="K83" s="263">
        <f>6872506.45</f>
        <v>6872506.4500000002</v>
      </c>
      <c r="L83" s="241"/>
      <c r="M83" s="246">
        <v>6311172.6799999997</v>
      </c>
      <c r="N83" s="238">
        <v>7966669.8300000001</v>
      </c>
      <c r="O83" s="230"/>
      <c r="P83" s="228"/>
      <c r="Q83" s="227">
        <v>5525111.9500000002</v>
      </c>
      <c r="R83" s="224">
        <v>2863051.42</v>
      </c>
      <c r="S83" s="221"/>
      <c r="T83" s="214"/>
      <c r="U83" s="213"/>
      <c r="V83" s="203"/>
      <c r="W83" s="202">
        <v>552678.56000000006</v>
      </c>
      <c r="X83" s="199">
        <v>459086.33</v>
      </c>
      <c r="Y83" s="197"/>
      <c r="Z83" s="195">
        <v>2716403.25</v>
      </c>
      <c r="AA83" s="193">
        <v>7538770.8600000003</v>
      </c>
      <c r="AB83" s="189"/>
      <c r="AC83" s="186">
        <v>30170618.309999999</v>
      </c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  <c r="AS83" s="186"/>
      <c r="AT83" s="186"/>
      <c r="AU83" s="186"/>
      <c r="AV83" s="186"/>
      <c r="AW83" s="186"/>
      <c r="AX83" s="186"/>
      <c r="AY83" s="186"/>
      <c r="AZ83" s="186"/>
      <c r="BA83" s="186"/>
      <c r="BB83" s="186"/>
      <c r="BC83" s="186"/>
      <c r="BD83" s="186"/>
      <c r="BE83" s="186"/>
      <c r="BF83" s="186"/>
      <c r="BG83" s="186"/>
      <c r="BH83" s="186"/>
      <c r="BI83" s="186"/>
      <c r="BJ83" s="186"/>
      <c r="BK83" s="186"/>
      <c r="BL83" s="186"/>
      <c r="BM83" s="186"/>
      <c r="BN83" s="186"/>
      <c r="BO83" s="186"/>
      <c r="BP83" s="186"/>
      <c r="BQ83" s="186"/>
      <c r="BR83" s="186"/>
      <c r="BS83" s="186"/>
      <c r="BT83" s="294">
        <f>39672367.97+11195413.56+7242075.16+23256.04+439281.54+436866.26+117243.9+23869265.24</f>
        <v>82995769.669999987</v>
      </c>
      <c r="BU83" s="185">
        <f t="shared" si="11"/>
        <v>0</v>
      </c>
    </row>
    <row r="84" spans="2:75" ht="15.75" x14ac:dyDescent="0.25">
      <c r="B84" s="205">
        <v>50</v>
      </c>
      <c r="C84" s="66">
        <v>100956</v>
      </c>
      <c r="D84" s="207" t="s">
        <v>113</v>
      </c>
      <c r="E84" s="204" t="s">
        <v>172</v>
      </c>
      <c r="F84" s="206">
        <v>100681380</v>
      </c>
      <c r="G84" s="291">
        <f t="shared" si="12"/>
        <v>100576205.10000001</v>
      </c>
      <c r="H84" s="291">
        <v>64518992.140000001</v>
      </c>
      <c r="I84" s="287"/>
      <c r="J84" s="282">
        <v>6274465.5099999998</v>
      </c>
      <c r="K84" s="263">
        <v>6456317.6399999997</v>
      </c>
      <c r="L84" s="241"/>
      <c r="M84" s="246">
        <v>2908084.99</v>
      </c>
      <c r="N84" s="238"/>
      <c r="O84" s="231">
        <v>1965215.35</v>
      </c>
      <c r="P84" s="228"/>
      <c r="Q84" s="227">
        <v>3034917.45</v>
      </c>
      <c r="R84" s="224"/>
      <c r="S84" s="221"/>
      <c r="T84" s="214"/>
      <c r="U84" s="213"/>
      <c r="V84" s="206"/>
      <c r="W84" s="206">
        <v>511957.29</v>
      </c>
      <c r="X84" s="206">
        <v>6535671.9500000002</v>
      </c>
      <c r="Y84" s="206"/>
      <c r="Z84" s="206">
        <v>7084552.4100000001</v>
      </c>
      <c r="AA84" s="206"/>
      <c r="AB84" s="206">
        <v>1286030.3700000001</v>
      </c>
      <c r="AC84" s="206"/>
      <c r="AD84" s="206"/>
      <c r="AE84" s="206"/>
      <c r="AF84" s="206"/>
      <c r="AG84" s="206"/>
      <c r="AH84" s="206"/>
      <c r="AI84" s="206"/>
      <c r="AJ84" s="206"/>
      <c r="AK84" s="206"/>
      <c r="AL84" s="206"/>
      <c r="AM84" s="206"/>
      <c r="AN84" s="206"/>
      <c r="AO84" s="206"/>
      <c r="AP84" s="206"/>
      <c r="AQ84" s="206"/>
      <c r="AR84" s="206"/>
      <c r="AS84" s="206"/>
      <c r="AT84" s="206"/>
      <c r="AU84" s="206"/>
      <c r="AV84" s="206"/>
      <c r="AW84" s="206"/>
      <c r="AX84" s="206"/>
      <c r="AY84" s="206"/>
      <c r="AZ84" s="206"/>
      <c r="BA84" s="206"/>
      <c r="BB84" s="206"/>
      <c r="BC84" s="206"/>
      <c r="BD84" s="206"/>
      <c r="BE84" s="206"/>
      <c r="BF84" s="206"/>
      <c r="BG84" s="206"/>
      <c r="BH84" s="206"/>
      <c r="BI84" s="206"/>
      <c r="BJ84" s="206"/>
      <c r="BK84" s="206"/>
      <c r="BL84" s="206"/>
      <c r="BM84" s="206"/>
      <c r="BN84" s="206"/>
      <c r="BO84" s="206"/>
      <c r="BP84" s="206"/>
      <c r="BQ84" s="206"/>
      <c r="BR84" s="206"/>
      <c r="BS84" s="206"/>
      <c r="BT84" s="225">
        <f>15418212.01+7908217.79+77249775.3</f>
        <v>100576205.09999999</v>
      </c>
      <c r="BU84" s="208">
        <f t="shared" si="11"/>
        <v>0</v>
      </c>
      <c r="BV84" s="84"/>
    </row>
    <row r="85" spans="2:75" ht="31.5" x14ac:dyDescent="0.25">
      <c r="B85" s="211">
        <v>52</v>
      </c>
      <c r="C85" s="66">
        <v>101352</v>
      </c>
      <c r="D85" s="212" t="s">
        <v>113</v>
      </c>
      <c r="E85" s="210" t="s">
        <v>178</v>
      </c>
      <c r="F85" s="209">
        <v>6777775.9699999997</v>
      </c>
      <c r="G85" s="291">
        <f t="shared" si="12"/>
        <v>6215440.0099999998</v>
      </c>
      <c r="H85" s="291"/>
      <c r="I85" s="63"/>
      <c r="J85" s="282">
        <v>3234331.54</v>
      </c>
      <c r="K85" s="263">
        <f>10800+21285+210924.81</f>
        <v>243009.81</v>
      </c>
      <c r="L85" s="241"/>
      <c r="M85" s="246">
        <f>445978.99+19800+1172325.67</f>
        <v>1638104.66</v>
      </c>
      <c r="N85" s="238"/>
      <c r="O85" s="231">
        <v>21780</v>
      </c>
      <c r="P85" s="228">
        <v>250158.77</v>
      </c>
      <c r="Q85" s="227">
        <f>22275+10800</f>
        <v>33075</v>
      </c>
      <c r="R85" s="224">
        <v>614261.41</v>
      </c>
      <c r="S85" s="221">
        <v>22770</v>
      </c>
      <c r="T85" s="214">
        <v>125773.82</v>
      </c>
      <c r="U85" s="213">
        <v>23265</v>
      </c>
      <c r="V85" s="209">
        <v>8910</v>
      </c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  <c r="AH85" s="209"/>
      <c r="AI85" s="209"/>
      <c r="AJ85" s="209"/>
      <c r="AK85" s="209"/>
      <c r="AL85" s="209"/>
      <c r="AM85" s="209"/>
      <c r="AN85" s="209"/>
      <c r="AO85" s="209"/>
      <c r="AP85" s="209"/>
      <c r="AQ85" s="209"/>
      <c r="AR85" s="209"/>
      <c r="AS85" s="209"/>
      <c r="AT85" s="209"/>
      <c r="AU85" s="209"/>
      <c r="AV85" s="209"/>
      <c r="AW85" s="209"/>
      <c r="AX85" s="209"/>
      <c r="AY85" s="209"/>
      <c r="AZ85" s="209"/>
      <c r="BA85" s="209"/>
      <c r="BB85" s="209"/>
      <c r="BC85" s="209"/>
      <c r="BD85" s="209"/>
      <c r="BE85" s="209"/>
      <c r="BF85" s="209"/>
      <c r="BG85" s="209"/>
      <c r="BH85" s="209"/>
      <c r="BI85" s="209"/>
      <c r="BJ85" s="209"/>
      <c r="BK85" s="209"/>
      <c r="BL85" s="209"/>
      <c r="BM85" s="209"/>
      <c r="BN85" s="209"/>
      <c r="BO85" s="209"/>
      <c r="BP85" s="209"/>
      <c r="BQ85" s="209"/>
      <c r="BR85" s="209"/>
      <c r="BS85" s="209"/>
      <c r="BT85" s="303">
        <f>1809242.88+4406197.13</f>
        <v>6215440.0099999998</v>
      </c>
      <c r="BU85" s="208">
        <f t="shared" si="11"/>
        <v>0</v>
      </c>
      <c r="BV85" s="84"/>
      <c r="BW85" s="84"/>
    </row>
    <row r="86" spans="2:75" ht="31.5" x14ac:dyDescent="0.25">
      <c r="B86" s="216">
        <v>59</v>
      </c>
      <c r="C86" s="66">
        <v>101244</v>
      </c>
      <c r="D86" s="218" t="s">
        <v>113</v>
      </c>
      <c r="E86" s="215" t="s">
        <v>180</v>
      </c>
      <c r="F86" s="217">
        <v>2457590.4</v>
      </c>
      <c r="G86" s="291">
        <f t="shared" si="12"/>
        <v>1499553</v>
      </c>
      <c r="H86" s="291"/>
      <c r="I86" s="63"/>
      <c r="J86" s="282"/>
      <c r="K86" s="263"/>
      <c r="L86" s="241"/>
      <c r="M86" s="246"/>
      <c r="N86" s="238"/>
      <c r="O86" s="231"/>
      <c r="P86" s="228"/>
      <c r="Q86" s="227"/>
      <c r="R86" s="223"/>
      <c r="S86" s="221"/>
      <c r="T86" s="217"/>
      <c r="U86" s="217">
        <v>1499553</v>
      </c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  <c r="AV86" s="217"/>
      <c r="AW86" s="217"/>
      <c r="AX86" s="217"/>
      <c r="AY86" s="217"/>
      <c r="AZ86" s="217"/>
      <c r="BA86" s="217"/>
      <c r="BB86" s="217"/>
      <c r="BC86" s="217"/>
      <c r="BD86" s="217"/>
      <c r="BE86" s="217"/>
      <c r="BF86" s="217"/>
      <c r="BG86" s="217"/>
      <c r="BH86" s="217"/>
      <c r="BI86" s="217"/>
      <c r="BJ86" s="217"/>
      <c r="BK86" s="217"/>
      <c r="BL86" s="217"/>
      <c r="BM86" s="217"/>
      <c r="BN86" s="217"/>
      <c r="BO86" s="217"/>
      <c r="BP86" s="217"/>
      <c r="BQ86" s="217"/>
      <c r="BR86" s="217"/>
      <c r="BS86" s="217"/>
      <c r="BT86" s="232">
        <v>1499553</v>
      </c>
      <c r="BU86" s="219">
        <f t="shared" si="11"/>
        <v>0</v>
      </c>
      <c r="BV86" s="84"/>
    </row>
    <row r="87" spans="2:75" ht="15.75" x14ac:dyDescent="0.25">
      <c r="B87" s="216">
        <v>52</v>
      </c>
      <c r="C87" s="66">
        <v>101353</v>
      </c>
      <c r="D87" s="218" t="s">
        <v>113</v>
      </c>
      <c r="E87" s="215" t="s">
        <v>185</v>
      </c>
      <c r="F87" s="217">
        <v>1631098.44</v>
      </c>
      <c r="G87" s="291">
        <f t="shared" si="12"/>
        <v>1468694.52</v>
      </c>
      <c r="H87" s="291"/>
      <c r="I87" s="63"/>
      <c r="J87" s="282"/>
      <c r="K87" s="263"/>
      <c r="L87" s="241"/>
      <c r="M87" s="246"/>
      <c r="N87" s="238"/>
      <c r="O87" s="231">
        <v>510527.27</v>
      </c>
      <c r="P87" s="228"/>
      <c r="Q87" s="227">
        <v>806833.6</v>
      </c>
      <c r="R87" s="223"/>
      <c r="S87" s="221">
        <v>151333.65</v>
      </c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  <c r="AV87" s="217"/>
      <c r="AW87" s="217"/>
      <c r="AX87" s="217"/>
      <c r="AY87" s="217"/>
      <c r="AZ87" s="217"/>
      <c r="BA87" s="217"/>
      <c r="BB87" s="217"/>
      <c r="BC87" s="217"/>
      <c r="BD87" s="217"/>
      <c r="BE87" s="217"/>
      <c r="BF87" s="217"/>
      <c r="BG87" s="217"/>
      <c r="BH87" s="217"/>
      <c r="BI87" s="217"/>
      <c r="BJ87" s="217"/>
      <c r="BK87" s="217"/>
      <c r="BL87" s="217"/>
      <c r="BM87" s="217"/>
      <c r="BN87" s="217"/>
      <c r="BO87" s="217"/>
      <c r="BP87" s="217"/>
      <c r="BQ87" s="217"/>
      <c r="BR87" s="217"/>
      <c r="BS87" s="217"/>
      <c r="BT87" s="286">
        <v>1468694.52</v>
      </c>
      <c r="BU87" s="220">
        <f t="shared" si="11"/>
        <v>0</v>
      </c>
    </row>
    <row r="88" spans="2:75" ht="31.5" x14ac:dyDescent="0.25">
      <c r="B88" s="234">
        <v>59</v>
      </c>
      <c r="C88" s="66">
        <v>101355</v>
      </c>
      <c r="D88" s="236" t="s">
        <v>113</v>
      </c>
      <c r="E88" s="233" t="s">
        <v>184</v>
      </c>
      <c r="F88" s="235">
        <v>4768701.71</v>
      </c>
      <c r="G88" s="291">
        <f t="shared" si="12"/>
        <v>1869552.5399999998</v>
      </c>
      <c r="H88" s="291"/>
      <c r="I88" s="63">
        <v>194363.59</v>
      </c>
      <c r="J88" s="282">
        <f>224996.63+9147.6+14048.1</f>
        <v>248192.33000000002</v>
      </c>
      <c r="K88" s="263">
        <f>11434.5+12855.6</f>
        <v>24290.1</v>
      </c>
      <c r="L88" s="241"/>
      <c r="M88" s="246">
        <f>13086+860833.59</f>
        <v>873919.59</v>
      </c>
      <c r="N88" s="238">
        <v>71756.490000000005</v>
      </c>
      <c r="O88" s="231">
        <f>13050+9882.9</f>
        <v>22932.9</v>
      </c>
      <c r="P88" s="228">
        <f>5880.6+301348.44</f>
        <v>307229.03999999998</v>
      </c>
      <c r="Q88" s="226"/>
      <c r="R88" s="223"/>
      <c r="S88" s="235">
        <v>126868.5</v>
      </c>
      <c r="T88" s="235"/>
      <c r="U88" s="235"/>
      <c r="V88" s="235"/>
      <c r="W88" s="235"/>
      <c r="X88" s="235"/>
      <c r="Y88" s="235"/>
      <c r="Z88" s="235"/>
      <c r="AA88" s="235"/>
      <c r="AB88" s="235"/>
      <c r="AC88" s="235"/>
      <c r="AD88" s="235"/>
      <c r="AE88" s="235"/>
      <c r="AF88" s="235"/>
      <c r="AG88" s="235"/>
      <c r="AH88" s="235"/>
      <c r="AI88" s="235"/>
      <c r="AJ88" s="235"/>
      <c r="AK88" s="235"/>
      <c r="AL88" s="235"/>
      <c r="AM88" s="235"/>
      <c r="AN88" s="235"/>
      <c r="AO88" s="235"/>
      <c r="AP88" s="235"/>
      <c r="AQ88" s="235"/>
      <c r="AR88" s="235"/>
      <c r="AS88" s="235"/>
      <c r="AT88" s="235"/>
      <c r="AU88" s="235"/>
      <c r="AV88" s="235"/>
      <c r="AW88" s="235"/>
      <c r="AX88" s="235"/>
      <c r="AY88" s="235"/>
      <c r="AZ88" s="235"/>
      <c r="BA88" s="235"/>
      <c r="BB88" s="235"/>
      <c r="BC88" s="235"/>
      <c r="BD88" s="235"/>
      <c r="BE88" s="235"/>
      <c r="BF88" s="235"/>
      <c r="BG88" s="235"/>
      <c r="BH88" s="235"/>
      <c r="BI88" s="235"/>
      <c r="BJ88" s="235"/>
      <c r="BK88" s="235"/>
      <c r="BL88" s="235"/>
      <c r="BM88" s="235"/>
      <c r="BN88" s="235"/>
      <c r="BO88" s="235"/>
      <c r="BP88" s="235"/>
      <c r="BQ88" s="235"/>
      <c r="BR88" s="235"/>
      <c r="BS88" s="235"/>
      <c r="BT88" s="286">
        <f>401936.42+965148.03+502468.09</f>
        <v>1869552.54</v>
      </c>
      <c r="BU88" s="219">
        <f t="shared" si="11"/>
        <v>0</v>
      </c>
      <c r="BV88" s="84"/>
    </row>
    <row r="89" spans="2:75" ht="15.75" x14ac:dyDescent="0.25">
      <c r="B89" s="251">
        <v>52</v>
      </c>
      <c r="C89" s="66">
        <v>101328</v>
      </c>
      <c r="D89" s="249" t="s">
        <v>113</v>
      </c>
      <c r="E89" s="247" t="s">
        <v>190</v>
      </c>
      <c r="F89" s="250">
        <v>4181332.3</v>
      </c>
      <c r="G89" s="291">
        <f t="shared" si="12"/>
        <v>3138716.43</v>
      </c>
      <c r="H89" s="295">
        <v>542446.15</v>
      </c>
      <c r="I89" s="63"/>
      <c r="J89" s="282"/>
      <c r="K89" s="263">
        <v>1256441.8899999999</v>
      </c>
      <c r="L89" s="241"/>
      <c r="M89" s="246">
        <v>903202.43</v>
      </c>
      <c r="N89" s="250">
        <v>436625.96</v>
      </c>
      <c r="O89" s="250"/>
      <c r="P89" s="250"/>
      <c r="Q89" s="250"/>
      <c r="R89" s="248"/>
      <c r="S89" s="248"/>
      <c r="T89" s="248"/>
      <c r="U89" s="248"/>
      <c r="V89" s="250"/>
      <c r="W89" s="250"/>
      <c r="X89" s="250"/>
      <c r="Y89" s="250"/>
      <c r="Z89" s="248"/>
      <c r="AA89" s="250"/>
      <c r="AB89" s="248"/>
      <c r="AC89" s="250"/>
      <c r="AD89" s="248"/>
      <c r="AE89" s="248"/>
      <c r="AF89" s="248"/>
      <c r="AG89" s="248"/>
      <c r="AH89" s="248"/>
      <c r="AI89" s="248"/>
      <c r="AJ89" s="248"/>
      <c r="AK89" s="248"/>
      <c r="AL89" s="248"/>
      <c r="AM89" s="248"/>
      <c r="AN89" s="248"/>
      <c r="AO89" s="248"/>
      <c r="AP89" s="248"/>
      <c r="AQ89" s="248"/>
      <c r="AR89" s="248"/>
      <c r="AS89" s="248"/>
      <c r="AT89" s="248"/>
      <c r="AU89" s="248"/>
      <c r="AV89" s="248"/>
      <c r="AW89" s="248"/>
      <c r="AX89" s="248"/>
      <c r="AY89" s="248"/>
      <c r="AZ89" s="248"/>
      <c r="BA89" s="248"/>
      <c r="BB89" s="248"/>
      <c r="BC89" s="248"/>
      <c r="BD89" s="248"/>
      <c r="BE89" s="248"/>
      <c r="BF89" s="248"/>
      <c r="BG89" s="248"/>
      <c r="BH89" s="248"/>
      <c r="BI89" s="248"/>
      <c r="BJ89" s="248"/>
      <c r="BK89" s="248"/>
      <c r="BL89" s="248"/>
      <c r="BM89" s="248"/>
      <c r="BN89" s="248"/>
      <c r="BO89" s="248"/>
      <c r="BP89" s="248"/>
      <c r="BQ89" s="248"/>
      <c r="BR89" s="248"/>
      <c r="BS89" s="248"/>
      <c r="BT89" s="297">
        <f>1339828.39+1798888.04</f>
        <v>3138716.4299999997</v>
      </c>
      <c r="BU89" s="237">
        <f>G89-BT89</f>
        <v>0</v>
      </c>
    </row>
    <row r="90" spans="2:75" ht="31.5" x14ac:dyDescent="0.25">
      <c r="B90" s="128">
        <v>59</v>
      </c>
      <c r="C90" s="129">
        <v>101350</v>
      </c>
      <c r="D90" s="130" t="s">
        <v>113</v>
      </c>
      <c r="E90" s="181" t="s">
        <v>194</v>
      </c>
      <c r="F90" s="132">
        <v>10744950.300000001</v>
      </c>
      <c r="G90" s="291">
        <f t="shared" si="12"/>
        <v>6618275.8800000008</v>
      </c>
      <c r="H90" s="295"/>
      <c r="I90" s="63">
        <f>1039148.06+785774</f>
        <v>1824922.06</v>
      </c>
      <c r="J90" s="281"/>
      <c r="K90" s="132">
        <f>455651.21+1110444.71+3221086.9</f>
        <v>4787182.82</v>
      </c>
      <c r="L90" s="132"/>
      <c r="M90" s="132">
        <v>6171</v>
      </c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132"/>
      <c r="BR90" s="132"/>
      <c r="BS90" s="132"/>
      <c r="BT90" s="305">
        <v>6618275.8799999999</v>
      </c>
      <c r="BU90" s="255">
        <f>G90-BT90</f>
        <v>0</v>
      </c>
    </row>
    <row r="91" spans="2:75" ht="15.75" x14ac:dyDescent="0.25">
      <c r="B91" s="279">
        <v>50</v>
      </c>
      <c r="C91" s="66">
        <v>100914</v>
      </c>
      <c r="D91" s="280" t="s">
        <v>113</v>
      </c>
      <c r="E91" s="278" t="s">
        <v>197</v>
      </c>
      <c r="F91" s="277">
        <v>48464153.869999997</v>
      </c>
      <c r="G91" s="291">
        <f t="shared" si="12"/>
        <v>6438497.9299999997</v>
      </c>
      <c r="H91" s="295"/>
      <c r="I91" s="63">
        <v>4438677.5</v>
      </c>
      <c r="J91" s="63"/>
      <c r="K91" s="277">
        <f>1506068.49+493751.94</f>
        <v>1999820.43</v>
      </c>
      <c r="L91" s="277"/>
      <c r="M91" s="277"/>
      <c r="N91" s="277"/>
      <c r="O91" s="277"/>
      <c r="P91" s="277"/>
      <c r="Q91" s="277"/>
      <c r="R91" s="277"/>
      <c r="S91" s="277"/>
      <c r="T91" s="277"/>
      <c r="U91" s="277"/>
      <c r="V91" s="277"/>
      <c r="W91" s="277"/>
      <c r="X91" s="277"/>
      <c r="Y91" s="277"/>
      <c r="Z91" s="277"/>
      <c r="AA91" s="277"/>
      <c r="AB91" s="277"/>
      <c r="AC91" s="277"/>
      <c r="AD91" s="277"/>
      <c r="AE91" s="277"/>
      <c r="AF91" s="277"/>
      <c r="AG91" s="277"/>
      <c r="AH91" s="277"/>
      <c r="AI91" s="277"/>
      <c r="AJ91" s="277"/>
      <c r="AK91" s="277"/>
      <c r="AL91" s="277"/>
      <c r="AM91" s="277"/>
      <c r="AN91" s="277"/>
      <c r="AO91" s="277"/>
      <c r="AP91" s="277"/>
      <c r="AQ91" s="277"/>
      <c r="AR91" s="277"/>
      <c r="AS91" s="277"/>
      <c r="AT91" s="277"/>
      <c r="AU91" s="277"/>
      <c r="AV91" s="277"/>
      <c r="AW91" s="277"/>
      <c r="AX91" s="277"/>
      <c r="AY91" s="277"/>
      <c r="AZ91" s="277"/>
      <c r="BA91" s="277"/>
      <c r="BB91" s="277"/>
      <c r="BC91" s="277"/>
      <c r="BD91" s="277"/>
      <c r="BE91" s="277"/>
      <c r="BF91" s="277"/>
      <c r="BG91" s="277"/>
      <c r="BH91" s="277"/>
      <c r="BI91" s="277"/>
      <c r="BJ91" s="277"/>
      <c r="BK91" s="277"/>
      <c r="BL91" s="277"/>
      <c r="BM91" s="277"/>
      <c r="BN91" s="277"/>
      <c r="BO91" s="277"/>
      <c r="BP91" s="277"/>
      <c r="BQ91" s="277"/>
      <c r="BR91" s="277"/>
      <c r="BS91" s="277"/>
      <c r="BT91" s="302">
        <v>6438497.9299999997</v>
      </c>
      <c r="BU91" s="255">
        <f>G91-BT91</f>
        <v>0</v>
      </c>
    </row>
    <row r="92" spans="2:75" ht="31.5" x14ac:dyDescent="0.25">
      <c r="B92" s="60">
        <v>52</v>
      </c>
      <c r="C92" s="61">
        <v>101283</v>
      </c>
      <c r="D92" s="89" t="s">
        <v>113</v>
      </c>
      <c r="E92" s="92" t="s">
        <v>199</v>
      </c>
      <c r="F92" s="63">
        <v>5129061.2699999996</v>
      </c>
      <c r="G92" s="63">
        <f t="shared" si="12"/>
        <v>75208.950000000012</v>
      </c>
      <c r="H92" s="63">
        <v>3139.77</v>
      </c>
      <c r="I92" s="63"/>
      <c r="J92" s="63">
        <f>3139.77+68929.41</f>
        <v>72069.180000000008</v>
      </c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290">
        <f>72069.18+3139.77</f>
        <v>75208.95</v>
      </c>
      <c r="BU92" s="255">
        <f t="shared" ref="BU92:BU93" si="13">G92-BT92</f>
        <v>0</v>
      </c>
    </row>
    <row r="93" spans="2:75" ht="32.25" thickBot="1" x14ac:dyDescent="0.3">
      <c r="B93" s="256">
        <v>52</v>
      </c>
      <c r="C93" s="257">
        <v>101446</v>
      </c>
      <c r="D93" s="258" t="s">
        <v>113</v>
      </c>
      <c r="E93" s="259" t="s">
        <v>198</v>
      </c>
      <c r="F93" s="260">
        <v>1712410.95</v>
      </c>
      <c r="G93" s="260">
        <f>SUM(H93:BS93)</f>
        <v>658780.16000000003</v>
      </c>
      <c r="H93" s="296">
        <v>516.91999999999996</v>
      </c>
      <c r="I93" s="260"/>
      <c r="J93" s="260">
        <f>516.92+657746.32</f>
        <v>658263.24</v>
      </c>
      <c r="K93" s="260"/>
      <c r="L93" s="260"/>
      <c r="M93" s="260"/>
      <c r="N93" s="260"/>
      <c r="O93" s="260"/>
      <c r="P93" s="260"/>
      <c r="Q93" s="260"/>
      <c r="R93" s="260"/>
      <c r="S93" s="260"/>
      <c r="T93" s="260"/>
      <c r="U93" s="260"/>
      <c r="V93" s="260"/>
      <c r="W93" s="260"/>
      <c r="X93" s="260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  <c r="AO93" s="260"/>
      <c r="AP93" s="260"/>
      <c r="AQ93" s="260"/>
      <c r="AR93" s="260"/>
      <c r="AS93" s="260"/>
      <c r="AT93" s="260"/>
      <c r="AU93" s="260"/>
      <c r="AV93" s="260"/>
      <c r="AW93" s="260"/>
      <c r="AX93" s="260"/>
      <c r="AY93" s="260"/>
      <c r="AZ93" s="260"/>
      <c r="BA93" s="260"/>
      <c r="BB93" s="260"/>
      <c r="BC93" s="260"/>
      <c r="BD93" s="260"/>
      <c r="BE93" s="260"/>
      <c r="BF93" s="260"/>
      <c r="BG93" s="260"/>
      <c r="BH93" s="260"/>
      <c r="BI93" s="260"/>
      <c r="BJ93" s="260"/>
      <c r="BK93" s="260"/>
      <c r="BL93" s="260"/>
      <c r="BM93" s="260"/>
      <c r="BN93" s="260"/>
      <c r="BO93" s="260"/>
      <c r="BP93" s="260"/>
      <c r="BQ93" s="260"/>
      <c r="BR93" s="260"/>
      <c r="BS93" s="260"/>
      <c r="BT93" s="304">
        <f>658780.16</f>
        <v>658780.16000000003</v>
      </c>
      <c r="BU93" s="255">
        <f t="shared" si="13"/>
        <v>0</v>
      </c>
    </row>
    <row r="94" spans="2:75" ht="20.100000000000001" customHeight="1" thickTop="1" thickBot="1" x14ac:dyDescent="0.3">
      <c r="B94" s="77"/>
      <c r="C94" s="78"/>
      <c r="D94" s="78"/>
      <c r="E94" s="78"/>
      <c r="F94" s="229">
        <f>SUM(F4:F93)</f>
        <v>2200709238.41925</v>
      </c>
      <c r="G94" s="229">
        <f>SUM(G4:G93)</f>
        <v>1805119349.9999998</v>
      </c>
      <c r="H94" s="229">
        <f>SUM(H4:H93)</f>
        <v>221487569.32000002</v>
      </c>
      <c r="I94" s="229">
        <f>SUM(I4:I93)</f>
        <v>44746983.720000006</v>
      </c>
      <c r="J94" s="229">
        <f t="shared" ref="J94:BS94" si="14">SUM(J4:J93)</f>
        <v>14089386.210000001</v>
      </c>
      <c r="K94" s="229">
        <f t="shared" si="14"/>
        <v>52356844.680000007</v>
      </c>
      <c r="L94" s="229">
        <f t="shared" si="14"/>
        <v>0</v>
      </c>
      <c r="M94" s="229">
        <f t="shared" si="14"/>
        <v>21369000.02</v>
      </c>
      <c r="N94" s="229">
        <f t="shared" si="14"/>
        <v>25818078.669999998</v>
      </c>
      <c r="O94" s="229">
        <f t="shared" si="14"/>
        <v>2520455.52</v>
      </c>
      <c r="P94" s="229">
        <f t="shared" si="14"/>
        <v>38200839.050000004</v>
      </c>
      <c r="Q94" s="229">
        <f t="shared" si="14"/>
        <v>9399938</v>
      </c>
      <c r="R94" s="229">
        <f t="shared" si="14"/>
        <v>7140387.21</v>
      </c>
      <c r="S94" s="229">
        <f t="shared" si="14"/>
        <v>2698651.47</v>
      </c>
      <c r="T94" s="229">
        <f t="shared" si="14"/>
        <v>125773.82</v>
      </c>
      <c r="U94" s="229">
        <f t="shared" si="14"/>
        <v>5442644.4699999997</v>
      </c>
      <c r="V94" s="229">
        <f t="shared" si="14"/>
        <v>6543527.9500000002</v>
      </c>
      <c r="W94" s="229">
        <f t="shared" si="14"/>
        <v>6783253.3099999996</v>
      </c>
      <c r="X94" s="229">
        <f t="shared" si="14"/>
        <v>24163274.800000001</v>
      </c>
      <c r="Y94" s="229">
        <f t="shared" si="14"/>
        <v>17753618.400000002</v>
      </c>
      <c r="Z94" s="229">
        <f t="shared" si="14"/>
        <v>30462263.610000003</v>
      </c>
      <c r="AA94" s="229">
        <f t="shared" si="14"/>
        <v>47235635.030000001</v>
      </c>
      <c r="AB94" s="229">
        <f t="shared" si="14"/>
        <v>18914364.980000004</v>
      </c>
      <c r="AC94" s="229">
        <f t="shared" si="14"/>
        <v>82758088.920000002</v>
      </c>
      <c r="AD94" s="229">
        <f t="shared" si="14"/>
        <v>4899867.4000000004</v>
      </c>
      <c r="AE94" s="229">
        <f t="shared" si="14"/>
        <v>46791873.650000006</v>
      </c>
      <c r="AF94" s="229">
        <f t="shared" si="14"/>
        <v>48138977.750000007</v>
      </c>
      <c r="AG94" s="229">
        <f t="shared" si="14"/>
        <v>25980798.359999999</v>
      </c>
      <c r="AH94" s="229">
        <f t="shared" si="14"/>
        <v>10192335.470000001</v>
      </c>
      <c r="AI94" s="229">
        <f t="shared" si="14"/>
        <v>5209739.04</v>
      </c>
      <c r="AJ94" s="229">
        <f t="shared" si="14"/>
        <v>28560970.490000002</v>
      </c>
      <c r="AK94" s="229">
        <f t="shared" si="14"/>
        <v>6247365.0300000003</v>
      </c>
      <c r="AL94" s="229">
        <f t="shared" si="14"/>
        <v>6180312.4100000001</v>
      </c>
      <c r="AM94" s="229">
        <f t="shared" si="14"/>
        <v>4417253.9800000004</v>
      </c>
      <c r="AN94" s="229">
        <f t="shared" si="14"/>
        <v>9966681.7200000007</v>
      </c>
      <c r="AO94" s="229">
        <f t="shared" si="14"/>
        <v>9698266.3599999994</v>
      </c>
      <c r="AP94" s="229">
        <f t="shared" si="14"/>
        <v>8594659.75</v>
      </c>
      <c r="AQ94" s="229">
        <f t="shared" si="14"/>
        <v>1304905.9400000002</v>
      </c>
      <c r="AR94" s="229">
        <f t="shared" si="14"/>
        <v>10914675.17</v>
      </c>
      <c r="AS94" s="229">
        <f t="shared" si="14"/>
        <v>29312816.630000006</v>
      </c>
      <c r="AT94" s="229">
        <f t="shared" si="14"/>
        <v>10199294.83</v>
      </c>
      <c r="AU94" s="229">
        <f t="shared" si="14"/>
        <v>43250051.13000001</v>
      </c>
      <c r="AV94" s="229">
        <f t="shared" si="14"/>
        <v>19218115.23</v>
      </c>
      <c r="AW94" s="229">
        <f t="shared" si="14"/>
        <v>47037920.500000007</v>
      </c>
      <c r="AX94" s="229">
        <f t="shared" si="14"/>
        <v>54193399.359999999</v>
      </c>
      <c r="AY94" s="229">
        <f t="shared" si="14"/>
        <v>73354204.99000001</v>
      </c>
      <c r="AZ94" s="229">
        <f t="shared" si="14"/>
        <v>34276098.340000004</v>
      </c>
      <c r="BA94" s="229">
        <f t="shared" si="14"/>
        <v>33723490.390000001</v>
      </c>
      <c r="BB94" s="229">
        <f t="shared" si="14"/>
        <v>34962249.579999998</v>
      </c>
      <c r="BC94" s="229">
        <f t="shared" si="14"/>
        <v>68195259.400000006</v>
      </c>
      <c r="BD94" s="229">
        <f t="shared" si="14"/>
        <v>19919223.909999996</v>
      </c>
      <c r="BE94" s="229">
        <f t="shared" si="14"/>
        <v>53366828.850000001</v>
      </c>
      <c r="BF94" s="229">
        <f t="shared" si="14"/>
        <v>25764997.969999999</v>
      </c>
      <c r="BG94" s="229">
        <f t="shared" si="14"/>
        <v>56876644.520000003</v>
      </c>
      <c r="BH94" s="229">
        <f t="shared" si="14"/>
        <v>55694756.119999997</v>
      </c>
      <c r="BI94" s="229">
        <f t="shared" si="14"/>
        <v>3693296.3600000003</v>
      </c>
      <c r="BJ94" s="229">
        <f t="shared" si="14"/>
        <v>894272.2</v>
      </c>
      <c r="BK94" s="229">
        <f t="shared" si="14"/>
        <v>17376.990000000002</v>
      </c>
      <c r="BL94" s="229">
        <f t="shared" si="14"/>
        <v>16414704.029999999</v>
      </c>
      <c r="BM94" s="229">
        <f t="shared" si="14"/>
        <v>3244919.44</v>
      </c>
      <c r="BN94" s="229">
        <f t="shared" si="14"/>
        <v>30566884.609999999</v>
      </c>
      <c r="BO94" s="229">
        <f t="shared" si="14"/>
        <v>18250721.109999999</v>
      </c>
      <c r="BP94" s="229">
        <f t="shared" si="14"/>
        <v>19474817.859999999</v>
      </c>
      <c r="BQ94" s="229">
        <f t="shared" si="14"/>
        <v>59854153.43</v>
      </c>
      <c r="BR94" s="229">
        <f t="shared" si="14"/>
        <v>37393590.539999999</v>
      </c>
      <c r="BS94" s="229">
        <f t="shared" si="14"/>
        <v>48860000</v>
      </c>
      <c r="BT94" s="229">
        <f>SUM(BT4:BT93)</f>
        <v>1805119350</v>
      </c>
      <c r="BU94" s="243">
        <f>SUM(BU4:BU93)</f>
        <v>0</v>
      </c>
      <c r="BV94" s="222">
        <f>G94-BT94</f>
        <v>0</v>
      </c>
      <c r="BW94" s="253"/>
    </row>
    <row r="95" spans="2:75" ht="20.100000000000001" customHeight="1" thickTop="1" thickBot="1" x14ac:dyDescent="0.3">
      <c r="B95" s="325" t="s">
        <v>193</v>
      </c>
      <c r="C95" s="326"/>
      <c r="D95" s="326"/>
      <c r="E95" s="327"/>
      <c r="F95" s="242"/>
      <c r="G95" s="242">
        <f>L95</f>
        <v>100000000</v>
      </c>
      <c r="H95" s="242"/>
      <c r="I95" s="242"/>
      <c r="J95" s="242"/>
      <c r="K95" s="242"/>
      <c r="L95" s="244">
        <v>100000000</v>
      </c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  <c r="AR95" s="242"/>
      <c r="AS95" s="242"/>
      <c r="AT95" s="242"/>
      <c r="AU95" s="242"/>
      <c r="AV95" s="242"/>
      <c r="AW95" s="242"/>
      <c r="AX95" s="242"/>
      <c r="AY95" s="242"/>
      <c r="AZ95" s="242"/>
      <c r="BA95" s="242"/>
      <c r="BB95" s="242"/>
      <c r="BC95" s="242"/>
      <c r="BD95" s="242"/>
      <c r="BE95" s="242"/>
      <c r="BF95" s="242"/>
      <c r="BG95" s="242"/>
      <c r="BH95" s="242"/>
      <c r="BI95" s="242"/>
      <c r="BJ95" s="242"/>
      <c r="BK95" s="242"/>
      <c r="BL95" s="242"/>
      <c r="BM95" s="242"/>
      <c r="BN95" s="242"/>
      <c r="BO95" s="242"/>
      <c r="BP95" s="242"/>
      <c r="BQ95" s="242"/>
      <c r="BR95" s="242"/>
      <c r="BS95" s="242"/>
      <c r="BT95" s="244">
        <v>100000000</v>
      </c>
      <c r="BU95" s="255">
        <f>G95-BT95</f>
        <v>0</v>
      </c>
      <c r="BV95" s="222"/>
      <c r="BW95" s="253"/>
    </row>
    <row r="96" spans="2:75" ht="20.100000000000001" customHeight="1" thickTop="1" thickBot="1" x14ac:dyDescent="0.3">
      <c r="B96" s="298"/>
      <c r="C96" s="299"/>
      <c r="D96" s="299"/>
      <c r="E96" s="299"/>
      <c r="F96" s="300">
        <f>SUM(F4:F93)</f>
        <v>2200709238.41925</v>
      </c>
      <c r="G96" s="300">
        <f>SUM(G4:G93)+L95</f>
        <v>1905119349.9999998</v>
      </c>
      <c r="H96" s="300"/>
      <c r="I96" s="300"/>
      <c r="J96" s="300"/>
      <c r="K96" s="300"/>
      <c r="L96" s="300">
        <f>L95</f>
        <v>100000000</v>
      </c>
      <c r="M96" s="300">
        <f>SUM(M4:M91)</f>
        <v>21369000.02</v>
      </c>
      <c r="N96" s="300">
        <f t="shared" ref="N96:BS96" si="15">SUM(N4:N90)</f>
        <v>25818078.669999998</v>
      </c>
      <c r="O96" s="300">
        <f t="shared" si="15"/>
        <v>2520455.52</v>
      </c>
      <c r="P96" s="300">
        <f t="shared" si="15"/>
        <v>38200839.050000004</v>
      </c>
      <c r="Q96" s="300">
        <f t="shared" si="15"/>
        <v>9399938</v>
      </c>
      <c r="R96" s="300">
        <f t="shared" si="15"/>
        <v>7140387.21</v>
      </c>
      <c r="S96" s="300">
        <f t="shared" si="15"/>
        <v>2698651.47</v>
      </c>
      <c r="T96" s="300">
        <f t="shared" si="15"/>
        <v>125773.82</v>
      </c>
      <c r="U96" s="300">
        <f t="shared" si="15"/>
        <v>5442644.4699999997</v>
      </c>
      <c r="V96" s="300">
        <f t="shared" si="15"/>
        <v>6543527.9500000002</v>
      </c>
      <c r="W96" s="300">
        <f t="shared" si="15"/>
        <v>6783253.3099999996</v>
      </c>
      <c r="X96" s="300">
        <f t="shared" si="15"/>
        <v>24163274.800000001</v>
      </c>
      <c r="Y96" s="300">
        <f t="shared" si="15"/>
        <v>17753618.400000002</v>
      </c>
      <c r="Z96" s="300">
        <f t="shared" si="15"/>
        <v>30462263.610000003</v>
      </c>
      <c r="AA96" s="300">
        <f t="shared" si="15"/>
        <v>47235635.030000001</v>
      </c>
      <c r="AB96" s="300">
        <f t="shared" si="15"/>
        <v>18914364.980000004</v>
      </c>
      <c r="AC96" s="300">
        <f t="shared" si="15"/>
        <v>82758088.920000002</v>
      </c>
      <c r="AD96" s="300">
        <f t="shared" si="15"/>
        <v>4899867.4000000004</v>
      </c>
      <c r="AE96" s="300">
        <f t="shared" si="15"/>
        <v>46791873.650000006</v>
      </c>
      <c r="AF96" s="300">
        <f t="shared" si="15"/>
        <v>48138977.750000007</v>
      </c>
      <c r="AG96" s="300">
        <f t="shared" si="15"/>
        <v>25980798.359999999</v>
      </c>
      <c r="AH96" s="300">
        <f t="shared" si="15"/>
        <v>10192335.470000001</v>
      </c>
      <c r="AI96" s="300">
        <f t="shared" si="15"/>
        <v>5209739.04</v>
      </c>
      <c r="AJ96" s="300">
        <f t="shared" si="15"/>
        <v>28560970.490000002</v>
      </c>
      <c r="AK96" s="300">
        <f t="shared" si="15"/>
        <v>6247365.0300000003</v>
      </c>
      <c r="AL96" s="300">
        <f t="shared" si="15"/>
        <v>6180312.4100000001</v>
      </c>
      <c r="AM96" s="300">
        <f t="shared" si="15"/>
        <v>4417253.9800000004</v>
      </c>
      <c r="AN96" s="300">
        <f t="shared" si="15"/>
        <v>9966681.7200000007</v>
      </c>
      <c r="AO96" s="300">
        <f t="shared" si="15"/>
        <v>9698266.3599999994</v>
      </c>
      <c r="AP96" s="300">
        <f t="shared" si="15"/>
        <v>8594659.75</v>
      </c>
      <c r="AQ96" s="300">
        <f t="shared" si="15"/>
        <v>1304905.9400000002</v>
      </c>
      <c r="AR96" s="300">
        <f t="shared" si="15"/>
        <v>10914675.17</v>
      </c>
      <c r="AS96" s="300">
        <f t="shared" si="15"/>
        <v>29312816.630000006</v>
      </c>
      <c r="AT96" s="300">
        <f t="shared" si="15"/>
        <v>10199294.83</v>
      </c>
      <c r="AU96" s="300">
        <f t="shared" si="15"/>
        <v>43250051.13000001</v>
      </c>
      <c r="AV96" s="300">
        <f t="shared" si="15"/>
        <v>19218115.23</v>
      </c>
      <c r="AW96" s="300">
        <f t="shared" si="15"/>
        <v>47037920.500000007</v>
      </c>
      <c r="AX96" s="300">
        <f t="shared" si="15"/>
        <v>54193399.359999999</v>
      </c>
      <c r="AY96" s="300">
        <f t="shared" si="15"/>
        <v>73354204.99000001</v>
      </c>
      <c r="AZ96" s="300">
        <f t="shared" si="15"/>
        <v>34276098.340000004</v>
      </c>
      <c r="BA96" s="300">
        <f t="shared" si="15"/>
        <v>33723490.390000001</v>
      </c>
      <c r="BB96" s="300">
        <f t="shared" si="15"/>
        <v>34962249.579999998</v>
      </c>
      <c r="BC96" s="300">
        <f t="shared" si="15"/>
        <v>68195259.400000006</v>
      </c>
      <c r="BD96" s="300">
        <f t="shared" si="15"/>
        <v>19919223.909999996</v>
      </c>
      <c r="BE96" s="300">
        <f t="shared" si="15"/>
        <v>53366828.850000001</v>
      </c>
      <c r="BF96" s="300">
        <f t="shared" si="15"/>
        <v>25764997.969999999</v>
      </c>
      <c r="BG96" s="300">
        <f t="shared" si="15"/>
        <v>56876644.520000003</v>
      </c>
      <c r="BH96" s="300">
        <f t="shared" si="15"/>
        <v>55694756.119999997</v>
      </c>
      <c r="BI96" s="300">
        <f t="shared" si="15"/>
        <v>3693296.3600000003</v>
      </c>
      <c r="BJ96" s="300">
        <f t="shared" si="15"/>
        <v>894272.2</v>
      </c>
      <c r="BK96" s="300">
        <f t="shared" si="15"/>
        <v>17376.990000000002</v>
      </c>
      <c r="BL96" s="300">
        <f t="shared" si="15"/>
        <v>16414704.029999999</v>
      </c>
      <c r="BM96" s="300">
        <f t="shared" si="15"/>
        <v>3244919.44</v>
      </c>
      <c r="BN96" s="300">
        <f t="shared" si="15"/>
        <v>30566884.609999999</v>
      </c>
      <c r="BO96" s="300">
        <f t="shared" si="15"/>
        <v>18250721.109999999</v>
      </c>
      <c r="BP96" s="300">
        <f t="shared" si="15"/>
        <v>19474817.859999999</v>
      </c>
      <c r="BQ96" s="300">
        <f t="shared" si="15"/>
        <v>59854153.43</v>
      </c>
      <c r="BR96" s="300">
        <f t="shared" si="15"/>
        <v>37393590.539999999</v>
      </c>
      <c r="BS96" s="300">
        <f t="shared" si="15"/>
        <v>48860000</v>
      </c>
      <c r="BT96" s="300">
        <f>SUM(BT4:BT93)+BT95</f>
        <v>1905119350</v>
      </c>
      <c r="BU96" s="301">
        <f>BU94+L96-BT95</f>
        <v>0</v>
      </c>
      <c r="BV96" s="285">
        <f>G96-BT96</f>
        <v>0</v>
      </c>
      <c r="BW96" s="253"/>
    </row>
    <row r="97" spans="2:75" ht="24.75" hidden="1" customHeight="1" thickTop="1" thickBot="1" x14ac:dyDescent="0.3">
      <c r="B97" s="310" t="s">
        <v>40</v>
      </c>
      <c r="C97" s="311"/>
      <c r="D97" s="311"/>
      <c r="E97" s="311"/>
      <c r="F97" s="311"/>
      <c r="G97" s="311"/>
      <c r="H97" s="311"/>
      <c r="I97" s="311"/>
      <c r="J97" s="311"/>
      <c r="K97" s="311"/>
      <c r="L97" s="311"/>
      <c r="M97" s="311"/>
      <c r="N97" s="311"/>
      <c r="O97" s="311"/>
      <c r="P97" s="311"/>
      <c r="Q97" s="311"/>
      <c r="R97" s="311"/>
      <c r="S97" s="311"/>
      <c r="T97" s="311"/>
      <c r="U97" s="311"/>
      <c r="V97" s="311"/>
      <c r="W97" s="311"/>
      <c r="X97" s="311"/>
      <c r="Y97" s="311"/>
      <c r="Z97" s="311"/>
      <c r="AA97" s="311"/>
      <c r="AB97" s="311"/>
      <c r="AC97" s="311"/>
      <c r="AD97" s="311"/>
      <c r="AE97" s="311"/>
      <c r="AF97" s="311"/>
      <c r="AG97" s="311"/>
      <c r="AH97" s="311"/>
      <c r="AI97" s="311"/>
      <c r="AJ97" s="311"/>
      <c r="AK97" s="311"/>
      <c r="AL97" s="311"/>
      <c r="AM97" s="311"/>
      <c r="AN97" s="311"/>
      <c r="AO97" s="311"/>
      <c r="AP97" s="311"/>
      <c r="AQ97" s="311"/>
      <c r="AR97" s="311"/>
      <c r="AS97" s="311"/>
      <c r="AT97" s="311"/>
      <c r="AU97" s="311"/>
      <c r="AV97" s="311"/>
      <c r="AW97" s="311"/>
      <c r="AX97" s="311"/>
      <c r="AY97" s="311"/>
      <c r="AZ97" s="311"/>
      <c r="BA97" s="311"/>
      <c r="BB97" s="311"/>
      <c r="BC97" s="311"/>
      <c r="BD97" s="311"/>
      <c r="BE97" s="311"/>
      <c r="BF97" s="311"/>
      <c r="BG97" s="311"/>
      <c r="BH97" s="311"/>
      <c r="BI97" s="311"/>
      <c r="BJ97" s="311"/>
      <c r="BK97" s="311"/>
      <c r="BL97" s="311"/>
      <c r="BM97" s="311"/>
      <c r="BN97" s="311"/>
      <c r="BO97" s="311"/>
      <c r="BP97" s="311"/>
      <c r="BQ97" s="311"/>
      <c r="BR97" s="311"/>
      <c r="BS97" s="311"/>
      <c r="BT97" s="311"/>
      <c r="BU97" s="245">
        <f>600000000-BU96</f>
        <v>600000000</v>
      </c>
      <c r="BV97" s="253"/>
      <c r="BW97" s="253"/>
    </row>
    <row r="98" spans="2:75" ht="15.75" thickTop="1" x14ac:dyDescent="0.25">
      <c r="BV98" s="253"/>
      <c r="BW98" s="253"/>
    </row>
    <row r="99" spans="2:75" x14ac:dyDescent="0.25">
      <c r="G99" s="222">
        <f>G88+G87+G86+G85+G84+G83+G82+G81+G80+G76+G75+G74+G73+G72+G71+G70+G69+G68+G67+G66+G65+G64+G63+G62+G61+G60+G59+G58+G57+G56+G55+G54+G53+G52+G51+G50+G49+G48+G47+G46+G45+G44+G43+G42+G40+G39+G38+G37+G36+G35+G34+G33+G32+G31+G30+G29+G28+G27+G26+G25+G24+G23+G22+G21+G20+G19+G18+G17+G16+G15+G14+G13+G12+G11+G10+G9+G8+G7+G6+G5+G4+G89+G90+G91+G92+G93</f>
        <v>1805119350.0000005</v>
      </c>
      <c r="H99" s="222"/>
      <c r="I99" s="222"/>
      <c r="J99" s="222"/>
      <c r="K99" s="222"/>
      <c r="L99" s="240"/>
      <c r="M99" s="240"/>
      <c r="N99" s="222"/>
      <c r="O99" s="222"/>
      <c r="P99" s="222"/>
      <c r="Q99" s="222"/>
      <c r="R99" s="222"/>
      <c r="BT99" s="84"/>
    </row>
    <row r="100" spans="2:75" x14ac:dyDescent="0.25">
      <c r="G100" s="222"/>
      <c r="H100" s="240"/>
      <c r="I100" s="240"/>
      <c r="J100" s="240"/>
      <c r="K100" s="240"/>
      <c r="L100" s="240"/>
      <c r="M100" s="240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</row>
    <row r="101" spans="2:75" x14ac:dyDescent="0.25">
      <c r="G101" s="252"/>
      <c r="H101" s="252"/>
      <c r="I101" s="252"/>
      <c r="J101" s="252"/>
      <c r="K101" s="252"/>
      <c r="L101" s="252"/>
      <c r="M101" s="252"/>
    </row>
  </sheetData>
  <mergeCells count="89">
    <mergeCell ref="AP2:AP3"/>
    <mergeCell ref="AT2:AT3"/>
    <mergeCell ref="AS2:AS3"/>
    <mergeCell ref="BM2:BM3"/>
    <mergeCell ref="BL2:BL3"/>
    <mergeCell ref="BJ2:BJ3"/>
    <mergeCell ref="BH2:BH3"/>
    <mergeCell ref="BC2:BC3"/>
    <mergeCell ref="BD2:BD3"/>
    <mergeCell ref="BF2:BF3"/>
    <mergeCell ref="BK2:BK3"/>
    <mergeCell ref="BG2:BG3"/>
    <mergeCell ref="C2:C3"/>
    <mergeCell ref="BA2:BA3"/>
    <mergeCell ref="BB2:BB3"/>
    <mergeCell ref="BU76:BU79"/>
    <mergeCell ref="BP2:BP3"/>
    <mergeCell ref="BQ2:BQ3"/>
    <mergeCell ref="BR2:BR3"/>
    <mergeCell ref="BO2:BO3"/>
    <mergeCell ref="BT40:BT41"/>
    <mergeCell ref="BU2:BU3"/>
    <mergeCell ref="BS2:BS3"/>
    <mergeCell ref="BU40:BU41"/>
    <mergeCell ref="AW2:AW3"/>
    <mergeCell ref="AV2:AV3"/>
    <mergeCell ref="AU2:AU3"/>
    <mergeCell ref="BI2:BI3"/>
    <mergeCell ref="BN2:BN3"/>
    <mergeCell ref="AX2:AX3"/>
    <mergeCell ref="AL2:AL3"/>
    <mergeCell ref="B1:F1"/>
    <mergeCell ref="BT2:BT3"/>
    <mergeCell ref="AR2:AR3"/>
    <mergeCell ref="AQ2:AQ3"/>
    <mergeCell ref="BE2:BE3"/>
    <mergeCell ref="AN2:AN3"/>
    <mergeCell ref="AO2:AO3"/>
    <mergeCell ref="AZ2:AZ3"/>
    <mergeCell ref="AY2:AY3"/>
    <mergeCell ref="B2:B3"/>
    <mergeCell ref="F2:F3"/>
    <mergeCell ref="D2:D3"/>
    <mergeCell ref="X2:X3"/>
    <mergeCell ref="B97:BT97"/>
    <mergeCell ref="E40:E41"/>
    <mergeCell ref="B40:B41"/>
    <mergeCell ref="F40:F41"/>
    <mergeCell ref="G40:G41"/>
    <mergeCell ref="B76:B79"/>
    <mergeCell ref="D76:D79"/>
    <mergeCell ref="E76:E79"/>
    <mergeCell ref="F76:F79"/>
    <mergeCell ref="G76:G79"/>
    <mergeCell ref="BT76:BT79"/>
    <mergeCell ref="D40:D41"/>
    <mergeCell ref="B95:E95"/>
    <mergeCell ref="AM2:AM3"/>
    <mergeCell ref="AK2:AK3"/>
    <mergeCell ref="AJ2:AJ3"/>
    <mergeCell ref="AG2:AG3"/>
    <mergeCell ref="G2:G3"/>
    <mergeCell ref="AB2:AB3"/>
    <mergeCell ref="AI2:AI3"/>
    <mergeCell ref="AC2:AC3"/>
    <mergeCell ref="AA2:AA3"/>
    <mergeCell ref="AH2:AH3"/>
    <mergeCell ref="AF2:AF3"/>
    <mergeCell ref="U2:U3"/>
    <mergeCell ref="AE2:AE3"/>
    <mergeCell ref="Y2:Y3"/>
    <mergeCell ref="Z2:Z3"/>
    <mergeCell ref="T2:T3"/>
    <mergeCell ref="V2:V3"/>
    <mergeCell ref="W2:W3"/>
    <mergeCell ref="AD2:AD3"/>
    <mergeCell ref="S2:S3"/>
    <mergeCell ref="E2:E3"/>
    <mergeCell ref="R2:R3"/>
    <mergeCell ref="Q2:Q3"/>
    <mergeCell ref="P2:P3"/>
    <mergeCell ref="O2:O3"/>
    <mergeCell ref="N2:N3"/>
    <mergeCell ref="M2:M3"/>
    <mergeCell ref="L2:L3"/>
    <mergeCell ref="K2:K3"/>
    <mergeCell ref="J2:J3"/>
    <mergeCell ref="I2:I3"/>
    <mergeCell ref="H2:H3"/>
  </mergeCells>
  <pageMargins left="0.70866141732283472" right="0.70866141732283472" top="0.39370078740157483" bottom="0.78740157480314965" header="0.31496062992125984" footer="0.31496062992125984"/>
  <pageSetup paperSize="9" scale="50" firstPageNumber="2" fitToHeight="0" orientation="landscape" useFirstPageNumber="1" r:id="rId1"/>
  <headerFooter>
    <oddFooter>&amp;LZastupitelstvo Olomouckého kraje 26. 4. 2021
8.2. - Rozpočet Olomouckého kraje 2021 - splátka revolvingového úvěru KB
Příloha č. 1 - přehled revolvingového úvěru&amp;RStrana &amp;P (celkem 4)</oddFooter>
  </headerFooter>
  <rowBreaks count="2" manualBreakCount="2">
    <brk id="34" min="1" max="69" man="1"/>
    <brk id="62" min="1" max="69" man="1"/>
  </rowBreaks>
  <ignoredErrors>
    <ignoredError sqref="G41 G77:G79 G81:G87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ColWidth="9.140625"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357" t="s">
        <v>25</v>
      </c>
      <c r="B1" s="357"/>
      <c r="C1" s="357"/>
      <c r="D1" s="357"/>
      <c r="E1" s="357"/>
      <c r="F1" s="357"/>
      <c r="G1" s="357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340" t="s">
        <v>0</v>
      </c>
      <c r="B4" s="342" t="s">
        <v>5</v>
      </c>
      <c r="C4" s="342" t="s">
        <v>6</v>
      </c>
      <c r="D4" s="344" t="s">
        <v>10</v>
      </c>
      <c r="E4" s="344" t="s">
        <v>1</v>
      </c>
      <c r="F4" s="352" t="s">
        <v>4</v>
      </c>
      <c r="G4" s="344" t="s">
        <v>7</v>
      </c>
      <c r="H4" s="348" t="s">
        <v>3</v>
      </c>
      <c r="I4" s="344" t="s">
        <v>9</v>
      </c>
      <c r="J4" s="344" t="s">
        <v>12</v>
      </c>
      <c r="K4" s="344" t="s">
        <v>8</v>
      </c>
      <c r="L4" s="350" t="s">
        <v>13</v>
      </c>
      <c r="M4" s="346" t="s">
        <v>14</v>
      </c>
    </row>
    <row r="5" spans="1:13" ht="39" customHeight="1" thickBot="1" x14ac:dyDescent="0.25">
      <c r="A5" s="341"/>
      <c r="B5" s="343"/>
      <c r="C5" s="343"/>
      <c r="D5" s="345"/>
      <c r="E5" s="345"/>
      <c r="F5" s="353"/>
      <c r="G5" s="345"/>
      <c r="H5" s="349"/>
      <c r="I5" s="345"/>
      <c r="J5" s="345"/>
      <c r="K5" s="345"/>
      <c r="L5" s="351"/>
      <c r="M5" s="347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354" t="s">
        <v>2</v>
      </c>
      <c r="B11" s="355"/>
      <c r="C11" s="355"/>
      <c r="D11" s="355"/>
      <c r="E11" s="355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340" t="s">
        <v>0</v>
      </c>
      <c r="B13" s="342" t="s">
        <v>5</v>
      </c>
      <c r="C13" s="342" t="s">
        <v>6</v>
      </c>
      <c r="D13" s="344" t="s">
        <v>10</v>
      </c>
      <c r="E13" s="344" t="s">
        <v>1</v>
      </c>
      <c r="F13" s="352" t="s">
        <v>4</v>
      </c>
      <c r="G13" s="344" t="s">
        <v>7</v>
      </c>
      <c r="H13" s="348" t="s">
        <v>3</v>
      </c>
      <c r="I13" s="344" t="s">
        <v>9</v>
      </c>
      <c r="J13" s="344" t="s">
        <v>12</v>
      </c>
      <c r="K13" s="344" t="s">
        <v>8</v>
      </c>
      <c r="L13" s="350" t="s">
        <v>13</v>
      </c>
      <c r="M13" s="346" t="s">
        <v>14</v>
      </c>
    </row>
    <row r="14" spans="1:13" ht="39" customHeight="1" thickBot="1" x14ac:dyDescent="0.25">
      <c r="A14" s="341"/>
      <c r="B14" s="343"/>
      <c r="C14" s="343"/>
      <c r="D14" s="345"/>
      <c r="E14" s="345"/>
      <c r="F14" s="353"/>
      <c r="G14" s="345"/>
      <c r="H14" s="349"/>
      <c r="I14" s="345"/>
      <c r="J14" s="345"/>
      <c r="K14" s="345"/>
      <c r="L14" s="351"/>
      <c r="M14" s="347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354" t="s">
        <v>26</v>
      </c>
      <c r="B19" s="355"/>
      <c r="C19" s="355"/>
      <c r="D19" s="355"/>
      <c r="E19" s="355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354" t="s">
        <v>2</v>
      </c>
      <c r="B21" s="355"/>
      <c r="C21" s="355"/>
      <c r="D21" s="355"/>
      <c r="E21" s="355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356"/>
      <c r="L22" s="356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2021-02-17T10:00:30Z</cp:lastPrinted>
  <dcterms:created xsi:type="dcterms:W3CDTF">2013-11-04T07:24:03Z</dcterms:created>
  <dcterms:modified xsi:type="dcterms:W3CDTF">2021-04-06T10:26:50Z</dcterms:modified>
</cp:coreProperties>
</file>